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4.xml" ContentType="application/vnd.openxmlformats-officedocument.drawing+xml"/>
  <Override PartName="/xl/comments6.xml" ContentType="application/vnd.openxmlformats-officedocument.spreadsheetml.comments+xml"/>
  <Override PartName="/xl/drawings/drawing5.xml" ContentType="application/vnd.openxmlformats-officedocument.drawing+xml"/>
  <Override PartName="/xl/comments7.xml" ContentType="application/vnd.openxmlformats-officedocument.spreadsheetml.comments+xml"/>
  <Override PartName="/xl/drawings/drawing6.xml" ContentType="application/vnd.openxmlformats-officedocument.drawing+xml"/>
  <Override PartName="/xl/comments8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9.xml" ContentType="application/vnd.openxmlformats-officedocument.spreadsheetml.comment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drawings/drawing11.xml" ContentType="application/vnd.openxmlformats-officedocument.drawing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20" windowWidth="11895" windowHeight="8445" tabRatio="891" activeTab="1"/>
  </bookViews>
  <sheets>
    <sheet name="Kalend" sheetId="3" r:id="rId1"/>
    <sheet name="Kal E" sheetId="1" r:id="rId2"/>
    <sheet name="Reit" sheetId="33" r:id="rId3"/>
    <sheet name="1" sheetId="4" r:id="rId4"/>
    <sheet name="2" sheetId="9" r:id="rId5"/>
    <sheet name="3" sheetId="61" r:id="rId6"/>
    <sheet name="4" sheetId="76" r:id="rId7"/>
    <sheet name="5" sheetId="82" r:id="rId8"/>
    <sheet name="K1" sheetId="84" r:id="rId9"/>
    <sheet name="6" sheetId="87" r:id="rId10"/>
    <sheet name="7" sheetId="88" r:id="rId11"/>
    <sheet name="K2" sheetId="90" r:id="rId12"/>
    <sheet name="KS" sheetId="91" r:id="rId13"/>
    <sheet name="R-1" sheetId="20" r:id="rId14"/>
    <sheet name="R-2" sheetId="25" r:id="rId15"/>
    <sheet name="R-S" sheetId="22" r:id="rId16"/>
    <sheet name="Reg-F" sheetId="86" r:id="rId17"/>
    <sheet name="V" sheetId="44" r:id="rId18"/>
    <sheet name="V1" sheetId="45" r:id="rId19"/>
    <sheet name="V2" sheetId="46" r:id="rId20"/>
    <sheet name="V3" sheetId="47" r:id="rId21"/>
    <sheet name="V4" sheetId="48" r:id="rId22"/>
    <sheet name="V5" sheetId="53" r:id="rId23"/>
    <sheet name="V-jh" sheetId="57" r:id="rId24"/>
    <sheet name="V-jh2" sheetId="69" r:id="rId25"/>
    <sheet name="V6" sheetId="58" r:id="rId26"/>
    <sheet name="V7" sheetId="60" r:id="rId27"/>
    <sheet name="V8" sheetId="62" r:id="rId28"/>
    <sheet name="V9" sheetId="72" r:id="rId29"/>
    <sheet name="V10" sheetId="75" r:id="rId30"/>
    <sheet name="EV100" sheetId="78" r:id="rId31"/>
    <sheet name="V11" sheetId="80" r:id="rId32"/>
    <sheet name="V12" sheetId="81" r:id="rId33"/>
    <sheet name="V13" sheetId="83" r:id="rId34"/>
    <sheet name="V-Fin" sheetId="89" r:id="rId35"/>
    <sheet name="ETAPP" sheetId="54" r:id="rId36"/>
    <sheet name="PIV" sheetId="49" r:id="rId37"/>
    <sheet name="PVO" sheetId="56" r:id="rId38"/>
    <sheet name="V templ" sheetId="79" r:id="rId39"/>
    <sheet name="ala" sheetId="73" r:id="rId40"/>
    <sheet name="ala (2)" sheetId="74" r:id="rId41"/>
    <sheet name="suurem alagr" sheetId="65" r:id="rId42"/>
    <sheet name="suurem alagr (2)" sheetId="68" r:id="rId43"/>
  </sheets>
  <definedNames>
    <definedName name="_xlnm._FilterDatabase" localSheetId="2" hidden="1">Reit!$M$6:$W$6</definedName>
    <definedName name="_xlnm._FilterDatabase" localSheetId="17" hidden="1">V!$AN$6:$AP$6</definedName>
    <definedName name="a" localSheetId="6">#REF!</definedName>
    <definedName name="a" localSheetId="7">#REF!</definedName>
    <definedName name="a" localSheetId="9">#REF!</definedName>
    <definedName name="a" localSheetId="10">#REF!</definedName>
    <definedName name="a" localSheetId="39">#REF!</definedName>
    <definedName name="a" localSheetId="40">#REF!</definedName>
    <definedName name="a" localSheetId="30">#REF!</definedName>
    <definedName name="a" localSheetId="8">#REF!</definedName>
    <definedName name="a" localSheetId="11">#REF!</definedName>
    <definedName name="a" localSheetId="12">#REF!</definedName>
    <definedName name="a" localSheetId="42">#REF!</definedName>
    <definedName name="a" localSheetId="38">#REF!</definedName>
    <definedName name="a" localSheetId="29">#REF!</definedName>
    <definedName name="a" localSheetId="31">#REF!</definedName>
    <definedName name="a" localSheetId="32">#REF!</definedName>
    <definedName name="a" localSheetId="33">#REF!</definedName>
    <definedName name="a" localSheetId="26">#REF!</definedName>
    <definedName name="a" localSheetId="27">#REF!</definedName>
    <definedName name="a" localSheetId="28">#REF!</definedName>
    <definedName name="a" localSheetId="34">#REF!</definedName>
    <definedName name="a" localSheetId="23">#REF!</definedName>
    <definedName name="a" localSheetId="24">#REF!</definedName>
    <definedName name="a">#REF!</definedName>
    <definedName name="Nimed" localSheetId="5">#REF!</definedName>
    <definedName name="Nimed" localSheetId="6">#REF!</definedName>
    <definedName name="Nimed" localSheetId="7">#REF!</definedName>
    <definedName name="Nimed" localSheetId="9">#REF!</definedName>
    <definedName name="Nimed" localSheetId="10">#REF!</definedName>
    <definedName name="Nimed" localSheetId="39">#REF!</definedName>
    <definedName name="Nimed" localSheetId="40">#REF!</definedName>
    <definedName name="Nimed" localSheetId="30">#REF!</definedName>
    <definedName name="Nimed" localSheetId="8">#REF!</definedName>
    <definedName name="Nimed" localSheetId="11">#REF!</definedName>
    <definedName name="Nimed" localSheetId="12">#REF!</definedName>
    <definedName name="Nimed" localSheetId="14">#REF!</definedName>
    <definedName name="Nimed" localSheetId="16">#REF!</definedName>
    <definedName name="Nimed" localSheetId="2">#REF!</definedName>
    <definedName name="Nimed" localSheetId="42">#REF!</definedName>
    <definedName name="Nimed" localSheetId="17">#REF!</definedName>
    <definedName name="Nimed" localSheetId="38">#REF!</definedName>
    <definedName name="Nimed" localSheetId="18">#REF!</definedName>
    <definedName name="Nimed" localSheetId="29">#REF!</definedName>
    <definedName name="Nimed" localSheetId="31">#REF!</definedName>
    <definedName name="Nimed" localSheetId="32">#REF!</definedName>
    <definedName name="Nimed" localSheetId="33">#REF!</definedName>
    <definedName name="Nimed" localSheetId="19">#REF!</definedName>
    <definedName name="Nimed" localSheetId="20">#REF!</definedName>
    <definedName name="Nimed" localSheetId="21">#REF!</definedName>
    <definedName name="Nimed" localSheetId="22">#REF!</definedName>
    <definedName name="Nimed" localSheetId="25">#REF!</definedName>
    <definedName name="Nimed" localSheetId="26">#REF!</definedName>
    <definedName name="Nimed" localSheetId="27">#REF!</definedName>
    <definedName name="Nimed" localSheetId="28">#REF!</definedName>
    <definedName name="Nimed" localSheetId="34">#REF!</definedName>
    <definedName name="Nimed" localSheetId="23">#REF!</definedName>
    <definedName name="Nimed" localSheetId="24">#REF!</definedName>
    <definedName name="Nimed">#REF!</definedName>
    <definedName name="_xlnm.Print_Area" localSheetId="5">'3'!$A$1:$L$320</definedName>
    <definedName name="_xlnm.Print_Area" localSheetId="0">Kalend!$A$1:$I$56</definedName>
    <definedName name="_xlnm.Print_Area" localSheetId="16">'Reg-F'!$A$1:$L$27</definedName>
    <definedName name="_xlnm.Print_Area" localSheetId="21">'V4'!$A$1:$K$311</definedName>
    <definedName name="_xlnm.Print_Area" localSheetId="27">'V8'!$A$1:$O$313</definedName>
    <definedName name="_xlnm.Print_Area" localSheetId="28">'V9'!$A$1:$O$310</definedName>
    <definedName name="_xlnm.Print_Titles" localSheetId="3">'1'!$1:$2</definedName>
    <definedName name="_xlnm.Print_Titles" localSheetId="4">'2'!$1:$2</definedName>
    <definedName name="_xlnm.Print_Titles" localSheetId="5">'3'!$1:$2</definedName>
    <definedName name="_xlnm.Print_Titles" localSheetId="6">'4'!$1:$2</definedName>
    <definedName name="_xlnm.Print_Titles" localSheetId="7">'5'!$1:$2</definedName>
    <definedName name="_xlnm.Print_Titles" localSheetId="9">'6'!$1:$2</definedName>
    <definedName name="_xlnm.Print_Titles" localSheetId="10">'7'!$1:$2</definedName>
    <definedName name="_xlnm.Print_Titles" localSheetId="39">ala!$1:$2</definedName>
    <definedName name="_xlnm.Print_Titles" localSheetId="40">'ala (2)'!$1:$2</definedName>
    <definedName name="_xlnm.Print_Titles" localSheetId="30">'EV100'!$1:$2</definedName>
    <definedName name="_xlnm.Print_Titles" localSheetId="8">'K1'!$1:$2</definedName>
    <definedName name="_xlnm.Print_Titles" localSheetId="11">'K2'!$1:$2</definedName>
    <definedName name="_xlnm.Print_Titles" localSheetId="1">'Kal E'!$1:$3</definedName>
    <definedName name="_xlnm.Print_Titles" localSheetId="0">Kalend!$1:$2</definedName>
    <definedName name="_xlnm.Print_Titles" localSheetId="13">'R-1'!$1:$2</definedName>
    <definedName name="_xlnm.Print_Titles" localSheetId="14">'R-2'!$1:$2</definedName>
    <definedName name="_xlnm.Print_Titles" localSheetId="16">'Reg-F'!$1:$2</definedName>
    <definedName name="_xlnm.Print_Titles" localSheetId="2">Reit!$1:$3</definedName>
    <definedName name="_xlnm.Print_Titles" localSheetId="17">V!$1:$3</definedName>
    <definedName name="_xlnm.Print_Titles" localSheetId="38">'V templ'!$1:$2</definedName>
    <definedName name="_xlnm.Print_Titles" localSheetId="18">'V1'!$1:$2</definedName>
    <definedName name="_xlnm.Print_Titles" localSheetId="29">'V10'!$1:$2</definedName>
    <definedName name="_xlnm.Print_Titles" localSheetId="31">'V11'!$1:$2</definedName>
    <definedName name="_xlnm.Print_Titles" localSheetId="32">'V12'!$1:$2</definedName>
    <definedName name="_xlnm.Print_Titles" localSheetId="33">'V13'!$1:$2</definedName>
    <definedName name="_xlnm.Print_Titles" localSheetId="19">'V2'!$1:$2</definedName>
    <definedName name="_xlnm.Print_Titles" localSheetId="20">'V3'!$1:$2</definedName>
    <definedName name="_xlnm.Print_Titles" localSheetId="21">'V4'!$1:$2</definedName>
    <definedName name="_xlnm.Print_Titles" localSheetId="22">'V5'!$1:$2</definedName>
    <definedName name="_xlnm.Print_Titles" localSheetId="25">'V6'!$1:$2</definedName>
    <definedName name="_xlnm.Print_Titles" localSheetId="26">'V7'!$1:$2</definedName>
    <definedName name="_xlnm.Print_Titles" localSheetId="27">'V8'!$1:$2</definedName>
    <definedName name="_xlnm.Print_Titles" localSheetId="28">'V9'!$1:$2</definedName>
    <definedName name="_xlnm.Print_Titles" localSheetId="34">'V-Fin'!$1:$2</definedName>
    <definedName name="_xlnm.Print_Titles" localSheetId="23">'V-jh'!$1:$2</definedName>
    <definedName name="sd" localSheetId="5">#REF!</definedName>
    <definedName name="sd" localSheetId="6">#REF!</definedName>
    <definedName name="sd" localSheetId="7">#REF!</definedName>
    <definedName name="sd" localSheetId="9">#REF!</definedName>
    <definedName name="sd" localSheetId="10">#REF!</definedName>
    <definedName name="sd" localSheetId="39">#REF!</definedName>
    <definedName name="sd" localSheetId="40">#REF!</definedName>
    <definedName name="sd" localSheetId="30">#REF!</definedName>
    <definedName name="sd" localSheetId="8">#REF!</definedName>
    <definedName name="sd" localSheetId="11">#REF!</definedName>
    <definedName name="sd" localSheetId="12">#REF!</definedName>
    <definedName name="sd" localSheetId="16">#REF!</definedName>
    <definedName name="sd" localSheetId="42">#REF!</definedName>
    <definedName name="sd" localSheetId="38">#REF!</definedName>
    <definedName name="sd" localSheetId="29">#REF!</definedName>
    <definedName name="sd" localSheetId="31">#REF!</definedName>
    <definedName name="sd" localSheetId="32">#REF!</definedName>
    <definedName name="sd" localSheetId="33">#REF!</definedName>
    <definedName name="sd" localSheetId="22">#REF!</definedName>
    <definedName name="sd" localSheetId="25">#REF!</definedName>
    <definedName name="sd" localSheetId="26">#REF!</definedName>
    <definedName name="sd" localSheetId="27">#REF!</definedName>
    <definedName name="sd" localSheetId="28">#REF!</definedName>
    <definedName name="sd" localSheetId="34">#REF!</definedName>
    <definedName name="sd" localSheetId="23">#REF!</definedName>
    <definedName name="sd" localSheetId="24">#REF!</definedName>
    <definedName name="sd">#REF!</definedName>
    <definedName name="Voka" localSheetId="6">#REF!</definedName>
    <definedName name="Voka" localSheetId="7">#REF!</definedName>
    <definedName name="Voka" localSheetId="9">#REF!</definedName>
    <definedName name="Voka" localSheetId="10">#REF!</definedName>
    <definedName name="Voka" localSheetId="39">#REF!</definedName>
    <definedName name="Voka" localSheetId="40">#REF!</definedName>
    <definedName name="Voka" localSheetId="30">#REF!</definedName>
    <definedName name="Voka" localSheetId="8">#REF!</definedName>
    <definedName name="Voka" localSheetId="11">#REF!</definedName>
    <definedName name="Voka" localSheetId="12">#REF!</definedName>
    <definedName name="Voka" localSheetId="42">#REF!</definedName>
    <definedName name="Voka" localSheetId="38">#REF!</definedName>
    <definedName name="Voka" localSheetId="29">#REF!</definedName>
    <definedName name="Voka" localSheetId="31">#REF!</definedName>
    <definedName name="Voka" localSheetId="32">#REF!</definedName>
    <definedName name="Voka" localSheetId="33">#REF!</definedName>
    <definedName name="Voka" localSheetId="26">#REF!</definedName>
    <definedName name="Voka" localSheetId="27">#REF!</definedName>
    <definedName name="Voka" localSheetId="28">#REF!</definedName>
    <definedName name="Voka" localSheetId="34">#REF!</definedName>
    <definedName name="Voka" localSheetId="23">#REF!</definedName>
    <definedName name="Voka" localSheetId="24">#REF!</definedName>
    <definedName name="Voka">#REF!</definedName>
  </definedNames>
  <calcPr calcId="145621"/>
</workbook>
</file>

<file path=xl/calcChain.xml><?xml version="1.0" encoding="utf-8"?>
<calcChain xmlns="http://schemas.openxmlformats.org/spreadsheetml/2006/main">
  <c r="M56" i="1" l="1"/>
  <c r="K56" i="1"/>
  <c r="N99" i="1" l="1"/>
  <c r="U22" i="60" l="1"/>
  <c r="S22" i="60"/>
  <c r="Q22" i="60"/>
  <c r="O22" i="60"/>
  <c r="S21" i="60"/>
  <c r="O28" i="58"/>
  <c r="M117" i="1" l="1"/>
  <c r="K117" i="1"/>
  <c r="C117" i="1"/>
  <c r="K106" i="1"/>
  <c r="M100" i="1"/>
  <c r="K100" i="1"/>
  <c r="K92" i="1"/>
  <c r="K86" i="1"/>
  <c r="K77" i="1"/>
  <c r="K68" i="1"/>
  <c r="K65" i="1"/>
  <c r="K61" i="1"/>
  <c r="K55" i="1"/>
  <c r="K52" i="1"/>
  <c r="K45" i="1"/>
  <c r="K42" i="1"/>
  <c r="K38" i="1"/>
  <c r="K35" i="1"/>
  <c r="K33" i="1"/>
  <c r="K27" i="1"/>
  <c r="K23" i="1"/>
  <c r="K14" i="1"/>
  <c r="K11" i="1"/>
  <c r="K7" i="1"/>
  <c r="F44" i="3"/>
  <c r="F41" i="3"/>
  <c r="F40" i="3"/>
  <c r="F37" i="3"/>
  <c r="F35" i="3"/>
  <c r="F32" i="3"/>
  <c r="F29" i="3"/>
  <c r="F28" i="3"/>
  <c r="F26" i="3"/>
  <c r="F24" i="3"/>
  <c r="F22" i="3"/>
  <c r="F19" i="3"/>
  <c r="F18" i="3"/>
  <c r="F17" i="3"/>
  <c r="F16" i="3"/>
  <c r="F14" i="3"/>
  <c r="F12" i="3"/>
  <c r="F10" i="3"/>
  <c r="F8" i="3"/>
  <c r="F7" i="3"/>
  <c r="F5" i="3"/>
  <c r="I48" i="3" l="1"/>
  <c r="F46" i="3"/>
  <c r="F42" i="3"/>
  <c r="N121" i="1"/>
  <c r="C119" i="1"/>
  <c r="M109" i="1"/>
  <c r="K103" i="1"/>
  <c r="M97" i="1"/>
  <c r="M81" i="1"/>
  <c r="K81" i="1"/>
  <c r="M74" i="1"/>
  <c r="K74" i="1"/>
  <c r="K71" i="1"/>
  <c r="M65" i="1"/>
  <c r="M58" i="1"/>
  <c r="K58" i="1"/>
  <c r="M33" i="1"/>
  <c r="M20" i="1"/>
  <c r="K20" i="1"/>
  <c r="M7" i="1"/>
  <c r="F15" i="3"/>
  <c r="F13" i="3"/>
  <c r="F43" i="3"/>
  <c r="F38" i="3"/>
  <c r="F33" i="3"/>
  <c r="F31" i="3"/>
  <c r="F30" i="3"/>
  <c r="F25" i="3"/>
  <c r="F23" i="3"/>
  <c r="F21" i="3"/>
  <c r="F9" i="3"/>
  <c r="M106" i="1"/>
  <c r="M103" i="1"/>
  <c r="M92" i="1"/>
  <c r="M77" i="1"/>
  <c r="M68" i="1"/>
  <c r="M55" i="1"/>
  <c r="M49" i="1"/>
  <c r="K49" i="1"/>
  <c r="M38" i="1"/>
  <c r="M27" i="1"/>
  <c r="M17" i="1"/>
  <c r="K104" i="1" l="1"/>
  <c r="K98" i="1"/>
  <c r="K90" i="1"/>
  <c r="K84" i="1"/>
  <c r="K66" i="1"/>
  <c r="K63" i="1"/>
  <c r="K59" i="1"/>
  <c r="K53" i="1"/>
  <c r="K43" i="1"/>
  <c r="K31" i="1"/>
  <c r="K25" i="1"/>
  <c r="K12" i="1"/>
  <c r="K9" i="1"/>
  <c r="K5" i="1"/>
  <c r="E3" i="91" l="1"/>
  <c r="D3" i="91"/>
  <c r="E4" i="91"/>
  <c r="D4" i="91"/>
  <c r="H1" i="91"/>
  <c r="F1" i="91"/>
  <c r="C19" i="91"/>
  <c r="A19" i="91" s="1"/>
  <c r="F19" i="91" s="1"/>
  <c r="C18" i="91"/>
  <c r="A18" i="91"/>
  <c r="F18" i="91" s="1"/>
  <c r="C17" i="91"/>
  <c r="A17" i="91" s="1"/>
  <c r="F17" i="91" s="1"/>
  <c r="C16" i="91"/>
  <c r="A16" i="91" s="1"/>
  <c r="F16" i="91" s="1"/>
  <c r="C15" i="91"/>
  <c r="A15" i="91" s="1"/>
  <c r="F15" i="91" s="1"/>
  <c r="C14" i="91"/>
  <c r="A14" i="91"/>
  <c r="F14" i="91" s="1"/>
  <c r="C13" i="91"/>
  <c r="A13" i="91" s="1"/>
  <c r="F13" i="91" s="1"/>
  <c r="C12" i="91"/>
  <c r="A12" i="91" s="1"/>
  <c r="F12" i="91" s="1"/>
  <c r="C11" i="91"/>
  <c r="A11" i="91" s="1"/>
  <c r="F11" i="91" s="1"/>
  <c r="C10" i="91"/>
  <c r="A10" i="91"/>
  <c r="F10" i="91" s="1"/>
  <c r="C9" i="91"/>
  <c r="C8" i="91"/>
  <c r="C7" i="91"/>
  <c r="C6" i="91"/>
  <c r="E41" i="3"/>
  <c r="E46" i="3"/>
  <c r="A4" i="90"/>
  <c r="A3" i="90"/>
  <c r="A2" i="90"/>
  <c r="A1" i="90"/>
  <c r="H1" i="90"/>
  <c r="F1" i="90"/>
  <c r="A1" i="84"/>
  <c r="A4" i="84"/>
  <c r="A3" i="84"/>
  <c r="A2" i="84"/>
  <c r="A6" i="91" l="1"/>
  <c r="A8" i="91"/>
  <c r="A7" i="91"/>
  <c r="A9" i="91"/>
  <c r="M107" i="1" l="1"/>
  <c r="M98" i="1"/>
  <c r="B125" i="89" l="1"/>
  <c r="B123" i="89"/>
  <c r="B121" i="89"/>
  <c r="B119" i="89"/>
  <c r="B108" i="89"/>
  <c r="B106" i="89"/>
  <c r="B104" i="89"/>
  <c r="B102" i="89"/>
  <c r="Y32" i="89"/>
  <c r="Z32" i="89" s="1"/>
  <c r="W32" i="89"/>
  <c r="X32" i="89" s="1"/>
  <c r="U32" i="89"/>
  <c r="V32" i="89" s="1"/>
  <c r="S32" i="89"/>
  <c r="T32" i="89" s="1"/>
  <c r="H32" i="89"/>
  <c r="J32" i="89" s="1"/>
  <c r="Z31" i="89"/>
  <c r="Y31" i="89"/>
  <c r="W31" i="89"/>
  <c r="X31" i="89" s="1"/>
  <c r="U31" i="89"/>
  <c r="V31" i="89" s="1"/>
  <c r="S31" i="89"/>
  <c r="T31" i="89" s="1"/>
  <c r="H31" i="89"/>
  <c r="J31" i="89" s="1"/>
  <c r="Y30" i="89"/>
  <c r="Z30" i="89" s="1"/>
  <c r="W30" i="89"/>
  <c r="X30" i="89" s="1"/>
  <c r="U30" i="89"/>
  <c r="V30" i="89" s="1"/>
  <c r="S30" i="89"/>
  <c r="T30" i="89" s="1"/>
  <c r="H30" i="89"/>
  <c r="J30" i="89" s="1"/>
  <c r="Y29" i="89"/>
  <c r="Z29" i="89" s="1"/>
  <c r="W29" i="89"/>
  <c r="X29" i="89" s="1"/>
  <c r="U29" i="89"/>
  <c r="V29" i="89" s="1"/>
  <c r="S29" i="89"/>
  <c r="T29" i="89" s="1"/>
  <c r="H29" i="89"/>
  <c r="J29" i="89" s="1"/>
  <c r="Y28" i="89"/>
  <c r="Z28" i="89" s="1"/>
  <c r="W28" i="89"/>
  <c r="X28" i="89" s="1"/>
  <c r="U28" i="89"/>
  <c r="V28" i="89" s="1"/>
  <c r="S28" i="89"/>
  <c r="T28" i="89" s="1"/>
  <c r="H28" i="89"/>
  <c r="J28" i="89" s="1"/>
  <c r="M27" i="89"/>
  <c r="Y25" i="89"/>
  <c r="Z25" i="89" s="1"/>
  <c r="W25" i="89"/>
  <c r="X25" i="89" s="1"/>
  <c r="U25" i="89"/>
  <c r="V25" i="89" s="1"/>
  <c r="S25" i="89"/>
  <c r="T25" i="89" s="1"/>
  <c r="H25" i="89"/>
  <c r="J25" i="89" s="1"/>
  <c r="Y24" i="89"/>
  <c r="Z24" i="89" s="1"/>
  <c r="W24" i="89"/>
  <c r="X24" i="89" s="1"/>
  <c r="U24" i="89"/>
  <c r="V24" i="89" s="1"/>
  <c r="S24" i="89"/>
  <c r="T24" i="89" s="1"/>
  <c r="H24" i="89"/>
  <c r="J24" i="89" s="1"/>
  <c r="Y23" i="89"/>
  <c r="Z23" i="89" s="1"/>
  <c r="W23" i="89"/>
  <c r="X23" i="89" s="1"/>
  <c r="U23" i="89"/>
  <c r="V23" i="89" s="1"/>
  <c r="S23" i="89"/>
  <c r="T23" i="89" s="1"/>
  <c r="H23" i="89"/>
  <c r="J23" i="89" s="1"/>
  <c r="Y22" i="89"/>
  <c r="Z22" i="89" s="1"/>
  <c r="W22" i="89"/>
  <c r="X22" i="89" s="1"/>
  <c r="U22" i="89"/>
  <c r="V22" i="89" s="1"/>
  <c r="S22" i="89"/>
  <c r="T22" i="89" s="1"/>
  <c r="H22" i="89"/>
  <c r="J22" i="89" s="1"/>
  <c r="Y21" i="89"/>
  <c r="Z21" i="89" s="1"/>
  <c r="W21" i="89"/>
  <c r="X21" i="89" s="1"/>
  <c r="U21" i="89"/>
  <c r="V21" i="89" s="1"/>
  <c r="S21" i="89"/>
  <c r="T21" i="89" s="1"/>
  <c r="H21" i="89"/>
  <c r="J21" i="89" s="1"/>
  <c r="M20" i="89"/>
  <c r="Y18" i="89"/>
  <c r="Z18" i="89" s="1"/>
  <c r="W18" i="89"/>
  <c r="X18" i="89" s="1"/>
  <c r="U18" i="89"/>
  <c r="V18" i="89" s="1"/>
  <c r="S18" i="89"/>
  <c r="T18" i="89" s="1"/>
  <c r="H18" i="89"/>
  <c r="J18" i="89" s="1"/>
  <c r="Y17" i="89"/>
  <c r="W17" i="89"/>
  <c r="U17" i="89"/>
  <c r="V17" i="89" s="1"/>
  <c r="S17" i="89"/>
  <c r="H17" i="89"/>
  <c r="J17" i="89" s="1"/>
  <c r="Y16" i="89"/>
  <c r="W16" i="89"/>
  <c r="U16" i="89"/>
  <c r="V16" i="89" s="1"/>
  <c r="S16" i="89"/>
  <c r="H16" i="89"/>
  <c r="J16" i="89" s="1"/>
  <c r="Y15" i="89"/>
  <c r="W15" i="89"/>
  <c r="U15" i="89"/>
  <c r="V15" i="89" s="1"/>
  <c r="S15" i="89"/>
  <c r="H15" i="89"/>
  <c r="J15" i="89" s="1"/>
  <c r="Y14" i="89"/>
  <c r="W14" i="89"/>
  <c r="U14" i="89"/>
  <c r="V14" i="89" s="1"/>
  <c r="S14" i="89"/>
  <c r="H14" i="89"/>
  <c r="J14" i="89" s="1"/>
  <c r="M13" i="89"/>
  <c r="I18" i="89" s="1"/>
  <c r="Y11" i="89"/>
  <c r="Z11" i="89" s="1"/>
  <c r="W11" i="89"/>
  <c r="X11" i="89" s="1"/>
  <c r="U11" i="89"/>
  <c r="V11" i="89" s="1"/>
  <c r="S11" i="89"/>
  <c r="T11" i="89" s="1"/>
  <c r="H11" i="89"/>
  <c r="J11" i="89" s="1"/>
  <c r="Y10" i="89"/>
  <c r="W10" i="89"/>
  <c r="U10" i="89"/>
  <c r="V10" i="89" s="1"/>
  <c r="S10" i="89"/>
  <c r="H10" i="89"/>
  <c r="J10" i="89" s="1"/>
  <c r="Y9" i="89"/>
  <c r="W9" i="89"/>
  <c r="U9" i="89"/>
  <c r="V9" i="89" s="1"/>
  <c r="S9" i="89"/>
  <c r="H9" i="89"/>
  <c r="J9" i="89" s="1"/>
  <c r="Y8" i="89"/>
  <c r="W8" i="89"/>
  <c r="U8" i="89"/>
  <c r="V8" i="89" s="1"/>
  <c r="S8" i="89"/>
  <c r="H8" i="89"/>
  <c r="J8" i="89" s="1"/>
  <c r="Y7" i="89"/>
  <c r="Z7" i="89" s="1"/>
  <c r="W7" i="89"/>
  <c r="U7" i="89"/>
  <c r="V7" i="89" s="1"/>
  <c r="S7" i="89"/>
  <c r="H7" i="89"/>
  <c r="J7" i="89" s="1"/>
  <c r="M6" i="89"/>
  <c r="I11" i="89" s="1"/>
  <c r="A4" i="89"/>
  <c r="A3" i="89"/>
  <c r="A2" i="89"/>
  <c r="A1" i="89"/>
  <c r="F1" i="89"/>
  <c r="D1" i="89"/>
  <c r="T9" i="33"/>
  <c r="T7" i="33"/>
  <c r="T11" i="33"/>
  <c r="T13" i="33"/>
  <c r="T8" i="33"/>
  <c r="T15" i="33"/>
  <c r="T10" i="33"/>
  <c r="T17" i="33"/>
  <c r="T18" i="33"/>
  <c r="T19" i="33"/>
  <c r="T14" i="33"/>
  <c r="T21" i="33"/>
  <c r="T22" i="33"/>
  <c r="T16" i="33"/>
  <c r="T23" i="33"/>
  <c r="T24" i="33"/>
  <c r="T20" i="33"/>
  <c r="T25" i="33"/>
  <c r="T26" i="33"/>
  <c r="T27" i="33"/>
  <c r="T28" i="33"/>
  <c r="T29" i="33"/>
  <c r="T30" i="33"/>
  <c r="T31" i="33"/>
  <c r="T32" i="33"/>
  <c r="T33" i="33"/>
  <c r="T34" i="33"/>
  <c r="T12" i="33"/>
  <c r="E44" i="3"/>
  <c r="E43" i="3"/>
  <c r="A1" i="87" s="1"/>
  <c r="E45" i="3"/>
  <c r="A1" i="88" s="1"/>
  <c r="A4" i="88"/>
  <c r="A3" i="88"/>
  <c r="A2" i="88"/>
  <c r="G14" i="88"/>
  <c r="G9" i="88"/>
  <c r="I1" i="88"/>
  <c r="G1" i="88"/>
  <c r="S9" i="33"/>
  <c r="S7" i="33"/>
  <c r="S11" i="33"/>
  <c r="S13" i="33"/>
  <c r="S8" i="33"/>
  <c r="S15" i="33"/>
  <c r="S10" i="33"/>
  <c r="S17" i="33"/>
  <c r="S18" i="33"/>
  <c r="S19" i="33"/>
  <c r="S14" i="33"/>
  <c r="S21" i="33"/>
  <c r="S22" i="33"/>
  <c r="S16" i="33"/>
  <c r="S23" i="33"/>
  <c r="S24" i="33"/>
  <c r="S20" i="33"/>
  <c r="S25" i="33"/>
  <c r="S26" i="33"/>
  <c r="S27" i="33"/>
  <c r="S28" i="33"/>
  <c r="S29" i="33"/>
  <c r="S30" i="33"/>
  <c r="S31" i="33"/>
  <c r="S32" i="33"/>
  <c r="S33" i="33"/>
  <c r="S34" i="33"/>
  <c r="S12" i="33"/>
  <c r="B301" i="87"/>
  <c r="B302" i="87"/>
  <c r="B303" i="87"/>
  <c r="B304" i="87"/>
  <c r="B300" i="87"/>
  <c r="A4" i="87"/>
  <c r="A3" i="87"/>
  <c r="A2" i="87"/>
  <c r="N6" i="87"/>
  <c r="H5" i="87"/>
  <c r="F1" i="87"/>
  <c r="D1" i="87"/>
  <c r="R31" i="89" l="1"/>
  <c r="R32" i="89"/>
  <c r="R11" i="89"/>
  <c r="R22" i="89"/>
  <c r="R29" i="89"/>
  <c r="R21" i="89"/>
  <c r="R25" i="89"/>
  <c r="R28" i="89"/>
  <c r="R24" i="89"/>
  <c r="K7" i="89"/>
  <c r="M7" i="89" s="1"/>
  <c r="L7" i="89"/>
  <c r="K9" i="89"/>
  <c r="M9" i="89" s="1"/>
  <c r="L9" i="89"/>
  <c r="K14" i="89"/>
  <c r="M14" i="89" s="1"/>
  <c r="K22" i="89"/>
  <c r="L22" i="89"/>
  <c r="L8" i="89"/>
  <c r="K8" i="89"/>
  <c r="M8" i="89" s="1"/>
  <c r="L10" i="89"/>
  <c r="K10" i="89"/>
  <c r="M10" i="89" s="1"/>
  <c r="K11" i="89"/>
  <c r="K15" i="89"/>
  <c r="K17" i="89"/>
  <c r="L21" i="89"/>
  <c r="K21" i="89"/>
  <c r="L23" i="89"/>
  <c r="K23" i="89"/>
  <c r="K29" i="89"/>
  <c r="M29" i="89" s="1"/>
  <c r="L29" i="89"/>
  <c r="L30" i="89"/>
  <c r="K30" i="89"/>
  <c r="L11" i="89"/>
  <c r="L15" i="89"/>
  <c r="L16" i="89"/>
  <c r="K16" i="89"/>
  <c r="L17" i="89"/>
  <c r="L18" i="89"/>
  <c r="K18" i="89"/>
  <c r="M18" i="89" s="1"/>
  <c r="R18" i="89"/>
  <c r="I25" i="89"/>
  <c r="M21" i="89"/>
  <c r="R23" i="89"/>
  <c r="K24" i="89"/>
  <c r="L24" i="89"/>
  <c r="L25" i="89"/>
  <c r="K25" i="89"/>
  <c r="L28" i="89"/>
  <c r="K28" i="89"/>
  <c r="M28" i="89" s="1"/>
  <c r="R30" i="89"/>
  <c r="K31" i="89"/>
  <c r="M31" i="89" s="1"/>
  <c r="I31" i="89" s="1"/>
  <c r="L31" i="89"/>
  <c r="L32" i="89"/>
  <c r="K32" i="89"/>
  <c r="I32" i="89"/>
  <c r="G13" i="88"/>
  <c r="G7" i="88"/>
  <c r="G16" i="88"/>
  <c r="G10" i="88"/>
  <c r="G8" i="88"/>
  <c r="G15" i="88"/>
  <c r="AM6" i="44"/>
  <c r="M24" i="89" l="1"/>
  <c r="I24" i="89" s="1"/>
  <c r="M30" i="89"/>
  <c r="M23" i="89"/>
  <c r="M15" i="89"/>
  <c r="M32" i="89"/>
  <c r="M22" i="89"/>
  <c r="M25" i="89"/>
  <c r="M16" i="89"/>
  <c r="I14" i="89" s="1"/>
  <c r="M17" i="89"/>
  <c r="M11" i="89"/>
  <c r="I10" i="89" s="1"/>
  <c r="I30" i="89"/>
  <c r="I28" i="89"/>
  <c r="I29" i="89"/>
  <c r="I17" i="89"/>
  <c r="I23" i="89"/>
  <c r="I8" i="89"/>
  <c r="I22" i="89"/>
  <c r="I21" i="89"/>
  <c r="I9" i="89"/>
  <c r="I16" i="89"/>
  <c r="B20" i="88"/>
  <c r="C28" i="88" s="1"/>
  <c r="F29" i="88" s="1"/>
  <c r="B41" i="88"/>
  <c r="C47" i="88" s="1"/>
  <c r="F49" i="88" s="1"/>
  <c r="B37" i="88"/>
  <c r="C38" i="88" s="1"/>
  <c r="F43" i="88" s="1"/>
  <c r="B24" i="88"/>
  <c r="C25" i="88" s="1"/>
  <c r="F26" i="88" s="1"/>
  <c r="B39" i="88"/>
  <c r="C45" i="88" s="1"/>
  <c r="F46" i="88" s="1"/>
  <c r="B26" i="88"/>
  <c r="C30" i="88" s="1"/>
  <c r="F32" i="88" s="1"/>
  <c r="B22" i="88"/>
  <c r="C21" i="88" s="1"/>
  <c r="F23" i="88" s="1"/>
  <c r="B300" i="88" s="1"/>
  <c r="B43" i="88"/>
  <c r="C42" i="88" s="1"/>
  <c r="F40" i="88" s="1"/>
  <c r="B303" i="88"/>
  <c r="B301" i="88"/>
  <c r="B304" i="88"/>
  <c r="B302" i="88"/>
  <c r="L8" i="44"/>
  <c r="L9" i="44"/>
  <c r="L10" i="44"/>
  <c r="L11" i="44"/>
  <c r="L12" i="44"/>
  <c r="L13" i="44"/>
  <c r="L14" i="44"/>
  <c r="L15" i="44"/>
  <c r="L16" i="44"/>
  <c r="L17" i="44"/>
  <c r="L18" i="44"/>
  <c r="L19" i="44"/>
  <c r="L20" i="44"/>
  <c r="L21" i="44"/>
  <c r="L22" i="44"/>
  <c r="L23" i="44"/>
  <c r="L24" i="44"/>
  <c r="L25" i="44"/>
  <c r="L26" i="44"/>
  <c r="L27" i="44"/>
  <c r="L28" i="44"/>
  <c r="L29" i="44"/>
  <c r="L30" i="44"/>
  <c r="L31" i="44"/>
  <c r="L32" i="44"/>
  <c r="L33" i="44"/>
  <c r="L34" i="44"/>
  <c r="L35" i="44"/>
  <c r="L36" i="44"/>
  <c r="L37" i="44"/>
  <c r="L38" i="44"/>
  <c r="L39" i="44"/>
  <c r="L40" i="44"/>
  <c r="L41" i="44"/>
  <c r="L42" i="44"/>
  <c r="L43" i="44"/>
  <c r="L44" i="44"/>
  <c r="L45" i="44"/>
  <c r="L46" i="44"/>
  <c r="L47" i="44"/>
  <c r="L48" i="44"/>
  <c r="L49" i="44"/>
  <c r="L50" i="44"/>
  <c r="L51" i="44"/>
  <c r="L52" i="44"/>
  <c r="L53" i="44"/>
  <c r="L54" i="44"/>
  <c r="L55" i="44"/>
  <c r="L56" i="44"/>
  <c r="L57" i="44"/>
  <c r="L58" i="44"/>
  <c r="L59" i="44"/>
  <c r="L60" i="44"/>
  <c r="L61" i="44"/>
  <c r="L62" i="44"/>
  <c r="L7" i="44"/>
  <c r="I15" i="89" l="1"/>
  <c r="I7" i="89"/>
  <c r="C129" i="89"/>
  <c r="F128" i="89" s="1"/>
  <c r="C120" i="89"/>
  <c r="C112" i="89"/>
  <c r="C110" i="89"/>
  <c r="F114" i="89" s="1"/>
  <c r="C124" i="89"/>
  <c r="F122" i="89" s="1"/>
  <c r="C127" i="89"/>
  <c r="F131" i="89" s="1"/>
  <c r="C107" i="89"/>
  <c r="F105" i="89" s="1"/>
  <c r="B300" i="89" s="1"/>
  <c r="C103" i="89"/>
  <c r="F108" i="89" s="1"/>
  <c r="B307" i="88"/>
  <c r="B306" i="88"/>
  <c r="B305" i="88"/>
  <c r="M25" i="1"/>
  <c r="M75" i="1"/>
  <c r="E33" i="3"/>
  <c r="E13" i="3"/>
  <c r="E42" i="3"/>
  <c r="AM20" i="44" l="1"/>
  <c r="AM45" i="44"/>
  <c r="AM13" i="44"/>
  <c r="F125" i="89"/>
  <c r="F111" i="89"/>
  <c r="B307" i="89" s="1"/>
  <c r="B303" i="89"/>
  <c r="B302" i="89"/>
  <c r="B301" i="89"/>
  <c r="AM8" i="44" s="1"/>
  <c r="AM21" i="44" l="1"/>
  <c r="AM7" i="44"/>
  <c r="AM25" i="44"/>
  <c r="AM17" i="44"/>
  <c r="B304" i="89"/>
  <c r="AM41" i="44" s="1"/>
  <c r="B305" i="89"/>
  <c r="AM47" i="44" s="1"/>
  <c r="B306" i="89"/>
  <c r="AM57" i="44"/>
  <c r="AM39" i="44"/>
  <c r="AM31" i="44"/>
  <c r="AM23" i="44"/>
  <c r="AM15" i="44"/>
  <c r="AM11" i="44"/>
  <c r="AM61" i="44"/>
  <c r="AM49" i="44"/>
  <c r="AM60" i="44"/>
  <c r="AM52" i="44"/>
  <c r="AM48" i="44"/>
  <c r="AM44" i="44"/>
  <c r="AM40" i="44"/>
  <c r="AM36" i="44"/>
  <c r="AM32" i="44"/>
  <c r="AM28" i="44"/>
  <c r="AM24" i="44"/>
  <c r="AM16" i="44"/>
  <c r="AM12" i="44"/>
  <c r="AM59" i="44" l="1"/>
  <c r="AM37" i="44"/>
  <c r="AM14" i="44"/>
  <c r="AM22" i="44"/>
  <c r="AM30" i="44"/>
  <c r="AM38" i="44"/>
  <c r="AM46" i="44"/>
  <c r="AM54" i="44"/>
  <c r="AM62" i="44"/>
  <c r="AM9" i="44"/>
  <c r="AM33" i="44"/>
  <c r="AM56" i="44"/>
  <c r="AM43" i="44"/>
  <c r="AM55" i="44"/>
  <c r="AM19" i="44"/>
  <c r="AM27" i="44"/>
  <c r="AM35" i="44"/>
  <c r="AM29" i="44"/>
  <c r="AM53" i="44"/>
  <c r="AM10" i="44"/>
  <c r="AM18" i="44"/>
  <c r="AM26" i="44"/>
  <c r="AM34" i="44"/>
  <c r="AM42" i="44"/>
  <c r="AM50" i="44"/>
  <c r="AM58" i="44"/>
  <c r="AM51" i="44"/>
  <c r="M101" i="1"/>
  <c r="AM63" i="44" l="1"/>
  <c r="AM64" i="44" s="1"/>
  <c r="N118" i="1"/>
  <c r="A4" i="86" l="1"/>
  <c r="A3" i="86"/>
  <c r="A2" i="86"/>
  <c r="A1" i="86"/>
  <c r="H1" i="86"/>
  <c r="E1" i="86"/>
  <c r="C42" i="3" l="1"/>
  <c r="L117" i="1" l="1"/>
  <c r="P2" i="44" l="1"/>
  <c r="C118" i="1" l="1"/>
  <c r="H1" i="84" l="1"/>
  <c r="F1" i="84"/>
  <c r="S59" i="44" l="1"/>
  <c r="W59" i="44"/>
  <c r="Y59" i="44"/>
  <c r="AB59" i="44"/>
  <c r="AG59" i="44"/>
  <c r="C167" i="83" l="1"/>
  <c r="A4" i="83"/>
  <c r="A3" i="83"/>
  <c r="A2" i="83"/>
  <c r="A1" i="83"/>
  <c r="C300" i="83"/>
  <c r="C301" i="83" s="1"/>
  <c r="C302" i="83" s="1"/>
  <c r="C303" i="83" s="1"/>
  <c r="C304" i="83" s="1"/>
  <c r="C305" i="83" s="1"/>
  <c r="C306" i="83" s="1"/>
  <c r="C307" i="83" s="1"/>
  <c r="C308" i="83" s="1"/>
  <c r="C309" i="83" s="1"/>
  <c r="C310" i="83" s="1"/>
  <c r="C311" i="83" s="1"/>
  <c r="C312" i="83" s="1"/>
  <c r="C313" i="83" s="1"/>
  <c r="C314" i="83" s="1"/>
  <c r="Y32" i="83"/>
  <c r="Z32" i="83" s="1"/>
  <c r="W32" i="83"/>
  <c r="X32" i="83" s="1"/>
  <c r="U32" i="83"/>
  <c r="V32" i="83" s="1"/>
  <c r="S32" i="83"/>
  <c r="T32" i="83" s="1"/>
  <c r="H32" i="83"/>
  <c r="J32" i="83" s="1"/>
  <c r="Y31" i="83"/>
  <c r="Z31" i="83" s="1"/>
  <c r="W31" i="83"/>
  <c r="X31" i="83" s="1"/>
  <c r="U31" i="83"/>
  <c r="S31" i="83"/>
  <c r="H31" i="83"/>
  <c r="J31" i="83" s="1"/>
  <c r="Y30" i="83"/>
  <c r="Z30" i="83" s="1"/>
  <c r="W30" i="83"/>
  <c r="X30" i="83" s="1"/>
  <c r="U30" i="83"/>
  <c r="S30" i="83"/>
  <c r="H30" i="83"/>
  <c r="J30" i="83" s="1"/>
  <c r="Y29" i="83"/>
  <c r="Z29" i="83" s="1"/>
  <c r="W29" i="83"/>
  <c r="X29" i="83" s="1"/>
  <c r="U29" i="83"/>
  <c r="S29" i="83"/>
  <c r="H29" i="83"/>
  <c r="J29" i="83" s="1"/>
  <c r="Y28" i="83"/>
  <c r="Z28" i="83" s="1"/>
  <c r="W28" i="83"/>
  <c r="X28" i="83" s="1"/>
  <c r="U28" i="83"/>
  <c r="S28" i="83"/>
  <c r="H28" i="83"/>
  <c r="J28" i="83" s="1"/>
  <c r="M27" i="83"/>
  <c r="Y25" i="83"/>
  <c r="Z25" i="83" s="1"/>
  <c r="W25" i="83"/>
  <c r="X25" i="83" s="1"/>
  <c r="U25" i="83"/>
  <c r="V25" i="83" s="1"/>
  <c r="S25" i="83"/>
  <c r="T25" i="83" s="1"/>
  <c r="H25" i="83"/>
  <c r="J25" i="83" s="1"/>
  <c r="Y24" i="83"/>
  <c r="Z24" i="83" s="1"/>
  <c r="W24" i="83"/>
  <c r="X24" i="83" s="1"/>
  <c r="U24" i="83"/>
  <c r="S24" i="83"/>
  <c r="H24" i="83"/>
  <c r="J24" i="83" s="1"/>
  <c r="Y23" i="83"/>
  <c r="Z23" i="83" s="1"/>
  <c r="W23" i="83"/>
  <c r="X23" i="83" s="1"/>
  <c r="U23" i="83"/>
  <c r="S23" i="83"/>
  <c r="H23" i="83"/>
  <c r="J23" i="83" s="1"/>
  <c r="Y22" i="83"/>
  <c r="Z22" i="83" s="1"/>
  <c r="W22" i="83"/>
  <c r="X22" i="83" s="1"/>
  <c r="U22" i="83"/>
  <c r="S22" i="83"/>
  <c r="H22" i="83"/>
  <c r="J22" i="83" s="1"/>
  <c r="Y21" i="83"/>
  <c r="Z21" i="83" s="1"/>
  <c r="W21" i="83"/>
  <c r="X21" i="83" s="1"/>
  <c r="U21" i="83"/>
  <c r="S21" i="83"/>
  <c r="H21" i="83"/>
  <c r="J21" i="83" s="1"/>
  <c r="M20" i="83"/>
  <c r="Y18" i="83"/>
  <c r="Z18" i="83" s="1"/>
  <c r="W18" i="83"/>
  <c r="X18" i="83" s="1"/>
  <c r="U18" i="83"/>
  <c r="V18" i="83" s="1"/>
  <c r="S18" i="83"/>
  <c r="T18" i="83" s="1"/>
  <c r="H18" i="83"/>
  <c r="J18" i="83" s="1"/>
  <c r="Y17" i="83"/>
  <c r="Z17" i="83" s="1"/>
  <c r="W17" i="83"/>
  <c r="X17" i="83" s="1"/>
  <c r="U17" i="83"/>
  <c r="S17" i="83"/>
  <c r="H17" i="83"/>
  <c r="J17" i="83" s="1"/>
  <c r="Y16" i="83"/>
  <c r="Z16" i="83" s="1"/>
  <c r="W16" i="83"/>
  <c r="X16" i="83" s="1"/>
  <c r="U16" i="83"/>
  <c r="S16" i="83"/>
  <c r="H16" i="83"/>
  <c r="J16" i="83" s="1"/>
  <c r="Y15" i="83"/>
  <c r="Z15" i="83" s="1"/>
  <c r="W15" i="83"/>
  <c r="X15" i="83" s="1"/>
  <c r="U15" i="83"/>
  <c r="S15" i="83"/>
  <c r="H15" i="83"/>
  <c r="J15" i="83" s="1"/>
  <c r="Y14" i="83"/>
  <c r="W14" i="83"/>
  <c r="U14" i="83"/>
  <c r="V14" i="83" s="1"/>
  <c r="S14" i="83"/>
  <c r="H14" i="83"/>
  <c r="J14" i="83" s="1"/>
  <c r="M13" i="83"/>
  <c r="I18" i="83" s="1"/>
  <c r="Y11" i="83"/>
  <c r="Z11" i="83" s="1"/>
  <c r="W11" i="83"/>
  <c r="X11" i="83" s="1"/>
  <c r="U11" i="83"/>
  <c r="V11" i="83" s="1"/>
  <c r="S11" i="83"/>
  <c r="T11" i="83" s="1"/>
  <c r="H11" i="83"/>
  <c r="J11" i="83" s="1"/>
  <c r="Y10" i="83"/>
  <c r="Z10" i="83" s="1"/>
  <c r="W10" i="83"/>
  <c r="X10" i="83" s="1"/>
  <c r="U10" i="83"/>
  <c r="V10" i="83" s="1"/>
  <c r="S10" i="83"/>
  <c r="T10" i="83" s="1"/>
  <c r="H10" i="83"/>
  <c r="J10" i="83" s="1"/>
  <c r="Y9" i="83"/>
  <c r="Z9" i="83" s="1"/>
  <c r="W9" i="83"/>
  <c r="X9" i="83" s="1"/>
  <c r="U9" i="83"/>
  <c r="S9" i="83"/>
  <c r="H9" i="83"/>
  <c r="J9" i="83" s="1"/>
  <c r="Y8" i="83"/>
  <c r="Z8" i="83" s="1"/>
  <c r="W8" i="83"/>
  <c r="X8" i="83" s="1"/>
  <c r="U8" i="83"/>
  <c r="S8" i="83"/>
  <c r="H8" i="83"/>
  <c r="J8" i="83" s="1"/>
  <c r="Y7" i="83"/>
  <c r="Z7" i="83" s="1"/>
  <c r="W7" i="83"/>
  <c r="X7" i="83" s="1"/>
  <c r="U7" i="83"/>
  <c r="S7" i="83"/>
  <c r="H7" i="83"/>
  <c r="J7" i="83" s="1"/>
  <c r="M6" i="83"/>
  <c r="I11" i="83" s="1"/>
  <c r="H1" i="83"/>
  <c r="F1" i="83"/>
  <c r="R25" i="83" l="1"/>
  <c r="R32" i="83"/>
  <c r="E167" i="83"/>
  <c r="R11" i="83"/>
  <c r="R10" i="83"/>
  <c r="R18" i="83"/>
  <c r="K7" i="83"/>
  <c r="L7" i="83"/>
  <c r="K9" i="83"/>
  <c r="L9" i="83"/>
  <c r="K11" i="83"/>
  <c r="L11" i="83"/>
  <c r="K14" i="83"/>
  <c r="M14" i="83" s="1"/>
  <c r="L17" i="83"/>
  <c r="K17" i="83"/>
  <c r="K18" i="83"/>
  <c r="L18" i="83"/>
  <c r="K21" i="83"/>
  <c r="L21" i="83"/>
  <c r="L23" i="83"/>
  <c r="L25" i="83"/>
  <c r="L8" i="83"/>
  <c r="K8" i="83"/>
  <c r="L10" i="83"/>
  <c r="K10" i="83"/>
  <c r="L15" i="83"/>
  <c r="K15" i="83"/>
  <c r="K16" i="83"/>
  <c r="L16" i="83"/>
  <c r="L22" i="83"/>
  <c r="K22" i="83"/>
  <c r="L24" i="83"/>
  <c r="K24" i="83"/>
  <c r="L30" i="83"/>
  <c r="K30" i="83"/>
  <c r="K31" i="83"/>
  <c r="L31" i="83"/>
  <c r="I25" i="83"/>
  <c r="K23" i="83"/>
  <c r="K25" i="83"/>
  <c r="M25" i="83" s="1"/>
  <c r="L28" i="83"/>
  <c r="K28" i="83"/>
  <c r="K29" i="83"/>
  <c r="L29" i="83"/>
  <c r="L32" i="83"/>
  <c r="K32" i="83"/>
  <c r="I32" i="83"/>
  <c r="M32" i="83" l="1"/>
  <c r="M28" i="83"/>
  <c r="M23" i="83"/>
  <c r="M11" i="83"/>
  <c r="M9" i="83"/>
  <c r="M7" i="83"/>
  <c r="M18" i="83"/>
  <c r="M15" i="83"/>
  <c r="M30" i="83"/>
  <c r="M10" i="83"/>
  <c r="I9" i="83" s="1"/>
  <c r="M8" i="83"/>
  <c r="I10" i="83"/>
  <c r="M29" i="83"/>
  <c r="M31" i="83"/>
  <c r="I28" i="83" s="1"/>
  <c r="M22" i="83"/>
  <c r="M16" i="83"/>
  <c r="M21" i="83"/>
  <c r="M17" i="83"/>
  <c r="I14" i="83"/>
  <c r="I7" i="83"/>
  <c r="M24" i="83"/>
  <c r="I24" i="83" s="1"/>
  <c r="I8" i="83"/>
  <c r="AM4" i="44"/>
  <c r="I31" i="83" l="1"/>
  <c r="I30" i="83"/>
  <c r="I15" i="83"/>
  <c r="I16" i="83"/>
  <c r="I17" i="83"/>
  <c r="I29" i="83"/>
  <c r="I21" i="83"/>
  <c r="I22" i="83"/>
  <c r="I23" i="83"/>
  <c r="B154" i="83"/>
  <c r="C153" i="83" s="1"/>
  <c r="E157" i="83" s="1"/>
  <c r="B114" i="83" l="1"/>
  <c r="C115" i="83" s="1"/>
  <c r="E113" i="83" s="1"/>
  <c r="B102" i="83"/>
  <c r="B106" i="83"/>
  <c r="C107" i="83" s="1"/>
  <c r="B110" i="83"/>
  <c r="C127" i="83" s="1"/>
  <c r="E133" i="83" s="1"/>
  <c r="B104" i="83"/>
  <c r="C103" i="83" s="1"/>
  <c r="B108" i="83"/>
  <c r="C125" i="83" s="1"/>
  <c r="E124" i="83" s="1"/>
  <c r="B116" i="83"/>
  <c r="C129" i="83" s="1"/>
  <c r="E128" i="83" s="1"/>
  <c r="B142" i="83"/>
  <c r="B112" i="83"/>
  <c r="C111" i="83" s="1"/>
  <c r="E119" i="83" s="1"/>
  <c r="B140" i="83"/>
  <c r="C141" i="83" s="1"/>
  <c r="B146" i="83"/>
  <c r="C163" i="83" s="1"/>
  <c r="B144" i="83"/>
  <c r="C145" i="83" s="1"/>
  <c r="B148" i="83"/>
  <c r="C149" i="83" s="1"/>
  <c r="E151" i="83" s="1"/>
  <c r="B150" i="83"/>
  <c r="C165" i="83" s="1"/>
  <c r="E165" i="83" s="1"/>
  <c r="E166" i="83" l="1"/>
  <c r="E171" i="83"/>
  <c r="C161" i="83"/>
  <c r="E162" i="83" s="1"/>
  <c r="C123" i="83"/>
  <c r="E131" i="83" s="1"/>
  <c r="E169" i="83" l="1"/>
  <c r="E143" i="83" l="1"/>
  <c r="E105" i="83"/>
  <c r="G169" i="83"/>
  <c r="G171" i="83"/>
  <c r="L108" i="1"/>
  <c r="L109" i="1"/>
  <c r="H147" i="83" l="1"/>
  <c r="E155" i="83"/>
  <c r="E117" i="83"/>
  <c r="H167" i="83"/>
  <c r="H164" i="83"/>
  <c r="H173" i="83"/>
  <c r="H170" i="83"/>
  <c r="H152" i="83"/>
  <c r="M114" i="1"/>
  <c r="K114" i="1"/>
  <c r="H159" i="83" l="1"/>
  <c r="H129" i="83"/>
  <c r="H126" i="83"/>
  <c r="H135" i="83"/>
  <c r="H132" i="83"/>
  <c r="H114" i="83"/>
  <c r="H109" i="83"/>
  <c r="H118" i="83"/>
  <c r="H121" i="83"/>
  <c r="G118" i="1"/>
  <c r="H156" i="83" l="1"/>
  <c r="B308" i="83"/>
  <c r="B309" i="83"/>
  <c r="B310" i="83"/>
  <c r="B311" i="83"/>
  <c r="B312" i="83"/>
  <c r="B313" i="83"/>
  <c r="B314" i="83"/>
  <c r="B306" i="83"/>
  <c r="B303" i="83"/>
  <c r="B304" i="83"/>
  <c r="B300" i="83"/>
  <c r="B305" i="83"/>
  <c r="B301" i="83"/>
  <c r="B302" i="83"/>
  <c r="B307" i="83"/>
  <c r="I42" i="3"/>
  <c r="AI13" i="44" l="1"/>
  <c r="AI9" i="44"/>
  <c r="AI15" i="44"/>
  <c r="AI16" i="44"/>
  <c r="AI22" i="44"/>
  <c r="AI24" i="44"/>
  <c r="AI20" i="44"/>
  <c r="AI21" i="44"/>
  <c r="AI26" i="44"/>
  <c r="AI23" i="44"/>
  <c r="AI31" i="44"/>
  <c r="AI30" i="44"/>
  <c r="AI32" i="44"/>
  <c r="AI37" i="44"/>
  <c r="AI36" i="44"/>
  <c r="AI40" i="44"/>
  <c r="AI42" i="44"/>
  <c r="AI43" i="44"/>
  <c r="AI46" i="44"/>
  <c r="AI48" i="44"/>
  <c r="AI51" i="44"/>
  <c r="AI53" i="44"/>
  <c r="AI45" i="44"/>
  <c r="AI56" i="44"/>
  <c r="AI60" i="44"/>
  <c r="AI62" i="44"/>
  <c r="AI49" i="44"/>
  <c r="AI7" i="44"/>
  <c r="AI8" i="44"/>
  <c r="AI10" i="44"/>
  <c r="AI11" i="44"/>
  <c r="AI14" i="44"/>
  <c r="AI12" i="44"/>
  <c r="AI17" i="44"/>
  <c r="AI18" i="44"/>
  <c r="AI19" i="44"/>
  <c r="AI29" i="44"/>
  <c r="AI27" i="44"/>
  <c r="AI25" i="44"/>
  <c r="AI28" i="44"/>
  <c r="AI33" i="44"/>
  <c r="AI34" i="44"/>
  <c r="AI38" i="44"/>
  <c r="AI35" i="44"/>
  <c r="AI41" i="44"/>
  <c r="AI44" i="44"/>
  <c r="AI39" i="44"/>
  <c r="AI47" i="44"/>
  <c r="AI50" i="44"/>
  <c r="AI52" i="44"/>
  <c r="AI54" i="44"/>
  <c r="AI55" i="44"/>
  <c r="AI58" i="44"/>
  <c r="AI61" i="44"/>
  <c r="AI57" i="44"/>
  <c r="AI59" i="44"/>
  <c r="K32" i="33"/>
  <c r="N32" i="33"/>
  <c r="O32" i="33"/>
  <c r="P32" i="33"/>
  <c r="Q32" i="33"/>
  <c r="K33" i="33"/>
  <c r="N33" i="33"/>
  <c r="O33" i="33"/>
  <c r="P33" i="33"/>
  <c r="Q33" i="33"/>
  <c r="AI63" i="44" l="1"/>
  <c r="AI64" i="44" s="1"/>
  <c r="N6" i="82" l="1"/>
  <c r="I12" i="82"/>
  <c r="K12" i="82" s="1"/>
  <c r="I11" i="82"/>
  <c r="K11" i="82" s="1"/>
  <c r="I10" i="82"/>
  <c r="K10" i="82" s="1"/>
  <c r="I9" i="82"/>
  <c r="K9" i="82" s="1"/>
  <c r="I8" i="82"/>
  <c r="K8" i="82" s="1"/>
  <c r="I7" i="82"/>
  <c r="K7" i="82" s="1"/>
  <c r="M8" i="82" l="1"/>
  <c r="N8" i="82" s="1"/>
  <c r="M10" i="82"/>
  <c r="N10" i="82" s="1"/>
  <c r="M12" i="82"/>
  <c r="N12" i="82" s="1"/>
  <c r="M7" i="82"/>
  <c r="N7" i="82" s="1"/>
  <c r="M9" i="82"/>
  <c r="N9" i="82" s="1"/>
  <c r="M11" i="82"/>
  <c r="N11" i="82" s="1"/>
  <c r="J11" i="82" s="1"/>
  <c r="A4" i="82"/>
  <c r="A3" i="82"/>
  <c r="A2" i="82"/>
  <c r="F1" i="82"/>
  <c r="D1" i="82"/>
  <c r="J9" i="82" l="1"/>
  <c r="J7" i="82"/>
  <c r="J10" i="82"/>
  <c r="J12" i="82"/>
  <c r="J8" i="82"/>
  <c r="H5" i="82"/>
  <c r="S61" i="44"/>
  <c r="W61" i="44"/>
  <c r="Y61" i="44"/>
  <c r="AB61" i="44"/>
  <c r="AG61" i="44"/>
  <c r="S43" i="44"/>
  <c r="W43" i="44"/>
  <c r="Y43" i="44"/>
  <c r="AB43" i="44"/>
  <c r="AG43" i="44"/>
  <c r="B301" i="82" l="1"/>
  <c r="B303" i="82"/>
  <c r="B305" i="82"/>
  <c r="B302" i="82"/>
  <c r="B304" i="82"/>
  <c r="B300" i="82"/>
  <c r="A4" i="81"/>
  <c r="A2" i="81"/>
  <c r="C300" i="81"/>
  <c r="C301" i="81" s="1"/>
  <c r="C302" i="81" s="1"/>
  <c r="C303" i="81" s="1"/>
  <c r="C304" i="81" s="1"/>
  <c r="C305" i="81" s="1"/>
  <c r="C306" i="81" s="1"/>
  <c r="C307" i="81" s="1"/>
  <c r="C308" i="81" s="1"/>
  <c r="C309" i="81" s="1"/>
  <c r="C310" i="81" s="1"/>
  <c r="C311" i="81" s="1"/>
  <c r="C312" i="81" s="1"/>
  <c r="C313" i="81" s="1"/>
  <c r="Y32" i="81"/>
  <c r="Z32" i="81" s="1"/>
  <c r="X32" i="81"/>
  <c r="W32" i="81"/>
  <c r="V32" i="81"/>
  <c r="U32" i="81"/>
  <c r="T32" i="81"/>
  <c r="S32" i="81"/>
  <c r="H32" i="81"/>
  <c r="J32" i="81" s="1"/>
  <c r="Y31" i="81"/>
  <c r="Z31" i="81" s="1"/>
  <c r="W31" i="81"/>
  <c r="X31" i="81" s="1"/>
  <c r="U31" i="81"/>
  <c r="S31" i="81"/>
  <c r="H31" i="81"/>
  <c r="J31" i="81" s="1"/>
  <c r="Y30" i="81"/>
  <c r="Z30" i="81" s="1"/>
  <c r="W30" i="81"/>
  <c r="X30" i="81" s="1"/>
  <c r="U30" i="81"/>
  <c r="S30" i="81"/>
  <c r="H30" i="81"/>
  <c r="J30" i="81" s="1"/>
  <c r="Y29" i="81"/>
  <c r="Z29" i="81" s="1"/>
  <c r="W29" i="81"/>
  <c r="X29" i="81" s="1"/>
  <c r="U29" i="81"/>
  <c r="S29" i="81"/>
  <c r="H29" i="81"/>
  <c r="J29" i="81" s="1"/>
  <c r="Y28" i="81"/>
  <c r="Z28" i="81" s="1"/>
  <c r="W28" i="81"/>
  <c r="X28" i="81" s="1"/>
  <c r="U28" i="81"/>
  <c r="S28" i="81"/>
  <c r="H28" i="81"/>
  <c r="J28" i="81" s="1"/>
  <c r="M27" i="81"/>
  <c r="I32" i="81" s="1"/>
  <c r="Y25" i="81"/>
  <c r="Z25" i="81" s="1"/>
  <c r="W25" i="81"/>
  <c r="X25" i="81" s="1"/>
  <c r="U25" i="81"/>
  <c r="V25" i="81" s="1"/>
  <c r="S25" i="81"/>
  <c r="T25" i="81" s="1"/>
  <c r="H25" i="81"/>
  <c r="J25" i="81" s="1"/>
  <c r="Y24" i="81"/>
  <c r="Z24" i="81" s="1"/>
  <c r="W24" i="81"/>
  <c r="X24" i="81" s="1"/>
  <c r="U24" i="81"/>
  <c r="S24" i="81"/>
  <c r="H24" i="81"/>
  <c r="J24" i="81" s="1"/>
  <c r="Y23" i="81"/>
  <c r="Z23" i="81" s="1"/>
  <c r="W23" i="81"/>
  <c r="X23" i="81" s="1"/>
  <c r="U23" i="81"/>
  <c r="S23" i="81"/>
  <c r="H23" i="81"/>
  <c r="J23" i="81" s="1"/>
  <c r="Y22" i="81"/>
  <c r="Z22" i="81" s="1"/>
  <c r="W22" i="81"/>
  <c r="X22" i="81" s="1"/>
  <c r="U22" i="81"/>
  <c r="S22" i="81"/>
  <c r="H22" i="81"/>
  <c r="J22" i="81" s="1"/>
  <c r="Y21" i="81"/>
  <c r="Z21" i="81" s="1"/>
  <c r="W21" i="81"/>
  <c r="X21" i="81" s="1"/>
  <c r="U21" i="81"/>
  <c r="S21" i="81"/>
  <c r="H21" i="81"/>
  <c r="J21" i="81" s="1"/>
  <c r="M20" i="81"/>
  <c r="Y18" i="81"/>
  <c r="Z18" i="81" s="1"/>
  <c r="W18" i="81"/>
  <c r="X18" i="81" s="1"/>
  <c r="U18" i="81"/>
  <c r="V18" i="81" s="1"/>
  <c r="S18" i="81"/>
  <c r="T18" i="81" s="1"/>
  <c r="H18" i="81"/>
  <c r="J18" i="81" s="1"/>
  <c r="Y17" i="81"/>
  <c r="Z17" i="81" s="1"/>
  <c r="W17" i="81"/>
  <c r="X17" i="81" s="1"/>
  <c r="U17" i="81"/>
  <c r="S17" i="81"/>
  <c r="H17" i="81"/>
  <c r="J17" i="81" s="1"/>
  <c r="Y16" i="81"/>
  <c r="Z16" i="81" s="1"/>
  <c r="W16" i="81"/>
  <c r="X16" i="81" s="1"/>
  <c r="U16" i="81"/>
  <c r="S16" i="81"/>
  <c r="H16" i="81"/>
  <c r="J16" i="81" s="1"/>
  <c r="Y15" i="81"/>
  <c r="Z15" i="81" s="1"/>
  <c r="W15" i="81"/>
  <c r="X15" i="81" s="1"/>
  <c r="U15" i="81"/>
  <c r="S15" i="81"/>
  <c r="H15" i="81"/>
  <c r="J15" i="81" s="1"/>
  <c r="Y14" i="81"/>
  <c r="Z14" i="81" s="1"/>
  <c r="W14" i="81"/>
  <c r="X14" i="81" s="1"/>
  <c r="U14" i="81"/>
  <c r="S14" i="81"/>
  <c r="H14" i="81"/>
  <c r="J14" i="81" s="1"/>
  <c r="M13" i="81"/>
  <c r="I18" i="81" s="1"/>
  <c r="Y11" i="81"/>
  <c r="Z11" i="81" s="1"/>
  <c r="W11" i="81"/>
  <c r="X11" i="81" s="1"/>
  <c r="U11" i="81"/>
  <c r="V11" i="81" s="1"/>
  <c r="S11" i="81"/>
  <c r="T11" i="81" s="1"/>
  <c r="H11" i="81"/>
  <c r="J11" i="81" s="1"/>
  <c r="Y10" i="81"/>
  <c r="Z10" i="81" s="1"/>
  <c r="W10" i="81"/>
  <c r="X10" i="81" s="1"/>
  <c r="U10" i="81"/>
  <c r="S10" i="81"/>
  <c r="H10" i="81"/>
  <c r="J10" i="81" s="1"/>
  <c r="Y9" i="81"/>
  <c r="Z9" i="81" s="1"/>
  <c r="W9" i="81"/>
  <c r="X9" i="81" s="1"/>
  <c r="U9" i="81"/>
  <c r="S9" i="81"/>
  <c r="H9" i="81"/>
  <c r="J9" i="81" s="1"/>
  <c r="Y8" i="81"/>
  <c r="Z8" i="81" s="1"/>
  <c r="W8" i="81"/>
  <c r="X8" i="81" s="1"/>
  <c r="U8" i="81"/>
  <c r="S8" i="81"/>
  <c r="H8" i="81"/>
  <c r="J8" i="81" s="1"/>
  <c r="Y7" i="81"/>
  <c r="Z7" i="81" s="1"/>
  <c r="W7" i="81"/>
  <c r="X7" i="81" s="1"/>
  <c r="U7" i="81"/>
  <c r="S7" i="81"/>
  <c r="H7" i="81"/>
  <c r="J7" i="81" s="1"/>
  <c r="M6" i="81"/>
  <c r="H1" i="81"/>
  <c r="F1" i="81"/>
  <c r="R9" i="33" l="1"/>
  <c r="R13" i="33"/>
  <c r="R17" i="33"/>
  <c r="R18" i="33"/>
  <c r="R14" i="33"/>
  <c r="R10" i="33"/>
  <c r="R23" i="33"/>
  <c r="R24" i="33"/>
  <c r="R20" i="33"/>
  <c r="R27" i="33"/>
  <c r="R28" i="33"/>
  <c r="R30" i="33"/>
  <c r="R34" i="33"/>
  <c r="R31" i="33"/>
  <c r="R12" i="33"/>
  <c r="R32" i="33"/>
  <c r="R33" i="33"/>
  <c r="R11" i="33"/>
  <c r="R7" i="33"/>
  <c r="R15" i="33"/>
  <c r="R19" i="33"/>
  <c r="R8" i="33"/>
  <c r="R16" i="33"/>
  <c r="R21" i="33"/>
  <c r="R25" i="33"/>
  <c r="R26" i="33"/>
  <c r="R22" i="33"/>
  <c r="R29" i="33"/>
  <c r="R11" i="81"/>
  <c r="R32" i="81"/>
  <c r="L21" i="81"/>
  <c r="R18" i="81"/>
  <c r="K8" i="81"/>
  <c r="L8" i="81"/>
  <c r="L9" i="81"/>
  <c r="K9" i="81"/>
  <c r="K10" i="81"/>
  <c r="L10" i="81"/>
  <c r="K14" i="81"/>
  <c r="M14" i="81" s="1"/>
  <c r="L17" i="81"/>
  <c r="K17" i="81"/>
  <c r="K18" i="81"/>
  <c r="L18" i="81"/>
  <c r="L7" i="81"/>
  <c r="K7" i="81"/>
  <c r="L11" i="81"/>
  <c r="K11" i="81"/>
  <c r="M11" i="81" s="1"/>
  <c r="L15" i="81"/>
  <c r="K15" i="81"/>
  <c r="K16" i="81"/>
  <c r="L16" i="81"/>
  <c r="I11" i="81"/>
  <c r="K22" i="81"/>
  <c r="K24" i="81"/>
  <c r="I25" i="81"/>
  <c r="K28" i="81"/>
  <c r="L28" i="81"/>
  <c r="K32" i="81"/>
  <c r="L32" i="81"/>
  <c r="K21" i="81"/>
  <c r="M21" i="81" s="1"/>
  <c r="L22" i="81"/>
  <c r="L23" i="81"/>
  <c r="K23" i="81"/>
  <c r="L24" i="81"/>
  <c r="M24" i="81" s="1"/>
  <c r="L25" i="81"/>
  <c r="K25" i="81"/>
  <c r="R25" i="81"/>
  <c r="L29" i="81"/>
  <c r="K29" i="81"/>
  <c r="K30" i="81"/>
  <c r="L30" i="81"/>
  <c r="L31" i="81"/>
  <c r="K31" i="81"/>
  <c r="U32" i="33" l="1"/>
  <c r="W32" i="33"/>
  <c r="H32" i="33"/>
  <c r="V32" i="33"/>
  <c r="G32" i="33" a="1"/>
  <c r="G32" i="33" s="1"/>
  <c r="I32" i="33" s="1"/>
  <c r="W33" i="33"/>
  <c r="V33" i="33"/>
  <c r="U33" i="33"/>
  <c r="G33" i="33" a="1"/>
  <c r="G33" i="33" s="1"/>
  <c r="H33" i="33"/>
  <c r="M28" i="81"/>
  <c r="M31" i="81"/>
  <c r="M29" i="81"/>
  <c r="M18" i="81"/>
  <c r="M8" i="81"/>
  <c r="M9" i="81"/>
  <c r="M16" i="81"/>
  <c r="M30" i="81"/>
  <c r="I30" i="81" s="1"/>
  <c r="M32" i="81"/>
  <c r="M22" i="81"/>
  <c r="I24" i="81" s="1"/>
  <c r="M15" i="81"/>
  <c r="M17" i="81"/>
  <c r="I17" i="81" s="1"/>
  <c r="M7" i="81"/>
  <c r="M10" i="81"/>
  <c r="I10" i="81" s="1"/>
  <c r="I29" i="81"/>
  <c r="I28" i="81"/>
  <c r="I16" i="81"/>
  <c r="I7" i="81"/>
  <c r="I14" i="81"/>
  <c r="I15" i="81"/>
  <c r="I8" i="81"/>
  <c r="M25" i="81"/>
  <c r="M23" i="81"/>
  <c r="L70" i="1"/>
  <c r="I33" i="33" l="1"/>
  <c r="L33" i="33"/>
  <c r="L32" i="33"/>
  <c r="B140" i="81"/>
  <c r="C161" i="81" s="1"/>
  <c r="E169" i="81" s="1"/>
  <c r="I31" i="81"/>
  <c r="I9" i="81"/>
  <c r="B154" i="81" s="1"/>
  <c r="I23" i="81"/>
  <c r="I21" i="81"/>
  <c r="I22" i="81"/>
  <c r="B144" i="81" l="1"/>
  <c r="B142" i="81"/>
  <c r="C141" i="81" s="1"/>
  <c r="E155" i="81" s="1"/>
  <c r="B102" i="81"/>
  <c r="B150" i="81"/>
  <c r="B152" i="81"/>
  <c r="B146" i="81"/>
  <c r="C163" i="81" s="1"/>
  <c r="E162" i="81" s="1"/>
  <c r="H167" i="81" s="1"/>
  <c r="B148" i="81"/>
  <c r="C149" i="81" s="1"/>
  <c r="E157" i="81" s="1"/>
  <c r="H156" i="81" s="1"/>
  <c r="C167" i="81"/>
  <c r="E166" i="81" s="1"/>
  <c r="H164" i="81" s="1"/>
  <c r="C153" i="81"/>
  <c r="E151" i="81" s="1"/>
  <c r="H152" i="81" s="1"/>
  <c r="C145" i="81"/>
  <c r="E143" i="81" s="1"/>
  <c r="H147" i="81" s="1"/>
  <c r="C165" i="81"/>
  <c r="E171" i="81" s="1"/>
  <c r="H170" i="81" s="1"/>
  <c r="B108" i="81"/>
  <c r="C107" i="81" s="1"/>
  <c r="B106" i="81"/>
  <c r="C125" i="81" s="1"/>
  <c r="E124" i="81" s="1"/>
  <c r="H129" i="81" s="1"/>
  <c r="B114" i="81"/>
  <c r="B112" i="81"/>
  <c r="B110" i="81"/>
  <c r="B116" i="81"/>
  <c r="B104" i="81"/>
  <c r="C123" i="81" s="1"/>
  <c r="E131" i="81" s="1"/>
  <c r="M104" i="1"/>
  <c r="M90" i="1"/>
  <c r="C127" i="81" l="1"/>
  <c r="E133" i="81" s="1"/>
  <c r="H135" i="81" s="1"/>
  <c r="H159" i="81"/>
  <c r="H132" i="81"/>
  <c r="C111" i="81"/>
  <c r="E119" i="81" s="1"/>
  <c r="C103" i="81"/>
  <c r="E105" i="81" s="1"/>
  <c r="C115" i="81"/>
  <c r="E113" i="81" s="1"/>
  <c r="H109" i="81" s="1"/>
  <c r="C129" i="81"/>
  <c r="E128" i="81" s="1"/>
  <c r="H126" i="81" s="1"/>
  <c r="H114" i="81" l="1"/>
  <c r="E117" i="81"/>
  <c r="H118" i="81" s="1"/>
  <c r="B300" i="81"/>
  <c r="H121" i="81"/>
  <c r="B313" i="81" s="1"/>
  <c r="B304" i="81"/>
  <c r="B305" i="81"/>
  <c r="B301" i="81"/>
  <c r="B309" i="81" l="1"/>
  <c r="B308" i="81"/>
  <c r="AH9" i="44"/>
  <c r="AH11" i="44"/>
  <c r="AH12" i="44"/>
  <c r="B307" i="81"/>
  <c r="B312" i="81"/>
  <c r="B314" i="81"/>
  <c r="B303" i="81"/>
  <c r="B310" i="81"/>
  <c r="B306" i="81"/>
  <c r="B311" i="81"/>
  <c r="B302" i="81"/>
  <c r="AH7" i="44" s="1"/>
  <c r="A3" i="81"/>
  <c r="AH23" i="44" l="1"/>
  <c r="AH59" i="44"/>
  <c r="AH10" i="44"/>
  <c r="AH49" i="44"/>
  <c r="AH62" i="44"/>
  <c r="AH50" i="44"/>
  <c r="AH52" i="44"/>
  <c r="AH47" i="44"/>
  <c r="AH42" i="44"/>
  <c r="AH34" i="44"/>
  <c r="AH27" i="44"/>
  <c r="AH30" i="44"/>
  <c r="AH20" i="44"/>
  <c r="AH17" i="44"/>
  <c r="AH16" i="44"/>
  <c r="AH45" i="44"/>
  <c r="AH60" i="44"/>
  <c r="AH54" i="44"/>
  <c r="AH51" i="44"/>
  <c r="AH46" i="44"/>
  <c r="AH41" i="44"/>
  <c r="AH37" i="44"/>
  <c r="AH26" i="44"/>
  <c r="AH31" i="44"/>
  <c r="AH25" i="44"/>
  <c r="AH19" i="44"/>
  <c r="AH13" i="44"/>
  <c r="AH61" i="44"/>
  <c r="AH56" i="44"/>
  <c r="AH58" i="44"/>
  <c r="AH44" i="44"/>
  <c r="AH40" i="44"/>
  <c r="AH39" i="44"/>
  <c r="AH35" i="44"/>
  <c r="AH32" i="44"/>
  <c r="AH33" i="44"/>
  <c r="AH24" i="44"/>
  <c r="AH18" i="44"/>
  <c r="AH22" i="44"/>
  <c r="AH14" i="44"/>
  <c r="AH8" i="44"/>
  <c r="AH57" i="44"/>
  <c r="AH43" i="44"/>
  <c r="AH55" i="44"/>
  <c r="AH53" i="44"/>
  <c r="AH48" i="44"/>
  <c r="AH38" i="44"/>
  <c r="AH36" i="44"/>
  <c r="AH29" i="44"/>
  <c r="AH28" i="44"/>
  <c r="AH21" i="44"/>
  <c r="AH15" i="44"/>
  <c r="C23" i="3"/>
  <c r="E35" i="3" l="1"/>
  <c r="A4" i="80" l="1"/>
  <c r="A3" i="80"/>
  <c r="A2" i="80"/>
  <c r="A1" i="80"/>
  <c r="S7" i="44"/>
  <c r="S8" i="44"/>
  <c r="S13" i="44"/>
  <c r="S14" i="44"/>
  <c r="S15" i="44"/>
  <c r="S16" i="44"/>
  <c r="S11" i="44"/>
  <c r="S22" i="44"/>
  <c r="S9" i="44"/>
  <c r="S21" i="44"/>
  <c r="S17" i="44"/>
  <c r="S19" i="44"/>
  <c r="S28" i="44"/>
  <c r="S12" i="44"/>
  <c r="S24" i="44"/>
  <c r="S18" i="44"/>
  <c r="S30" i="44"/>
  <c r="S25" i="44"/>
  <c r="S20" i="44"/>
  <c r="S31" i="44"/>
  <c r="S33" i="44"/>
  <c r="S26" i="44"/>
  <c r="S27" i="44"/>
  <c r="S23" i="44"/>
  <c r="S34" i="44"/>
  <c r="S32" i="44"/>
  <c r="S29" i="44"/>
  <c r="S37" i="44"/>
  <c r="S36" i="44"/>
  <c r="S38" i="44"/>
  <c r="S41" i="44"/>
  <c r="S39" i="44"/>
  <c r="S46" i="44"/>
  <c r="S47" i="44"/>
  <c r="S42" i="44"/>
  <c r="S48" i="44"/>
  <c r="S40" i="44"/>
  <c r="S35" i="44"/>
  <c r="S51" i="44"/>
  <c r="S52" i="44"/>
  <c r="S53" i="44"/>
  <c r="S54" i="44"/>
  <c r="S50" i="44"/>
  <c r="S55" i="44"/>
  <c r="S58" i="44"/>
  <c r="S60" i="44"/>
  <c r="S62" i="44"/>
  <c r="S44" i="44"/>
  <c r="S56" i="44"/>
  <c r="S57" i="44"/>
  <c r="S49" i="44"/>
  <c r="S45" i="44"/>
  <c r="S10" i="44"/>
  <c r="H144" i="80"/>
  <c r="J144" i="80" s="1"/>
  <c r="H143" i="80"/>
  <c r="J143" i="80" s="1"/>
  <c r="H142" i="80"/>
  <c r="J142" i="80" s="1"/>
  <c r="H141" i="80"/>
  <c r="J141" i="80" s="1"/>
  <c r="M140" i="80"/>
  <c r="I142" i="80" s="1"/>
  <c r="W29" i="80"/>
  <c r="W30" i="80"/>
  <c r="W31" i="80"/>
  <c r="W32" i="80"/>
  <c r="W28" i="80"/>
  <c r="W22" i="80"/>
  <c r="W23" i="80"/>
  <c r="W24" i="80"/>
  <c r="W25" i="80"/>
  <c r="W21" i="80"/>
  <c r="U29" i="80"/>
  <c r="U30" i="80"/>
  <c r="U31" i="80"/>
  <c r="U32" i="80"/>
  <c r="U28" i="80"/>
  <c r="S29" i="80"/>
  <c r="S30" i="80"/>
  <c r="S31" i="80"/>
  <c r="S32" i="80"/>
  <c r="S28" i="80"/>
  <c r="Y15" i="80"/>
  <c r="Y16" i="80"/>
  <c r="Y17" i="80"/>
  <c r="Y18" i="80"/>
  <c r="Y14" i="80"/>
  <c r="W15" i="80"/>
  <c r="W16" i="80"/>
  <c r="W17" i="80"/>
  <c r="W18" i="80"/>
  <c r="W14" i="80"/>
  <c r="U15" i="80"/>
  <c r="U16" i="80"/>
  <c r="U17" i="80"/>
  <c r="U18" i="80"/>
  <c r="U14" i="80"/>
  <c r="S15" i="80"/>
  <c r="S16" i="80"/>
  <c r="S17" i="80"/>
  <c r="S18" i="80"/>
  <c r="S14" i="80"/>
  <c r="X29" i="80"/>
  <c r="Y29" i="80"/>
  <c r="Z29" i="80" s="1"/>
  <c r="X30" i="80"/>
  <c r="Y30" i="80"/>
  <c r="Z30" i="80" s="1"/>
  <c r="T31" i="80"/>
  <c r="V31" i="80"/>
  <c r="X31" i="80"/>
  <c r="Y31" i="80"/>
  <c r="Z31" i="80" s="1"/>
  <c r="T32" i="80"/>
  <c r="V32" i="80"/>
  <c r="X32" i="80"/>
  <c r="Y32" i="80"/>
  <c r="Z32" i="80" s="1"/>
  <c r="S22" i="80"/>
  <c r="U22" i="80"/>
  <c r="X22" i="80"/>
  <c r="Y22" i="80"/>
  <c r="Z22" i="80" s="1"/>
  <c r="S23" i="80"/>
  <c r="U23" i="80"/>
  <c r="X23" i="80"/>
  <c r="Y23" i="80"/>
  <c r="Z23" i="80"/>
  <c r="S24" i="80"/>
  <c r="T24" i="80" s="1"/>
  <c r="U24" i="80"/>
  <c r="V24" i="80" s="1"/>
  <c r="X24" i="80"/>
  <c r="Y24" i="80"/>
  <c r="Z24" i="80" s="1"/>
  <c r="S25" i="80"/>
  <c r="T25" i="80"/>
  <c r="U25" i="80"/>
  <c r="V25" i="80"/>
  <c r="X25" i="80"/>
  <c r="Y25" i="80"/>
  <c r="Z25" i="80" s="1"/>
  <c r="X15" i="80"/>
  <c r="Z15" i="80"/>
  <c r="X16" i="80"/>
  <c r="Z16" i="80"/>
  <c r="T17" i="80"/>
  <c r="V17" i="80"/>
  <c r="X17" i="80"/>
  <c r="Z17" i="80"/>
  <c r="T18" i="80"/>
  <c r="V18" i="80"/>
  <c r="X18" i="80"/>
  <c r="Z18" i="80"/>
  <c r="S8" i="80"/>
  <c r="U8" i="80"/>
  <c r="W8" i="80"/>
  <c r="X8" i="80" s="1"/>
  <c r="Y8" i="80"/>
  <c r="Z8" i="80" s="1"/>
  <c r="S9" i="80"/>
  <c r="U9" i="80"/>
  <c r="W9" i="80"/>
  <c r="X9" i="80" s="1"/>
  <c r="Y9" i="80"/>
  <c r="Z9" i="80" s="1"/>
  <c r="S10" i="80"/>
  <c r="T10" i="80" s="1"/>
  <c r="U10" i="80"/>
  <c r="V10" i="80" s="1"/>
  <c r="W10" i="80"/>
  <c r="X10" i="80" s="1"/>
  <c r="Y10" i="80"/>
  <c r="Z10" i="80" s="1"/>
  <c r="S11" i="80"/>
  <c r="T11" i="80" s="1"/>
  <c r="U11" i="80"/>
  <c r="V11" i="80" s="1"/>
  <c r="W11" i="80"/>
  <c r="X11" i="80" s="1"/>
  <c r="Y11" i="80"/>
  <c r="Z11" i="80" s="1"/>
  <c r="I141" i="80" l="1"/>
  <c r="I143" i="80"/>
  <c r="I144" i="80"/>
  <c r="L141" i="80"/>
  <c r="L142" i="80"/>
  <c r="L143" i="80"/>
  <c r="L144" i="80"/>
  <c r="K141" i="80"/>
  <c r="M141" i="80" s="1"/>
  <c r="K142" i="80"/>
  <c r="M142" i="80" s="1"/>
  <c r="K143" i="80"/>
  <c r="M143" i="80" s="1"/>
  <c r="K144" i="80"/>
  <c r="M144" i="80" s="1"/>
  <c r="R11" i="80"/>
  <c r="R25" i="80"/>
  <c r="R32" i="80"/>
  <c r="R18" i="80"/>
  <c r="R31" i="80"/>
  <c r="R24" i="80"/>
  <c r="R17" i="80"/>
  <c r="R10" i="80"/>
  <c r="M84" i="1"/>
  <c r="X28" i="80" l="1"/>
  <c r="Y28" i="80"/>
  <c r="Z28" i="80" s="1"/>
  <c r="H32" i="80"/>
  <c r="J32" i="80" s="1"/>
  <c r="H31" i="80"/>
  <c r="J31" i="80" s="1"/>
  <c r="H30" i="80"/>
  <c r="J30" i="80" s="1"/>
  <c r="H29" i="80"/>
  <c r="J29" i="80" s="1"/>
  <c r="H28" i="80"/>
  <c r="J28" i="80" s="1"/>
  <c r="M27" i="80"/>
  <c r="C300" i="80"/>
  <c r="C301" i="80" s="1"/>
  <c r="C302" i="80" s="1"/>
  <c r="C303" i="80" s="1"/>
  <c r="C304" i="80" s="1"/>
  <c r="C305" i="80" s="1"/>
  <c r="C306" i="80" s="1"/>
  <c r="C307" i="80" s="1"/>
  <c r="C308" i="80" s="1"/>
  <c r="C309" i="80" s="1"/>
  <c r="C310" i="80" s="1"/>
  <c r="C311" i="80" s="1"/>
  <c r="H25" i="80"/>
  <c r="J25" i="80" s="1"/>
  <c r="H24" i="80"/>
  <c r="J24" i="80" s="1"/>
  <c r="H23" i="80"/>
  <c r="J23" i="80" s="1"/>
  <c r="H22" i="80"/>
  <c r="J22" i="80" s="1"/>
  <c r="Y21" i="80"/>
  <c r="Z21" i="80" s="1"/>
  <c r="X21" i="80"/>
  <c r="U21" i="80"/>
  <c r="S21" i="80"/>
  <c r="H21" i="80"/>
  <c r="J21" i="80" s="1"/>
  <c r="M20" i="80"/>
  <c r="H18" i="80"/>
  <c r="J18" i="80" s="1"/>
  <c r="H17" i="80"/>
  <c r="J17" i="80" s="1"/>
  <c r="H16" i="80"/>
  <c r="J16" i="80" s="1"/>
  <c r="H15" i="80"/>
  <c r="J15" i="80" s="1"/>
  <c r="Z14" i="80"/>
  <c r="X14" i="80"/>
  <c r="H14" i="80"/>
  <c r="J14" i="80" s="1"/>
  <c r="M13" i="80"/>
  <c r="H11" i="80"/>
  <c r="J11" i="80" s="1"/>
  <c r="H10" i="80"/>
  <c r="J10" i="80" s="1"/>
  <c r="H9" i="80"/>
  <c r="J9" i="80" s="1"/>
  <c r="H8" i="80"/>
  <c r="J8" i="80" s="1"/>
  <c r="Y7" i="80"/>
  <c r="W7" i="80"/>
  <c r="U7" i="80"/>
  <c r="V7" i="80" s="1"/>
  <c r="S7" i="80"/>
  <c r="H7" i="80"/>
  <c r="J7" i="80" s="1"/>
  <c r="M6" i="80"/>
  <c r="H1" i="80"/>
  <c r="F1" i="80"/>
  <c r="I32" i="80" l="1"/>
  <c r="I18" i="80"/>
  <c r="I11" i="80"/>
  <c r="K29" i="80"/>
  <c r="L29" i="80"/>
  <c r="K31" i="80"/>
  <c r="L31" i="80"/>
  <c r="K28" i="80"/>
  <c r="M28" i="80" s="1"/>
  <c r="L28" i="80"/>
  <c r="K30" i="80"/>
  <c r="M30" i="80" s="1"/>
  <c r="L30" i="80"/>
  <c r="K32" i="80"/>
  <c r="M32" i="80" s="1"/>
  <c r="L32" i="80"/>
  <c r="L21" i="80"/>
  <c r="K7" i="80"/>
  <c r="L7" i="80"/>
  <c r="K9" i="80"/>
  <c r="L9" i="80"/>
  <c r="K11" i="80"/>
  <c r="M11" i="80" s="1"/>
  <c r="L11" i="80"/>
  <c r="K15" i="80"/>
  <c r="M15" i="80" s="1"/>
  <c r="L15" i="80"/>
  <c r="L16" i="80"/>
  <c r="K16" i="80"/>
  <c r="L8" i="80"/>
  <c r="K8" i="80"/>
  <c r="L10" i="80"/>
  <c r="K10" i="80"/>
  <c r="K14" i="80"/>
  <c r="M14" i="80" s="1"/>
  <c r="K17" i="80"/>
  <c r="L17" i="80"/>
  <c r="I10" i="80"/>
  <c r="L18" i="80"/>
  <c r="M18" i="80" s="1"/>
  <c r="K18" i="80"/>
  <c r="I25" i="80"/>
  <c r="K22" i="80"/>
  <c r="K24" i="80"/>
  <c r="L24" i="80"/>
  <c r="L25" i="80"/>
  <c r="K25" i="80"/>
  <c r="K21" i="80"/>
  <c r="M21" i="80" s="1"/>
  <c r="L22" i="80"/>
  <c r="L23" i="80"/>
  <c r="K23" i="80"/>
  <c r="M23" i="80" s="1"/>
  <c r="E32" i="3"/>
  <c r="K75" i="1"/>
  <c r="M31" i="80" l="1"/>
  <c r="M25" i="80"/>
  <c r="M24" i="80"/>
  <c r="M29" i="80"/>
  <c r="I29" i="80" s="1"/>
  <c r="M10" i="80"/>
  <c r="M8" i="80"/>
  <c r="I31" i="80"/>
  <c r="M9" i="80"/>
  <c r="M7" i="80"/>
  <c r="I23" i="80"/>
  <c r="M22" i="80"/>
  <c r="I22" i="80" s="1"/>
  <c r="M17" i="80"/>
  <c r="I17" i="80" s="1"/>
  <c r="M16" i="80"/>
  <c r="I24" i="80"/>
  <c r="I8" i="80"/>
  <c r="I21" i="80"/>
  <c r="I7" i="80"/>
  <c r="I44" i="3"/>
  <c r="B102" i="80" l="1"/>
  <c r="I16" i="80"/>
  <c r="I28" i="80"/>
  <c r="I30" i="80"/>
  <c r="I15" i="80"/>
  <c r="I14" i="80"/>
  <c r="I9" i="80"/>
  <c r="B114" i="80" s="1"/>
  <c r="G1" i="3"/>
  <c r="L1" i="1"/>
  <c r="B110" i="80" l="1"/>
  <c r="B106" i="80"/>
  <c r="C125" i="80" s="1"/>
  <c r="B108" i="80"/>
  <c r="C107" i="80" s="1"/>
  <c r="B112" i="80"/>
  <c r="C111" i="80" s="1"/>
  <c r="B116" i="80"/>
  <c r="C129" i="80" s="1"/>
  <c r="B104" i="80"/>
  <c r="C127" i="80"/>
  <c r="C115" i="80"/>
  <c r="C103" i="80"/>
  <c r="E117" i="80" s="1"/>
  <c r="H118" i="80" s="1"/>
  <c r="C123" i="80"/>
  <c r="A4" i="75"/>
  <c r="A2" i="75"/>
  <c r="E119" i="80" l="1"/>
  <c r="H121" i="80" s="1"/>
  <c r="E113" i="80"/>
  <c r="H109" i="80" s="1"/>
  <c r="B300" i="80" s="1"/>
  <c r="E105" i="80"/>
  <c r="H114" i="80" s="1"/>
  <c r="B301" i="80" s="1"/>
  <c r="B303" i="80"/>
  <c r="E124" i="80"/>
  <c r="H129" i="80" s="1"/>
  <c r="AG13" i="44" l="1"/>
  <c r="AG29" i="44"/>
  <c r="AG16" i="44"/>
  <c r="AG35" i="44"/>
  <c r="B302" i="80"/>
  <c r="E128" i="80"/>
  <c r="H126" i="80" s="1"/>
  <c r="E133" i="80"/>
  <c r="E131" i="80"/>
  <c r="N83" i="1"/>
  <c r="AG17" i="44" l="1"/>
  <c r="AG25" i="44"/>
  <c r="AG12" i="44"/>
  <c r="AG9" i="44"/>
  <c r="H132" i="80"/>
  <c r="B304" i="80"/>
  <c r="B305" i="80"/>
  <c r="C300" i="79"/>
  <c r="C301" i="79"/>
  <c r="C302" i="79" s="1"/>
  <c r="C303" i="79" s="1"/>
  <c r="C304" i="79" s="1"/>
  <c r="C305" i="79" s="1"/>
  <c r="C306" i="79" s="1"/>
  <c r="C307" i="79" s="1"/>
  <c r="C308" i="79" s="1"/>
  <c r="C309" i="79" s="1"/>
  <c r="C310" i="79" s="1"/>
  <c r="C311" i="79" s="1"/>
  <c r="C312" i="79" s="1"/>
  <c r="C313" i="79" s="1"/>
  <c r="C314" i="79" s="1"/>
  <c r="C315" i="79" s="1"/>
  <c r="B315" i="79"/>
  <c r="B314" i="79"/>
  <c r="B313" i="79"/>
  <c r="B312" i="79"/>
  <c r="B311" i="79"/>
  <c r="B310" i="79"/>
  <c r="B309" i="79"/>
  <c r="B308" i="79"/>
  <c r="B307" i="79"/>
  <c r="B306" i="79"/>
  <c r="B305" i="79"/>
  <c r="B304" i="79"/>
  <c r="B303" i="79"/>
  <c r="B302" i="79"/>
  <c r="B301" i="79"/>
  <c r="B300" i="79"/>
  <c r="C167" i="79"/>
  <c r="E167" i="79" s="1"/>
  <c r="C165" i="79"/>
  <c r="E165" i="79" s="1"/>
  <c r="E171" i="79" s="1"/>
  <c r="C163" i="79"/>
  <c r="E153" i="79"/>
  <c r="E149" i="79"/>
  <c r="E157" i="79" s="1"/>
  <c r="E129" i="79"/>
  <c r="C129" i="79"/>
  <c r="E127" i="79"/>
  <c r="E133" i="79" s="1"/>
  <c r="C127" i="79"/>
  <c r="C125" i="79"/>
  <c r="E115" i="79"/>
  <c r="E111" i="79"/>
  <c r="E119" i="79" s="1"/>
  <c r="X32" i="79"/>
  <c r="Y32" i="79" s="1"/>
  <c r="V32" i="79"/>
  <c r="W32" i="79" s="1"/>
  <c r="T32" i="79"/>
  <c r="U32" i="79" s="1"/>
  <c r="R32" i="79"/>
  <c r="S32" i="79" s="1"/>
  <c r="H32" i="79"/>
  <c r="J32" i="79" s="1"/>
  <c r="X31" i="79"/>
  <c r="Y31" i="79" s="1"/>
  <c r="V31" i="79"/>
  <c r="W31" i="79" s="1"/>
  <c r="T31" i="79"/>
  <c r="U31" i="79" s="1"/>
  <c r="R31" i="79"/>
  <c r="S31" i="79" s="1"/>
  <c r="H31" i="79"/>
  <c r="J31" i="79" s="1"/>
  <c r="X30" i="79"/>
  <c r="Y30" i="79" s="1"/>
  <c r="V30" i="79"/>
  <c r="W30" i="79" s="1"/>
  <c r="T30" i="79"/>
  <c r="U30" i="79" s="1"/>
  <c r="R30" i="79"/>
  <c r="S30" i="79" s="1"/>
  <c r="H30" i="79"/>
  <c r="J30" i="79" s="1"/>
  <c r="X29" i="79"/>
  <c r="Y29" i="79" s="1"/>
  <c r="V29" i="79"/>
  <c r="W29" i="79" s="1"/>
  <c r="T29" i="79"/>
  <c r="U29" i="79" s="1"/>
  <c r="R29" i="79"/>
  <c r="S29" i="79" s="1"/>
  <c r="H29" i="79"/>
  <c r="J29" i="79" s="1"/>
  <c r="X28" i="79"/>
  <c r="Y28" i="79" s="1"/>
  <c r="V28" i="79"/>
  <c r="W28" i="79" s="1"/>
  <c r="T28" i="79"/>
  <c r="U28" i="79" s="1"/>
  <c r="R28" i="79"/>
  <c r="S28" i="79" s="1"/>
  <c r="H28" i="79"/>
  <c r="J28" i="79" s="1"/>
  <c r="X27" i="79"/>
  <c r="Y27" i="79" s="1"/>
  <c r="V27" i="79"/>
  <c r="W27" i="79" s="1"/>
  <c r="T27" i="79"/>
  <c r="U27" i="79" s="1"/>
  <c r="R27" i="79"/>
  <c r="S27" i="79" s="1"/>
  <c r="L27" i="79"/>
  <c r="I32" i="79" s="1"/>
  <c r="X26" i="79"/>
  <c r="Y26" i="79" s="1"/>
  <c r="V26" i="79"/>
  <c r="W26" i="79" s="1"/>
  <c r="T26" i="79"/>
  <c r="U26" i="79" s="1"/>
  <c r="R26" i="79"/>
  <c r="S26" i="79" s="1"/>
  <c r="Y25" i="79"/>
  <c r="X25" i="79"/>
  <c r="W25" i="79"/>
  <c r="V25" i="79"/>
  <c r="U25" i="79"/>
  <c r="T25" i="79"/>
  <c r="S25" i="79"/>
  <c r="R25" i="79"/>
  <c r="Q25" i="79"/>
  <c r="H25" i="79"/>
  <c r="J25" i="79" s="1"/>
  <c r="Y24" i="79"/>
  <c r="X24" i="79"/>
  <c r="W24" i="79"/>
  <c r="V24" i="79"/>
  <c r="U24" i="79"/>
  <c r="T24" i="79"/>
  <c r="S24" i="79"/>
  <c r="R24" i="79"/>
  <c r="Q24" i="79"/>
  <c r="H24" i="79"/>
  <c r="J24" i="79" s="1"/>
  <c r="Y23" i="79"/>
  <c r="X23" i="79"/>
  <c r="W23" i="79"/>
  <c r="V23" i="79"/>
  <c r="U23" i="79"/>
  <c r="T23" i="79"/>
  <c r="S23" i="79"/>
  <c r="R23" i="79"/>
  <c r="Q23" i="79"/>
  <c r="H23" i="79"/>
  <c r="J23" i="79" s="1"/>
  <c r="Y22" i="79"/>
  <c r="X22" i="79"/>
  <c r="W22" i="79"/>
  <c r="V22" i="79"/>
  <c r="U22" i="79"/>
  <c r="T22" i="79"/>
  <c r="S22" i="79"/>
  <c r="R22" i="79"/>
  <c r="Q22" i="79"/>
  <c r="H22" i="79"/>
  <c r="J22" i="79" s="1"/>
  <c r="Y21" i="79"/>
  <c r="X21" i="79"/>
  <c r="W21" i="79"/>
  <c r="V21" i="79"/>
  <c r="U21" i="79"/>
  <c r="T21" i="79"/>
  <c r="S21" i="79"/>
  <c r="R21" i="79"/>
  <c r="Q21" i="79"/>
  <c r="H21" i="79"/>
  <c r="J21" i="79" s="1"/>
  <c r="Y20" i="79"/>
  <c r="X20" i="79"/>
  <c r="W20" i="79"/>
  <c r="V20" i="79"/>
  <c r="U20" i="79"/>
  <c r="T20" i="79"/>
  <c r="S20" i="79"/>
  <c r="R20" i="79"/>
  <c r="L20" i="79"/>
  <c r="X19" i="79"/>
  <c r="Y19" i="79" s="1"/>
  <c r="V19" i="79"/>
  <c r="W19" i="79" s="1"/>
  <c r="T19" i="79"/>
  <c r="U19" i="79" s="1"/>
  <c r="R19" i="79"/>
  <c r="S19" i="79" s="1"/>
  <c r="X18" i="79"/>
  <c r="Y18" i="79" s="1"/>
  <c r="V18" i="79"/>
  <c r="W18" i="79" s="1"/>
  <c r="T18" i="79"/>
  <c r="U18" i="79" s="1"/>
  <c r="S18" i="79"/>
  <c r="R18" i="79"/>
  <c r="H18" i="79"/>
  <c r="J18" i="79" s="1"/>
  <c r="Y17" i="79"/>
  <c r="X17" i="79"/>
  <c r="W17" i="79"/>
  <c r="V17" i="79"/>
  <c r="U17" i="79"/>
  <c r="T17" i="79"/>
  <c r="S17" i="79"/>
  <c r="R17" i="79"/>
  <c r="Q17" i="79"/>
  <c r="H17" i="79"/>
  <c r="J17" i="79" s="1"/>
  <c r="Y16" i="79"/>
  <c r="X16" i="79"/>
  <c r="W16" i="79"/>
  <c r="V16" i="79"/>
  <c r="U16" i="79"/>
  <c r="T16" i="79"/>
  <c r="S16" i="79"/>
  <c r="R16" i="79"/>
  <c r="Q16" i="79"/>
  <c r="H16" i="79"/>
  <c r="J16" i="79" s="1"/>
  <c r="Y15" i="79"/>
  <c r="X15" i="79"/>
  <c r="W15" i="79"/>
  <c r="V15" i="79"/>
  <c r="U15" i="79"/>
  <c r="T15" i="79"/>
  <c r="S15" i="79"/>
  <c r="R15" i="79"/>
  <c r="H15" i="79"/>
  <c r="J15" i="79" s="1"/>
  <c r="X14" i="79"/>
  <c r="Y14" i="79" s="1"/>
  <c r="V14" i="79"/>
  <c r="W14" i="79" s="1"/>
  <c r="T14" i="79"/>
  <c r="U14" i="79" s="1"/>
  <c r="R14" i="79"/>
  <c r="S14" i="79" s="1"/>
  <c r="H14" i="79"/>
  <c r="J14" i="79" s="1"/>
  <c r="Y13" i="79"/>
  <c r="X13" i="79"/>
  <c r="W13" i="79"/>
  <c r="V13" i="79"/>
  <c r="U13" i="79"/>
  <c r="T13" i="79"/>
  <c r="S13" i="79"/>
  <c r="R13" i="79"/>
  <c r="L13" i="79"/>
  <c r="I18" i="79" s="1"/>
  <c r="X12" i="79"/>
  <c r="Y12" i="79" s="1"/>
  <c r="V12" i="79"/>
  <c r="W12" i="79" s="1"/>
  <c r="T12" i="79"/>
  <c r="U12" i="79" s="1"/>
  <c r="R12" i="79"/>
  <c r="S12" i="79" s="1"/>
  <c r="X11" i="79"/>
  <c r="Y11" i="79" s="1"/>
  <c r="V11" i="79"/>
  <c r="W11" i="79" s="1"/>
  <c r="T11" i="79"/>
  <c r="U11" i="79" s="1"/>
  <c r="R11" i="79"/>
  <c r="S11" i="79" s="1"/>
  <c r="H11" i="79"/>
  <c r="J11" i="79" s="1"/>
  <c r="X10" i="79"/>
  <c r="Y10" i="79" s="1"/>
  <c r="V10" i="79"/>
  <c r="W10" i="79" s="1"/>
  <c r="T10" i="79"/>
  <c r="U10" i="79" s="1"/>
  <c r="R10" i="79"/>
  <c r="S10" i="79" s="1"/>
  <c r="H10" i="79"/>
  <c r="J10" i="79" s="1"/>
  <c r="X9" i="79"/>
  <c r="Y9" i="79" s="1"/>
  <c r="V9" i="79"/>
  <c r="W9" i="79" s="1"/>
  <c r="T9" i="79"/>
  <c r="U9" i="79" s="1"/>
  <c r="R9" i="79"/>
  <c r="S9" i="79" s="1"/>
  <c r="H9" i="79"/>
  <c r="J9" i="79" s="1"/>
  <c r="X8" i="79"/>
  <c r="Y8" i="79" s="1"/>
  <c r="V8" i="79"/>
  <c r="W8" i="79" s="1"/>
  <c r="T8" i="79"/>
  <c r="U8" i="79" s="1"/>
  <c r="R8" i="79"/>
  <c r="S8" i="79" s="1"/>
  <c r="H8" i="79"/>
  <c r="J8" i="79" s="1"/>
  <c r="X7" i="79"/>
  <c r="Y7" i="79" s="1"/>
  <c r="V7" i="79"/>
  <c r="W7" i="79" s="1"/>
  <c r="T7" i="79"/>
  <c r="U7" i="79" s="1"/>
  <c r="R7" i="79"/>
  <c r="S7" i="79" s="1"/>
  <c r="H7" i="79"/>
  <c r="J7" i="79" s="1"/>
  <c r="L6" i="79"/>
  <c r="I11" i="79" s="1"/>
  <c r="A4" i="79"/>
  <c r="A2" i="79"/>
  <c r="H1" i="79"/>
  <c r="F1" i="79"/>
  <c r="A1" i="79"/>
  <c r="C129" i="78"/>
  <c r="E129" i="78" s="1"/>
  <c r="C127" i="78"/>
  <c r="E127" i="78" s="1"/>
  <c r="C125" i="78"/>
  <c r="E115" i="78"/>
  <c r="E111" i="78"/>
  <c r="E113" i="78" s="1"/>
  <c r="E153" i="78"/>
  <c r="E149" i="78"/>
  <c r="E151" i="78"/>
  <c r="A4" i="78"/>
  <c r="A2" i="78"/>
  <c r="A1" i="78"/>
  <c r="X32" i="78"/>
  <c r="Y32" i="78" s="1"/>
  <c r="V32" i="78"/>
  <c r="W32" i="78" s="1"/>
  <c r="T32" i="78"/>
  <c r="U32" i="78" s="1"/>
  <c r="R32" i="78"/>
  <c r="S32" i="78" s="1"/>
  <c r="H32" i="78"/>
  <c r="J32" i="78" s="1"/>
  <c r="X31" i="78"/>
  <c r="Y31" i="78" s="1"/>
  <c r="V31" i="78"/>
  <c r="W31" i="78" s="1"/>
  <c r="T31" i="78"/>
  <c r="U31" i="78" s="1"/>
  <c r="R31" i="78"/>
  <c r="S31" i="78" s="1"/>
  <c r="H31" i="78"/>
  <c r="J31" i="78" s="1"/>
  <c r="X30" i="78"/>
  <c r="Y30" i="78" s="1"/>
  <c r="V30" i="78"/>
  <c r="W30" i="78" s="1"/>
  <c r="T30" i="78"/>
  <c r="U30" i="78" s="1"/>
  <c r="R30" i="78"/>
  <c r="S30" i="78" s="1"/>
  <c r="H30" i="78"/>
  <c r="J30" i="78" s="1"/>
  <c r="X29" i="78"/>
  <c r="Y29" i="78" s="1"/>
  <c r="V29" i="78"/>
  <c r="W29" i="78" s="1"/>
  <c r="T29" i="78"/>
  <c r="U29" i="78" s="1"/>
  <c r="R29" i="78"/>
  <c r="S29" i="78" s="1"/>
  <c r="H29" i="78"/>
  <c r="J29" i="78" s="1"/>
  <c r="X28" i="78"/>
  <c r="Y28" i="78" s="1"/>
  <c r="V28" i="78"/>
  <c r="W28" i="78" s="1"/>
  <c r="T28" i="78"/>
  <c r="U28" i="78" s="1"/>
  <c r="R28" i="78"/>
  <c r="S28" i="78" s="1"/>
  <c r="H28" i="78"/>
  <c r="J28" i="78" s="1"/>
  <c r="X27" i="78"/>
  <c r="Y27" i="78" s="1"/>
  <c r="V27" i="78"/>
  <c r="W27" i="78" s="1"/>
  <c r="T27" i="78"/>
  <c r="U27" i="78" s="1"/>
  <c r="R27" i="78"/>
  <c r="S27" i="78" s="1"/>
  <c r="L27" i="78"/>
  <c r="I32" i="78" s="1"/>
  <c r="X26" i="78"/>
  <c r="Y26" i="78" s="1"/>
  <c r="V26" i="78"/>
  <c r="W26" i="78" s="1"/>
  <c r="T26" i="78"/>
  <c r="U26" i="78" s="1"/>
  <c r="R26" i="78"/>
  <c r="S26" i="78" s="1"/>
  <c r="X25" i="78"/>
  <c r="Y25" i="78" s="1"/>
  <c r="V25" i="78"/>
  <c r="W25" i="78" s="1"/>
  <c r="T25" i="78"/>
  <c r="U25" i="78" s="1"/>
  <c r="R25" i="78"/>
  <c r="S25" i="78" s="1"/>
  <c r="H25" i="78"/>
  <c r="J25" i="78" s="1"/>
  <c r="X24" i="78"/>
  <c r="Y24" i="78" s="1"/>
  <c r="V24" i="78"/>
  <c r="W24" i="78" s="1"/>
  <c r="T24" i="78"/>
  <c r="U24" i="78" s="1"/>
  <c r="R24" i="78"/>
  <c r="S24" i="78" s="1"/>
  <c r="H24" i="78"/>
  <c r="J24" i="78" s="1"/>
  <c r="X23" i="78"/>
  <c r="Y23" i="78" s="1"/>
  <c r="V23" i="78"/>
  <c r="W23" i="78" s="1"/>
  <c r="T23" i="78"/>
  <c r="U23" i="78" s="1"/>
  <c r="R23" i="78"/>
  <c r="S23" i="78" s="1"/>
  <c r="H23" i="78"/>
  <c r="J23" i="78" s="1"/>
  <c r="X22" i="78"/>
  <c r="Y22" i="78" s="1"/>
  <c r="V22" i="78"/>
  <c r="W22" i="78" s="1"/>
  <c r="T22" i="78"/>
  <c r="U22" i="78" s="1"/>
  <c r="R22" i="78"/>
  <c r="S22" i="78" s="1"/>
  <c r="H22" i="78"/>
  <c r="J22" i="78" s="1"/>
  <c r="X21" i="78"/>
  <c r="Y21" i="78" s="1"/>
  <c r="V21" i="78"/>
  <c r="W21" i="78" s="1"/>
  <c r="T21" i="78"/>
  <c r="U21" i="78" s="1"/>
  <c r="R21" i="78"/>
  <c r="S21" i="78" s="1"/>
  <c r="H21" i="78"/>
  <c r="J21" i="78" s="1"/>
  <c r="X20" i="78"/>
  <c r="Y20" i="78" s="1"/>
  <c r="V20" i="78"/>
  <c r="W20" i="78" s="1"/>
  <c r="T20" i="78"/>
  <c r="U20" i="78" s="1"/>
  <c r="R20" i="78"/>
  <c r="S20" i="78" s="1"/>
  <c r="L20" i="78"/>
  <c r="I25" i="78" s="1"/>
  <c r="X19" i="78"/>
  <c r="Y19" i="78" s="1"/>
  <c r="V19" i="78"/>
  <c r="W19" i="78" s="1"/>
  <c r="T19" i="78"/>
  <c r="U19" i="78" s="1"/>
  <c r="R19" i="78"/>
  <c r="S19" i="78" s="1"/>
  <c r="X18" i="78"/>
  <c r="Y18" i="78" s="1"/>
  <c r="V18" i="78"/>
  <c r="W18" i="78" s="1"/>
  <c r="T18" i="78"/>
  <c r="U18" i="78" s="1"/>
  <c r="R18" i="78"/>
  <c r="S18" i="78" s="1"/>
  <c r="H18" i="78"/>
  <c r="J18" i="78" s="1"/>
  <c r="X17" i="78"/>
  <c r="Y17" i="78" s="1"/>
  <c r="V17" i="78"/>
  <c r="W17" i="78" s="1"/>
  <c r="T17" i="78"/>
  <c r="U17" i="78" s="1"/>
  <c r="R17" i="78"/>
  <c r="S17" i="78" s="1"/>
  <c r="H17" i="78"/>
  <c r="J17" i="78" s="1"/>
  <c r="X16" i="78"/>
  <c r="Y16" i="78" s="1"/>
  <c r="V16" i="78"/>
  <c r="W16" i="78" s="1"/>
  <c r="T16" i="78"/>
  <c r="U16" i="78" s="1"/>
  <c r="R16" i="78"/>
  <c r="S16" i="78" s="1"/>
  <c r="H16" i="78"/>
  <c r="J16" i="78" s="1"/>
  <c r="X15" i="78"/>
  <c r="Y15" i="78" s="1"/>
  <c r="V15" i="78"/>
  <c r="W15" i="78" s="1"/>
  <c r="T15" i="78"/>
  <c r="U15" i="78" s="1"/>
  <c r="R15" i="78"/>
  <c r="S15" i="78" s="1"/>
  <c r="H15" i="78"/>
  <c r="J15" i="78" s="1"/>
  <c r="X14" i="78"/>
  <c r="Y14" i="78" s="1"/>
  <c r="V14" i="78"/>
  <c r="W14" i="78" s="1"/>
  <c r="T14" i="78"/>
  <c r="U14" i="78" s="1"/>
  <c r="R14" i="78"/>
  <c r="S14" i="78" s="1"/>
  <c r="H14" i="78"/>
  <c r="J14" i="78" s="1"/>
  <c r="X13" i="78"/>
  <c r="Y13" i="78" s="1"/>
  <c r="V13" i="78"/>
  <c r="W13" i="78" s="1"/>
  <c r="T13" i="78"/>
  <c r="U13" i="78" s="1"/>
  <c r="R13" i="78"/>
  <c r="S13" i="78" s="1"/>
  <c r="L13" i="78"/>
  <c r="I18" i="78" s="1"/>
  <c r="X12" i="78"/>
  <c r="Y12" i="78" s="1"/>
  <c r="V12" i="78"/>
  <c r="W12" i="78" s="1"/>
  <c r="T12" i="78"/>
  <c r="U12" i="78" s="1"/>
  <c r="R12" i="78"/>
  <c r="S12" i="78" s="1"/>
  <c r="X11" i="78"/>
  <c r="Y11" i="78" s="1"/>
  <c r="V11" i="78"/>
  <c r="W11" i="78" s="1"/>
  <c r="T11" i="78"/>
  <c r="U11" i="78" s="1"/>
  <c r="R11" i="78"/>
  <c r="S11" i="78" s="1"/>
  <c r="H11" i="78"/>
  <c r="J11" i="78" s="1"/>
  <c r="X10" i="78"/>
  <c r="Y10" i="78" s="1"/>
  <c r="V10" i="78"/>
  <c r="W10" i="78" s="1"/>
  <c r="T10" i="78"/>
  <c r="U10" i="78" s="1"/>
  <c r="R10" i="78"/>
  <c r="S10" i="78" s="1"/>
  <c r="H10" i="78"/>
  <c r="J10" i="78" s="1"/>
  <c r="X9" i="78"/>
  <c r="Y9" i="78" s="1"/>
  <c r="V9" i="78"/>
  <c r="W9" i="78" s="1"/>
  <c r="T9" i="78"/>
  <c r="U9" i="78" s="1"/>
  <c r="R9" i="78"/>
  <c r="S9" i="78" s="1"/>
  <c r="H9" i="78"/>
  <c r="J9" i="78" s="1"/>
  <c r="X8" i="78"/>
  <c r="Y8" i="78" s="1"/>
  <c r="V8" i="78"/>
  <c r="W8" i="78" s="1"/>
  <c r="T8" i="78"/>
  <c r="U8" i="78" s="1"/>
  <c r="R8" i="78"/>
  <c r="S8" i="78" s="1"/>
  <c r="H8" i="78"/>
  <c r="J8" i="78" s="1"/>
  <c r="X7" i="78"/>
  <c r="Y7" i="78" s="1"/>
  <c r="V7" i="78"/>
  <c r="W7" i="78" s="1"/>
  <c r="T7" i="78"/>
  <c r="U7" i="78" s="1"/>
  <c r="R7" i="78"/>
  <c r="S7" i="78" s="1"/>
  <c r="H7" i="78"/>
  <c r="J7" i="78" s="1"/>
  <c r="L6" i="78"/>
  <c r="I11" i="78" s="1"/>
  <c r="H1" i="78"/>
  <c r="F1" i="78"/>
  <c r="Q30" i="79" l="1"/>
  <c r="Q28" i="79"/>
  <c r="AG15" i="44"/>
  <c r="AG8" i="44"/>
  <c r="AG20" i="44"/>
  <c r="AG18" i="44"/>
  <c r="Q32" i="79"/>
  <c r="H135" i="80"/>
  <c r="B309" i="80" s="1"/>
  <c r="B306" i="80"/>
  <c r="B308" i="80"/>
  <c r="B307" i="80"/>
  <c r="B310" i="80"/>
  <c r="B311" i="80"/>
  <c r="AG7" i="44" s="1"/>
  <c r="Q25" i="78"/>
  <c r="Q30" i="78"/>
  <c r="Q32" i="78"/>
  <c r="Q18" i="79"/>
  <c r="Q15" i="78"/>
  <c r="Q17" i="78"/>
  <c r="Q22" i="78"/>
  <c r="Q7" i="79"/>
  <c r="Q9" i="79"/>
  <c r="Q14" i="79"/>
  <c r="Q29" i="79"/>
  <c r="Q31" i="79"/>
  <c r="Q11" i="79"/>
  <c r="Q15" i="79"/>
  <c r="K7" i="79"/>
  <c r="L7" i="79" s="1"/>
  <c r="Q8" i="79"/>
  <c r="K9" i="79"/>
  <c r="L9" i="79" s="1"/>
  <c r="Q10" i="79"/>
  <c r="K11" i="79"/>
  <c r="L11" i="79" s="1"/>
  <c r="K14" i="79"/>
  <c r="L14" i="79" s="1"/>
  <c r="K16" i="79"/>
  <c r="L16" i="79" s="1"/>
  <c r="K17" i="79"/>
  <c r="L17" i="79" s="1"/>
  <c r="K18" i="79"/>
  <c r="L18" i="79" s="1"/>
  <c r="L8" i="79"/>
  <c r="K8" i="79"/>
  <c r="K10" i="79"/>
  <c r="L10" i="79" s="1"/>
  <c r="K15" i="79"/>
  <c r="L15" i="79" s="1"/>
  <c r="I14" i="79"/>
  <c r="I7" i="79"/>
  <c r="I8" i="79"/>
  <c r="I9" i="79"/>
  <c r="I10" i="79"/>
  <c r="K21" i="79"/>
  <c r="L21" i="79" s="1"/>
  <c r="K22" i="79"/>
  <c r="L22" i="79" s="1"/>
  <c r="K23" i="79"/>
  <c r="L23" i="79" s="1"/>
  <c r="K24" i="79"/>
  <c r="L24" i="79" s="1"/>
  <c r="K25" i="79"/>
  <c r="L25" i="79" s="1"/>
  <c r="I15" i="79"/>
  <c r="I16" i="79"/>
  <c r="I17" i="79"/>
  <c r="I26" i="79"/>
  <c r="I25" i="79"/>
  <c r="I24" i="79"/>
  <c r="I21" i="79"/>
  <c r="I22" i="79"/>
  <c r="I23" i="79"/>
  <c r="K28" i="79"/>
  <c r="L28" i="79" s="1"/>
  <c r="K29" i="79"/>
  <c r="L29" i="79" s="1"/>
  <c r="K30" i="79"/>
  <c r="L30" i="79" s="1"/>
  <c r="K31" i="79"/>
  <c r="L31" i="79" s="1"/>
  <c r="K32" i="79"/>
  <c r="L32" i="79" s="1"/>
  <c r="I28" i="79"/>
  <c r="I29" i="79"/>
  <c r="I30" i="79"/>
  <c r="I31" i="79"/>
  <c r="E113" i="79"/>
  <c r="E128" i="79"/>
  <c r="E151" i="79"/>
  <c r="E166" i="79"/>
  <c r="E133" i="78"/>
  <c r="E128" i="78"/>
  <c r="E119" i="78"/>
  <c r="Q23" i="78"/>
  <c r="Q14" i="78"/>
  <c r="Q16" i="78"/>
  <c r="Q18" i="78"/>
  <c r="Q31" i="78"/>
  <c r="Q8" i="78"/>
  <c r="Q10" i="78"/>
  <c r="Q29" i="78"/>
  <c r="K9" i="78"/>
  <c r="L9" i="78" s="1"/>
  <c r="K11" i="78"/>
  <c r="L11" i="78" s="1"/>
  <c r="K14" i="78"/>
  <c r="L14" i="78" s="1"/>
  <c r="K15" i="78"/>
  <c r="L15" i="78" s="1"/>
  <c r="K16" i="78"/>
  <c r="L16" i="78" s="1"/>
  <c r="K17" i="78"/>
  <c r="L17" i="78" s="1"/>
  <c r="K18" i="78"/>
  <c r="L18" i="78" s="1"/>
  <c r="Q21" i="78"/>
  <c r="K7" i="78"/>
  <c r="L7" i="78" s="1"/>
  <c r="Q7" i="78"/>
  <c r="K8" i="78"/>
  <c r="L8" i="78" s="1"/>
  <c r="Q9" i="78"/>
  <c r="K10" i="78"/>
  <c r="L10" i="78" s="1"/>
  <c r="Q11" i="78"/>
  <c r="K21" i="78"/>
  <c r="L21" i="78" s="1"/>
  <c r="K22" i="78"/>
  <c r="L22" i="78" s="1"/>
  <c r="K23" i="78"/>
  <c r="L23" i="78" s="1"/>
  <c r="K24" i="78"/>
  <c r="L24" i="78" s="1"/>
  <c r="I17" i="78"/>
  <c r="Q24" i="78"/>
  <c r="Q28" i="78"/>
  <c r="K29" i="78"/>
  <c r="L29" i="78" s="1"/>
  <c r="K30" i="78"/>
  <c r="L30" i="78" s="1"/>
  <c r="K31" i="78"/>
  <c r="L31" i="78" s="1"/>
  <c r="K32" i="78"/>
  <c r="L32" i="78" s="1"/>
  <c r="I10" i="78"/>
  <c r="I24" i="78"/>
  <c r="K25" i="78"/>
  <c r="L25" i="78" s="1"/>
  <c r="I26" i="78"/>
  <c r="K28" i="78"/>
  <c r="L28" i="78" s="1"/>
  <c r="C6" i="22"/>
  <c r="C8" i="22"/>
  <c r="C9" i="22"/>
  <c r="C10" i="22"/>
  <c r="C7" i="22"/>
  <c r="AG33" i="44" l="1"/>
  <c r="AG57" i="44"/>
  <c r="AG52" i="44"/>
  <c r="AG23" i="44"/>
  <c r="AG22" i="44"/>
  <c r="AG42" i="44"/>
  <c r="AG24" i="44"/>
  <c r="AG47" i="44"/>
  <c r="AG21" i="44"/>
  <c r="AG56" i="44"/>
  <c r="AG46" i="44"/>
  <c r="AG10" i="44"/>
  <c r="AG55" i="44"/>
  <c r="AG37" i="44"/>
  <c r="AG19" i="44"/>
  <c r="AG51" i="44"/>
  <c r="AG38" i="44"/>
  <c r="AG58" i="44"/>
  <c r="AG36" i="44"/>
  <c r="AG28" i="44"/>
  <c r="AG30" i="44"/>
  <c r="AG44" i="44"/>
  <c r="AG39" i="44"/>
  <c r="AG50" i="44"/>
  <c r="AG27" i="44"/>
  <c r="AG11" i="44"/>
  <c r="AG60" i="44"/>
  <c r="AG32" i="44"/>
  <c r="AG53" i="44"/>
  <c r="AG34" i="44"/>
  <c r="AG48" i="44"/>
  <c r="AG31" i="44"/>
  <c r="AG14" i="44"/>
  <c r="AG49" i="44"/>
  <c r="AG62" i="44"/>
  <c r="AG41" i="44"/>
  <c r="AG45" i="44"/>
  <c r="AG54" i="44"/>
  <c r="AG26" i="44"/>
  <c r="AG40" i="44"/>
  <c r="B152" i="79"/>
  <c r="B148" i="79"/>
  <c r="B116" i="79"/>
  <c r="B112" i="79"/>
  <c r="B110" i="79"/>
  <c r="B108" i="79"/>
  <c r="B106" i="79"/>
  <c r="B104" i="79"/>
  <c r="B102" i="79"/>
  <c r="B144" i="79"/>
  <c r="B142" i="79"/>
  <c r="B140" i="79"/>
  <c r="C140" i="79" s="1"/>
  <c r="B114" i="79"/>
  <c r="I30" i="78"/>
  <c r="I28" i="78"/>
  <c r="I31" i="78"/>
  <c r="I29" i="78"/>
  <c r="I22" i="78"/>
  <c r="I21" i="78"/>
  <c r="I23" i="78"/>
  <c r="I7" i="78"/>
  <c r="I8" i="78"/>
  <c r="I15" i="78"/>
  <c r="I14" i="78"/>
  <c r="I16" i="78"/>
  <c r="I9" i="78"/>
  <c r="C104" i="79" l="1"/>
  <c r="C142" i="79"/>
  <c r="C141" i="79" s="1"/>
  <c r="C102" i="79"/>
  <c r="C161" i="79"/>
  <c r="B152" i="78"/>
  <c r="B144" i="78"/>
  <c r="B142" i="78"/>
  <c r="B140" i="78"/>
  <c r="B114" i="78"/>
  <c r="B112" i="78"/>
  <c r="B110" i="78"/>
  <c r="B108" i="78"/>
  <c r="B106" i="78"/>
  <c r="B104" i="78"/>
  <c r="B102" i="78"/>
  <c r="B148" i="78"/>
  <c r="B116" i="78"/>
  <c r="M66" i="1"/>
  <c r="Q28" i="33"/>
  <c r="Q29" i="33"/>
  <c r="Q30" i="33"/>
  <c r="Q31" i="33"/>
  <c r="Q34" i="33"/>
  <c r="Q13" i="33"/>
  <c r="Q12" i="33"/>
  <c r="Q9" i="33"/>
  <c r="Q7" i="33"/>
  <c r="Q23" i="33"/>
  <c r="Q17" i="33"/>
  <c r="Q14" i="33"/>
  <c r="Q18" i="33"/>
  <c r="Q19" i="33"/>
  <c r="Q25" i="33"/>
  <c r="Q8" i="33"/>
  <c r="Q20" i="33"/>
  <c r="Q15" i="33"/>
  <c r="Q16" i="33"/>
  <c r="Q26" i="33"/>
  <c r="Q10" i="33"/>
  <c r="Q21" i="33"/>
  <c r="Q27" i="33"/>
  <c r="Q22" i="33"/>
  <c r="Q24" i="33"/>
  <c r="Q11" i="33"/>
  <c r="B43" i="76"/>
  <c r="B41" i="76"/>
  <c r="B39" i="76"/>
  <c r="B37" i="76"/>
  <c r="B26" i="76"/>
  <c r="B24" i="76"/>
  <c r="B22" i="76"/>
  <c r="B20" i="76"/>
  <c r="C102" i="78" l="1"/>
  <c r="C142" i="78"/>
  <c r="C104" i="78"/>
  <c r="C140" i="78"/>
  <c r="C141" i="78" s="1"/>
  <c r="E145" i="79"/>
  <c r="E141" i="79"/>
  <c r="C103" i="79"/>
  <c r="C123" i="79"/>
  <c r="E161" i="79"/>
  <c r="E163" i="79"/>
  <c r="C165" i="78"/>
  <c r="E157" i="78"/>
  <c r="C163" i="78"/>
  <c r="C167" i="78"/>
  <c r="A4" i="76"/>
  <c r="A3" i="76"/>
  <c r="A2" i="76"/>
  <c r="H1" i="76"/>
  <c r="F1" i="76"/>
  <c r="E167" i="78" l="1"/>
  <c r="C161" i="78"/>
  <c r="E161" i="78" s="1"/>
  <c r="E163" i="78"/>
  <c r="E165" i="78"/>
  <c r="E145" i="78"/>
  <c r="E141" i="78"/>
  <c r="C123" i="78"/>
  <c r="C103" i="78"/>
  <c r="E123" i="79"/>
  <c r="E125" i="79"/>
  <c r="E155" i="79"/>
  <c r="E143" i="79"/>
  <c r="E169" i="79"/>
  <c r="E162" i="79"/>
  <c r="E107" i="79"/>
  <c r="E103" i="79"/>
  <c r="E171" i="78"/>
  <c r="E166" i="78" l="1"/>
  <c r="E123" i="78"/>
  <c r="E125" i="78"/>
  <c r="E107" i="78"/>
  <c r="E103" i="78"/>
  <c r="E143" i="78"/>
  <c r="E155" i="78"/>
  <c r="E162" i="78"/>
  <c r="G162" i="78" s="1"/>
  <c r="G169" i="79"/>
  <c r="G171" i="79"/>
  <c r="E105" i="79"/>
  <c r="E117" i="79"/>
  <c r="G162" i="79"/>
  <c r="G166" i="79"/>
  <c r="G143" i="79"/>
  <c r="G151" i="79"/>
  <c r="G155" i="79"/>
  <c r="G157" i="79"/>
  <c r="E131" i="79"/>
  <c r="E124" i="79"/>
  <c r="E169" i="78"/>
  <c r="G169" i="78" s="1"/>
  <c r="C28" i="76"/>
  <c r="F29" i="76" s="1"/>
  <c r="C42" i="76"/>
  <c r="F40" i="76" s="1"/>
  <c r="C47" i="76"/>
  <c r="F49" i="76" s="1"/>
  <c r="C25" i="76"/>
  <c r="F26" i="76" s="1"/>
  <c r="C38" i="76"/>
  <c r="F43" i="76" s="1"/>
  <c r="B301" i="76"/>
  <c r="B302" i="76"/>
  <c r="C45" i="76"/>
  <c r="F46" i="76" s="1"/>
  <c r="C30" i="76"/>
  <c r="F32" i="76" s="1"/>
  <c r="C21" i="76"/>
  <c r="F23" i="76" s="1"/>
  <c r="B300" i="76" s="1"/>
  <c r="AI4" i="44"/>
  <c r="AH4" i="44"/>
  <c r="AI6" i="44"/>
  <c r="E40" i="3"/>
  <c r="E37" i="3"/>
  <c r="A1" i="81" s="1"/>
  <c r="I40" i="3" l="1"/>
  <c r="E124" i="78"/>
  <c r="G128" i="78" s="1"/>
  <c r="G157" i="78"/>
  <c r="G155" i="78"/>
  <c r="E117" i="78"/>
  <c r="E105" i="78"/>
  <c r="E131" i="78"/>
  <c r="G151" i="78"/>
  <c r="G143" i="78"/>
  <c r="G124" i="78"/>
  <c r="G124" i="79"/>
  <c r="G128" i="79"/>
  <c r="G117" i="79"/>
  <c r="G119" i="79"/>
  <c r="G131" i="79"/>
  <c r="G133" i="79"/>
  <c r="H159" i="79"/>
  <c r="H156" i="79"/>
  <c r="H152" i="79"/>
  <c r="H147" i="79"/>
  <c r="H167" i="79"/>
  <c r="H164" i="79"/>
  <c r="G105" i="79"/>
  <c r="G113" i="79"/>
  <c r="H173" i="79"/>
  <c r="H170" i="79"/>
  <c r="G171" i="78"/>
  <c r="H170" i="78" s="1"/>
  <c r="G166" i="78"/>
  <c r="H167" i="78" s="1"/>
  <c r="H173" i="78"/>
  <c r="B307" i="76"/>
  <c r="B304" i="76"/>
  <c r="B305" i="76"/>
  <c r="B306" i="76"/>
  <c r="B303" i="76"/>
  <c r="I33" i="75"/>
  <c r="C300" i="75"/>
  <c r="C301" i="75" s="1"/>
  <c r="C302" i="75" s="1"/>
  <c r="C303" i="75" s="1"/>
  <c r="C304" i="75" s="1"/>
  <c r="C305" i="75" s="1"/>
  <c r="C306" i="75" s="1"/>
  <c r="C307" i="75" s="1"/>
  <c r="C308" i="75" s="1"/>
  <c r="C309" i="75" s="1"/>
  <c r="C310" i="75" s="1"/>
  <c r="Y25" i="75"/>
  <c r="Z25" i="75" s="1"/>
  <c r="W25" i="75"/>
  <c r="X25" i="75" s="1"/>
  <c r="U25" i="75"/>
  <c r="V25" i="75" s="1"/>
  <c r="S25" i="75"/>
  <c r="T25" i="75" s="1"/>
  <c r="H25" i="75"/>
  <c r="J25" i="75" s="1"/>
  <c r="Y24" i="75"/>
  <c r="Z24" i="75" s="1"/>
  <c r="W24" i="75"/>
  <c r="X24" i="75" s="1"/>
  <c r="U24" i="75"/>
  <c r="S24" i="75"/>
  <c r="H24" i="75"/>
  <c r="J24" i="75" s="1"/>
  <c r="Y23" i="75"/>
  <c r="Z23" i="75" s="1"/>
  <c r="W23" i="75"/>
  <c r="X23" i="75" s="1"/>
  <c r="U23" i="75"/>
  <c r="S23" i="75"/>
  <c r="H23" i="75"/>
  <c r="J23" i="75" s="1"/>
  <c r="Y22" i="75"/>
  <c r="Z22" i="75" s="1"/>
  <c r="W22" i="75"/>
  <c r="X22" i="75" s="1"/>
  <c r="U22" i="75"/>
  <c r="S22" i="75"/>
  <c r="H22" i="75"/>
  <c r="J22" i="75" s="1"/>
  <c r="Y21" i="75"/>
  <c r="Z21" i="75" s="1"/>
  <c r="W21" i="75"/>
  <c r="X21" i="75" s="1"/>
  <c r="U21" i="75"/>
  <c r="S21" i="75"/>
  <c r="H21" i="75"/>
  <c r="J21" i="75" s="1"/>
  <c r="M20" i="75"/>
  <c r="Y18" i="75"/>
  <c r="Z18" i="75" s="1"/>
  <c r="W18" i="75"/>
  <c r="X18" i="75" s="1"/>
  <c r="U18" i="75"/>
  <c r="V18" i="75" s="1"/>
  <c r="S18" i="75"/>
  <c r="T18" i="75" s="1"/>
  <c r="H18" i="75"/>
  <c r="J18" i="75" s="1"/>
  <c r="Y17" i="75"/>
  <c r="Z17" i="75" s="1"/>
  <c r="W17" i="75"/>
  <c r="X17" i="75" s="1"/>
  <c r="U17" i="75"/>
  <c r="S17" i="75"/>
  <c r="H17" i="75"/>
  <c r="J17" i="75" s="1"/>
  <c r="Y16" i="75"/>
  <c r="Z16" i="75" s="1"/>
  <c r="W16" i="75"/>
  <c r="X16" i="75" s="1"/>
  <c r="U16" i="75"/>
  <c r="S16" i="75"/>
  <c r="H16" i="75"/>
  <c r="J16" i="75" s="1"/>
  <c r="Y15" i="75"/>
  <c r="Z15" i="75" s="1"/>
  <c r="W15" i="75"/>
  <c r="X15" i="75" s="1"/>
  <c r="U15" i="75"/>
  <c r="S15" i="75"/>
  <c r="H15" i="75"/>
  <c r="J15" i="75" s="1"/>
  <c r="Y14" i="75"/>
  <c r="Z14" i="75" s="1"/>
  <c r="W14" i="75"/>
  <c r="X14" i="75" s="1"/>
  <c r="U14" i="75"/>
  <c r="S14" i="75"/>
  <c r="H14" i="75"/>
  <c r="J14" i="75" s="1"/>
  <c r="M13" i="75"/>
  <c r="Y11" i="75"/>
  <c r="Z11" i="75" s="1"/>
  <c r="W11" i="75"/>
  <c r="X11" i="75" s="1"/>
  <c r="U11" i="75"/>
  <c r="V11" i="75" s="1"/>
  <c r="S11" i="75"/>
  <c r="T11" i="75" s="1"/>
  <c r="H11" i="75"/>
  <c r="J11" i="75" s="1"/>
  <c r="Y10" i="75"/>
  <c r="Z10" i="75" s="1"/>
  <c r="W10" i="75"/>
  <c r="X10" i="75" s="1"/>
  <c r="U10" i="75"/>
  <c r="V10" i="75" s="1"/>
  <c r="S10" i="75"/>
  <c r="T10" i="75" s="1"/>
  <c r="H10" i="75"/>
  <c r="J10" i="75" s="1"/>
  <c r="Y9" i="75"/>
  <c r="Z9" i="75" s="1"/>
  <c r="W9" i="75"/>
  <c r="X9" i="75" s="1"/>
  <c r="U9" i="75"/>
  <c r="S9" i="75"/>
  <c r="H9" i="75"/>
  <c r="J9" i="75" s="1"/>
  <c r="Y8" i="75"/>
  <c r="Z8" i="75" s="1"/>
  <c r="W8" i="75"/>
  <c r="X8" i="75" s="1"/>
  <c r="U8" i="75"/>
  <c r="S8" i="75"/>
  <c r="H8" i="75"/>
  <c r="J8" i="75" s="1"/>
  <c r="Y7" i="75"/>
  <c r="Z7" i="75" s="1"/>
  <c r="W7" i="75"/>
  <c r="X7" i="75" s="1"/>
  <c r="U7" i="75"/>
  <c r="S7" i="75"/>
  <c r="H7" i="75"/>
  <c r="J7" i="75" s="1"/>
  <c r="M6" i="75"/>
  <c r="H1" i="75"/>
  <c r="F1" i="75"/>
  <c r="H164" i="78" l="1"/>
  <c r="H126" i="78"/>
  <c r="H129" i="78"/>
  <c r="G113" i="78"/>
  <c r="G105" i="78"/>
  <c r="H156" i="78"/>
  <c r="H159" i="78"/>
  <c r="H152" i="78"/>
  <c r="H147" i="78"/>
  <c r="G131" i="78"/>
  <c r="G133" i="78"/>
  <c r="G117" i="78"/>
  <c r="G119" i="78"/>
  <c r="H114" i="79"/>
  <c r="H109" i="79"/>
  <c r="H135" i="79"/>
  <c r="H132" i="79"/>
  <c r="H121" i="79"/>
  <c r="H118" i="79"/>
  <c r="H129" i="79"/>
  <c r="H126" i="79"/>
  <c r="R18" i="75"/>
  <c r="R25" i="75"/>
  <c r="R11" i="75"/>
  <c r="L9" i="75"/>
  <c r="K9" i="75"/>
  <c r="M9" i="75" s="1"/>
  <c r="K10" i="75"/>
  <c r="L10" i="75"/>
  <c r="K14" i="75"/>
  <c r="M14" i="75" s="1"/>
  <c r="K15" i="75"/>
  <c r="L15" i="75"/>
  <c r="L18" i="75"/>
  <c r="K18" i="75"/>
  <c r="M18" i="75" s="1"/>
  <c r="L23" i="75"/>
  <c r="K23" i="75"/>
  <c r="M23" i="75" s="1"/>
  <c r="K24" i="75"/>
  <c r="L24" i="75"/>
  <c r="L7" i="75"/>
  <c r="K7" i="75"/>
  <c r="K8" i="75"/>
  <c r="L8" i="75"/>
  <c r="R10" i="75"/>
  <c r="L11" i="75"/>
  <c r="K11" i="75"/>
  <c r="L16" i="75"/>
  <c r="K16" i="75"/>
  <c r="K17" i="75"/>
  <c r="M17" i="75" s="1"/>
  <c r="L17" i="75"/>
  <c r="L21" i="75"/>
  <c r="K21" i="75"/>
  <c r="K22" i="75"/>
  <c r="L22" i="75"/>
  <c r="L25" i="75"/>
  <c r="K25" i="75"/>
  <c r="M25" i="75" s="1"/>
  <c r="I25" i="75" s="1"/>
  <c r="H118" i="78" l="1"/>
  <c r="H121" i="78"/>
  <c r="H135" i="78"/>
  <c r="H132" i="78"/>
  <c r="H109" i="78"/>
  <c r="H114" i="78"/>
  <c r="M7" i="75"/>
  <c r="M21" i="75"/>
  <c r="M10" i="75"/>
  <c r="M16" i="75"/>
  <c r="M11" i="75"/>
  <c r="I11" i="75" s="1"/>
  <c r="M22" i="75"/>
  <c r="M24" i="75"/>
  <c r="M15" i="75"/>
  <c r="I17" i="75" s="1"/>
  <c r="M8" i="75"/>
  <c r="I8" i="75" s="1"/>
  <c r="I21" i="75"/>
  <c r="I23" i="75"/>
  <c r="I18" i="75"/>
  <c r="I14" i="75"/>
  <c r="I24" i="75"/>
  <c r="I15" i="75"/>
  <c r="I10" i="75"/>
  <c r="C300" i="74"/>
  <c r="B301" i="78" l="1"/>
  <c r="B303" i="78"/>
  <c r="B305" i="78"/>
  <c r="B307" i="78"/>
  <c r="B309" i="78"/>
  <c r="B311" i="78"/>
  <c r="B313" i="78"/>
  <c r="B315" i="78"/>
  <c r="B302" i="78"/>
  <c r="B304" i="78"/>
  <c r="B306" i="78"/>
  <c r="B308" i="78"/>
  <c r="B310" i="78"/>
  <c r="B312" i="78"/>
  <c r="B314" i="78"/>
  <c r="B300" i="78"/>
  <c r="I9" i="75"/>
  <c r="I22" i="75"/>
  <c r="I16" i="75"/>
  <c r="I7" i="75"/>
  <c r="B104" i="75" s="1"/>
  <c r="B106" i="75" l="1"/>
  <c r="B108" i="75"/>
  <c r="B116" i="75"/>
  <c r="C116" i="75" s="1"/>
  <c r="C102" i="75"/>
  <c r="B110" i="75"/>
  <c r="B112" i="75"/>
  <c r="B154" i="75"/>
  <c r="B144" i="75"/>
  <c r="B140" i="75"/>
  <c r="B150" i="75"/>
  <c r="B146" i="75"/>
  <c r="C114" i="75"/>
  <c r="C154" i="75" l="1"/>
  <c r="C148" i="75"/>
  <c r="C140" i="75"/>
  <c r="C127" i="75"/>
  <c r="C125" i="75"/>
  <c r="C104" i="75"/>
  <c r="C123" i="75" s="1"/>
  <c r="C142" i="75"/>
  <c r="C161" i="75" s="1"/>
  <c r="C150" i="75"/>
  <c r="C152" i="75"/>
  <c r="C129" i="75"/>
  <c r="C115" i="75"/>
  <c r="C111" i="75"/>
  <c r="C141" i="75" l="1"/>
  <c r="C149" i="75"/>
  <c r="C165" i="75"/>
  <c r="E129" i="75"/>
  <c r="C107" i="75"/>
  <c r="E125" i="75"/>
  <c r="C103" i="75"/>
  <c r="E123" i="75"/>
  <c r="E131" i="75" s="1"/>
  <c r="E161" i="75"/>
  <c r="C167" i="75"/>
  <c r="C153" i="75"/>
  <c r="C145" i="75"/>
  <c r="C163" i="75"/>
  <c r="E163" i="75" s="1"/>
  <c r="E124" i="75"/>
  <c r="E117" i="75"/>
  <c r="E127" i="75"/>
  <c r="E157" i="75" l="1"/>
  <c r="E167" i="75"/>
  <c r="E151" i="75"/>
  <c r="E165" i="75"/>
  <c r="E171" i="75" s="1"/>
  <c r="E169" i="75"/>
  <c r="G169" i="75" s="1"/>
  <c r="E162" i="75"/>
  <c r="E105" i="75"/>
  <c r="E119" i="75"/>
  <c r="E113" i="75"/>
  <c r="E133" i="75"/>
  <c r="E128" i="75"/>
  <c r="E166" i="75" l="1"/>
  <c r="G162" i="75" s="1"/>
  <c r="G171" i="75"/>
  <c r="H173" i="75" s="1"/>
  <c r="G166" i="75"/>
  <c r="E143" i="75"/>
  <c r="E155" i="75"/>
  <c r="H152" i="75"/>
  <c r="G133" i="75"/>
  <c r="G131" i="75"/>
  <c r="H167" i="75" l="1"/>
  <c r="H170" i="75"/>
  <c r="H147" i="75"/>
  <c r="H159" i="75"/>
  <c r="H164" i="75"/>
  <c r="H114" i="75"/>
  <c r="H109" i="75"/>
  <c r="B301" i="75" s="1"/>
  <c r="H129" i="75"/>
  <c r="H126" i="75"/>
  <c r="H135" i="75"/>
  <c r="H132" i="75"/>
  <c r="H121" i="75"/>
  <c r="H118" i="75"/>
  <c r="Y7" i="74"/>
  <c r="Y8" i="74"/>
  <c r="Y9" i="74"/>
  <c r="Y10" i="74"/>
  <c r="Y11" i="74"/>
  <c r="Y14" i="74"/>
  <c r="Y15" i="74"/>
  <c r="Y16" i="74"/>
  <c r="Y17" i="74"/>
  <c r="Y18" i="74"/>
  <c r="Y21" i="74"/>
  <c r="Y22" i="74"/>
  <c r="Y23" i="74"/>
  <c r="Y24" i="74"/>
  <c r="Y25" i="74"/>
  <c r="Y28" i="74"/>
  <c r="Y29" i="74"/>
  <c r="Y30" i="74"/>
  <c r="Y31" i="74"/>
  <c r="Y32" i="74"/>
  <c r="Y35" i="74"/>
  <c r="Y36" i="74"/>
  <c r="Y37" i="74"/>
  <c r="Y38" i="74"/>
  <c r="W7" i="74"/>
  <c r="W8" i="74"/>
  <c r="W9" i="74"/>
  <c r="W10" i="74"/>
  <c r="W11" i="74"/>
  <c r="W14" i="74"/>
  <c r="W15" i="74"/>
  <c r="W16" i="74"/>
  <c r="W17" i="74"/>
  <c r="W18" i="74"/>
  <c r="W21" i="74"/>
  <c r="W22" i="74"/>
  <c r="W23" i="74"/>
  <c r="W24" i="74"/>
  <c r="W25" i="74"/>
  <c r="W28" i="74"/>
  <c r="W29" i="74"/>
  <c r="W30" i="74"/>
  <c r="W31" i="74"/>
  <c r="W32" i="74"/>
  <c r="W35" i="74"/>
  <c r="W36" i="74"/>
  <c r="W37" i="74"/>
  <c r="X37" i="74" s="1"/>
  <c r="U7" i="74"/>
  <c r="U8" i="74"/>
  <c r="U9" i="74"/>
  <c r="U10" i="74"/>
  <c r="U11" i="74"/>
  <c r="U14" i="74"/>
  <c r="U15" i="74"/>
  <c r="U16" i="74"/>
  <c r="U17" i="74"/>
  <c r="U18" i="74"/>
  <c r="U21" i="74"/>
  <c r="U22" i="74"/>
  <c r="U23" i="74"/>
  <c r="U24" i="74"/>
  <c r="U25" i="74"/>
  <c r="U28" i="74"/>
  <c r="U29" i="74"/>
  <c r="U30" i="74"/>
  <c r="U31" i="74"/>
  <c r="U32" i="74"/>
  <c r="U35" i="74"/>
  <c r="U36" i="74"/>
  <c r="U37" i="74"/>
  <c r="S14" i="74"/>
  <c r="S15" i="74"/>
  <c r="S16" i="74"/>
  <c r="S17" i="74"/>
  <c r="S18" i="74"/>
  <c r="S21" i="74"/>
  <c r="S22" i="74"/>
  <c r="S23" i="74"/>
  <c r="S24" i="74"/>
  <c r="S25" i="74"/>
  <c r="S28" i="74"/>
  <c r="S29" i="74"/>
  <c r="S30" i="74"/>
  <c r="S31" i="74"/>
  <c r="S32" i="74"/>
  <c r="S35" i="74"/>
  <c r="S36" i="74"/>
  <c r="S37" i="74"/>
  <c r="S38" i="74"/>
  <c r="S39" i="74"/>
  <c r="S7" i="74"/>
  <c r="S8" i="74"/>
  <c r="S9" i="74"/>
  <c r="S10" i="74"/>
  <c r="C301" i="74"/>
  <c r="C302" i="74" s="1"/>
  <c r="C303" i="74" s="1"/>
  <c r="C304" i="74" s="1"/>
  <c r="C305" i="74" s="1"/>
  <c r="C306" i="74" s="1"/>
  <c r="C307" i="74" s="1"/>
  <c r="C308" i="74" s="1"/>
  <c r="C309" i="74" s="1"/>
  <c r="C310" i="74" s="1"/>
  <c r="C311" i="74" s="1"/>
  <c r="C312" i="74" s="1"/>
  <c r="C313" i="74" s="1"/>
  <c r="C314" i="74" s="1"/>
  <c r="C315" i="74" s="1"/>
  <c r="C316" i="74" s="1"/>
  <c r="C317" i="74" s="1"/>
  <c r="C318" i="74" s="1"/>
  <c r="C319" i="74" s="1"/>
  <c r="Z39" i="74"/>
  <c r="Y39" i="74"/>
  <c r="X39" i="74"/>
  <c r="W39" i="74"/>
  <c r="V39" i="74"/>
  <c r="U39" i="74"/>
  <c r="T39" i="74"/>
  <c r="R39" i="74" s="1"/>
  <c r="H39" i="74"/>
  <c r="J39" i="74" s="1"/>
  <c r="Z38" i="74"/>
  <c r="W38" i="74"/>
  <c r="X38" i="74" s="1"/>
  <c r="U38" i="74"/>
  <c r="H38" i="74"/>
  <c r="J38" i="74" s="1"/>
  <c r="Z37" i="74"/>
  <c r="V37" i="74"/>
  <c r="H37" i="74"/>
  <c r="J37" i="74" s="1"/>
  <c r="Z36" i="74"/>
  <c r="X36" i="74"/>
  <c r="H36" i="74"/>
  <c r="J36" i="74" s="1"/>
  <c r="Z35" i="74"/>
  <c r="X35" i="74"/>
  <c r="J35" i="74"/>
  <c r="L35" i="74" s="1"/>
  <c r="H35" i="74"/>
  <c r="M34" i="74"/>
  <c r="Z32" i="74"/>
  <c r="X32" i="74"/>
  <c r="V32" i="74"/>
  <c r="T32" i="74"/>
  <c r="H32" i="74"/>
  <c r="J32" i="74" s="1"/>
  <c r="Z31" i="74"/>
  <c r="X31" i="74"/>
  <c r="J31" i="74"/>
  <c r="H31" i="74"/>
  <c r="Z30" i="74"/>
  <c r="X30" i="74"/>
  <c r="H30" i="74"/>
  <c r="J30" i="74" s="1"/>
  <c r="Z29" i="74"/>
  <c r="X29" i="74"/>
  <c r="J29" i="74"/>
  <c r="H29" i="74"/>
  <c r="Z28" i="74"/>
  <c r="X28" i="74"/>
  <c r="H28" i="74"/>
  <c r="J28" i="74" s="1"/>
  <c r="M27" i="74"/>
  <c r="I33" i="74" s="1"/>
  <c r="Z25" i="74"/>
  <c r="X25" i="74"/>
  <c r="H25" i="74"/>
  <c r="J25" i="74" s="1"/>
  <c r="Z24" i="74"/>
  <c r="X24" i="74"/>
  <c r="H24" i="74"/>
  <c r="J24" i="74" s="1"/>
  <c r="Z23" i="74"/>
  <c r="X23" i="74"/>
  <c r="H23" i="74"/>
  <c r="J23" i="74" s="1"/>
  <c r="Z22" i="74"/>
  <c r="X22" i="74"/>
  <c r="H22" i="74"/>
  <c r="J22" i="74" s="1"/>
  <c r="Z21" i="74"/>
  <c r="X21" i="74"/>
  <c r="H21" i="74"/>
  <c r="J21" i="74" s="1"/>
  <c r="M20" i="74"/>
  <c r="Z18" i="74"/>
  <c r="X18" i="74"/>
  <c r="H18" i="74"/>
  <c r="J18" i="74" s="1"/>
  <c r="Z17" i="74"/>
  <c r="X17" i="74"/>
  <c r="H17" i="74"/>
  <c r="J17" i="74" s="1"/>
  <c r="Z16" i="74"/>
  <c r="X16" i="74"/>
  <c r="H16" i="74"/>
  <c r="J16" i="74" s="1"/>
  <c r="Z15" i="74"/>
  <c r="X15" i="74"/>
  <c r="H15" i="74"/>
  <c r="J15" i="74" s="1"/>
  <c r="Z14" i="74"/>
  <c r="X14" i="74"/>
  <c r="H14" i="74"/>
  <c r="J14" i="74" s="1"/>
  <c r="M13" i="74"/>
  <c r="Z11" i="74"/>
  <c r="X11" i="74"/>
  <c r="S11" i="74"/>
  <c r="H11" i="74"/>
  <c r="J11" i="74" s="1"/>
  <c r="Z10" i="74"/>
  <c r="X10" i="74"/>
  <c r="H10" i="74"/>
  <c r="J10" i="74" s="1"/>
  <c r="Z9" i="74"/>
  <c r="X9" i="74"/>
  <c r="H9" i="74"/>
  <c r="J9" i="74" s="1"/>
  <c r="Z8" i="74"/>
  <c r="X8" i="74"/>
  <c r="H8" i="74"/>
  <c r="J8" i="74" s="1"/>
  <c r="Z7" i="74"/>
  <c r="X7" i="74"/>
  <c r="H7" i="74"/>
  <c r="J7" i="74" s="1"/>
  <c r="M6" i="74"/>
  <c r="A4" i="74"/>
  <c r="A3" i="74"/>
  <c r="A2" i="74"/>
  <c r="F1" i="74"/>
  <c r="D1" i="74"/>
  <c r="A1" i="74"/>
  <c r="H156" i="75" l="1"/>
  <c r="B300" i="75"/>
  <c r="B302" i="75"/>
  <c r="B304" i="75"/>
  <c r="B306" i="75"/>
  <c r="B308" i="75"/>
  <c r="B310" i="75"/>
  <c r="B303" i="75"/>
  <c r="B305" i="75"/>
  <c r="B307" i="75"/>
  <c r="B309" i="75"/>
  <c r="L8" i="74"/>
  <c r="K8" i="74"/>
  <c r="M8" i="74" s="1"/>
  <c r="K9" i="74"/>
  <c r="M9" i="74" s="1"/>
  <c r="L9" i="74"/>
  <c r="L11" i="74"/>
  <c r="K11" i="74"/>
  <c r="M11" i="74" s="1"/>
  <c r="L14" i="74"/>
  <c r="M14" i="74"/>
  <c r="K14" i="74"/>
  <c r="K17" i="74"/>
  <c r="L17" i="74"/>
  <c r="M17" i="74" s="1"/>
  <c r="K22" i="74"/>
  <c r="L22" i="74"/>
  <c r="M22" i="74" s="1"/>
  <c r="K23" i="74"/>
  <c r="M23" i="74" s="1"/>
  <c r="L23" i="74"/>
  <c r="L7" i="74"/>
  <c r="M7" i="74"/>
  <c r="K7" i="74"/>
  <c r="K10" i="74"/>
  <c r="M10" i="74" s="1"/>
  <c r="I10" i="74" s="1"/>
  <c r="L10" i="74"/>
  <c r="K15" i="74"/>
  <c r="M15" i="74" s="1"/>
  <c r="L15" i="74"/>
  <c r="K16" i="74"/>
  <c r="M16" i="74" s="1"/>
  <c r="I16" i="74" s="1"/>
  <c r="L16" i="74"/>
  <c r="L18" i="74"/>
  <c r="K18" i="74"/>
  <c r="M18" i="74" s="1"/>
  <c r="L21" i="74"/>
  <c r="K21" i="74"/>
  <c r="M21" i="74" s="1"/>
  <c r="L24" i="74"/>
  <c r="K24" i="74"/>
  <c r="M24" i="74" s="1"/>
  <c r="I24" i="74" s="1"/>
  <c r="K25" i="74"/>
  <c r="M25" i="74" s="1"/>
  <c r="L25" i="74"/>
  <c r="K28" i="74"/>
  <c r="L28" i="74"/>
  <c r="M28" i="74" s="1"/>
  <c r="L29" i="74"/>
  <c r="L31" i="74"/>
  <c r="L30" i="74"/>
  <c r="K30" i="74"/>
  <c r="M30" i="74" s="1"/>
  <c r="L32" i="74"/>
  <c r="K32" i="74"/>
  <c r="R32" i="74"/>
  <c r="K36" i="74"/>
  <c r="M36" i="74" s="1"/>
  <c r="L36" i="74"/>
  <c r="L39" i="74"/>
  <c r="K39" i="74"/>
  <c r="M39" i="74" s="1"/>
  <c r="M29" i="74"/>
  <c r="K29" i="74"/>
  <c r="K31" i="74"/>
  <c r="M31" i="74" s="1"/>
  <c r="I32" i="74"/>
  <c r="K35" i="74"/>
  <c r="M35" i="74" s="1"/>
  <c r="I35" i="74" s="1"/>
  <c r="L37" i="74"/>
  <c r="M37" i="74"/>
  <c r="I37" i="74" s="1"/>
  <c r="K37" i="74"/>
  <c r="K38" i="74"/>
  <c r="L38" i="74"/>
  <c r="M38" i="74" s="1"/>
  <c r="I38" i="74" s="1"/>
  <c r="I39" i="74"/>
  <c r="T8" i="72"/>
  <c r="T9" i="72"/>
  <c r="T10" i="72"/>
  <c r="T11" i="72"/>
  <c r="T14" i="72"/>
  <c r="T15" i="72"/>
  <c r="T16" i="72"/>
  <c r="T17" i="72"/>
  <c r="T18" i="72"/>
  <c r="T21" i="72"/>
  <c r="T22" i="72"/>
  <c r="T23" i="72"/>
  <c r="T24" i="72"/>
  <c r="T25" i="72"/>
  <c r="T28" i="72"/>
  <c r="T29" i="72"/>
  <c r="T30" i="72"/>
  <c r="T31" i="72"/>
  <c r="T32" i="72"/>
  <c r="R8" i="72"/>
  <c r="R9" i="72"/>
  <c r="R10" i="72"/>
  <c r="R11" i="72"/>
  <c r="R14" i="72"/>
  <c r="R15" i="72"/>
  <c r="R16" i="72"/>
  <c r="R17" i="72"/>
  <c r="R18" i="72"/>
  <c r="R21" i="72"/>
  <c r="R22" i="72"/>
  <c r="R23" i="72"/>
  <c r="R24" i="72"/>
  <c r="R25" i="72"/>
  <c r="R28" i="72"/>
  <c r="R29" i="72"/>
  <c r="R30" i="72"/>
  <c r="R31" i="72"/>
  <c r="R32" i="72"/>
  <c r="X24" i="72"/>
  <c r="V24" i="72"/>
  <c r="X23" i="72"/>
  <c r="V23" i="72"/>
  <c r="X22" i="72"/>
  <c r="V22" i="72"/>
  <c r="X21" i="72"/>
  <c r="V21" i="72"/>
  <c r="X17" i="72"/>
  <c r="V17" i="72"/>
  <c r="X16" i="72"/>
  <c r="V16" i="72"/>
  <c r="X15" i="72"/>
  <c r="V15" i="72"/>
  <c r="X14" i="72"/>
  <c r="V14" i="72"/>
  <c r="X10" i="72"/>
  <c r="V10" i="72"/>
  <c r="X9" i="72"/>
  <c r="V9" i="72"/>
  <c r="X8" i="72"/>
  <c r="V8" i="72"/>
  <c r="X7" i="72"/>
  <c r="V7" i="72"/>
  <c r="T7" i="72"/>
  <c r="R7" i="72"/>
  <c r="H32" i="72"/>
  <c r="H31" i="72"/>
  <c r="J31" i="72" s="1"/>
  <c r="H30" i="72"/>
  <c r="H29" i="72"/>
  <c r="J29" i="72" s="1"/>
  <c r="H28" i="72"/>
  <c r="H25" i="72"/>
  <c r="J25" i="72" s="1"/>
  <c r="H24" i="72"/>
  <c r="H23" i="72"/>
  <c r="J23" i="72" s="1"/>
  <c r="H22" i="72"/>
  <c r="H21" i="72"/>
  <c r="J21" i="72" s="1"/>
  <c r="H18" i="72"/>
  <c r="H17" i="72"/>
  <c r="J17" i="72" s="1"/>
  <c r="L17" i="72" s="1"/>
  <c r="H16" i="72"/>
  <c r="H15" i="72"/>
  <c r="J15" i="72" s="1"/>
  <c r="L15" i="72" s="1"/>
  <c r="H14" i="72"/>
  <c r="H11" i="72"/>
  <c r="J11" i="72" s="1"/>
  <c r="H10" i="72"/>
  <c r="H9" i="72"/>
  <c r="J9" i="72" s="1"/>
  <c r="H8" i="72"/>
  <c r="J8" i="72" s="1"/>
  <c r="H7" i="72"/>
  <c r="J7" i="72" s="1"/>
  <c r="J32" i="72"/>
  <c r="J30" i="72"/>
  <c r="J28" i="72"/>
  <c r="M27" i="72"/>
  <c r="I32" i="72" s="1"/>
  <c r="J24" i="72"/>
  <c r="J22" i="72"/>
  <c r="M20" i="72"/>
  <c r="J18" i="72"/>
  <c r="J16" i="72"/>
  <c r="L16" i="72" s="1"/>
  <c r="J14" i="72"/>
  <c r="L14" i="72" s="1"/>
  <c r="M13" i="72"/>
  <c r="J10" i="72"/>
  <c r="M6" i="72"/>
  <c r="AF59" i="44" l="1"/>
  <c r="AF13" i="44"/>
  <c r="AF9" i="44"/>
  <c r="AF15" i="44"/>
  <c r="AF16" i="44"/>
  <c r="AF22" i="44"/>
  <c r="AF24" i="44"/>
  <c r="AF20" i="44"/>
  <c r="AF21" i="44"/>
  <c r="AF26" i="44"/>
  <c r="AF23" i="44"/>
  <c r="AF31" i="44"/>
  <c r="AF30" i="44"/>
  <c r="AF32" i="44"/>
  <c r="AF37" i="44"/>
  <c r="AF36" i="44"/>
  <c r="AF40" i="44"/>
  <c r="AF42" i="44"/>
  <c r="AF43" i="44"/>
  <c r="AF46" i="44"/>
  <c r="AF48" i="44"/>
  <c r="AF51" i="44"/>
  <c r="AF53" i="44"/>
  <c r="AF45" i="44"/>
  <c r="AF56" i="44"/>
  <c r="AF60" i="44"/>
  <c r="AF62" i="44"/>
  <c r="AF49" i="44"/>
  <c r="AF8" i="44"/>
  <c r="AF10" i="44"/>
  <c r="AF11" i="44"/>
  <c r="AF14" i="44"/>
  <c r="AF12" i="44"/>
  <c r="AF17" i="44"/>
  <c r="AF18" i="44"/>
  <c r="AF19" i="44"/>
  <c r="AF29" i="44"/>
  <c r="AF27" i="44"/>
  <c r="AF25" i="44"/>
  <c r="AF28" i="44"/>
  <c r="AF33" i="44"/>
  <c r="AF34" i="44"/>
  <c r="AF38" i="44"/>
  <c r="AF35" i="44"/>
  <c r="AF41" i="44"/>
  <c r="AF44" i="44"/>
  <c r="AF39" i="44"/>
  <c r="AF47" i="44"/>
  <c r="AF50" i="44"/>
  <c r="AF52" i="44"/>
  <c r="AF54" i="44"/>
  <c r="AF55" i="44"/>
  <c r="AF58" i="44"/>
  <c r="AF61" i="44"/>
  <c r="AF57" i="44"/>
  <c r="AF7" i="44"/>
  <c r="I14" i="74"/>
  <c r="I15" i="74"/>
  <c r="I23" i="74"/>
  <c r="I11" i="74"/>
  <c r="I8" i="74"/>
  <c r="I7" i="74"/>
  <c r="I36" i="74"/>
  <c r="I25" i="74"/>
  <c r="I21" i="74"/>
  <c r="I18" i="74"/>
  <c r="I22" i="74"/>
  <c r="I17" i="74"/>
  <c r="I9" i="74"/>
  <c r="M32" i="74"/>
  <c r="I28" i="74" s="1"/>
  <c r="L23" i="72"/>
  <c r="L21" i="72"/>
  <c r="L25" i="72"/>
  <c r="L24" i="72"/>
  <c r="L22" i="72"/>
  <c r="L8" i="72"/>
  <c r="K8" i="72"/>
  <c r="L7" i="72"/>
  <c r="K7" i="72"/>
  <c r="L9" i="72"/>
  <c r="L11" i="72"/>
  <c r="L10" i="72"/>
  <c r="M7" i="72"/>
  <c r="M8" i="72"/>
  <c r="K9" i="72"/>
  <c r="M9" i="72" s="1"/>
  <c r="K10" i="72"/>
  <c r="M10" i="72" s="1"/>
  <c r="K11" i="72"/>
  <c r="M11" i="72" s="1"/>
  <c r="I11" i="72" s="1"/>
  <c r="L18" i="72"/>
  <c r="K21" i="72"/>
  <c r="M21" i="72" s="1"/>
  <c r="K22" i="72"/>
  <c r="M22" i="72" s="1"/>
  <c r="K23" i="72"/>
  <c r="M23" i="72" s="1"/>
  <c r="K24" i="72"/>
  <c r="M24" i="72" s="1"/>
  <c r="K25" i="72"/>
  <c r="M25" i="72" s="1"/>
  <c r="I25" i="72" s="1"/>
  <c r="L28" i="72"/>
  <c r="L29" i="72"/>
  <c r="L30" i="72"/>
  <c r="L31" i="72"/>
  <c r="L32" i="72"/>
  <c r="K14" i="72"/>
  <c r="M14" i="72" s="1"/>
  <c r="K15" i="72"/>
  <c r="M15" i="72" s="1"/>
  <c r="K16" i="72"/>
  <c r="M16" i="72" s="1"/>
  <c r="K17" i="72"/>
  <c r="M17" i="72" s="1"/>
  <c r="K18" i="72"/>
  <c r="M18" i="72" s="1"/>
  <c r="I18" i="72" s="1"/>
  <c r="K28" i="72"/>
  <c r="M28" i="72" s="1"/>
  <c r="I28" i="72" s="1"/>
  <c r="K29" i="72"/>
  <c r="M29" i="72" s="1"/>
  <c r="I29" i="72" s="1"/>
  <c r="K30" i="72"/>
  <c r="M30" i="72" s="1"/>
  <c r="I30" i="72" s="1"/>
  <c r="K31" i="72"/>
  <c r="M31" i="72" s="1"/>
  <c r="I31" i="72" s="1"/>
  <c r="K32" i="72"/>
  <c r="M32" i="72" s="1"/>
  <c r="A4" i="73"/>
  <c r="A3" i="73"/>
  <c r="A2" i="73"/>
  <c r="A1" i="73"/>
  <c r="C320" i="73"/>
  <c r="C321" i="73" s="1"/>
  <c r="C322" i="73" s="1"/>
  <c r="C323" i="73" s="1"/>
  <c r="C324" i="73" s="1"/>
  <c r="C325" i="73" s="1"/>
  <c r="C326" i="73" s="1"/>
  <c r="C327" i="73" s="1"/>
  <c r="C328" i="73" s="1"/>
  <c r="C329" i="73" s="1"/>
  <c r="C330" i="73" s="1"/>
  <c r="C110" i="73"/>
  <c r="C108" i="73"/>
  <c r="C100" i="73"/>
  <c r="C72" i="73"/>
  <c r="C62" i="73"/>
  <c r="Y39" i="73"/>
  <c r="Z39" i="73" s="1"/>
  <c r="W39" i="73"/>
  <c r="X39" i="73" s="1"/>
  <c r="U39" i="73"/>
  <c r="V39" i="73" s="1"/>
  <c r="S39" i="73"/>
  <c r="T39" i="73" s="1"/>
  <c r="H39" i="73"/>
  <c r="J39" i="73" s="1"/>
  <c r="Z38" i="73"/>
  <c r="Y38" i="73"/>
  <c r="W38" i="73"/>
  <c r="X38" i="73" s="1"/>
  <c r="U38" i="73"/>
  <c r="S38" i="73"/>
  <c r="H38" i="73"/>
  <c r="J38" i="73" s="1"/>
  <c r="Z37" i="73"/>
  <c r="Y37" i="73"/>
  <c r="X37" i="73"/>
  <c r="W37" i="73"/>
  <c r="V37" i="73"/>
  <c r="U37" i="73"/>
  <c r="S37" i="73"/>
  <c r="H37" i="73"/>
  <c r="J37" i="73" s="1"/>
  <c r="Y36" i="73"/>
  <c r="Z36" i="73" s="1"/>
  <c r="W36" i="73"/>
  <c r="X36" i="73" s="1"/>
  <c r="U36" i="73"/>
  <c r="S36" i="73"/>
  <c r="H36" i="73"/>
  <c r="J36" i="73" s="1"/>
  <c r="Z35" i="73"/>
  <c r="Y35" i="73"/>
  <c r="X35" i="73"/>
  <c r="W35" i="73"/>
  <c r="U35" i="73"/>
  <c r="S35" i="73"/>
  <c r="H35" i="73"/>
  <c r="J35" i="73" s="1"/>
  <c r="M34" i="73"/>
  <c r="Y32" i="73"/>
  <c r="Z32" i="73" s="1"/>
  <c r="W32" i="73"/>
  <c r="X32" i="73" s="1"/>
  <c r="U32" i="73"/>
  <c r="V32" i="73" s="1"/>
  <c r="S32" i="73"/>
  <c r="T32" i="73" s="1"/>
  <c r="H32" i="73"/>
  <c r="J32" i="73" s="1"/>
  <c r="Y31" i="73"/>
  <c r="Z31" i="73" s="1"/>
  <c r="W31" i="73"/>
  <c r="X31" i="73" s="1"/>
  <c r="U31" i="73"/>
  <c r="V31" i="73" s="1"/>
  <c r="T31" i="73"/>
  <c r="S31" i="73"/>
  <c r="H31" i="73"/>
  <c r="J31" i="73" s="1"/>
  <c r="Y30" i="73"/>
  <c r="Z30" i="73" s="1"/>
  <c r="W30" i="73"/>
  <c r="X30" i="73" s="1"/>
  <c r="U30" i="73"/>
  <c r="V30" i="73" s="1"/>
  <c r="S30" i="73"/>
  <c r="T30" i="73" s="1"/>
  <c r="H30" i="73"/>
  <c r="J30" i="73" s="1"/>
  <c r="Y29" i="73"/>
  <c r="Z29" i="73" s="1"/>
  <c r="W29" i="73"/>
  <c r="X29" i="73" s="1"/>
  <c r="U29" i="73"/>
  <c r="V29" i="73" s="1"/>
  <c r="T29" i="73"/>
  <c r="S29" i="73"/>
  <c r="H29" i="73"/>
  <c r="J29" i="73" s="1"/>
  <c r="Y28" i="73"/>
  <c r="Z28" i="73" s="1"/>
  <c r="W28" i="73"/>
  <c r="X28" i="73" s="1"/>
  <c r="U28" i="73"/>
  <c r="V28" i="73" s="1"/>
  <c r="S28" i="73"/>
  <c r="T28" i="73" s="1"/>
  <c r="H28" i="73"/>
  <c r="J28" i="73" s="1"/>
  <c r="M27" i="73"/>
  <c r="Y25" i="73"/>
  <c r="Z25" i="73" s="1"/>
  <c r="W25" i="73"/>
  <c r="X25" i="73" s="1"/>
  <c r="U25" i="73"/>
  <c r="S25" i="73"/>
  <c r="H25" i="73"/>
  <c r="J25" i="73" s="1"/>
  <c r="Y24" i="73"/>
  <c r="Z24" i="73" s="1"/>
  <c r="W24" i="73"/>
  <c r="X24" i="73" s="1"/>
  <c r="U24" i="73"/>
  <c r="V24" i="73" s="1"/>
  <c r="T24" i="73"/>
  <c r="S24" i="73"/>
  <c r="H24" i="73"/>
  <c r="J24" i="73" s="1"/>
  <c r="Y23" i="73"/>
  <c r="Z23" i="73" s="1"/>
  <c r="W23" i="73"/>
  <c r="X23" i="73" s="1"/>
  <c r="U23" i="73"/>
  <c r="V23" i="73" s="1"/>
  <c r="S23" i="73"/>
  <c r="T23" i="73" s="1"/>
  <c r="H23" i="73"/>
  <c r="J23" i="73" s="1"/>
  <c r="Y22" i="73"/>
  <c r="Z22" i="73" s="1"/>
  <c r="W22" i="73"/>
  <c r="X22" i="73" s="1"/>
  <c r="U22" i="73"/>
  <c r="V22" i="73" s="1"/>
  <c r="T22" i="73"/>
  <c r="S22" i="73"/>
  <c r="H22" i="73"/>
  <c r="J22" i="73" s="1"/>
  <c r="Y21" i="73"/>
  <c r="Z21" i="73" s="1"/>
  <c r="W21" i="73"/>
  <c r="X21" i="73" s="1"/>
  <c r="U21" i="73"/>
  <c r="V21" i="73" s="1"/>
  <c r="S21" i="73"/>
  <c r="T21" i="73" s="1"/>
  <c r="H21" i="73"/>
  <c r="J21" i="73" s="1"/>
  <c r="M20" i="73"/>
  <c r="Y18" i="73"/>
  <c r="Z18" i="73" s="1"/>
  <c r="W18" i="73"/>
  <c r="X18" i="73" s="1"/>
  <c r="U18" i="73"/>
  <c r="S18" i="73"/>
  <c r="H18" i="73"/>
  <c r="J18" i="73" s="1"/>
  <c r="Y17" i="73"/>
  <c r="Z17" i="73" s="1"/>
  <c r="W17" i="73"/>
  <c r="X17" i="73" s="1"/>
  <c r="U17" i="73"/>
  <c r="V17" i="73" s="1"/>
  <c r="T17" i="73"/>
  <c r="S17" i="73"/>
  <c r="J17" i="73"/>
  <c r="H17" i="73"/>
  <c r="Y16" i="73"/>
  <c r="Z16" i="73" s="1"/>
  <c r="W16" i="73"/>
  <c r="X16" i="73" s="1"/>
  <c r="U16" i="73"/>
  <c r="V16" i="73" s="1"/>
  <c r="S16" i="73"/>
  <c r="T16" i="73" s="1"/>
  <c r="H16" i="73"/>
  <c r="J16" i="73" s="1"/>
  <c r="Y15" i="73"/>
  <c r="Z15" i="73" s="1"/>
  <c r="W15" i="73"/>
  <c r="X15" i="73" s="1"/>
  <c r="U15" i="73"/>
  <c r="V15" i="73" s="1"/>
  <c r="T15" i="73"/>
  <c r="S15" i="73"/>
  <c r="J15" i="73"/>
  <c r="H15" i="73"/>
  <c r="Y14" i="73"/>
  <c r="Z14" i="73" s="1"/>
  <c r="W14" i="73"/>
  <c r="X14" i="73" s="1"/>
  <c r="U14" i="73"/>
  <c r="V14" i="73" s="1"/>
  <c r="S14" i="73"/>
  <c r="T14" i="73" s="1"/>
  <c r="H14" i="73"/>
  <c r="J14" i="73" s="1"/>
  <c r="L14" i="73" s="1"/>
  <c r="M13" i="73"/>
  <c r="Y11" i="73"/>
  <c r="Z11" i="73" s="1"/>
  <c r="W11" i="73"/>
  <c r="X11" i="73" s="1"/>
  <c r="U11" i="73"/>
  <c r="S11" i="73"/>
  <c r="H11" i="73"/>
  <c r="J11" i="73" s="1"/>
  <c r="Y10" i="73"/>
  <c r="Z10" i="73" s="1"/>
  <c r="W10" i="73"/>
  <c r="X10" i="73" s="1"/>
  <c r="U10" i="73"/>
  <c r="V10" i="73" s="1"/>
  <c r="T10" i="73"/>
  <c r="S10" i="73"/>
  <c r="H10" i="73"/>
  <c r="J10" i="73" s="1"/>
  <c r="Y9" i="73"/>
  <c r="Z9" i="73" s="1"/>
  <c r="W9" i="73"/>
  <c r="X9" i="73" s="1"/>
  <c r="U9" i="73"/>
  <c r="V9" i="73" s="1"/>
  <c r="S9" i="73"/>
  <c r="T9" i="73" s="1"/>
  <c r="H9" i="73"/>
  <c r="J9" i="73" s="1"/>
  <c r="Y8" i="73"/>
  <c r="Z8" i="73" s="1"/>
  <c r="W8" i="73"/>
  <c r="X8" i="73" s="1"/>
  <c r="U8" i="73"/>
  <c r="V8" i="73" s="1"/>
  <c r="T8" i="73"/>
  <c r="S8" i="73"/>
  <c r="H8" i="73"/>
  <c r="J8" i="73" s="1"/>
  <c r="Y7" i="73"/>
  <c r="Z7" i="73" s="1"/>
  <c r="W7" i="73"/>
  <c r="X7" i="73" s="1"/>
  <c r="U7" i="73"/>
  <c r="V7" i="73" s="1"/>
  <c r="S7" i="73"/>
  <c r="T7" i="73" s="1"/>
  <c r="H7" i="73"/>
  <c r="J7" i="73" s="1"/>
  <c r="M6" i="73"/>
  <c r="F1" i="73"/>
  <c r="D1" i="73"/>
  <c r="K69" i="1"/>
  <c r="B116" i="74" l="1"/>
  <c r="B112" i="74"/>
  <c r="B108" i="74"/>
  <c r="B104" i="74"/>
  <c r="B106" i="74"/>
  <c r="C106" i="74" s="1"/>
  <c r="B114" i="74"/>
  <c r="C114" i="74" s="1"/>
  <c r="B110" i="74"/>
  <c r="C110" i="74" s="1"/>
  <c r="B102" i="74"/>
  <c r="C102" i="74" s="1"/>
  <c r="R29" i="73"/>
  <c r="R24" i="73"/>
  <c r="AF63" i="44"/>
  <c r="R15" i="73"/>
  <c r="R22" i="73"/>
  <c r="R8" i="73"/>
  <c r="R17" i="73"/>
  <c r="R31" i="73"/>
  <c r="I29" i="74"/>
  <c r="I30" i="74"/>
  <c r="I31" i="74"/>
  <c r="I24" i="72"/>
  <c r="I22" i="72"/>
  <c r="I23" i="72"/>
  <c r="I21" i="72"/>
  <c r="I16" i="72"/>
  <c r="I14" i="72"/>
  <c r="I17" i="72"/>
  <c r="I15" i="72"/>
  <c r="I9" i="72"/>
  <c r="I7" i="72"/>
  <c r="I10" i="72"/>
  <c r="I8" i="72"/>
  <c r="R28" i="73"/>
  <c r="R32" i="73"/>
  <c r="R7" i="73"/>
  <c r="R10" i="73"/>
  <c r="R9" i="73"/>
  <c r="R21" i="73"/>
  <c r="R30" i="73"/>
  <c r="L7" i="73"/>
  <c r="K7" i="73"/>
  <c r="M7" i="73" s="1"/>
  <c r="K10" i="73"/>
  <c r="L10" i="73"/>
  <c r="K8" i="73"/>
  <c r="M8" i="73" s="1"/>
  <c r="L8" i="73"/>
  <c r="L9" i="73"/>
  <c r="K9" i="73"/>
  <c r="L11" i="73"/>
  <c r="K11" i="73"/>
  <c r="K15" i="73"/>
  <c r="K17" i="73"/>
  <c r="M17" i="73" s="1"/>
  <c r="L21" i="73"/>
  <c r="M21" i="73"/>
  <c r="K21" i="73"/>
  <c r="R23" i="73"/>
  <c r="K24" i="73"/>
  <c r="M24" i="73" s="1"/>
  <c r="I24" i="73" s="1"/>
  <c r="L24" i="73"/>
  <c r="L25" i="73"/>
  <c r="K25" i="73"/>
  <c r="M25" i="73" s="1"/>
  <c r="L29" i="73"/>
  <c r="M9" i="73"/>
  <c r="K14" i="73"/>
  <c r="M14" i="73" s="1"/>
  <c r="R14" i="73"/>
  <c r="L15" i="73"/>
  <c r="M15" i="73" s="1"/>
  <c r="L16" i="73"/>
  <c r="K16" i="73"/>
  <c r="R16" i="73"/>
  <c r="L17" i="73"/>
  <c r="L18" i="73"/>
  <c r="K18" i="73"/>
  <c r="M18" i="73" s="1"/>
  <c r="K22" i="73"/>
  <c r="L22" i="73"/>
  <c r="M22" i="73" s="1"/>
  <c r="L23" i="73"/>
  <c r="M23" i="73"/>
  <c r="K23" i="73"/>
  <c r="L28" i="73"/>
  <c r="K28" i="73"/>
  <c r="K31" i="73"/>
  <c r="L31" i="73"/>
  <c r="K35" i="73"/>
  <c r="M35" i="73" s="1"/>
  <c r="L35" i="73"/>
  <c r="L30" i="73"/>
  <c r="K30" i="73"/>
  <c r="L32" i="73"/>
  <c r="K32" i="73"/>
  <c r="I33" i="73"/>
  <c r="K36" i="73"/>
  <c r="M36" i="73" s="1"/>
  <c r="L36" i="73"/>
  <c r="R39" i="73"/>
  <c r="K29" i="73"/>
  <c r="M29" i="73" s="1"/>
  <c r="M30" i="73"/>
  <c r="I32" i="73"/>
  <c r="L37" i="73"/>
  <c r="M37" i="73"/>
  <c r="K37" i="73"/>
  <c r="K38" i="73"/>
  <c r="L38" i="73"/>
  <c r="M38" i="73" s="1"/>
  <c r="L39" i="73"/>
  <c r="K39" i="73"/>
  <c r="M39" i="73" s="1"/>
  <c r="I39" i="73"/>
  <c r="C104" i="74" l="1"/>
  <c r="C103" i="74" s="1"/>
  <c r="C112" i="74"/>
  <c r="C127" i="74"/>
  <c r="C111" i="74"/>
  <c r="C108" i="74"/>
  <c r="C107" i="74" s="1"/>
  <c r="E107" i="74" s="1"/>
  <c r="C116" i="74"/>
  <c r="C129" i="74" s="1"/>
  <c r="E129" i="74" s="1"/>
  <c r="AF64" i="44"/>
  <c r="I29" i="3"/>
  <c r="M32" i="73"/>
  <c r="M31" i="73"/>
  <c r="I29" i="73" s="1"/>
  <c r="M28" i="73"/>
  <c r="M11" i="73"/>
  <c r="M10" i="73"/>
  <c r="I8" i="73" s="1"/>
  <c r="I38" i="73"/>
  <c r="I35" i="73"/>
  <c r="I37" i="73"/>
  <c r="I30" i="73"/>
  <c r="I36" i="73"/>
  <c r="I31" i="73"/>
  <c r="I23" i="73"/>
  <c r="I21" i="73"/>
  <c r="I22" i="73"/>
  <c r="I25" i="73"/>
  <c r="I9" i="73"/>
  <c r="I11" i="73"/>
  <c r="I7" i="73"/>
  <c r="I28" i="73"/>
  <c r="I10" i="73"/>
  <c r="M16" i="73"/>
  <c r="I16" i="73" s="1"/>
  <c r="A4" i="72"/>
  <c r="A2" i="72"/>
  <c r="C300" i="72"/>
  <c r="C301" i="72" s="1"/>
  <c r="C302" i="72" s="1"/>
  <c r="C303" i="72" s="1"/>
  <c r="C304" i="72" s="1"/>
  <c r="C305" i="72" s="1"/>
  <c r="C306" i="72" s="1"/>
  <c r="C307" i="72" s="1"/>
  <c r="C308" i="72" s="1"/>
  <c r="C309" i="72" s="1"/>
  <c r="C310" i="72" s="1"/>
  <c r="X32" i="72"/>
  <c r="Y32" i="72" s="1"/>
  <c r="V32" i="72"/>
  <c r="W32" i="72" s="1"/>
  <c r="U32" i="72"/>
  <c r="S32" i="72"/>
  <c r="X31" i="72"/>
  <c r="Y31" i="72" s="1"/>
  <c r="V31" i="72"/>
  <c r="W31" i="72" s="1"/>
  <c r="X30" i="72"/>
  <c r="Y30" i="72" s="1"/>
  <c r="V30" i="72"/>
  <c r="W30" i="72" s="1"/>
  <c r="X29" i="72"/>
  <c r="Y29" i="72" s="1"/>
  <c r="V29" i="72"/>
  <c r="W29" i="72" s="1"/>
  <c r="X28" i="72"/>
  <c r="Y28" i="72" s="1"/>
  <c r="V28" i="72"/>
  <c r="W28" i="72" s="1"/>
  <c r="X25" i="72"/>
  <c r="Y25" i="72" s="1"/>
  <c r="V25" i="72"/>
  <c r="W25" i="72" s="1"/>
  <c r="Y24" i="72"/>
  <c r="W24" i="72"/>
  <c r="Y23" i="72"/>
  <c r="W23" i="72"/>
  <c r="Y22" i="72"/>
  <c r="W22" i="72"/>
  <c r="Y21" i="72"/>
  <c r="W21" i="72"/>
  <c r="X18" i="72"/>
  <c r="Y18" i="72" s="1"/>
  <c r="V18" i="72"/>
  <c r="W18" i="72" s="1"/>
  <c r="Y17" i="72"/>
  <c r="W17" i="72"/>
  <c r="Y16" i="72"/>
  <c r="W16" i="72"/>
  <c r="Y15" i="72"/>
  <c r="W15" i="72"/>
  <c r="Y14" i="72"/>
  <c r="W14" i="72"/>
  <c r="X11" i="72"/>
  <c r="Y11" i="72" s="1"/>
  <c r="V11" i="72"/>
  <c r="W11" i="72" s="1"/>
  <c r="Y10" i="72"/>
  <c r="W10" i="72"/>
  <c r="U10" i="72"/>
  <c r="S10" i="72"/>
  <c r="Y9" i="72"/>
  <c r="W9" i="72"/>
  <c r="Y8" i="72"/>
  <c r="W8" i="72"/>
  <c r="Y7" i="72"/>
  <c r="W7" i="72"/>
  <c r="H1" i="72"/>
  <c r="F1" i="72"/>
  <c r="E103" i="74" l="1"/>
  <c r="C125" i="74"/>
  <c r="E125" i="74" s="1"/>
  <c r="C115" i="74"/>
  <c r="E115" i="74" s="1"/>
  <c r="C123" i="74"/>
  <c r="E127" i="74"/>
  <c r="E133" i="74" s="1"/>
  <c r="I17" i="73"/>
  <c r="I14" i="73"/>
  <c r="I18" i="73"/>
  <c r="B70" i="73"/>
  <c r="C69" i="73" s="1"/>
  <c r="E77" i="73" s="1"/>
  <c r="H79" i="73" s="1"/>
  <c r="B98" i="73"/>
  <c r="C98" i="73" s="1"/>
  <c r="C99" i="73" s="1"/>
  <c r="E101" i="73" s="1"/>
  <c r="H105" i="73" s="1"/>
  <c r="B60" i="73"/>
  <c r="C60" i="73" s="1"/>
  <c r="I15" i="73"/>
  <c r="B106" i="73" s="1"/>
  <c r="C106" i="73" s="1"/>
  <c r="C107" i="73" s="1"/>
  <c r="E115" i="73" s="1"/>
  <c r="H114" i="73" s="1"/>
  <c r="Q10" i="72"/>
  <c r="I26" i="72"/>
  <c r="Q32" i="72"/>
  <c r="G1" i="62"/>
  <c r="F1" i="60"/>
  <c r="F1" i="58"/>
  <c r="H1" i="69"/>
  <c r="F1" i="57"/>
  <c r="G1" i="53"/>
  <c r="J1" i="48"/>
  <c r="F1" i="47"/>
  <c r="G1" i="46"/>
  <c r="H1" i="45"/>
  <c r="E123" i="74" l="1"/>
  <c r="E111" i="74"/>
  <c r="E119" i="74" s="1"/>
  <c r="E105" i="74"/>
  <c r="G105" i="74" s="1"/>
  <c r="H109" i="74" s="1"/>
  <c r="E117" i="74"/>
  <c r="G117" i="74" s="1"/>
  <c r="E113" i="74"/>
  <c r="G113" i="74" s="1"/>
  <c r="H114" i="74" s="1"/>
  <c r="E128" i="74"/>
  <c r="C81" i="73"/>
  <c r="E81" i="73" s="1"/>
  <c r="C61" i="73"/>
  <c r="E75" i="73" s="1"/>
  <c r="H76" i="73" s="1"/>
  <c r="B66" i="73"/>
  <c r="C83" i="73" s="1"/>
  <c r="E83" i="73" s="1"/>
  <c r="B104" i="73"/>
  <c r="B112" i="73"/>
  <c r="C112" i="73" s="1"/>
  <c r="C111" i="73" s="1"/>
  <c r="E109" i="73" s="1"/>
  <c r="H110" i="73" s="1"/>
  <c r="B74" i="73"/>
  <c r="C74" i="73" s="1"/>
  <c r="B64" i="73"/>
  <c r="C65" i="73" s="1"/>
  <c r="E63" i="73" s="1"/>
  <c r="H72" i="73" s="1"/>
  <c r="B68" i="73"/>
  <c r="C85" i="73" s="1"/>
  <c r="B102" i="73"/>
  <c r="C103" i="73" s="1"/>
  <c r="E113" i="73" s="1"/>
  <c r="H117" i="73" s="1"/>
  <c r="B40" i="72"/>
  <c r="AF4" i="44"/>
  <c r="A3" i="75"/>
  <c r="E29" i="3"/>
  <c r="A1" i="75" s="1"/>
  <c r="Q16" i="62"/>
  <c r="S16" i="62"/>
  <c r="U16" i="62"/>
  <c r="V16" i="62" s="1"/>
  <c r="W16" i="62"/>
  <c r="X16" i="62" s="1"/>
  <c r="Q17" i="62"/>
  <c r="R17" i="62" s="1"/>
  <c r="S17" i="62"/>
  <c r="T17" i="62" s="1"/>
  <c r="U17" i="62"/>
  <c r="V17" i="62" s="1"/>
  <c r="W17" i="62"/>
  <c r="X17" i="62" s="1"/>
  <c r="Q18" i="62"/>
  <c r="R18" i="62" s="1"/>
  <c r="S18" i="62"/>
  <c r="T18" i="62" s="1"/>
  <c r="U18" i="62"/>
  <c r="V18" i="62" s="1"/>
  <c r="W18" i="62"/>
  <c r="X18" i="62" s="1"/>
  <c r="Q19" i="62"/>
  <c r="R19" i="62" s="1"/>
  <c r="S19" i="62"/>
  <c r="T19" i="62" s="1"/>
  <c r="U19" i="62"/>
  <c r="V19" i="62" s="1"/>
  <c r="W19" i="62"/>
  <c r="X19" i="62" s="1"/>
  <c r="Q20" i="62"/>
  <c r="R20" i="62" s="1"/>
  <c r="S20" i="62"/>
  <c r="T20" i="62" s="1"/>
  <c r="U20" i="62"/>
  <c r="V20" i="62" s="1"/>
  <c r="W20" i="62"/>
  <c r="X20" i="62" s="1"/>
  <c r="Q21" i="62"/>
  <c r="S21" i="62"/>
  <c r="U21" i="62"/>
  <c r="V21" i="62" s="1"/>
  <c r="W21" i="62"/>
  <c r="X21" i="62" s="1"/>
  <c r="Q22" i="62"/>
  <c r="S22" i="62"/>
  <c r="U22" i="62"/>
  <c r="V22" i="62" s="1"/>
  <c r="W22" i="62"/>
  <c r="X22" i="62" s="1"/>
  <c r="Q23" i="62"/>
  <c r="S23" i="62"/>
  <c r="U23" i="62"/>
  <c r="V23" i="62" s="1"/>
  <c r="W23" i="62"/>
  <c r="X23" i="62" s="1"/>
  <c r="Q24" i="62"/>
  <c r="R24" i="62" s="1"/>
  <c r="S24" i="62"/>
  <c r="T24" i="62" s="1"/>
  <c r="U24" i="62"/>
  <c r="V24" i="62" s="1"/>
  <c r="W24" i="62"/>
  <c r="X24" i="62" s="1"/>
  <c r="Q25" i="62"/>
  <c r="R25" i="62" s="1"/>
  <c r="S25" i="62"/>
  <c r="T25" i="62" s="1"/>
  <c r="U25" i="62"/>
  <c r="V25" i="62" s="1"/>
  <c r="W25" i="62"/>
  <c r="X25" i="62" s="1"/>
  <c r="Q26" i="62"/>
  <c r="R26" i="62" s="1"/>
  <c r="S26" i="62"/>
  <c r="T26" i="62" s="1"/>
  <c r="U26" i="62"/>
  <c r="V26" i="62" s="1"/>
  <c r="W26" i="62"/>
  <c r="X26" i="62" s="1"/>
  <c r="Q27" i="62"/>
  <c r="R27" i="62" s="1"/>
  <c r="S27" i="62"/>
  <c r="T27" i="62" s="1"/>
  <c r="U27" i="62"/>
  <c r="V27" i="62" s="1"/>
  <c r="W27" i="62"/>
  <c r="X27" i="62" s="1"/>
  <c r="Q28" i="62"/>
  <c r="S28" i="62"/>
  <c r="U28" i="62"/>
  <c r="V28" i="62" s="1"/>
  <c r="W28" i="62"/>
  <c r="X28" i="62" s="1"/>
  <c r="Q29" i="62"/>
  <c r="S29" i="62"/>
  <c r="U29" i="62"/>
  <c r="V29" i="62" s="1"/>
  <c r="W29" i="62"/>
  <c r="X29" i="62" s="1"/>
  <c r="Q30" i="62"/>
  <c r="S30" i="62"/>
  <c r="U30" i="62"/>
  <c r="V30" i="62" s="1"/>
  <c r="W30" i="62"/>
  <c r="X30" i="62" s="1"/>
  <c r="Q31" i="62"/>
  <c r="S31" i="62"/>
  <c r="U31" i="62"/>
  <c r="V31" i="62" s="1"/>
  <c r="W31" i="62"/>
  <c r="X31" i="62" s="1"/>
  <c r="Q32" i="62"/>
  <c r="R32" i="62" s="1"/>
  <c r="S32" i="62"/>
  <c r="T32" i="62" s="1"/>
  <c r="U32" i="62"/>
  <c r="V32" i="62" s="1"/>
  <c r="W32" i="62"/>
  <c r="X32" i="62" s="1"/>
  <c r="Q7" i="62"/>
  <c r="S7" i="62"/>
  <c r="U7" i="62"/>
  <c r="V7" i="62" s="1"/>
  <c r="W7" i="62"/>
  <c r="X7" i="62" s="1"/>
  <c r="Q8" i="62"/>
  <c r="S8" i="62"/>
  <c r="U8" i="62"/>
  <c r="V8" i="62" s="1"/>
  <c r="W8" i="62"/>
  <c r="X8" i="62" s="1"/>
  <c r="Q9" i="62"/>
  <c r="S9" i="62"/>
  <c r="U9" i="62"/>
  <c r="V9" i="62" s="1"/>
  <c r="W9" i="62"/>
  <c r="X9" i="62" s="1"/>
  <c r="Q10" i="62"/>
  <c r="R10" i="62" s="1"/>
  <c r="S10" i="62"/>
  <c r="T10" i="62" s="1"/>
  <c r="U10" i="62"/>
  <c r="V10" i="62" s="1"/>
  <c r="W10" i="62"/>
  <c r="X10" i="62" s="1"/>
  <c r="Q11" i="62"/>
  <c r="R11" i="62" s="1"/>
  <c r="S11" i="62"/>
  <c r="T11" i="62" s="1"/>
  <c r="U11" i="62"/>
  <c r="V11" i="62" s="1"/>
  <c r="W11" i="62"/>
  <c r="X11" i="62" s="1"/>
  <c r="Q12" i="62"/>
  <c r="R12" i="62" s="1"/>
  <c r="S12" i="62"/>
  <c r="T12" i="62" s="1"/>
  <c r="U12" i="62"/>
  <c r="V12" i="62" s="1"/>
  <c r="W12" i="62"/>
  <c r="X12" i="62" s="1"/>
  <c r="Q13" i="62"/>
  <c r="R13" i="62" s="1"/>
  <c r="S13" i="62"/>
  <c r="T13" i="62" s="1"/>
  <c r="U13" i="62"/>
  <c r="V13" i="62" s="1"/>
  <c r="W13" i="62"/>
  <c r="X13" i="62" s="1"/>
  <c r="Q14" i="62"/>
  <c r="S14" i="62"/>
  <c r="U14" i="62"/>
  <c r="V14" i="62" s="1"/>
  <c r="W14" i="62"/>
  <c r="X14" i="62" s="1"/>
  <c r="K109" i="1"/>
  <c r="K107" i="1"/>
  <c r="G119" i="74" l="1"/>
  <c r="H121" i="74" s="1"/>
  <c r="B301" i="74"/>
  <c r="B300" i="74"/>
  <c r="E131" i="74"/>
  <c r="E124" i="74"/>
  <c r="G124" i="74" s="1"/>
  <c r="B323" i="73"/>
  <c r="B322" i="73"/>
  <c r="B321" i="73"/>
  <c r="C87" i="73"/>
  <c r="E87" i="73" s="1"/>
  <c r="C73" i="73"/>
  <c r="E71" i="73" s="1"/>
  <c r="H67" i="73" s="1"/>
  <c r="B320" i="73" s="1"/>
  <c r="E89" i="73"/>
  <c r="G89" i="73" s="1"/>
  <c r="E82" i="73"/>
  <c r="H87" i="73" s="1"/>
  <c r="B54" i="72"/>
  <c r="B84" i="72"/>
  <c r="H100" i="72" s="1"/>
  <c r="B48" i="72"/>
  <c r="B44" i="72"/>
  <c r="C54" i="72"/>
  <c r="B46" i="72"/>
  <c r="B78" i="72"/>
  <c r="C78" i="72" s="1"/>
  <c r="B82" i="72"/>
  <c r="B92" i="72"/>
  <c r="C92" i="72" s="1"/>
  <c r="B50" i="72"/>
  <c r="B86" i="72"/>
  <c r="C88" i="72" s="1"/>
  <c r="C42" i="72"/>
  <c r="C40" i="72"/>
  <c r="C52" i="72"/>
  <c r="H126" i="74" l="1"/>
  <c r="G128" i="74"/>
  <c r="H129" i="74" s="1"/>
  <c r="H118" i="74"/>
  <c r="G131" i="74"/>
  <c r="G133" i="74"/>
  <c r="E85" i="73"/>
  <c r="C80" i="72"/>
  <c r="C79" i="72" s="1"/>
  <c r="C90" i="72"/>
  <c r="C86" i="72"/>
  <c r="C87" i="72" s="1"/>
  <c r="C65" i="72"/>
  <c r="C83" i="72"/>
  <c r="C91" i="72"/>
  <c r="C67" i="72"/>
  <c r="C53" i="72"/>
  <c r="C63" i="72"/>
  <c r="C49" i="72"/>
  <c r="C61" i="72"/>
  <c r="C41" i="72"/>
  <c r="N119" i="1"/>
  <c r="H135" i="74" l="1"/>
  <c r="H132" i="74"/>
  <c r="B309" i="74"/>
  <c r="B317" i="74"/>
  <c r="B306" i="74"/>
  <c r="B314" i="74"/>
  <c r="B303" i="74"/>
  <c r="B311" i="74"/>
  <c r="B319" i="74"/>
  <c r="B308" i="74"/>
  <c r="B316" i="74"/>
  <c r="B305" i="74"/>
  <c r="B313" i="74"/>
  <c r="B302" i="74"/>
  <c r="B310" i="74"/>
  <c r="B318" i="74"/>
  <c r="B307" i="74"/>
  <c r="B315" i="74"/>
  <c r="B304" i="74"/>
  <c r="B312" i="74"/>
  <c r="E91" i="73"/>
  <c r="G91" i="73" s="1"/>
  <c r="E86" i="73"/>
  <c r="H84" i="73" s="1"/>
  <c r="E65" i="72"/>
  <c r="C45" i="72"/>
  <c r="E93" i="72"/>
  <c r="E61" i="72"/>
  <c r="E63" i="72"/>
  <c r="E67" i="72"/>
  <c r="A4" i="58"/>
  <c r="A2" i="58"/>
  <c r="C21" i="3"/>
  <c r="B325" i="73" l="1"/>
  <c r="B324" i="73"/>
  <c r="H90" i="73"/>
  <c r="H93" i="73"/>
  <c r="E66" i="72"/>
  <c r="E95" i="72"/>
  <c r="H94" i="72" s="1"/>
  <c r="E43" i="72"/>
  <c r="E51" i="72"/>
  <c r="E81" i="72"/>
  <c r="E62" i="72"/>
  <c r="E89" i="72"/>
  <c r="E71" i="72"/>
  <c r="E57" i="72"/>
  <c r="E69" i="72"/>
  <c r="E14" i="3"/>
  <c r="E12" i="3"/>
  <c r="E8" i="3"/>
  <c r="E7" i="3"/>
  <c r="E5" i="3"/>
  <c r="E16" i="3"/>
  <c r="K39" i="1"/>
  <c r="E28" i="3"/>
  <c r="E26" i="3"/>
  <c r="E24" i="3"/>
  <c r="E18" i="3"/>
  <c r="A1" i="58" s="1"/>
  <c r="K50" i="1"/>
  <c r="K41" i="1"/>
  <c r="E17" i="3"/>
  <c r="B327" i="73" l="1"/>
  <c r="B326" i="73"/>
  <c r="B329" i="73"/>
  <c r="A1" i="72"/>
  <c r="B328" i="73"/>
  <c r="H97" i="72"/>
  <c r="E55" i="72"/>
  <c r="H67" i="72"/>
  <c r="G69" i="72"/>
  <c r="G71" i="72"/>
  <c r="H47" i="72" l="1"/>
  <c r="B300" i="72" s="1"/>
  <c r="H52" i="72"/>
  <c r="H64" i="72"/>
  <c r="H90" i="72"/>
  <c r="H73" i="72"/>
  <c r="H85" i="72"/>
  <c r="H70" i="72"/>
  <c r="H59" i="72"/>
  <c r="H56" i="72"/>
  <c r="AE15" i="44" l="1"/>
  <c r="AE18" i="44"/>
  <c r="B301" i="72"/>
  <c r="AE59" i="44" s="1"/>
  <c r="B303" i="72"/>
  <c r="B305" i="72"/>
  <c r="B307" i="72"/>
  <c r="B309" i="72"/>
  <c r="B302" i="72"/>
  <c r="AE29" i="44" s="1"/>
  <c r="B304" i="72"/>
  <c r="B306" i="72"/>
  <c r="B308" i="72"/>
  <c r="B310" i="72"/>
  <c r="AE58" i="44" l="1"/>
  <c r="AE50" i="44"/>
  <c r="AE12" i="44"/>
  <c r="AE11" i="44"/>
  <c r="AE8" i="44"/>
  <c r="AE49" i="44"/>
  <c r="AE60" i="44"/>
  <c r="AE45" i="44"/>
  <c r="AE51" i="44"/>
  <c r="AE46" i="44"/>
  <c r="AE42" i="44"/>
  <c r="AE36" i="44"/>
  <c r="AE32" i="44"/>
  <c r="AE31" i="44"/>
  <c r="AE26" i="44"/>
  <c r="AE20" i="44"/>
  <c r="AE22" i="44"/>
  <c r="AE13" i="44"/>
  <c r="AE7" i="44"/>
  <c r="AE54" i="44"/>
  <c r="AE39" i="44"/>
  <c r="AE41" i="44"/>
  <c r="AE38" i="44"/>
  <c r="AE33" i="44"/>
  <c r="AE25" i="44"/>
  <c r="AE61" i="44"/>
  <c r="AE55" i="44"/>
  <c r="AE52" i="44"/>
  <c r="AE47" i="44"/>
  <c r="AE44" i="44"/>
  <c r="AE35" i="44"/>
  <c r="AE34" i="44"/>
  <c r="AE28" i="44"/>
  <c r="AE27" i="44"/>
  <c r="AE19" i="44"/>
  <c r="AE17" i="44"/>
  <c r="AE14" i="44"/>
  <c r="AE10" i="44"/>
  <c r="AE57" i="44"/>
  <c r="AE62" i="44"/>
  <c r="AE56" i="44"/>
  <c r="AE53" i="44"/>
  <c r="AE48" i="44"/>
  <c r="AE43" i="44"/>
  <c r="AE40" i="44"/>
  <c r="AE37" i="44"/>
  <c r="AE30" i="44"/>
  <c r="AE23" i="44"/>
  <c r="AE21" i="44"/>
  <c r="AE24" i="44"/>
  <c r="AE16" i="44"/>
  <c r="AE9" i="44"/>
  <c r="A4" i="69"/>
  <c r="A2" i="69"/>
  <c r="A1" i="69"/>
  <c r="E22" i="3"/>
  <c r="A3" i="69"/>
  <c r="F1" i="69"/>
  <c r="J13" i="69"/>
  <c r="L13" i="69" s="1"/>
  <c r="J12" i="69"/>
  <c r="L12" i="69" s="1"/>
  <c r="J11" i="69"/>
  <c r="L11" i="69" s="1"/>
  <c r="J10" i="69"/>
  <c r="L10" i="69" s="1"/>
  <c r="J9" i="69"/>
  <c r="L9" i="69" s="1"/>
  <c r="J8" i="69"/>
  <c r="L8" i="69" s="1"/>
  <c r="J7" i="69"/>
  <c r="L7" i="69" s="1"/>
  <c r="N6" i="69"/>
  <c r="K13" i="69" s="1"/>
  <c r="J5" i="69" l="1"/>
  <c r="M8" i="69"/>
  <c r="N8" i="69" s="1"/>
  <c r="M10" i="69"/>
  <c r="N10" i="69" s="1"/>
  <c r="M12" i="69"/>
  <c r="N12" i="69" s="1"/>
  <c r="M7" i="69"/>
  <c r="N7" i="69" s="1"/>
  <c r="M9" i="69"/>
  <c r="N9" i="69" s="1"/>
  <c r="M11" i="69"/>
  <c r="N11" i="69" s="1"/>
  <c r="M13" i="69"/>
  <c r="N13" i="69" s="1"/>
  <c r="J13" i="68"/>
  <c r="L13" i="68" s="1"/>
  <c r="J12" i="68"/>
  <c r="L12" i="68" s="1"/>
  <c r="J11" i="68"/>
  <c r="L11" i="68" s="1"/>
  <c r="J10" i="68"/>
  <c r="L10" i="68" s="1"/>
  <c r="J9" i="68"/>
  <c r="L9" i="68" s="1"/>
  <c r="J8" i="68"/>
  <c r="J7" i="68"/>
  <c r="L7" i="68" s="1"/>
  <c r="N6" i="68"/>
  <c r="J12" i="65"/>
  <c r="J8" i="65"/>
  <c r="K12" i="69" l="1"/>
  <c r="K10" i="69"/>
  <c r="K8" i="69"/>
  <c r="K7" i="69"/>
  <c r="K9" i="69"/>
  <c r="J5" i="68"/>
  <c r="L8" i="68"/>
  <c r="K13" i="68"/>
  <c r="M8" i="68" l="1"/>
  <c r="N8" i="68" s="1"/>
  <c r="M12" i="68"/>
  <c r="N12" i="68" s="1"/>
  <c r="M10" i="68"/>
  <c r="N10" i="68" s="1"/>
  <c r="M13" i="68"/>
  <c r="N13" i="68" s="1"/>
  <c r="M11" i="68"/>
  <c r="N11" i="68" s="1"/>
  <c r="M9" i="68"/>
  <c r="N9" i="68" s="1"/>
  <c r="M7" i="68"/>
  <c r="N7" i="68" s="1"/>
  <c r="J13" i="65"/>
  <c r="J10" i="65"/>
  <c r="J9" i="65"/>
  <c r="J7" i="65"/>
  <c r="J5" i="65" s="1"/>
  <c r="J11" i="65"/>
  <c r="N6" i="65"/>
  <c r="K8" i="68" l="1"/>
  <c r="K7" i="68"/>
  <c r="K11" i="68"/>
  <c r="K10" i="68"/>
  <c r="K9" i="68"/>
  <c r="K12" i="68"/>
  <c r="L11" i="65"/>
  <c r="L12" i="65"/>
  <c r="L13" i="65"/>
  <c r="L10" i="65"/>
  <c r="L9" i="65"/>
  <c r="L8" i="65"/>
  <c r="L7" i="65"/>
  <c r="M13" i="65" l="1"/>
  <c r="N13" i="65" s="1"/>
  <c r="M12" i="65"/>
  <c r="N12" i="65" s="1"/>
  <c r="M11" i="65"/>
  <c r="N11" i="65" s="1"/>
  <c r="M9" i="65"/>
  <c r="N9" i="65" s="1"/>
  <c r="M8" i="65"/>
  <c r="N8" i="65" s="1"/>
  <c r="M10" i="65"/>
  <c r="N10" i="65" s="1"/>
  <c r="M7" i="65"/>
  <c r="N7" i="65" s="1"/>
  <c r="L6" i="62"/>
  <c r="L13" i="62"/>
  <c r="L20" i="62"/>
  <c r="H32" i="62"/>
  <c r="J32" i="62" s="1"/>
  <c r="H31" i="62"/>
  <c r="J31" i="62" s="1"/>
  <c r="H30" i="62"/>
  <c r="J30" i="62" s="1"/>
  <c r="H29" i="62"/>
  <c r="J29" i="62" s="1"/>
  <c r="H28" i="62"/>
  <c r="J28" i="62" s="1"/>
  <c r="H25" i="62"/>
  <c r="J25" i="62" s="1"/>
  <c r="H11" i="62"/>
  <c r="J11" i="62" s="1"/>
  <c r="H18" i="62"/>
  <c r="J18" i="62" s="1"/>
  <c r="H17" i="62"/>
  <c r="J17" i="62" s="1"/>
  <c r="H16" i="62"/>
  <c r="J16" i="62" s="1"/>
  <c r="H15" i="62"/>
  <c r="J15" i="62" s="1"/>
  <c r="H14" i="62"/>
  <c r="J14" i="62" s="1"/>
  <c r="H10" i="62"/>
  <c r="J10" i="62" s="1"/>
  <c r="H9" i="62"/>
  <c r="J9" i="62" s="1"/>
  <c r="H8" i="62"/>
  <c r="J8" i="62" s="1"/>
  <c r="H7" i="62"/>
  <c r="J7" i="62" s="1"/>
  <c r="H24" i="62"/>
  <c r="J24" i="62" s="1"/>
  <c r="H23" i="62"/>
  <c r="J23" i="62" s="1"/>
  <c r="H22" i="62"/>
  <c r="J22" i="62" s="1"/>
  <c r="H21" i="62"/>
  <c r="J21" i="62" s="1"/>
  <c r="L27" i="62" l="1"/>
  <c r="I32" i="62" s="1"/>
  <c r="I26" i="62"/>
  <c r="I25" i="62"/>
  <c r="I24" i="62"/>
  <c r="I17" i="62"/>
  <c r="I18" i="62"/>
  <c r="I10" i="62"/>
  <c r="I11" i="62"/>
  <c r="K29" i="62"/>
  <c r="L29" i="62" s="1"/>
  <c r="K31" i="62"/>
  <c r="L31" i="62" s="1"/>
  <c r="K28" i="62"/>
  <c r="L28" i="62" s="1"/>
  <c r="K30" i="62"/>
  <c r="L30" i="62" s="1"/>
  <c r="K32" i="62"/>
  <c r="L32" i="62" s="1"/>
  <c r="K24" i="62"/>
  <c r="L24" i="62" s="1"/>
  <c r="K21" i="62"/>
  <c r="L21" i="62" s="1"/>
  <c r="K25" i="62"/>
  <c r="L25" i="62" s="1"/>
  <c r="K23" i="62"/>
  <c r="L23" i="62" s="1"/>
  <c r="K22" i="62"/>
  <c r="L22" i="62" s="1"/>
  <c r="K14" i="62"/>
  <c r="L14" i="62" s="1"/>
  <c r="K16" i="62"/>
  <c r="L16" i="62" s="1"/>
  <c r="K18" i="62"/>
  <c r="L18" i="62" s="1"/>
  <c r="K15" i="62"/>
  <c r="L15" i="62" s="1"/>
  <c r="K17" i="62"/>
  <c r="L17" i="62" s="1"/>
  <c r="K8" i="62"/>
  <c r="L8" i="62" s="1"/>
  <c r="K8" i="65"/>
  <c r="K11" i="65"/>
  <c r="K7" i="65"/>
  <c r="K10" i="65"/>
  <c r="K13" i="65"/>
  <c r="K9" i="65"/>
  <c r="K12" i="65"/>
  <c r="K10" i="62"/>
  <c r="L10" i="62" s="1"/>
  <c r="K7" i="62"/>
  <c r="L7" i="62" s="1"/>
  <c r="K9" i="62"/>
  <c r="L9" i="62" s="1"/>
  <c r="K11" i="62"/>
  <c r="L11" i="62" s="1"/>
  <c r="P32" i="62"/>
  <c r="P25" i="62"/>
  <c r="P18" i="62"/>
  <c r="I9" i="62" l="1"/>
  <c r="I22" i="62"/>
  <c r="I30" i="62"/>
  <c r="I31" i="62"/>
  <c r="I28" i="62"/>
  <c r="I29" i="62"/>
  <c r="I15" i="62"/>
  <c r="I16" i="62"/>
  <c r="I14" i="62"/>
  <c r="I7" i="62"/>
  <c r="I8" i="62"/>
  <c r="I23" i="62"/>
  <c r="I21" i="62"/>
  <c r="B152" i="62" l="1"/>
  <c r="B144" i="62"/>
  <c r="B106" i="62"/>
  <c r="B104" i="62"/>
  <c r="B142" i="62"/>
  <c r="B116" i="62"/>
  <c r="B110" i="62"/>
  <c r="B108" i="62"/>
  <c r="C107" i="62" s="1"/>
  <c r="B140" i="62"/>
  <c r="B148" i="62"/>
  <c r="B114" i="62"/>
  <c r="B102" i="62"/>
  <c r="B112" i="62"/>
  <c r="C11" i="22" l="1"/>
  <c r="A11" i="22" s="1"/>
  <c r="F11" i="22" s="1"/>
  <c r="C12" i="22"/>
  <c r="A12" i="22" s="1"/>
  <c r="F12" i="22" s="1"/>
  <c r="C13" i="22"/>
  <c r="A13" i="22" s="1"/>
  <c r="F13" i="22" s="1"/>
  <c r="C14" i="22"/>
  <c r="A14" i="22" s="1"/>
  <c r="F14" i="22" s="1"/>
  <c r="C15" i="22"/>
  <c r="A15" i="22" s="1"/>
  <c r="F15" i="22" s="1"/>
  <c r="C16" i="22"/>
  <c r="A16" i="22" s="1"/>
  <c r="F16" i="22" s="1"/>
  <c r="C17" i="22"/>
  <c r="A17" i="22" s="1"/>
  <c r="F17" i="22" s="1"/>
  <c r="C18" i="22"/>
  <c r="A18" i="22" s="1"/>
  <c r="F18" i="22" s="1"/>
  <c r="C19" i="22"/>
  <c r="A19" i="22" s="1"/>
  <c r="F19" i="22" s="1"/>
  <c r="C20" i="22"/>
  <c r="A20" i="22" s="1"/>
  <c r="F20" i="22" s="1"/>
  <c r="AG4" i="44" l="1"/>
  <c r="AD4" i="44"/>
  <c r="AE4" i="44"/>
  <c r="C300" i="62"/>
  <c r="T8" i="58"/>
  <c r="T9" i="58"/>
  <c r="T10" i="58"/>
  <c r="T13" i="58"/>
  <c r="T14" i="58"/>
  <c r="T15" i="58"/>
  <c r="T16" i="58"/>
  <c r="T19" i="58"/>
  <c r="T20" i="58"/>
  <c r="T21" i="58"/>
  <c r="T22" i="58"/>
  <c r="T25" i="58"/>
  <c r="T26" i="58"/>
  <c r="T27" i="58"/>
  <c r="T28" i="58"/>
  <c r="R8" i="58"/>
  <c r="R9" i="58"/>
  <c r="R10" i="58"/>
  <c r="R13" i="58"/>
  <c r="R14" i="58"/>
  <c r="R15" i="58"/>
  <c r="R16" i="58"/>
  <c r="R19" i="58"/>
  <c r="R20" i="58"/>
  <c r="R21" i="58"/>
  <c r="R22" i="58"/>
  <c r="R25" i="58"/>
  <c r="R26" i="58"/>
  <c r="R27" i="58"/>
  <c r="P8" i="58"/>
  <c r="P9" i="58"/>
  <c r="P10" i="58"/>
  <c r="P13" i="58"/>
  <c r="P14" i="58"/>
  <c r="P15" i="58"/>
  <c r="P16" i="58"/>
  <c r="P19" i="58"/>
  <c r="P20" i="58"/>
  <c r="P21" i="58"/>
  <c r="P22" i="58"/>
  <c r="P25" i="58"/>
  <c r="P26" i="58"/>
  <c r="P27" i="58"/>
  <c r="P28" i="58"/>
  <c r="N8" i="58"/>
  <c r="N9" i="58"/>
  <c r="N10" i="58"/>
  <c r="N13" i="58"/>
  <c r="N14" i="58"/>
  <c r="N15" i="58"/>
  <c r="N16" i="58"/>
  <c r="N19" i="58"/>
  <c r="N20" i="58"/>
  <c r="N21" i="58"/>
  <c r="N22" i="58"/>
  <c r="N25" i="58"/>
  <c r="N26" i="58"/>
  <c r="N27" i="58"/>
  <c r="N28" i="58"/>
  <c r="Q15" i="62"/>
  <c r="S15" i="62"/>
  <c r="U15" i="62"/>
  <c r="V15" i="62" s="1"/>
  <c r="W15" i="62"/>
  <c r="X15" i="62" s="1"/>
  <c r="P24" i="62"/>
  <c r="U8" i="58"/>
  <c r="U9" i="58"/>
  <c r="U10" i="58"/>
  <c r="U16" i="58"/>
  <c r="U22" i="58"/>
  <c r="U28" i="58"/>
  <c r="S8" i="58"/>
  <c r="S9" i="58"/>
  <c r="S10" i="58"/>
  <c r="S16" i="58"/>
  <c r="S22" i="58"/>
  <c r="Q10" i="58"/>
  <c r="Q16" i="58"/>
  <c r="Q22" i="58"/>
  <c r="O10" i="58"/>
  <c r="O16" i="58"/>
  <c r="O22" i="58"/>
  <c r="A4" i="62"/>
  <c r="A2" i="62"/>
  <c r="A1" i="62"/>
  <c r="C301" i="62"/>
  <c r="C302" i="62" s="1"/>
  <c r="C303" i="62" s="1"/>
  <c r="C304" i="62" s="1"/>
  <c r="C305" i="62" s="1"/>
  <c r="C306" i="62" s="1"/>
  <c r="C307" i="62" s="1"/>
  <c r="C308" i="62" s="1"/>
  <c r="C309" i="62" s="1"/>
  <c r="C310" i="62" s="1"/>
  <c r="C311" i="62" s="1"/>
  <c r="C312" i="62" s="1"/>
  <c r="E1" i="62"/>
  <c r="A3" i="72" l="1"/>
  <c r="M16" i="58"/>
  <c r="P17" i="62"/>
  <c r="P10" i="62"/>
  <c r="C154" i="62"/>
  <c r="C144" i="62"/>
  <c r="C148" i="62"/>
  <c r="C152" i="62"/>
  <c r="C146" i="62"/>
  <c r="C150" i="62"/>
  <c r="C141" i="62"/>
  <c r="M10" i="58"/>
  <c r="M22" i="58"/>
  <c r="C167" i="62" l="1"/>
  <c r="C129" i="62"/>
  <c r="C153" i="62"/>
  <c r="C161" i="62"/>
  <c r="C103" i="62"/>
  <c r="C149" i="62"/>
  <c r="C111" i="62"/>
  <c r="C165" i="62"/>
  <c r="E165" i="62" s="1"/>
  <c r="C127" i="62"/>
  <c r="C163" i="62"/>
  <c r="E163" i="62" s="1"/>
  <c r="C125" i="62"/>
  <c r="C115" i="62"/>
  <c r="C145" i="62"/>
  <c r="C123" i="62"/>
  <c r="E128" i="62" l="1"/>
  <c r="E151" i="62"/>
  <c r="E167" i="62"/>
  <c r="E171" i="62" s="1"/>
  <c r="E161" i="62"/>
  <c r="E169" i="62" s="1"/>
  <c r="E143" i="62"/>
  <c r="E105" i="62" l="1"/>
  <c r="E133" i="62"/>
  <c r="E162" i="62"/>
  <c r="E131" i="62"/>
  <c r="E117" i="62"/>
  <c r="E155" i="62"/>
  <c r="E119" i="62"/>
  <c r="E113" i="62"/>
  <c r="E157" i="62"/>
  <c r="E166" i="62"/>
  <c r="G169" i="62"/>
  <c r="E124" i="62"/>
  <c r="G171" i="62"/>
  <c r="G162" i="62" l="1"/>
  <c r="H156" i="62"/>
  <c r="H173" i="62"/>
  <c r="H129" i="62"/>
  <c r="G166" i="62"/>
  <c r="H170" i="62"/>
  <c r="H147" i="62"/>
  <c r="H152" i="62"/>
  <c r="H121" i="62"/>
  <c r="H159" i="62" l="1"/>
  <c r="H114" i="62"/>
  <c r="B301" i="62" s="1"/>
  <c r="H135" i="62"/>
  <c r="H118" i="62"/>
  <c r="B302" i="62" s="1"/>
  <c r="H132" i="62"/>
  <c r="H164" i="62"/>
  <c r="H109" i="62"/>
  <c r="B300" i="62" s="1"/>
  <c r="H126" i="62"/>
  <c r="H167" i="62"/>
  <c r="B305" i="62"/>
  <c r="B307" i="62" l="1"/>
  <c r="B303" i="62"/>
  <c r="AD17" i="44" s="1"/>
  <c r="B310" i="62"/>
  <c r="B309" i="62"/>
  <c r="B312" i="62"/>
  <c r="B304" i="62"/>
  <c r="B308" i="62"/>
  <c r="B311" i="62"/>
  <c r="B306" i="62"/>
  <c r="E4" i="22"/>
  <c r="D4" i="22"/>
  <c r="AD43" i="44" l="1"/>
  <c r="AD61" i="44"/>
  <c r="AD59" i="44"/>
  <c r="AD25" i="44"/>
  <c r="AD21" i="44"/>
  <c r="AD18" i="44"/>
  <c r="AD15" i="44"/>
  <c r="AD10" i="44"/>
  <c r="AD16" i="44"/>
  <c r="AD60" i="44"/>
  <c r="AD57" i="44"/>
  <c r="AD44" i="44"/>
  <c r="AD55" i="44"/>
  <c r="AD53" i="44"/>
  <c r="AD36" i="44"/>
  <c r="AD47" i="44"/>
  <c r="AD38" i="44"/>
  <c r="AD37" i="44"/>
  <c r="AD31" i="44"/>
  <c r="AD9" i="44"/>
  <c r="AD11" i="44"/>
  <c r="AD56" i="44"/>
  <c r="AD34" i="44"/>
  <c r="AD54" i="44"/>
  <c r="AD35" i="44"/>
  <c r="AD29" i="44"/>
  <c r="AD30" i="44"/>
  <c r="AD28" i="44"/>
  <c r="AD20" i="44"/>
  <c r="AD19" i="44"/>
  <c r="AD8" i="44"/>
  <c r="AD58" i="44"/>
  <c r="AD40" i="44"/>
  <c r="AD51" i="44"/>
  <c r="AD42" i="44"/>
  <c r="AD39" i="44"/>
  <c r="AD41" i="44"/>
  <c r="AD33" i="44"/>
  <c r="AD26" i="44"/>
  <c r="AD22" i="44"/>
  <c r="AD13" i="44"/>
  <c r="AD7" i="44"/>
  <c r="AD45" i="44"/>
  <c r="AD49" i="44"/>
  <c r="AD62" i="44"/>
  <c r="AD50" i="44"/>
  <c r="AD52" i="44"/>
  <c r="AD48" i="44"/>
  <c r="AD46" i="44"/>
  <c r="AD23" i="44"/>
  <c r="AD32" i="44"/>
  <c r="AD27" i="44"/>
  <c r="AD24" i="44"/>
  <c r="AD12" i="44"/>
  <c r="AD14" i="44"/>
  <c r="E23" i="3"/>
  <c r="E21" i="3"/>
  <c r="AD63" i="44" l="1"/>
  <c r="A3" i="79" l="1"/>
  <c r="A3" i="78"/>
  <c r="A3" i="58" l="1"/>
  <c r="A3" i="62" l="1"/>
  <c r="T35" i="33" l="1"/>
  <c r="S35" i="33" l="1"/>
  <c r="S36" i="33" s="1"/>
  <c r="S37" i="33" s="1"/>
  <c r="Q35" i="33"/>
  <c r="Q36" i="33" s="1"/>
  <c r="Q37" i="33" s="1"/>
  <c r="R35" i="33"/>
  <c r="R36" i="33" s="1"/>
  <c r="R37" i="33" s="1"/>
  <c r="M53" i="1"/>
  <c r="M36" i="1"/>
  <c r="M15" i="1"/>
  <c r="Y8" i="44"/>
  <c r="Y13" i="44"/>
  <c r="Y21" i="44"/>
  <c r="Y12" i="44"/>
  <c r="Y9" i="44"/>
  <c r="Y17" i="44"/>
  <c r="Y26" i="44"/>
  <c r="Y27" i="44"/>
  <c r="Y25" i="44"/>
  <c r="Y41" i="44"/>
  <c r="Y23" i="44"/>
  <c r="Y38" i="44"/>
  <c r="Y29" i="44"/>
  <c r="Y39" i="44"/>
  <c r="Y46" i="44"/>
  <c r="Y42" i="44"/>
  <c r="Y35" i="44"/>
  <c r="Y52" i="44"/>
  <c r="Y53" i="44"/>
  <c r="Y54" i="44"/>
  <c r="Y40" i="44"/>
  <c r="Y50" i="44"/>
  <c r="Y34" i="44"/>
  <c r="Y62" i="44"/>
  <c r="Y44" i="44"/>
  <c r="Y56" i="44"/>
  <c r="Y57" i="44"/>
  <c r="Y49" i="44"/>
  <c r="Y60" i="44"/>
  <c r="Y45" i="44"/>
  <c r="X12" i="33" l="1"/>
  <c r="X9" i="33"/>
  <c r="X10" i="33"/>
  <c r="X21" i="33"/>
  <c r="X8" i="33"/>
  <c r="AH63" i="44"/>
  <c r="I37" i="3" s="1"/>
  <c r="AE63" i="44"/>
  <c r="AG63" i="44"/>
  <c r="I35" i="3" s="1"/>
  <c r="A4" i="61"/>
  <c r="A3" i="61"/>
  <c r="A2" i="61"/>
  <c r="N8" i="61"/>
  <c r="P8" i="61"/>
  <c r="R8" i="61"/>
  <c r="T8" i="61"/>
  <c r="U8" i="61" s="1"/>
  <c r="V8" i="61"/>
  <c r="W8" i="61" s="1"/>
  <c r="N9" i="61"/>
  <c r="P9" i="61"/>
  <c r="R9" i="61"/>
  <c r="T9" i="61"/>
  <c r="U9" i="61" s="1"/>
  <c r="V9" i="61"/>
  <c r="W9" i="61" s="1"/>
  <c r="N10" i="61"/>
  <c r="O10" i="61" s="1"/>
  <c r="P10" i="61"/>
  <c r="Q10" i="61" s="1"/>
  <c r="R10" i="61"/>
  <c r="S10" i="61" s="1"/>
  <c r="T10" i="61"/>
  <c r="U10" i="61" s="1"/>
  <c r="V10" i="61"/>
  <c r="W10" i="61" s="1"/>
  <c r="N13" i="61"/>
  <c r="P13" i="61"/>
  <c r="R13" i="61"/>
  <c r="T13" i="61"/>
  <c r="U13" i="61" s="1"/>
  <c r="V13" i="61"/>
  <c r="W13" i="61" s="1"/>
  <c r="N14" i="61"/>
  <c r="P14" i="61"/>
  <c r="R14" i="61"/>
  <c r="T14" i="61"/>
  <c r="U14" i="61" s="1"/>
  <c r="V14" i="61"/>
  <c r="W14" i="61" s="1"/>
  <c r="N15" i="61"/>
  <c r="P15" i="61"/>
  <c r="R15" i="61"/>
  <c r="T15" i="61"/>
  <c r="U15" i="61" s="1"/>
  <c r="V15" i="61"/>
  <c r="W15" i="61" s="1"/>
  <c r="N16" i="61"/>
  <c r="P16" i="61"/>
  <c r="R16" i="61"/>
  <c r="T16" i="61"/>
  <c r="U16" i="61" s="1"/>
  <c r="V16" i="61"/>
  <c r="W16" i="61" s="1"/>
  <c r="N7" i="61"/>
  <c r="P7" i="61"/>
  <c r="R7" i="61"/>
  <c r="T7" i="61"/>
  <c r="U7" i="61" s="1"/>
  <c r="V7" i="61"/>
  <c r="W7" i="61" s="1"/>
  <c r="E16" i="61"/>
  <c r="E15" i="61"/>
  <c r="C10" i="61"/>
  <c r="C7" i="61"/>
  <c r="AH64" i="44" l="1"/>
  <c r="AG64" i="44"/>
  <c r="M10" i="61"/>
  <c r="G14" i="61" l="1"/>
  <c r="G13" i="61"/>
  <c r="E10" i="61"/>
  <c r="E9" i="61"/>
  <c r="G9" i="61" s="1"/>
  <c r="E8" i="61"/>
  <c r="G8" i="61" s="1"/>
  <c r="G7" i="61"/>
  <c r="F1" i="61"/>
  <c r="D1" i="61"/>
  <c r="B24" i="61" l="1"/>
  <c r="B20" i="61"/>
  <c r="G16" i="61"/>
  <c r="G15" i="61"/>
  <c r="G10" i="61"/>
  <c r="B26" i="61" s="1"/>
  <c r="B22" i="61" l="1"/>
  <c r="C30" i="61" l="1"/>
  <c r="C28" i="61"/>
  <c r="C25" i="61"/>
  <c r="C21" i="61" l="1"/>
  <c r="H26" i="61" l="1"/>
  <c r="H32" i="61"/>
  <c r="H29" i="61"/>
  <c r="H23" i="61" l="1"/>
  <c r="B302" i="61" l="1"/>
  <c r="B304" i="61"/>
  <c r="B306" i="61"/>
  <c r="B301" i="61"/>
  <c r="B303" i="61"/>
  <c r="B305" i="61"/>
  <c r="B300" i="61"/>
  <c r="N10" i="60"/>
  <c r="O10" i="60" s="1"/>
  <c r="P10" i="60"/>
  <c r="Q10" i="60" s="1"/>
  <c r="R10" i="60"/>
  <c r="S10" i="60" s="1"/>
  <c r="T10" i="60"/>
  <c r="U10" i="60" s="1"/>
  <c r="N8" i="60"/>
  <c r="P8" i="60"/>
  <c r="R8" i="60"/>
  <c r="S8" i="60" s="1"/>
  <c r="T8" i="60"/>
  <c r="U8" i="60" s="1"/>
  <c r="N9" i="60"/>
  <c r="P9" i="60"/>
  <c r="R9" i="60"/>
  <c r="S9" i="60" s="1"/>
  <c r="T9" i="60"/>
  <c r="U9" i="60" s="1"/>
  <c r="N13" i="60"/>
  <c r="P13" i="60"/>
  <c r="R13" i="60"/>
  <c r="S13" i="60" s="1"/>
  <c r="T13" i="60"/>
  <c r="U13" i="60" s="1"/>
  <c r="N14" i="60"/>
  <c r="P14" i="60"/>
  <c r="R14" i="60"/>
  <c r="S14" i="60" s="1"/>
  <c r="T14" i="60"/>
  <c r="U14" i="60" s="1"/>
  <c r="N15" i="60"/>
  <c r="P15" i="60"/>
  <c r="R15" i="60"/>
  <c r="S15" i="60" s="1"/>
  <c r="T15" i="60"/>
  <c r="U15" i="60" s="1"/>
  <c r="N16" i="60"/>
  <c r="O16" i="60" s="1"/>
  <c r="P16" i="60"/>
  <c r="Q16" i="60" s="1"/>
  <c r="R16" i="60"/>
  <c r="S16" i="60" s="1"/>
  <c r="T16" i="60"/>
  <c r="U16" i="60" s="1"/>
  <c r="N19" i="60"/>
  <c r="P19" i="60"/>
  <c r="R19" i="60"/>
  <c r="S19" i="60" s="1"/>
  <c r="T19" i="60"/>
  <c r="U19" i="60" s="1"/>
  <c r="N20" i="60"/>
  <c r="P20" i="60"/>
  <c r="R20" i="60"/>
  <c r="S20" i="60" s="1"/>
  <c r="T20" i="60"/>
  <c r="U20" i="60" s="1"/>
  <c r="N21" i="60"/>
  <c r="P21" i="60"/>
  <c r="Q21" i="60" s="1"/>
  <c r="R21" i="60"/>
  <c r="T21" i="60"/>
  <c r="U21" i="60" s="1"/>
  <c r="N22" i="60"/>
  <c r="P22" i="60"/>
  <c r="R22" i="60"/>
  <c r="T22" i="60"/>
  <c r="T7" i="60"/>
  <c r="U7" i="60" s="1"/>
  <c r="R7" i="60"/>
  <c r="S7" i="60" s="1"/>
  <c r="P7" i="60"/>
  <c r="Q7" i="60" s="1"/>
  <c r="N7" i="60"/>
  <c r="P11" i="33" l="1"/>
  <c r="P7" i="33"/>
  <c r="P15" i="33"/>
  <c r="P19" i="33"/>
  <c r="P8" i="33"/>
  <c r="P16" i="33"/>
  <c r="P21" i="33"/>
  <c r="P25" i="33"/>
  <c r="P26" i="33"/>
  <c r="P22" i="33"/>
  <c r="P29" i="33"/>
  <c r="P31" i="33"/>
  <c r="P12" i="33"/>
  <c r="P9" i="33"/>
  <c r="P13" i="33"/>
  <c r="P17" i="33"/>
  <c r="P18" i="33"/>
  <c r="P14" i="33"/>
  <c r="P10" i="33"/>
  <c r="P23" i="33"/>
  <c r="P24" i="33"/>
  <c r="P20" i="33"/>
  <c r="P27" i="33"/>
  <c r="P28" i="33"/>
  <c r="P30" i="33"/>
  <c r="P34" i="33"/>
  <c r="M10" i="60"/>
  <c r="M22" i="60"/>
  <c r="M16" i="60"/>
  <c r="P35" i="33" l="1"/>
  <c r="P36" i="33" s="1"/>
  <c r="P37" i="33" s="1"/>
  <c r="A4" i="60"/>
  <c r="A3" i="60"/>
  <c r="A2" i="60"/>
  <c r="C301" i="60"/>
  <c r="C302" i="60" s="1"/>
  <c r="C303" i="60" s="1"/>
  <c r="C304" i="60" s="1"/>
  <c r="C305" i="60" s="1"/>
  <c r="C306" i="60" s="1"/>
  <c r="C307" i="60" s="1"/>
  <c r="C308" i="60" s="1"/>
  <c r="B40" i="60"/>
  <c r="B38" i="60"/>
  <c r="B36" i="60"/>
  <c r="B34" i="60"/>
  <c r="B32" i="60"/>
  <c r="B30" i="60"/>
  <c r="B28" i="60"/>
  <c r="B26" i="60"/>
  <c r="D1" i="60"/>
  <c r="X15" i="33" l="1"/>
  <c r="X20" i="33"/>
  <c r="C26" i="60"/>
  <c r="C38" i="60"/>
  <c r="C28" i="60"/>
  <c r="C40" i="60"/>
  <c r="C31" i="60" l="1"/>
  <c r="C49" i="60"/>
  <c r="C51" i="60"/>
  <c r="C39" i="60"/>
  <c r="C35" i="60"/>
  <c r="C27" i="60"/>
  <c r="C53" i="60"/>
  <c r="C47" i="60"/>
  <c r="E47" i="60" s="1"/>
  <c r="E53" i="60" l="1"/>
  <c r="E51" i="60"/>
  <c r="E49" i="60"/>
  <c r="E48" i="60" s="1"/>
  <c r="E29" i="60"/>
  <c r="E57" i="60" l="1"/>
  <c r="E43" i="60"/>
  <c r="E52" i="60"/>
  <c r="E37" i="60"/>
  <c r="E55" i="60"/>
  <c r="G55" i="60" s="1"/>
  <c r="E41" i="60"/>
  <c r="B88" i="58"/>
  <c r="B82" i="58"/>
  <c r="B78" i="58"/>
  <c r="B76" i="58"/>
  <c r="B74" i="58"/>
  <c r="G57" i="60" l="1"/>
  <c r="H56" i="60" s="1"/>
  <c r="H50" i="60"/>
  <c r="H59" i="60"/>
  <c r="H53" i="60"/>
  <c r="H42" i="60"/>
  <c r="H38" i="60"/>
  <c r="H33" i="60"/>
  <c r="B300" i="60" s="1"/>
  <c r="C86" i="58"/>
  <c r="C88" i="58"/>
  <c r="C84" i="58"/>
  <c r="C78" i="58"/>
  <c r="C80" i="58"/>
  <c r="C101" i="58"/>
  <c r="C75" i="58"/>
  <c r="C97" i="58"/>
  <c r="C82" i="58"/>
  <c r="C87" i="58"/>
  <c r="AC21" i="44" l="1"/>
  <c r="C79" i="58"/>
  <c r="B302" i="60"/>
  <c r="B301" i="60"/>
  <c r="AC10" i="44"/>
  <c r="H45" i="60"/>
  <c r="B308" i="60" s="1"/>
  <c r="C95" i="58"/>
  <c r="E95" i="58" s="1"/>
  <c r="E97" i="58"/>
  <c r="C99" i="58"/>
  <c r="E99" i="58" s="1"/>
  <c r="C83" i="58"/>
  <c r="E101" i="58"/>
  <c r="AC11" i="44" l="1"/>
  <c r="AC28" i="44"/>
  <c r="AC22" i="44"/>
  <c r="B305" i="60"/>
  <c r="B306" i="60"/>
  <c r="B303" i="60"/>
  <c r="B307" i="60"/>
  <c r="B304" i="60"/>
  <c r="E89" i="58"/>
  <c r="E77" i="58"/>
  <c r="E105" i="58"/>
  <c r="E100" i="58"/>
  <c r="E103" i="58"/>
  <c r="E96" i="58"/>
  <c r="G96" i="58" s="1"/>
  <c r="E91" i="58"/>
  <c r="AC16" i="44" l="1"/>
  <c r="AC23" i="44"/>
  <c r="AC43" i="44"/>
  <c r="AC61" i="44"/>
  <c r="AC59" i="44"/>
  <c r="AC13" i="44"/>
  <c r="AC15" i="44"/>
  <c r="AC33" i="44"/>
  <c r="AC39" i="44"/>
  <c r="AC51" i="44"/>
  <c r="AC58" i="44"/>
  <c r="AC49" i="44"/>
  <c r="AC8" i="44"/>
  <c r="AC17" i="44"/>
  <c r="AC29" i="44"/>
  <c r="AC35" i="44"/>
  <c r="AC34" i="44"/>
  <c r="AC9" i="44"/>
  <c r="AC37" i="44"/>
  <c r="AC38" i="44"/>
  <c r="AC36" i="44"/>
  <c r="AC55" i="44"/>
  <c r="AC7" i="44"/>
  <c r="AC12" i="44"/>
  <c r="AC27" i="44"/>
  <c r="AC48" i="44"/>
  <c r="AC50" i="44"/>
  <c r="AC45" i="44"/>
  <c r="AC26" i="44"/>
  <c r="AC41" i="44"/>
  <c r="AC42" i="44"/>
  <c r="AC40" i="44"/>
  <c r="AC56" i="44"/>
  <c r="AC19" i="44"/>
  <c r="AC20" i="44"/>
  <c r="AC30" i="44"/>
  <c r="AC18" i="44"/>
  <c r="AC54" i="44"/>
  <c r="AC31" i="44"/>
  <c r="AC25" i="44"/>
  <c r="AC47" i="44"/>
  <c r="AC53" i="44"/>
  <c r="AC44" i="44"/>
  <c r="AC57" i="44"/>
  <c r="AC60" i="44"/>
  <c r="AC14" i="44"/>
  <c r="AC24" i="44"/>
  <c r="AC32" i="44"/>
  <c r="AC46" i="44"/>
  <c r="AC52" i="44"/>
  <c r="AC62" i="44"/>
  <c r="G103" i="58"/>
  <c r="E85" i="58"/>
  <c r="G100" i="58"/>
  <c r="H101" i="58" s="1"/>
  <c r="G105" i="58"/>
  <c r="AC63" i="44" l="1"/>
  <c r="H107" i="58"/>
  <c r="H86" i="58"/>
  <c r="H104" i="58"/>
  <c r="H98" i="58"/>
  <c r="H93" i="58"/>
  <c r="H90" i="58"/>
  <c r="H81" i="58"/>
  <c r="E8" i="9" l="1"/>
  <c r="E9" i="9"/>
  <c r="E10" i="9"/>
  <c r="E14" i="9"/>
  <c r="E16" i="9"/>
  <c r="E20" i="9"/>
  <c r="E22" i="9"/>
  <c r="E9" i="4"/>
  <c r="E14" i="4"/>
  <c r="S13" i="58" l="1"/>
  <c r="U13" i="58"/>
  <c r="Q14" i="58"/>
  <c r="S14" i="58"/>
  <c r="U14" i="58"/>
  <c r="S15" i="58"/>
  <c r="U15" i="58"/>
  <c r="S19" i="58"/>
  <c r="U19" i="58"/>
  <c r="S20" i="58"/>
  <c r="U20" i="58"/>
  <c r="S21" i="58"/>
  <c r="U21" i="58"/>
  <c r="S25" i="58"/>
  <c r="U25" i="58"/>
  <c r="S26" i="58"/>
  <c r="U26" i="58"/>
  <c r="Q27" i="58"/>
  <c r="S27" i="58"/>
  <c r="U27" i="58"/>
  <c r="R28" i="58"/>
  <c r="S28" i="58" s="1"/>
  <c r="T7" i="58"/>
  <c r="U7" i="58" s="1"/>
  <c r="R7" i="58"/>
  <c r="S7" i="58" s="1"/>
  <c r="P7" i="58"/>
  <c r="N7" i="58"/>
  <c r="AC4" i="44" l="1"/>
  <c r="A1" i="60" l="1"/>
  <c r="B50" i="58"/>
  <c r="B48" i="58"/>
  <c r="B46" i="58"/>
  <c r="B44" i="58"/>
  <c r="B42" i="58"/>
  <c r="B40" i="58"/>
  <c r="B38" i="58"/>
  <c r="B36" i="58"/>
  <c r="C301" i="58"/>
  <c r="C302" i="58" s="1"/>
  <c r="C303" i="58" s="1"/>
  <c r="C304" i="58" s="1"/>
  <c r="C305" i="58" s="1"/>
  <c r="C306" i="58" s="1"/>
  <c r="C307" i="58" s="1"/>
  <c r="C308" i="58" s="1"/>
  <c r="C309" i="58" s="1"/>
  <c r="C310" i="58" s="1"/>
  <c r="C311" i="58" s="1"/>
  <c r="C312" i="58" s="1"/>
  <c r="D1" i="58"/>
  <c r="C61" i="58" l="1"/>
  <c r="C45" i="58" l="1"/>
  <c r="C63" i="58"/>
  <c r="C49" i="58"/>
  <c r="C59" i="58"/>
  <c r="C41" i="58"/>
  <c r="C57" i="58"/>
  <c r="C37" i="58"/>
  <c r="E51" i="58" l="1"/>
  <c r="E65" i="58" l="1"/>
  <c r="E47" i="58"/>
  <c r="E53" i="58"/>
  <c r="E58" i="58"/>
  <c r="E39" i="58"/>
  <c r="E67" i="58"/>
  <c r="E62" i="58"/>
  <c r="H55" i="58" l="1"/>
  <c r="H43" i="58"/>
  <c r="B300" i="58" s="1"/>
  <c r="AB21" i="44" l="1"/>
  <c r="AB10" i="44"/>
  <c r="H52" i="58"/>
  <c r="H48" i="58"/>
  <c r="H69" i="58"/>
  <c r="H66" i="58"/>
  <c r="H63" i="58"/>
  <c r="H60" i="58"/>
  <c r="B301" i="58" l="1"/>
  <c r="B303" i="58"/>
  <c r="B305" i="58"/>
  <c r="B307" i="58"/>
  <c r="B309" i="58"/>
  <c r="B311" i="58"/>
  <c r="B302" i="58"/>
  <c r="B304" i="58"/>
  <c r="B306" i="58"/>
  <c r="B308" i="58"/>
  <c r="B310" i="58"/>
  <c r="B312" i="58"/>
  <c r="K82" i="1"/>
  <c r="AB16" i="44" l="1"/>
  <c r="AB13" i="44"/>
  <c r="AB22" i="44"/>
  <c r="AB15" i="44"/>
  <c r="AB26" i="44"/>
  <c r="AB33" i="44"/>
  <c r="AB41" i="44"/>
  <c r="AB39" i="44"/>
  <c r="AB42" i="44"/>
  <c r="AB51" i="44"/>
  <c r="AB40" i="44"/>
  <c r="AB58" i="44"/>
  <c r="AB7" i="44"/>
  <c r="AB14" i="44"/>
  <c r="AB12" i="44"/>
  <c r="AB24" i="44"/>
  <c r="AB27" i="44"/>
  <c r="AB32" i="44"/>
  <c r="AB23" i="44"/>
  <c r="AB46" i="44"/>
  <c r="AB48" i="44"/>
  <c r="AB52" i="44"/>
  <c r="AB50" i="44"/>
  <c r="AB62" i="44"/>
  <c r="AB49" i="44"/>
  <c r="AB45" i="44"/>
  <c r="AB11" i="44"/>
  <c r="AB9" i="44"/>
  <c r="AB31" i="44"/>
  <c r="AB37" i="44"/>
  <c r="AB25" i="44"/>
  <c r="AB38" i="44"/>
  <c r="AB47" i="44"/>
  <c r="AB36" i="44"/>
  <c r="AB53" i="44"/>
  <c r="AB55" i="44"/>
  <c r="AB44" i="44"/>
  <c r="AB57" i="44"/>
  <c r="AB60" i="44"/>
  <c r="AB8" i="44"/>
  <c r="AB19" i="44"/>
  <c r="AB17" i="44"/>
  <c r="AB20" i="44"/>
  <c r="AB28" i="44"/>
  <c r="AB30" i="44"/>
  <c r="AB29" i="44"/>
  <c r="AB18" i="44"/>
  <c r="AB35" i="44"/>
  <c r="AB54" i="44"/>
  <c r="AB34" i="44"/>
  <c r="AB56" i="44"/>
  <c r="AB63" i="44" l="1"/>
  <c r="AH6" i="44" l="1"/>
  <c r="AG6" i="44"/>
  <c r="AF6" i="44"/>
  <c r="A1" i="57"/>
  <c r="A4" i="57"/>
  <c r="A2" i="57"/>
  <c r="C37" i="57" l="1"/>
  <c r="C35" i="57"/>
  <c r="C33" i="57"/>
  <c r="C31" i="57"/>
  <c r="D1" i="57"/>
  <c r="K13" i="33" l="1"/>
  <c r="K22" i="33"/>
  <c r="K12" i="33"/>
  <c r="K9" i="33"/>
  <c r="K18" i="33"/>
  <c r="K19" i="33"/>
  <c r="K14" i="33"/>
  <c r="K23" i="33"/>
  <c r="K17" i="33"/>
  <c r="K7" i="33"/>
  <c r="K8" i="33"/>
  <c r="K27" i="33"/>
  <c r="K29" i="33"/>
  <c r="K10" i="33"/>
  <c r="K21" i="33"/>
  <c r="K30" i="33"/>
  <c r="K16" i="33"/>
  <c r="K26" i="33"/>
  <c r="K25" i="33"/>
  <c r="K24" i="33"/>
  <c r="K31" i="33"/>
  <c r="K20" i="33"/>
  <c r="K15" i="33"/>
  <c r="K28" i="33"/>
  <c r="K34" i="33"/>
  <c r="K11" i="33"/>
  <c r="E36" i="57" l="1"/>
  <c r="E41" i="57"/>
  <c r="E39" i="57" l="1"/>
  <c r="E32" i="57"/>
  <c r="H34" i="57" s="1"/>
  <c r="M83" i="1"/>
  <c r="K83" i="1"/>
  <c r="B56" i="57" l="1"/>
  <c r="H37" i="57"/>
  <c r="B57" i="57" s="1"/>
  <c r="H40" i="57"/>
  <c r="M79" i="1"/>
  <c r="K79" i="1"/>
  <c r="B58" i="57" l="1"/>
  <c r="H43" i="57"/>
  <c r="B59" i="57" s="1"/>
  <c r="T6" i="33" l="1"/>
  <c r="S6" i="33"/>
  <c r="R6" i="33"/>
  <c r="Q6" i="33"/>
  <c r="P6" i="33"/>
  <c r="O6" i="33"/>
  <c r="N6" i="33"/>
  <c r="AB4" i="44" l="1"/>
  <c r="A3" i="57"/>
  <c r="C22" i="9" l="1"/>
  <c r="G22" i="9" s="1"/>
  <c r="G15" i="9"/>
  <c r="C10" i="9"/>
  <c r="G10" i="9"/>
  <c r="C7" i="9"/>
  <c r="G16" i="9" l="1"/>
  <c r="G7" i="9"/>
  <c r="G9" i="9"/>
  <c r="G8" i="9"/>
  <c r="G13" i="9"/>
  <c r="G14" i="9"/>
  <c r="G19" i="9"/>
  <c r="G20" i="9"/>
  <c r="G21" i="9"/>
  <c r="C68" i="9" l="1"/>
  <c r="E67" i="9" s="1"/>
  <c r="C64" i="9"/>
  <c r="C66" i="9"/>
  <c r="C62" i="9"/>
  <c r="E63" i="9" s="1"/>
  <c r="E72" i="9"/>
  <c r="E70" i="9"/>
  <c r="B26" i="9"/>
  <c r="B32" i="9"/>
  <c r="C31" i="9" s="1"/>
  <c r="E41" i="9" s="1"/>
  <c r="B36" i="9"/>
  <c r="C35" i="9" s="1"/>
  <c r="E43" i="9" s="1"/>
  <c r="B40" i="9"/>
  <c r="B30" i="9"/>
  <c r="C49" i="9" s="1"/>
  <c r="B34" i="9"/>
  <c r="C51" i="9" s="1"/>
  <c r="B38" i="9"/>
  <c r="C38" i="9" s="1"/>
  <c r="B28" i="9"/>
  <c r="C28" i="9" s="1"/>
  <c r="H42" i="9" l="1"/>
  <c r="H45" i="9"/>
  <c r="H74" i="9"/>
  <c r="C26" i="9"/>
  <c r="C40" i="9"/>
  <c r="C39" i="9" s="1"/>
  <c r="E37" i="9" s="1"/>
  <c r="H71" i="9" l="1"/>
  <c r="H65" i="9"/>
  <c r="H68" i="9"/>
  <c r="C47" i="9"/>
  <c r="C27" i="9"/>
  <c r="E29" i="9" s="1"/>
  <c r="H33" i="9" s="1"/>
  <c r="B300" i="9" s="1"/>
  <c r="C53" i="9"/>
  <c r="H38" i="9" l="1"/>
  <c r="E53" i="9"/>
  <c r="E51" i="9"/>
  <c r="E47" i="9"/>
  <c r="E49" i="9"/>
  <c r="B303" i="9" l="1"/>
  <c r="B302" i="9"/>
  <c r="B301" i="9"/>
  <c r="E57" i="9"/>
  <c r="G57" i="9" s="1"/>
  <c r="E52" i="9"/>
  <c r="E55" i="9"/>
  <c r="G55" i="9" s="1"/>
  <c r="E48" i="9"/>
  <c r="H50" i="9" s="1"/>
  <c r="H53" i="9" l="1"/>
  <c r="B305" i="9" s="1"/>
  <c r="B304" i="9"/>
  <c r="H59" i="9"/>
  <c r="H56" i="9"/>
  <c r="B309" i="9" l="1"/>
  <c r="B307" i="9"/>
  <c r="B308" i="9"/>
  <c r="B306" i="9"/>
  <c r="O18" i="33" l="1"/>
  <c r="O7" i="33"/>
  <c r="O11" i="33"/>
  <c r="O19" i="33"/>
  <c r="O13" i="33"/>
  <c r="O12" i="33"/>
  <c r="O30" i="33"/>
  <c r="O16" i="33"/>
  <c r="O14" i="33"/>
  <c r="O23" i="33"/>
  <c r="O22" i="33"/>
  <c r="O17" i="33"/>
  <c r="O24" i="33"/>
  <c r="O21" i="33"/>
  <c r="O27" i="33"/>
  <c r="O28" i="33"/>
  <c r="O31" i="33"/>
  <c r="O8" i="33"/>
  <c r="O10" i="33"/>
  <c r="O26" i="33"/>
  <c r="O25" i="33"/>
  <c r="O9" i="33"/>
  <c r="O29" i="33"/>
  <c r="O34" i="33"/>
  <c r="O15" i="33"/>
  <c r="O20" i="33"/>
  <c r="A4" i="53"/>
  <c r="A2" i="53"/>
  <c r="C301" i="53"/>
  <c r="C302" i="53" s="1"/>
  <c r="C303" i="53" s="1"/>
  <c r="C304" i="53" s="1"/>
  <c r="C305" i="53" s="1"/>
  <c r="C306" i="53" s="1"/>
  <c r="C307" i="53" s="1"/>
  <c r="C308" i="53" s="1"/>
  <c r="C309" i="53" s="1"/>
  <c r="C310" i="53" s="1"/>
  <c r="B77" i="53"/>
  <c r="B75" i="53"/>
  <c r="B73" i="53"/>
  <c r="B71" i="53"/>
  <c r="B69" i="53"/>
  <c r="B67" i="53"/>
  <c r="B65" i="53"/>
  <c r="B63" i="53"/>
  <c r="B40" i="53"/>
  <c r="B38" i="53"/>
  <c r="B36" i="53"/>
  <c r="B34" i="53"/>
  <c r="B32" i="53"/>
  <c r="B30" i="53"/>
  <c r="B28" i="53"/>
  <c r="B26" i="53"/>
  <c r="E1" i="53"/>
  <c r="O35" i="33" l="1"/>
  <c r="O36" i="33" s="1"/>
  <c r="O37" i="33" s="1"/>
  <c r="C67" i="53"/>
  <c r="C63" i="53"/>
  <c r="C32" i="53"/>
  <c r="C75" i="53"/>
  <c r="C36" i="53"/>
  <c r="X29" i="33" l="1"/>
  <c r="X22" i="33"/>
  <c r="C34" i="53"/>
  <c r="C72" i="53"/>
  <c r="C30" i="53"/>
  <c r="C39" i="53"/>
  <c r="C65" i="53"/>
  <c r="C64" i="53" s="1"/>
  <c r="C69" i="53"/>
  <c r="C68" i="53" s="1"/>
  <c r="C77" i="53"/>
  <c r="C76" i="53" s="1"/>
  <c r="C47" i="53" l="1"/>
  <c r="C27" i="53"/>
  <c r="C53" i="53"/>
  <c r="C51" i="53"/>
  <c r="C35" i="53"/>
  <c r="E78" i="53"/>
  <c r="C49" i="53"/>
  <c r="E49" i="53" s="1"/>
  <c r="C31" i="53"/>
  <c r="E74" i="53" l="1"/>
  <c r="E80" i="53"/>
  <c r="E53" i="53"/>
  <c r="E51" i="53"/>
  <c r="E66" i="53"/>
  <c r="E47" i="53"/>
  <c r="E43" i="53"/>
  <c r="H79" i="53" l="1"/>
  <c r="E37" i="53"/>
  <c r="E57" i="53"/>
  <c r="E52" i="53"/>
  <c r="H82" i="53"/>
  <c r="E55" i="53"/>
  <c r="E48" i="53"/>
  <c r="E41" i="53"/>
  <c r="E29" i="53"/>
  <c r="H70" i="53"/>
  <c r="G57" i="53" l="1"/>
  <c r="G55" i="53"/>
  <c r="H50" i="53"/>
  <c r="H75" i="53"/>
  <c r="H33" i="53"/>
  <c r="B300" i="53" s="1"/>
  <c r="H42" i="53"/>
  <c r="AA39" i="44" l="1"/>
  <c r="AA10" i="44"/>
  <c r="H53" i="53"/>
  <c r="H38" i="53"/>
  <c r="B302" i="53" s="1"/>
  <c r="H45" i="53"/>
  <c r="H56" i="53"/>
  <c r="H59" i="53"/>
  <c r="B301" i="53" l="1"/>
  <c r="B310" i="53"/>
  <c r="B305" i="53"/>
  <c r="B309" i="53"/>
  <c r="B304" i="53"/>
  <c r="B308" i="53"/>
  <c r="B303" i="53"/>
  <c r="B307" i="53"/>
  <c r="B306" i="53"/>
  <c r="AA59" i="44" l="1"/>
  <c r="AA61" i="44"/>
  <c r="AA43" i="44"/>
  <c r="AA7" i="44"/>
  <c r="AA14" i="44"/>
  <c r="AA12" i="44"/>
  <c r="AA24" i="44"/>
  <c r="AA27" i="44"/>
  <c r="AA32" i="44"/>
  <c r="AA23" i="44"/>
  <c r="AA46" i="44"/>
  <c r="AA48" i="44"/>
  <c r="AA52" i="44"/>
  <c r="AA50" i="44"/>
  <c r="AA62" i="44"/>
  <c r="AA11" i="44"/>
  <c r="AA21" i="44"/>
  <c r="AA9" i="44"/>
  <c r="AA31" i="44"/>
  <c r="AA37" i="44"/>
  <c r="AA25" i="44"/>
  <c r="AA38" i="44"/>
  <c r="AA47" i="44"/>
  <c r="AA36" i="44"/>
  <c r="AA53" i="44"/>
  <c r="AA55" i="44"/>
  <c r="AA44" i="44"/>
  <c r="AA49" i="44"/>
  <c r="AA8" i="44"/>
  <c r="AA19" i="44"/>
  <c r="AA17" i="44"/>
  <c r="AA20" i="44"/>
  <c r="AA28" i="44"/>
  <c r="AA30" i="44"/>
  <c r="AA29" i="44"/>
  <c r="AA18" i="44"/>
  <c r="AA35" i="44"/>
  <c r="AA54" i="44"/>
  <c r="AA34" i="44"/>
  <c r="AA16" i="44"/>
  <c r="AA13" i="44"/>
  <c r="AA22" i="44"/>
  <c r="AA15" i="44"/>
  <c r="AA26" i="44"/>
  <c r="AA33" i="44"/>
  <c r="AA41" i="44"/>
  <c r="AA42" i="44"/>
  <c r="AA51" i="44"/>
  <c r="AA40" i="44"/>
  <c r="AA58" i="44"/>
  <c r="AA56" i="44"/>
  <c r="AA57" i="44"/>
  <c r="AA60" i="44"/>
  <c r="AA45" i="44"/>
  <c r="AA63" i="44" l="1"/>
  <c r="A4" i="48"/>
  <c r="A2" i="48"/>
  <c r="C301" i="45" l="1"/>
  <c r="C302" i="45" s="1"/>
  <c r="C303" i="45" s="1"/>
  <c r="C301" i="46"/>
  <c r="C302" i="46" s="1"/>
  <c r="C303" i="46" s="1"/>
  <c r="C301" i="47"/>
  <c r="C301" i="48"/>
  <c r="C302" i="48" s="1"/>
  <c r="C303" i="48" s="1"/>
  <c r="Y19" i="44" l="1"/>
  <c r="Y22" i="44"/>
  <c r="C304" i="45"/>
  <c r="C304" i="46"/>
  <c r="C302" i="47"/>
  <c r="C304" i="48"/>
  <c r="Y20" i="44" l="1"/>
  <c r="Y37" i="44"/>
  <c r="C305" i="45"/>
  <c r="C305" i="46"/>
  <c r="C303" i="47"/>
  <c r="C305" i="48"/>
  <c r="C67" i="47"/>
  <c r="C65" i="47"/>
  <c r="C63" i="47"/>
  <c r="C61" i="47"/>
  <c r="Y28" i="44" l="1"/>
  <c r="Y47" i="44"/>
  <c r="C306" i="45"/>
  <c r="C306" i="46"/>
  <c r="C304" i="47"/>
  <c r="C306" i="48"/>
  <c r="G1" i="22"/>
  <c r="I1" i="25"/>
  <c r="J1" i="20"/>
  <c r="C67" i="46"/>
  <c r="E66" i="46" s="1"/>
  <c r="C65" i="46"/>
  <c r="E71" i="46" s="1"/>
  <c r="C63" i="46"/>
  <c r="E62" i="46" s="1"/>
  <c r="H67" i="46" s="1"/>
  <c r="C61" i="46"/>
  <c r="E69" i="46" s="1"/>
  <c r="H70" i="46" s="1"/>
  <c r="B44" i="46"/>
  <c r="C43" i="46" s="1"/>
  <c r="E41" i="46" s="1"/>
  <c r="B42" i="46"/>
  <c r="C56" i="46" s="1"/>
  <c r="B40" i="46"/>
  <c r="B38" i="46"/>
  <c r="B36" i="46"/>
  <c r="B34" i="46"/>
  <c r="C34" i="46" s="1"/>
  <c r="B32" i="46"/>
  <c r="C50" i="46" s="1"/>
  <c r="B30" i="46"/>
  <c r="C31" i="46" s="1"/>
  <c r="C67" i="45"/>
  <c r="E66" i="45" s="1"/>
  <c r="C65" i="45"/>
  <c r="E71" i="45" s="1"/>
  <c r="C63" i="45"/>
  <c r="E62" i="45" s="1"/>
  <c r="C61" i="45"/>
  <c r="E69" i="45" s="1"/>
  <c r="B44" i="45"/>
  <c r="B42" i="45"/>
  <c r="C56" i="45" s="1"/>
  <c r="B40" i="45"/>
  <c r="B38" i="45"/>
  <c r="B36" i="45"/>
  <c r="B34" i="45"/>
  <c r="B32" i="45"/>
  <c r="C50" i="45" s="1"/>
  <c r="B30" i="45"/>
  <c r="B44" i="48"/>
  <c r="B42" i="48"/>
  <c r="B40" i="48"/>
  <c r="B38" i="48"/>
  <c r="B36" i="48"/>
  <c r="B34" i="48"/>
  <c r="B32" i="48"/>
  <c r="B30" i="48"/>
  <c r="Y7" i="44" l="1"/>
  <c r="Y48" i="44"/>
  <c r="Y51" i="44"/>
  <c r="C307" i="45"/>
  <c r="C307" i="46"/>
  <c r="C305" i="47"/>
  <c r="C307" i="48"/>
  <c r="H73" i="46"/>
  <c r="H64" i="46"/>
  <c r="C38" i="46"/>
  <c r="C36" i="46"/>
  <c r="C35" i="46" s="1"/>
  <c r="E33" i="46" s="1"/>
  <c r="H42" i="46" s="1"/>
  <c r="C40" i="46"/>
  <c r="C39" i="46" s="1"/>
  <c r="E47" i="46" s="1"/>
  <c r="H46" i="46" s="1"/>
  <c r="C34" i="45"/>
  <c r="C38" i="45"/>
  <c r="C36" i="45"/>
  <c r="C40" i="45"/>
  <c r="C39" i="45" s="1"/>
  <c r="C38" i="48"/>
  <c r="C34" i="48"/>
  <c r="C40" i="48"/>
  <c r="C43" i="48"/>
  <c r="C36" i="48"/>
  <c r="C51" i="48"/>
  <c r="C31" i="48"/>
  <c r="C57" i="48"/>
  <c r="Y32" i="44" l="1"/>
  <c r="Y31" i="44"/>
  <c r="C53" i="48"/>
  <c r="C35" i="45"/>
  <c r="C308" i="45"/>
  <c r="C308" i="46"/>
  <c r="C306" i="47"/>
  <c r="C308" i="48"/>
  <c r="H37" i="46"/>
  <c r="E45" i="46"/>
  <c r="H49" i="46" s="1"/>
  <c r="C54" i="46"/>
  <c r="C52" i="46"/>
  <c r="C54" i="45"/>
  <c r="C52" i="45"/>
  <c r="C43" i="45"/>
  <c r="C31" i="45"/>
  <c r="C55" i="48"/>
  <c r="E55" i="48" s="1"/>
  <c r="C39" i="48"/>
  <c r="E57" i="48"/>
  <c r="C35" i="48"/>
  <c r="E53" i="48"/>
  <c r="E51" i="48"/>
  <c r="C307" i="47" l="1"/>
  <c r="Y14" i="44"/>
  <c r="Y18" i="44"/>
  <c r="C309" i="45"/>
  <c r="C309" i="46"/>
  <c r="E52" i="46"/>
  <c r="E50" i="46"/>
  <c r="E54" i="46"/>
  <c r="E56" i="46"/>
  <c r="H67" i="45"/>
  <c r="H64" i="45"/>
  <c r="E54" i="45"/>
  <c r="E47" i="45"/>
  <c r="E45" i="45"/>
  <c r="E52" i="45"/>
  <c r="E50" i="45"/>
  <c r="E33" i="45"/>
  <c r="E56" i="45"/>
  <c r="E33" i="48"/>
  <c r="E47" i="48"/>
  <c r="E59" i="48"/>
  <c r="E52" i="48"/>
  <c r="E45" i="48"/>
  <c r="E41" i="48"/>
  <c r="E61" i="48"/>
  <c r="E56" i="48"/>
  <c r="C308" i="47" l="1"/>
  <c r="Y24" i="44"/>
  <c r="Y11" i="44"/>
  <c r="Y55" i="44"/>
  <c r="E55" i="46"/>
  <c r="H53" i="46" s="1"/>
  <c r="E51" i="46"/>
  <c r="H56" i="46" s="1"/>
  <c r="H73" i="45"/>
  <c r="H70" i="45"/>
  <c r="E55" i="45"/>
  <c r="E41" i="45"/>
  <c r="E51" i="45"/>
  <c r="H49" i="48"/>
  <c r="G61" i="48"/>
  <c r="H46" i="48"/>
  <c r="G59" i="48"/>
  <c r="H37" i="48"/>
  <c r="B300" i="48" s="1"/>
  <c r="Z25" i="44" l="1"/>
  <c r="Z17" i="44"/>
  <c r="C309" i="47"/>
  <c r="Y15" i="44"/>
  <c r="Y10" i="44"/>
  <c r="H42" i="45"/>
  <c r="H37" i="45"/>
  <c r="H53" i="45"/>
  <c r="H46" i="45"/>
  <c r="H49" i="45"/>
  <c r="H42" i="48"/>
  <c r="H60" i="48"/>
  <c r="H63" i="48"/>
  <c r="H54" i="48"/>
  <c r="H57" i="48"/>
  <c r="Y30" i="44" l="1"/>
  <c r="Y36" i="44"/>
  <c r="Y58" i="44"/>
  <c r="C310" i="47"/>
  <c r="H56" i="45"/>
  <c r="B301" i="48"/>
  <c r="B303" i="48"/>
  <c r="B305" i="48"/>
  <c r="B307" i="48"/>
  <c r="B302" i="48"/>
  <c r="B304" i="48"/>
  <c r="B306" i="48"/>
  <c r="B308" i="48"/>
  <c r="Z59" i="44" l="1"/>
  <c r="Z43" i="44"/>
  <c r="Z61" i="44"/>
  <c r="Z16" i="44"/>
  <c r="Z13" i="44"/>
  <c r="Z22" i="44"/>
  <c r="Z15" i="44"/>
  <c r="Z26" i="44"/>
  <c r="Z33" i="44"/>
  <c r="Z41" i="44"/>
  <c r="Z39" i="44"/>
  <c r="Z42" i="44"/>
  <c r="Z51" i="44"/>
  <c r="Z40" i="44"/>
  <c r="Z58" i="44"/>
  <c r="Z56" i="44"/>
  <c r="Z49" i="44"/>
  <c r="Z7" i="44"/>
  <c r="Z14" i="44"/>
  <c r="Z12" i="44"/>
  <c r="Z24" i="44"/>
  <c r="Z27" i="44"/>
  <c r="Z32" i="44"/>
  <c r="Z23" i="44"/>
  <c r="Z46" i="44"/>
  <c r="Z48" i="44"/>
  <c r="Z52" i="44"/>
  <c r="Z50" i="44"/>
  <c r="Z62" i="44"/>
  <c r="Z11" i="44"/>
  <c r="Z21" i="44"/>
  <c r="Z9" i="44"/>
  <c r="Z31" i="44"/>
  <c r="Z37" i="44"/>
  <c r="Z38" i="44"/>
  <c r="Z47" i="44"/>
  <c r="Z36" i="44"/>
  <c r="Z53" i="44"/>
  <c r="Z55" i="44"/>
  <c r="Z44" i="44"/>
  <c r="Z57" i="44"/>
  <c r="Z60" i="44"/>
  <c r="Z8" i="44"/>
  <c r="Z19" i="44"/>
  <c r="Z20" i="44"/>
  <c r="Z28" i="44"/>
  <c r="Z30" i="44"/>
  <c r="Z29" i="44"/>
  <c r="Z18" i="44"/>
  <c r="Z35" i="44"/>
  <c r="Z54" i="44"/>
  <c r="Z34" i="44"/>
  <c r="Z45" i="44"/>
  <c r="Z10" i="44"/>
  <c r="Y16" i="44"/>
  <c r="Y33" i="44"/>
  <c r="H1" i="48"/>
  <c r="D1" i="47"/>
  <c r="F1" i="45"/>
  <c r="B301" i="46"/>
  <c r="B302" i="46"/>
  <c r="B303" i="46"/>
  <c r="B304" i="46"/>
  <c r="B305" i="46"/>
  <c r="B306" i="46"/>
  <c r="B307" i="46"/>
  <c r="B308" i="46"/>
  <c r="B309" i="46"/>
  <c r="B300" i="46"/>
  <c r="B301" i="45"/>
  <c r="B302" i="45"/>
  <c r="B303" i="45"/>
  <c r="B304" i="45"/>
  <c r="B305" i="45"/>
  <c r="B306" i="45"/>
  <c r="B307" i="45"/>
  <c r="B308" i="45"/>
  <c r="B309" i="45"/>
  <c r="B300" i="45"/>
  <c r="X59" i="44" l="1"/>
  <c r="X43" i="44"/>
  <c r="X61" i="44"/>
  <c r="AN43" i="44"/>
  <c r="P43" i="44"/>
  <c r="AJ43" i="44"/>
  <c r="AK43" i="44" s="1"/>
  <c r="O43" i="44"/>
  <c r="AJ61" i="44"/>
  <c r="AK61" i="44" s="1"/>
  <c r="P61" i="44"/>
  <c r="O61" i="44"/>
  <c r="AN61" i="44"/>
  <c r="AN59" i="44"/>
  <c r="AJ59" i="44"/>
  <c r="AK59" i="44" s="1"/>
  <c r="P59" i="44"/>
  <c r="O59" i="44"/>
  <c r="Y63" i="44"/>
  <c r="Z63" i="44"/>
  <c r="X16" i="44"/>
  <c r="X11" i="44"/>
  <c r="X13" i="44"/>
  <c r="X21" i="44"/>
  <c r="X22" i="44"/>
  <c r="X9" i="44"/>
  <c r="X15" i="44"/>
  <c r="X31" i="44"/>
  <c r="X26" i="44"/>
  <c r="X37" i="44"/>
  <c r="X33" i="44"/>
  <c r="X25" i="44"/>
  <c r="X41" i="44"/>
  <c r="X38" i="44"/>
  <c r="X39" i="44"/>
  <c r="X47" i="44"/>
  <c r="X42" i="44"/>
  <c r="X36" i="44"/>
  <c r="X51" i="44"/>
  <c r="X53" i="44"/>
  <c r="X40" i="44"/>
  <c r="X55" i="44"/>
  <c r="X58" i="44"/>
  <c r="X44" i="44"/>
  <c r="X56" i="44"/>
  <c r="X57" i="44"/>
  <c r="X49" i="44"/>
  <c r="X60" i="44"/>
  <c r="X7" i="44"/>
  <c r="X8" i="44"/>
  <c r="X14" i="44"/>
  <c r="X19" i="44"/>
  <c r="X12" i="44"/>
  <c r="X17" i="44"/>
  <c r="X24" i="44"/>
  <c r="X20" i="44"/>
  <c r="X27" i="44"/>
  <c r="X28" i="44"/>
  <c r="X32" i="44"/>
  <c r="X30" i="44"/>
  <c r="X23" i="44"/>
  <c r="X29" i="44"/>
  <c r="X46" i="44"/>
  <c r="X18" i="44"/>
  <c r="X48" i="44"/>
  <c r="X35" i="44"/>
  <c r="X52" i="44"/>
  <c r="X54" i="44"/>
  <c r="X50" i="44"/>
  <c r="X34" i="44"/>
  <c r="X62" i="44"/>
  <c r="X45" i="44"/>
  <c r="W16" i="44"/>
  <c r="O16" i="44" s="1"/>
  <c r="G16" i="44" s="1"/>
  <c r="W7" i="44"/>
  <c r="W11" i="44"/>
  <c r="W8" i="44"/>
  <c r="O8" i="44" s="1"/>
  <c r="W13" i="44"/>
  <c r="O13" i="44" s="1"/>
  <c r="W14" i="44"/>
  <c r="W21" i="44"/>
  <c r="W19" i="44"/>
  <c r="O19" i="44" s="1"/>
  <c r="X10" i="89" s="1"/>
  <c r="W22" i="44"/>
  <c r="O22" i="44" s="1"/>
  <c r="T16" i="89" s="1"/>
  <c r="W12" i="44"/>
  <c r="O12" i="44" s="1"/>
  <c r="G12" i="44" s="1"/>
  <c r="W9" i="44"/>
  <c r="W17" i="44"/>
  <c r="O17" i="44" s="1"/>
  <c r="W15" i="44"/>
  <c r="O15" i="44" s="1"/>
  <c r="Z15" i="89" s="1"/>
  <c r="W24" i="44"/>
  <c r="O24" i="44" s="1"/>
  <c r="W31" i="44"/>
  <c r="W20" i="44"/>
  <c r="O20" i="44" s="1"/>
  <c r="W26" i="44"/>
  <c r="O26" i="44" s="1"/>
  <c r="W27" i="44"/>
  <c r="O27" i="44" s="1"/>
  <c r="G27" i="44" s="1"/>
  <c r="W37" i="44"/>
  <c r="W28" i="44"/>
  <c r="O28" i="44" s="1"/>
  <c r="W33" i="44"/>
  <c r="O33" i="44" s="1"/>
  <c r="W32" i="44"/>
  <c r="O32" i="44" s="1"/>
  <c r="G32" i="44" s="1"/>
  <c r="W25" i="44"/>
  <c r="W30" i="44"/>
  <c r="O30" i="44" s="1"/>
  <c r="W41" i="44"/>
  <c r="O41" i="44" s="1"/>
  <c r="G41" i="44" s="1"/>
  <c r="W23" i="44"/>
  <c r="O23" i="44" s="1"/>
  <c r="G23" i="44" s="1"/>
  <c r="W38" i="44"/>
  <c r="W29" i="44"/>
  <c r="O29" i="44" s="1"/>
  <c r="W39" i="44"/>
  <c r="O39" i="44" s="1"/>
  <c r="G39" i="44" s="1"/>
  <c r="W46" i="44"/>
  <c r="O46" i="44" s="1"/>
  <c r="G46" i="44" s="1"/>
  <c r="W47" i="44"/>
  <c r="W18" i="44"/>
  <c r="O18" i="44" s="1"/>
  <c r="W42" i="44"/>
  <c r="O42" i="44" s="1"/>
  <c r="G42" i="44" s="1"/>
  <c r="W48" i="44"/>
  <c r="O48" i="44" s="1"/>
  <c r="W36" i="44"/>
  <c r="W35" i="44"/>
  <c r="O35" i="44" s="1"/>
  <c r="G35" i="44" s="1"/>
  <c r="W51" i="44"/>
  <c r="O51" i="44" s="1"/>
  <c r="C51" i="44" s="1"/>
  <c r="W52" i="44"/>
  <c r="O52" i="44" s="1"/>
  <c r="G52" i="44" s="1"/>
  <c r="W53" i="44"/>
  <c r="W54" i="44"/>
  <c r="O54" i="44" s="1"/>
  <c r="G54" i="44" s="1"/>
  <c r="W40" i="44"/>
  <c r="O40" i="44" s="1"/>
  <c r="G40" i="44" s="1"/>
  <c r="W50" i="44"/>
  <c r="O50" i="44" s="1"/>
  <c r="W55" i="44"/>
  <c r="W34" i="44"/>
  <c r="O34" i="44" s="1"/>
  <c r="G34" i="44" s="1"/>
  <c r="W58" i="44"/>
  <c r="O58" i="44" s="1"/>
  <c r="W62" i="44"/>
  <c r="O62" i="44" s="1"/>
  <c r="G62" i="44" s="1"/>
  <c r="W44" i="44"/>
  <c r="W56" i="44"/>
  <c r="O56" i="44" s="1"/>
  <c r="G56" i="44" s="1"/>
  <c r="W57" i="44"/>
  <c r="W49" i="44"/>
  <c r="O49" i="44" s="1"/>
  <c r="W60" i="44"/>
  <c r="W45" i="44"/>
  <c r="O45" i="44" s="1"/>
  <c r="W10" i="44"/>
  <c r="X10" i="44"/>
  <c r="AP10" i="44" s="1"/>
  <c r="G15" i="4"/>
  <c r="G14" i="4"/>
  <c r="G13" i="4"/>
  <c r="G9" i="4"/>
  <c r="AP62" i="44" l="1"/>
  <c r="AP50" i="44"/>
  <c r="AP52" i="44"/>
  <c r="AP48" i="44"/>
  <c r="AP46" i="44"/>
  <c r="AP23" i="44"/>
  <c r="AP32" i="44"/>
  <c r="AP27" i="44"/>
  <c r="AP24" i="44"/>
  <c r="AP12" i="44"/>
  <c r="AP14" i="44"/>
  <c r="AP33" i="44"/>
  <c r="AP49" i="44"/>
  <c r="AP56" i="44"/>
  <c r="AP58" i="44"/>
  <c r="AP40" i="44"/>
  <c r="AP51" i="44"/>
  <c r="AP42" i="44"/>
  <c r="AP39" i="44"/>
  <c r="AP41" i="44"/>
  <c r="AP26" i="44"/>
  <c r="AP15" i="44"/>
  <c r="AP22" i="44"/>
  <c r="AP16" i="44"/>
  <c r="AP45" i="44"/>
  <c r="AP34" i="44"/>
  <c r="AP54" i="44"/>
  <c r="AP35" i="44"/>
  <c r="AP18" i="44"/>
  <c r="AP29" i="44"/>
  <c r="AP30" i="44"/>
  <c r="AP28" i="44"/>
  <c r="AP20" i="44"/>
  <c r="AP17" i="44"/>
  <c r="AP19" i="44"/>
  <c r="AP59" i="44"/>
  <c r="AP60" i="44"/>
  <c r="AP57" i="44"/>
  <c r="AP44" i="44"/>
  <c r="AP55" i="44"/>
  <c r="AP53" i="44"/>
  <c r="AP36" i="44"/>
  <c r="AP47" i="44"/>
  <c r="AP38" i="44"/>
  <c r="AP25" i="44"/>
  <c r="AP37" i="44"/>
  <c r="AP31" i="44"/>
  <c r="AP9" i="44"/>
  <c r="AP21" i="44"/>
  <c r="AP11" i="44"/>
  <c r="O60" i="44"/>
  <c r="X17" i="89" s="1"/>
  <c r="O57" i="44"/>
  <c r="O44" i="44"/>
  <c r="O55" i="44"/>
  <c r="C55" i="44" s="1"/>
  <c r="O53" i="44"/>
  <c r="G53" i="44" s="1"/>
  <c r="O36" i="44"/>
  <c r="O47" i="44"/>
  <c r="G47" i="44" s="1"/>
  <c r="O38" i="44"/>
  <c r="G38" i="44" s="1"/>
  <c r="O25" i="44"/>
  <c r="O37" i="44"/>
  <c r="O31" i="44"/>
  <c r="O9" i="44"/>
  <c r="O11" i="44"/>
  <c r="AP61" i="44"/>
  <c r="AP8" i="44"/>
  <c r="AP43" i="44"/>
  <c r="AP7" i="44"/>
  <c r="AP13" i="44"/>
  <c r="T59" i="44"/>
  <c r="G59" i="44"/>
  <c r="Q59" i="44"/>
  <c r="A59" i="44"/>
  <c r="V17" i="83"/>
  <c r="E59" i="44"/>
  <c r="V24" i="81"/>
  <c r="C61" i="44"/>
  <c r="Q61" i="44"/>
  <c r="A61" i="44"/>
  <c r="T61" i="44"/>
  <c r="G61" i="44"/>
  <c r="G43" i="44"/>
  <c r="E43" i="44"/>
  <c r="V31" i="81"/>
  <c r="T43" i="44"/>
  <c r="Q43" i="44"/>
  <c r="V30" i="83"/>
  <c r="O21" i="44"/>
  <c r="Z17" i="89" s="1"/>
  <c r="O14" i="44"/>
  <c r="G14" i="44" s="1"/>
  <c r="G49" i="44"/>
  <c r="X14" i="89"/>
  <c r="G18" i="44"/>
  <c r="Z10" i="89"/>
  <c r="G30" i="44"/>
  <c r="T15" i="89"/>
  <c r="G28" i="44"/>
  <c r="Z14" i="89"/>
  <c r="G20" i="44"/>
  <c r="X9" i="89"/>
  <c r="G24" i="44"/>
  <c r="T7" i="89"/>
  <c r="G17" i="44"/>
  <c r="T17" i="89"/>
  <c r="X16" i="89"/>
  <c r="G8" i="44"/>
  <c r="T14" i="89"/>
  <c r="G45" i="44"/>
  <c r="Z9" i="89"/>
  <c r="G44" i="44"/>
  <c r="T8" i="89"/>
  <c r="G36" i="44"/>
  <c r="X7" i="89"/>
  <c r="G25" i="44"/>
  <c r="Z8" i="89"/>
  <c r="G37" i="44"/>
  <c r="Z16" i="89"/>
  <c r="G31" i="44"/>
  <c r="T10" i="89"/>
  <c r="R10" i="89" s="1"/>
  <c r="G13" i="44"/>
  <c r="T9" i="89"/>
  <c r="G11" i="44"/>
  <c r="X8" i="89"/>
  <c r="C50" i="44"/>
  <c r="G50" i="44"/>
  <c r="C48" i="44"/>
  <c r="G48" i="44"/>
  <c r="C29" i="44"/>
  <c r="G29" i="44"/>
  <c r="C19" i="44"/>
  <c r="G19" i="44"/>
  <c r="O10" i="44"/>
  <c r="C60" i="44"/>
  <c r="G60" i="44"/>
  <c r="C57" i="44"/>
  <c r="G57" i="44"/>
  <c r="C33" i="44"/>
  <c r="G33" i="44"/>
  <c r="C26" i="44"/>
  <c r="G26" i="44"/>
  <c r="C15" i="44"/>
  <c r="G15" i="44"/>
  <c r="C9" i="44"/>
  <c r="G9" i="44"/>
  <c r="O7" i="44"/>
  <c r="G7" i="44" s="1"/>
  <c r="AN60" i="44"/>
  <c r="AN57" i="44"/>
  <c r="AN58" i="44"/>
  <c r="AN55" i="44"/>
  <c r="AN40" i="44"/>
  <c r="AN53" i="44"/>
  <c r="AN51" i="44"/>
  <c r="AN36" i="44"/>
  <c r="AN42" i="44"/>
  <c r="AN47" i="44"/>
  <c r="AN39" i="44"/>
  <c r="AN38" i="44"/>
  <c r="AN41" i="44"/>
  <c r="AN25" i="44"/>
  <c r="AN33" i="44"/>
  <c r="AN37" i="44"/>
  <c r="AN26" i="44"/>
  <c r="AN31" i="44"/>
  <c r="AN15" i="44"/>
  <c r="AN9" i="44"/>
  <c r="AN22" i="44"/>
  <c r="AN21" i="44"/>
  <c r="AN11" i="44"/>
  <c r="AN16" i="44"/>
  <c r="AN45" i="44"/>
  <c r="AN49" i="44"/>
  <c r="AN56" i="44"/>
  <c r="AN62" i="44"/>
  <c r="AN34" i="44"/>
  <c r="AN50" i="44"/>
  <c r="AN54" i="44"/>
  <c r="AN52" i="44"/>
  <c r="AN35" i="44"/>
  <c r="AN48" i="44"/>
  <c r="AN18" i="44"/>
  <c r="AN46" i="44"/>
  <c r="AN29" i="44"/>
  <c r="AN23" i="44"/>
  <c r="AN30" i="44"/>
  <c r="AN32" i="44"/>
  <c r="AN28" i="44"/>
  <c r="AN27" i="44"/>
  <c r="AN20" i="44"/>
  <c r="AN24" i="44"/>
  <c r="AN17" i="44"/>
  <c r="AN12" i="44"/>
  <c r="AN19" i="44"/>
  <c r="AN14" i="44"/>
  <c r="AN8" i="44"/>
  <c r="AO9" i="44"/>
  <c r="AO11" i="44"/>
  <c r="AO13" i="44"/>
  <c r="AO15" i="44"/>
  <c r="AO17" i="44"/>
  <c r="AO19" i="44"/>
  <c r="AO21" i="44"/>
  <c r="AO23" i="44"/>
  <c r="AO25" i="44"/>
  <c r="AO27" i="44"/>
  <c r="AO29" i="44"/>
  <c r="AO31" i="44"/>
  <c r="AO33" i="44"/>
  <c r="AO35" i="44"/>
  <c r="AO37" i="44"/>
  <c r="AO39" i="44"/>
  <c r="AO41" i="44"/>
  <c r="AO43" i="44"/>
  <c r="AO45" i="44"/>
  <c r="AO47" i="44"/>
  <c r="AO49" i="44"/>
  <c r="AO51" i="44"/>
  <c r="AO53" i="44"/>
  <c r="AO55" i="44"/>
  <c r="AO57" i="44"/>
  <c r="AO59" i="44"/>
  <c r="AO61" i="44"/>
  <c r="AO8" i="44"/>
  <c r="AO10" i="44"/>
  <c r="AO12" i="44"/>
  <c r="AO14" i="44"/>
  <c r="AO16" i="44"/>
  <c r="AO18" i="44"/>
  <c r="AO20" i="44"/>
  <c r="AO22" i="44"/>
  <c r="AO24" i="44"/>
  <c r="AO26" i="44"/>
  <c r="AO28" i="44"/>
  <c r="AO30" i="44"/>
  <c r="AO32" i="44"/>
  <c r="AO34" i="44"/>
  <c r="AO36" i="44"/>
  <c r="AO38" i="44"/>
  <c r="AO40" i="44"/>
  <c r="AO42" i="44"/>
  <c r="AO44" i="44"/>
  <c r="AO46" i="44"/>
  <c r="AO48" i="44"/>
  <c r="AO50" i="44"/>
  <c r="AO52" i="44"/>
  <c r="AO54" i="44"/>
  <c r="AO56" i="44"/>
  <c r="AO58" i="44"/>
  <c r="AO60" i="44"/>
  <c r="AO62" i="44"/>
  <c r="AO7" i="44"/>
  <c r="AN13" i="44"/>
  <c r="AN7" i="44"/>
  <c r="P10" i="44"/>
  <c r="AN10" i="44"/>
  <c r="AN44" i="44"/>
  <c r="W63" i="44"/>
  <c r="X63" i="44"/>
  <c r="AJ10" i="44"/>
  <c r="AJ60" i="44"/>
  <c r="AK60" i="44" s="1"/>
  <c r="AJ58" i="44"/>
  <c r="AK58" i="44" s="1"/>
  <c r="AJ55" i="44"/>
  <c r="AK55" i="44" s="1"/>
  <c r="AJ40" i="44"/>
  <c r="AJ53" i="44"/>
  <c r="AK53" i="44" s="1"/>
  <c r="AJ51" i="44"/>
  <c r="AK51" i="44" s="1"/>
  <c r="AJ36" i="44"/>
  <c r="AJ42" i="44"/>
  <c r="AK42" i="44" s="1"/>
  <c r="AJ47" i="44"/>
  <c r="AK47" i="44" s="1"/>
  <c r="AJ39" i="44"/>
  <c r="AK39" i="44" s="1"/>
  <c r="AJ38" i="44"/>
  <c r="AJ41" i="44"/>
  <c r="AJ25" i="44"/>
  <c r="AJ33" i="44"/>
  <c r="AJ37" i="44"/>
  <c r="AJ26" i="44"/>
  <c r="AJ31" i="44"/>
  <c r="AJ15" i="44"/>
  <c r="AJ9" i="44"/>
  <c r="AJ22" i="44"/>
  <c r="AJ21" i="44"/>
  <c r="AJ13" i="44"/>
  <c r="AJ11" i="44"/>
  <c r="AJ16" i="44"/>
  <c r="AJ34" i="44"/>
  <c r="AJ50" i="44"/>
  <c r="AK50" i="44" s="1"/>
  <c r="AJ54" i="44"/>
  <c r="AK54" i="44" s="1"/>
  <c r="AJ52" i="44"/>
  <c r="AK52" i="44" s="1"/>
  <c r="AJ35" i="44"/>
  <c r="AJ48" i="44"/>
  <c r="AK48" i="44" s="1"/>
  <c r="AJ18" i="44"/>
  <c r="AJ46" i="44"/>
  <c r="AK46" i="44" s="1"/>
  <c r="AJ29" i="44"/>
  <c r="AJ23" i="44"/>
  <c r="AJ30" i="44"/>
  <c r="AJ32" i="44"/>
  <c r="AJ28" i="44"/>
  <c r="AJ27" i="44"/>
  <c r="AJ20" i="44"/>
  <c r="AJ24" i="44"/>
  <c r="AJ17" i="44"/>
  <c r="AJ12" i="44"/>
  <c r="AJ19" i="44"/>
  <c r="AJ14" i="44"/>
  <c r="AJ8" i="44"/>
  <c r="AJ7" i="44"/>
  <c r="AJ49" i="44"/>
  <c r="AK49" i="44" s="1"/>
  <c r="AJ56" i="44"/>
  <c r="AK56" i="44" s="1"/>
  <c r="AJ62" i="44"/>
  <c r="AK62" i="44" s="1"/>
  <c r="AJ45" i="44"/>
  <c r="AK45" i="44" s="1"/>
  <c r="AJ57" i="44"/>
  <c r="AK57" i="44" s="1"/>
  <c r="AJ44" i="44"/>
  <c r="AK44" i="44" s="1"/>
  <c r="P8" i="44"/>
  <c r="P40" i="44"/>
  <c r="P57" i="44"/>
  <c r="P29" i="44"/>
  <c r="P36" i="44"/>
  <c r="P50" i="44"/>
  <c r="P48" i="44"/>
  <c r="P38" i="44"/>
  <c r="P18" i="44"/>
  <c r="P30" i="44"/>
  <c r="P15" i="44"/>
  <c r="P12" i="44"/>
  <c r="P37" i="44"/>
  <c r="P11" i="44"/>
  <c r="P45" i="44"/>
  <c r="P60" i="44"/>
  <c r="P46" i="44"/>
  <c r="P56" i="44"/>
  <c r="P58" i="44"/>
  <c r="P55" i="44"/>
  <c r="P52" i="44"/>
  <c r="P26" i="44"/>
  <c r="P21" i="44"/>
  <c r="P41" i="44"/>
  <c r="P25" i="44"/>
  <c r="P9" i="44"/>
  <c r="P24" i="44"/>
  <c r="P13" i="44"/>
  <c r="P62" i="44"/>
  <c r="P23" i="44"/>
  <c r="P53" i="44"/>
  <c r="P27" i="44"/>
  <c r="P42" i="44"/>
  <c r="P39" i="44"/>
  <c r="P32" i="44"/>
  <c r="P22" i="44"/>
  <c r="P17" i="44"/>
  <c r="P14" i="44"/>
  <c r="P16" i="44"/>
  <c r="P49" i="44"/>
  <c r="P44" i="44"/>
  <c r="P35" i="44"/>
  <c r="P54" i="44"/>
  <c r="P51" i="44"/>
  <c r="P33" i="44"/>
  <c r="P47" i="44"/>
  <c r="P28" i="44"/>
  <c r="P20" i="44"/>
  <c r="P31" i="44"/>
  <c r="P19" i="44"/>
  <c r="P7" i="44"/>
  <c r="P34" i="44"/>
  <c r="G7" i="4"/>
  <c r="G8" i="4"/>
  <c r="G16" i="4"/>
  <c r="G10" i="4"/>
  <c r="R14" i="89" l="1"/>
  <c r="R17" i="89"/>
  <c r="R16" i="89"/>
  <c r="G10" i="44"/>
  <c r="X15" i="89"/>
  <c r="R15" i="89" s="1"/>
  <c r="R8" i="89"/>
  <c r="R7" i="89"/>
  <c r="R9" i="89"/>
  <c r="AJ63" i="44"/>
  <c r="AJ64" i="44" s="1"/>
  <c r="E7" i="44"/>
  <c r="A20" i="44"/>
  <c r="E20" i="44"/>
  <c r="E28" i="44"/>
  <c r="E47" i="44"/>
  <c r="A16" i="44"/>
  <c r="E16" i="44"/>
  <c r="A17" i="44"/>
  <c r="E17" i="44"/>
  <c r="A53" i="44"/>
  <c r="E53" i="44"/>
  <c r="A25" i="44"/>
  <c r="E25" i="44"/>
  <c r="E58" i="44"/>
  <c r="A56" i="44"/>
  <c r="E56" i="44"/>
  <c r="E45" i="44"/>
  <c r="A37" i="44"/>
  <c r="E37" i="44"/>
  <c r="A15" i="44"/>
  <c r="E30" i="44"/>
  <c r="A18" i="44"/>
  <c r="E18" i="44"/>
  <c r="E36" i="44"/>
  <c r="A29" i="44"/>
  <c r="A57" i="44"/>
  <c r="A34" i="44"/>
  <c r="E34" i="44"/>
  <c r="A19" i="44"/>
  <c r="E31" i="44"/>
  <c r="A33" i="44"/>
  <c r="E54" i="44"/>
  <c r="A35" i="44"/>
  <c r="E35" i="44"/>
  <c r="A44" i="44"/>
  <c r="E44" i="44"/>
  <c r="A49" i="44"/>
  <c r="E49" i="44"/>
  <c r="A14" i="44"/>
  <c r="E14" i="44"/>
  <c r="E22" i="44"/>
  <c r="E32" i="44"/>
  <c r="A39" i="44"/>
  <c r="E39" i="44"/>
  <c r="E42" i="44"/>
  <c r="A27" i="44"/>
  <c r="E27" i="44"/>
  <c r="E23" i="44"/>
  <c r="E62" i="44"/>
  <c r="A13" i="44"/>
  <c r="E13" i="44"/>
  <c r="A10" i="44"/>
  <c r="E10" i="44"/>
  <c r="E24" i="44"/>
  <c r="A9" i="44"/>
  <c r="A41" i="44"/>
  <c r="E41" i="44"/>
  <c r="A21" i="44"/>
  <c r="E21" i="44"/>
  <c r="A26" i="44"/>
  <c r="A52" i="44"/>
  <c r="E52" i="44"/>
  <c r="A46" i="44"/>
  <c r="E46" i="44"/>
  <c r="E11" i="44"/>
  <c r="A12" i="44"/>
  <c r="E12" i="44"/>
  <c r="A38" i="44"/>
  <c r="E38" i="44"/>
  <c r="A50" i="44"/>
  <c r="A40" i="44"/>
  <c r="E40" i="44"/>
  <c r="A8" i="44"/>
  <c r="E8" i="44"/>
  <c r="V15" i="83"/>
  <c r="T22" i="83"/>
  <c r="Z14" i="83"/>
  <c r="T17" i="83"/>
  <c r="R17" i="83" s="1"/>
  <c r="V8" i="83"/>
  <c r="T14" i="83"/>
  <c r="V21" i="83"/>
  <c r="V22" i="83"/>
  <c r="R22" i="83" s="1"/>
  <c r="T24" i="83"/>
  <c r="V16" i="83"/>
  <c r="V23" i="83"/>
  <c r="V23" i="80"/>
  <c r="V9" i="83"/>
  <c r="V29" i="83"/>
  <c r="T28" i="83"/>
  <c r="V7" i="83"/>
  <c r="V28" i="83"/>
  <c r="T9" i="83"/>
  <c r="V10" i="81"/>
  <c r="T7" i="83"/>
  <c r="T17" i="81"/>
  <c r="V17" i="81"/>
  <c r="T21" i="83"/>
  <c r="R21" i="83" s="1"/>
  <c r="X14" i="83"/>
  <c r="T16" i="83"/>
  <c r="T8" i="81"/>
  <c r="T29" i="83"/>
  <c r="T16" i="81"/>
  <c r="T23" i="83"/>
  <c r="T8" i="83"/>
  <c r="T15" i="83"/>
  <c r="R15" i="83" s="1"/>
  <c r="T31" i="81"/>
  <c r="R31" i="81" s="1"/>
  <c r="T30" i="83"/>
  <c r="R30" i="83" s="1"/>
  <c r="V30" i="81"/>
  <c r="V24" i="83"/>
  <c r="R24" i="83" s="1"/>
  <c r="T24" i="81"/>
  <c r="R24" i="81" s="1"/>
  <c r="T31" i="83"/>
  <c r="V16" i="80"/>
  <c r="V31" i="83"/>
  <c r="AK40" i="44"/>
  <c r="T15" i="81"/>
  <c r="T7" i="80"/>
  <c r="V9" i="81"/>
  <c r="V14" i="80"/>
  <c r="V14" i="81"/>
  <c r="T22" i="81"/>
  <c r="V9" i="80"/>
  <c r="V22" i="81"/>
  <c r="V29" i="81"/>
  <c r="V14" i="75"/>
  <c r="T7" i="81"/>
  <c r="V22" i="80"/>
  <c r="V21" i="81"/>
  <c r="T30" i="80"/>
  <c r="T7" i="62"/>
  <c r="V7" i="81"/>
  <c r="T23" i="75"/>
  <c r="T23" i="81"/>
  <c r="V30" i="80"/>
  <c r="T28" i="81"/>
  <c r="V28" i="80"/>
  <c r="V28" i="81"/>
  <c r="T29" i="81"/>
  <c r="V16" i="81"/>
  <c r="R16" i="81" s="1"/>
  <c r="V15" i="81"/>
  <c r="T22" i="75"/>
  <c r="T30" i="81"/>
  <c r="V23" i="75"/>
  <c r="V23" i="81"/>
  <c r="V15" i="75"/>
  <c r="V8" i="81"/>
  <c r="V15" i="80"/>
  <c r="T21" i="81"/>
  <c r="T14" i="80"/>
  <c r="T14" i="81"/>
  <c r="T23" i="80"/>
  <c r="R23" i="80" s="1"/>
  <c r="T9" i="81"/>
  <c r="R9" i="81" s="1"/>
  <c r="R31" i="62"/>
  <c r="T10" i="81"/>
  <c r="R10" i="81" s="1"/>
  <c r="T31" i="62"/>
  <c r="AK8" i="44"/>
  <c r="AK19" i="44"/>
  <c r="AK17" i="44"/>
  <c r="AK20" i="44"/>
  <c r="AK28" i="44"/>
  <c r="AK30" i="44"/>
  <c r="AK29" i="44"/>
  <c r="AK18" i="44"/>
  <c r="AK35" i="44"/>
  <c r="AK34" i="44"/>
  <c r="AK11" i="44"/>
  <c r="AK21" i="44"/>
  <c r="AK9" i="44"/>
  <c r="AK31" i="44"/>
  <c r="AK37" i="44"/>
  <c r="AK25" i="44"/>
  <c r="AK38" i="44"/>
  <c r="AK36" i="44"/>
  <c r="AK7" i="44"/>
  <c r="AK14" i="44"/>
  <c r="AK12" i="44"/>
  <c r="AK24" i="44"/>
  <c r="AK27" i="44"/>
  <c r="AK32" i="44"/>
  <c r="AK23" i="44"/>
  <c r="AK16" i="44"/>
  <c r="AK13" i="44"/>
  <c r="AK22" i="44"/>
  <c r="AK15" i="44"/>
  <c r="AK26" i="44"/>
  <c r="AK33" i="44"/>
  <c r="AK41" i="44"/>
  <c r="AK10" i="44"/>
  <c r="T8" i="75"/>
  <c r="T15" i="80"/>
  <c r="V7" i="75"/>
  <c r="V8" i="80"/>
  <c r="T36" i="74"/>
  <c r="T22" i="80"/>
  <c r="V28" i="74"/>
  <c r="X7" i="80"/>
  <c r="T24" i="75"/>
  <c r="T29" i="80"/>
  <c r="V9" i="75"/>
  <c r="V29" i="80"/>
  <c r="T21" i="75"/>
  <c r="T21" i="80"/>
  <c r="T15" i="75"/>
  <c r="R15" i="75" s="1"/>
  <c r="V21" i="80"/>
  <c r="T16" i="75"/>
  <c r="T28" i="80"/>
  <c r="R28" i="80" s="1"/>
  <c r="T14" i="75"/>
  <c r="T16" i="80"/>
  <c r="T17" i="75"/>
  <c r="T8" i="80"/>
  <c r="V24" i="75"/>
  <c r="R24" i="75" s="1"/>
  <c r="Z7" i="80"/>
  <c r="O14" i="60"/>
  <c r="T9" i="80"/>
  <c r="R9" i="80" s="1"/>
  <c r="V16" i="75"/>
  <c r="T30" i="74"/>
  <c r="T9" i="75"/>
  <c r="R9" i="75" s="1"/>
  <c r="T8" i="62"/>
  <c r="V8" i="75"/>
  <c r="R8" i="75" s="1"/>
  <c r="U7" i="72"/>
  <c r="V21" i="75"/>
  <c r="V36" i="74"/>
  <c r="V17" i="75"/>
  <c r="T29" i="74"/>
  <c r="T7" i="75"/>
  <c r="U9" i="72"/>
  <c r="V22" i="75"/>
  <c r="R22" i="75" s="1"/>
  <c r="S21" i="72"/>
  <c r="T28" i="74"/>
  <c r="S14" i="72"/>
  <c r="T35" i="74"/>
  <c r="T14" i="74"/>
  <c r="T7" i="74"/>
  <c r="T21" i="74"/>
  <c r="U14" i="72"/>
  <c r="V21" i="74"/>
  <c r="V7" i="74"/>
  <c r="V35" i="74"/>
  <c r="V14" i="74"/>
  <c r="T37" i="74"/>
  <c r="R37" i="74" s="1"/>
  <c r="T9" i="74"/>
  <c r="T23" i="74"/>
  <c r="T16" i="74"/>
  <c r="T38" i="73"/>
  <c r="T38" i="74"/>
  <c r="U16" i="72"/>
  <c r="V23" i="74"/>
  <c r="V16" i="74"/>
  <c r="V9" i="74"/>
  <c r="S24" i="72"/>
  <c r="T31" i="74"/>
  <c r="T22" i="74"/>
  <c r="T15" i="74"/>
  <c r="T8" i="74"/>
  <c r="T24" i="74"/>
  <c r="T17" i="74"/>
  <c r="T10" i="74"/>
  <c r="V38" i="74"/>
  <c r="V8" i="74"/>
  <c r="V22" i="74"/>
  <c r="V15" i="74"/>
  <c r="V10" i="74"/>
  <c r="V24" i="74"/>
  <c r="V17" i="74"/>
  <c r="U22" i="72"/>
  <c r="V29" i="74"/>
  <c r="R29" i="74" s="1"/>
  <c r="U23" i="72"/>
  <c r="V30" i="74"/>
  <c r="U24" i="72"/>
  <c r="V31" i="74"/>
  <c r="V25" i="74"/>
  <c r="V18" i="74"/>
  <c r="V11" i="74"/>
  <c r="T25" i="74"/>
  <c r="T18" i="74"/>
  <c r="T11" i="74"/>
  <c r="S30" i="72"/>
  <c r="S23" i="72"/>
  <c r="T37" i="73"/>
  <c r="R37" i="73" s="1"/>
  <c r="S16" i="72"/>
  <c r="R7" i="62"/>
  <c r="S7" i="72"/>
  <c r="R22" i="62"/>
  <c r="S15" i="72"/>
  <c r="V38" i="73"/>
  <c r="S17" i="72"/>
  <c r="T22" i="62"/>
  <c r="P22" i="62" s="1"/>
  <c r="U15" i="72"/>
  <c r="O21" i="60"/>
  <c r="M21" i="60" s="1"/>
  <c r="U17" i="72"/>
  <c r="S29" i="72"/>
  <c r="S22" i="72"/>
  <c r="U28" i="72"/>
  <c r="U21" i="72"/>
  <c r="Q21" i="72" s="1"/>
  <c r="R23" i="62"/>
  <c r="S9" i="72"/>
  <c r="Q9" i="72" s="1"/>
  <c r="U25" i="72"/>
  <c r="U8" i="72"/>
  <c r="S25" i="72"/>
  <c r="Q25" i="72" s="1"/>
  <c r="S8" i="72"/>
  <c r="Q8" i="72" s="1"/>
  <c r="S31" i="72"/>
  <c r="R9" i="62"/>
  <c r="S28" i="72"/>
  <c r="Q28" i="72" s="1"/>
  <c r="U29" i="72"/>
  <c r="T30" i="62"/>
  <c r="U30" i="72"/>
  <c r="U31" i="72"/>
  <c r="U11" i="72"/>
  <c r="U18" i="72"/>
  <c r="S11" i="72"/>
  <c r="S18" i="72"/>
  <c r="Q18" i="72" s="1"/>
  <c r="T28" i="62"/>
  <c r="V35" i="73"/>
  <c r="T29" i="62"/>
  <c r="V36" i="73"/>
  <c r="R28" i="62"/>
  <c r="P28" i="62" s="1"/>
  <c r="T35" i="73"/>
  <c r="R35" i="73" s="1"/>
  <c r="Q9" i="60"/>
  <c r="V18" i="73"/>
  <c r="V11" i="73"/>
  <c r="V25" i="73"/>
  <c r="T11" i="73"/>
  <c r="R11" i="73" s="1"/>
  <c r="T18" i="73"/>
  <c r="R18" i="73" s="1"/>
  <c r="T25" i="73"/>
  <c r="R29" i="62"/>
  <c r="T36" i="73"/>
  <c r="T14" i="62"/>
  <c r="T21" i="62"/>
  <c r="O20" i="60"/>
  <c r="R16" i="62"/>
  <c r="Q28" i="58"/>
  <c r="M28" i="58" s="1"/>
  <c r="T16" i="62"/>
  <c r="R21" i="62"/>
  <c r="O15" i="60"/>
  <c r="R30" i="62"/>
  <c r="R14" i="62"/>
  <c r="R8" i="62"/>
  <c r="Q8" i="60"/>
  <c r="T23" i="62"/>
  <c r="P23" i="62" s="1"/>
  <c r="Q20" i="58"/>
  <c r="T9" i="62"/>
  <c r="T15" i="62"/>
  <c r="R15" i="62"/>
  <c r="Q13" i="58"/>
  <c r="O25" i="58"/>
  <c r="Q7" i="58"/>
  <c r="O21" i="58"/>
  <c r="Q9" i="58"/>
  <c r="O9" i="58"/>
  <c r="O7" i="58"/>
  <c r="M7" i="58" s="1"/>
  <c r="O13" i="58"/>
  <c r="O27" i="58"/>
  <c r="M27" i="58" s="1"/>
  <c r="O19" i="58"/>
  <c r="Q21" i="58"/>
  <c r="O13" i="60"/>
  <c r="O8" i="58"/>
  <c r="Q19" i="60"/>
  <c r="Q26" i="58"/>
  <c r="Q13" i="60"/>
  <c r="Q8" i="58"/>
  <c r="O7" i="60"/>
  <c r="M7" i="60" s="1"/>
  <c r="Q15" i="58"/>
  <c r="Q20" i="60"/>
  <c r="O20" i="58"/>
  <c r="Q14" i="60"/>
  <c r="M14" i="60" s="1"/>
  <c r="Q25" i="58"/>
  <c r="Q15" i="60"/>
  <c r="M15" i="60" s="1"/>
  <c r="Q19" i="58"/>
  <c r="O8" i="60"/>
  <c r="M8" i="60" s="1"/>
  <c r="O15" i="58"/>
  <c r="O9" i="60"/>
  <c r="M9" i="60" s="1"/>
  <c r="O14" i="58"/>
  <c r="M14" i="58" s="1"/>
  <c r="O19" i="60"/>
  <c r="O26" i="58"/>
  <c r="Q28" i="44"/>
  <c r="T28" i="44"/>
  <c r="Q35" i="44"/>
  <c r="T35" i="44"/>
  <c r="T7" i="44"/>
  <c r="Q7" i="44"/>
  <c r="Q31" i="44"/>
  <c r="T31" i="44"/>
  <c r="Q20" i="44"/>
  <c r="T20" i="44"/>
  <c r="Q47" i="44"/>
  <c r="T47" i="44"/>
  <c r="Q33" i="44"/>
  <c r="T33" i="44"/>
  <c r="Q51" i="44"/>
  <c r="T51" i="44"/>
  <c r="Q54" i="44"/>
  <c r="T54" i="44"/>
  <c r="Q44" i="44"/>
  <c r="T44" i="44"/>
  <c r="Q16" i="44"/>
  <c r="T16" i="44"/>
  <c r="Q14" i="44"/>
  <c r="T14" i="44"/>
  <c r="Q17" i="44"/>
  <c r="T17" i="44"/>
  <c r="Q22" i="44"/>
  <c r="T22" i="44"/>
  <c r="Q39" i="44"/>
  <c r="T39" i="44"/>
  <c r="Q27" i="44"/>
  <c r="T27" i="44"/>
  <c r="Q53" i="44"/>
  <c r="T53" i="44"/>
  <c r="Q23" i="44"/>
  <c r="T23" i="44"/>
  <c r="Q13" i="44"/>
  <c r="T13" i="44"/>
  <c r="Q24" i="44"/>
  <c r="T24" i="44"/>
  <c r="Q21" i="44"/>
  <c r="T21" i="44"/>
  <c r="Q52" i="44"/>
  <c r="T52" i="44"/>
  <c r="Q55" i="44"/>
  <c r="T55" i="44"/>
  <c r="Q56" i="44"/>
  <c r="T56" i="44"/>
  <c r="Q45" i="44"/>
  <c r="T45" i="44"/>
  <c r="Q11" i="44"/>
  <c r="T11" i="44"/>
  <c r="Q37" i="44"/>
  <c r="T37" i="44"/>
  <c r="Q12" i="44"/>
  <c r="T12" i="44"/>
  <c r="Q15" i="44"/>
  <c r="T15" i="44"/>
  <c r="Q18" i="44"/>
  <c r="T18" i="44"/>
  <c r="Q48" i="44"/>
  <c r="T48" i="44"/>
  <c r="Q50" i="44"/>
  <c r="T50" i="44"/>
  <c r="Q36" i="44"/>
  <c r="T36" i="44"/>
  <c r="Q40" i="44"/>
  <c r="T40" i="44"/>
  <c r="T8" i="44"/>
  <c r="Q8" i="44"/>
  <c r="T34" i="44"/>
  <c r="Q34" i="44"/>
  <c r="T19" i="44"/>
  <c r="Q19" i="44"/>
  <c r="Q49" i="44"/>
  <c r="T49" i="44"/>
  <c r="Q32" i="44"/>
  <c r="T32" i="44"/>
  <c r="Q42" i="44"/>
  <c r="T42" i="44"/>
  <c r="Q62" i="44"/>
  <c r="T62" i="44"/>
  <c r="Q10" i="44"/>
  <c r="T10" i="44"/>
  <c r="Q9" i="44"/>
  <c r="T9" i="44"/>
  <c r="Q25" i="44"/>
  <c r="T25" i="44"/>
  <c r="Q41" i="44"/>
  <c r="T41" i="44"/>
  <c r="Q26" i="44"/>
  <c r="T26" i="44"/>
  <c r="Q58" i="44"/>
  <c r="T58" i="44"/>
  <c r="Q46" i="44"/>
  <c r="T46" i="44"/>
  <c r="Q60" i="44"/>
  <c r="T60" i="44"/>
  <c r="Q30" i="44"/>
  <c r="T30" i="44"/>
  <c r="Q38" i="44"/>
  <c r="T38" i="44"/>
  <c r="Q29" i="44"/>
  <c r="T29" i="44"/>
  <c r="Q57" i="44"/>
  <c r="T57" i="44"/>
  <c r="B43" i="4"/>
  <c r="C42" i="4" s="1"/>
  <c r="B39" i="4"/>
  <c r="C45" i="4" s="1"/>
  <c r="B26" i="4"/>
  <c r="C30" i="4" s="1"/>
  <c r="B22" i="4"/>
  <c r="C21" i="4" s="1"/>
  <c r="F23" i="4" s="1"/>
  <c r="B300" i="4" s="1"/>
  <c r="B41" i="4"/>
  <c r="C47" i="4" s="1"/>
  <c r="B37" i="4"/>
  <c r="C38" i="4" s="1"/>
  <c r="B24" i="4"/>
  <c r="C25" i="4" s="1"/>
  <c r="B20" i="4"/>
  <c r="C28" i="4" s="1"/>
  <c r="F43" i="4"/>
  <c r="F49" i="4"/>
  <c r="F46" i="4"/>
  <c r="F26" i="4"/>
  <c r="R16" i="80" l="1"/>
  <c r="R8" i="81"/>
  <c r="P7" i="62"/>
  <c r="AK63" i="44"/>
  <c r="AK64" i="44" s="1"/>
  <c r="R22" i="80"/>
  <c r="R8" i="83"/>
  <c r="R14" i="83"/>
  <c r="P31" i="62"/>
  <c r="R36" i="74"/>
  <c r="R9" i="83"/>
  <c r="R7" i="83"/>
  <c r="R15" i="80"/>
  <c r="R23" i="83"/>
  <c r="R29" i="83"/>
  <c r="R16" i="83"/>
  <c r="R30" i="80"/>
  <c r="R38" i="73"/>
  <c r="R28" i="74"/>
  <c r="R7" i="75"/>
  <c r="R17" i="75"/>
  <c r="R21" i="75"/>
  <c r="R14" i="81"/>
  <c r="R23" i="75"/>
  <c r="R28" i="81"/>
  <c r="R17" i="81"/>
  <c r="R28" i="83"/>
  <c r="R14" i="80"/>
  <c r="R14" i="75"/>
  <c r="R30" i="81"/>
  <c r="U59" i="44"/>
  <c r="R59" i="44"/>
  <c r="R31" i="83"/>
  <c r="R7" i="80"/>
  <c r="R8" i="80"/>
  <c r="R21" i="81"/>
  <c r="R29" i="81"/>
  <c r="R16" i="75"/>
  <c r="R43" i="44"/>
  <c r="R61" i="44"/>
  <c r="U43" i="44"/>
  <c r="U61" i="44"/>
  <c r="Q23" i="72"/>
  <c r="R23" i="81"/>
  <c r="R15" i="81"/>
  <c r="R7" i="81"/>
  <c r="R22" i="81"/>
  <c r="U57" i="44"/>
  <c r="U29" i="44"/>
  <c r="U38" i="44"/>
  <c r="U30" i="44"/>
  <c r="R30" i="44"/>
  <c r="U60" i="44"/>
  <c r="U46" i="44"/>
  <c r="R58" i="44"/>
  <c r="R26" i="44"/>
  <c r="R41" i="44"/>
  <c r="R25" i="44"/>
  <c r="R9" i="44"/>
  <c r="R10" i="44"/>
  <c r="R62" i="44"/>
  <c r="R32" i="44"/>
  <c r="R49" i="44"/>
  <c r="R19" i="44"/>
  <c r="R34" i="44"/>
  <c r="U8" i="44"/>
  <c r="R40" i="44"/>
  <c r="U36" i="44"/>
  <c r="U50" i="44"/>
  <c r="U48" i="44"/>
  <c r="R48" i="44"/>
  <c r="R18" i="44"/>
  <c r="R15" i="44"/>
  <c r="R12" i="44"/>
  <c r="R37" i="44"/>
  <c r="U11" i="44"/>
  <c r="R45" i="44"/>
  <c r="U56" i="44"/>
  <c r="U55" i="44"/>
  <c r="R55" i="44"/>
  <c r="R52" i="44"/>
  <c r="R21" i="44"/>
  <c r="U13" i="44"/>
  <c r="U23" i="44"/>
  <c r="R53" i="44"/>
  <c r="R27" i="44"/>
  <c r="R39" i="44"/>
  <c r="U17" i="44"/>
  <c r="U14" i="44"/>
  <c r="U16" i="44"/>
  <c r="U44" i="44"/>
  <c r="U54" i="44"/>
  <c r="U51" i="44"/>
  <c r="U33" i="44"/>
  <c r="U47" i="44"/>
  <c r="R47" i="44"/>
  <c r="R20" i="44"/>
  <c r="U31" i="44"/>
  <c r="U7" i="44"/>
  <c r="R35" i="44"/>
  <c r="U28" i="44"/>
  <c r="R57" i="44"/>
  <c r="R29" i="44"/>
  <c r="R38" i="44"/>
  <c r="R60" i="44"/>
  <c r="R46" i="44"/>
  <c r="U58" i="44"/>
  <c r="U26" i="44"/>
  <c r="U41" i="44"/>
  <c r="U25" i="44"/>
  <c r="U9" i="44"/>
  <c r="U10" i="44"/>
  <c r="U62" i="44"/>
  <c r="U42" i="44"/>
  <c r="R42" i="44"/>
  <c r="U32" i="44"/>
  <c r="U49" i="44"/>
  <c r="U19" i="44"/>
  <c r="U34" i="44"/>
  <c r="R8" i="44"/>
  <c r="U40" i="44"/>
  <c r="R36" i="44"/>
  <c r="R50" i="44"/>
  <c r="U18" i="44"/>
  <c r="U15" i="44"/>
  <c r="U12" i="44"/>
  <c r="U37" i="44"/>
  <c r="R11" i="44"/>
  <c r="U45" i="44"/>
  <c r="R56" i="44"/>
  <c r="U52" i="44"/>
  <c r="U21" i="44"/>
  <c r="U24" i="44"/>
  <c r="R24" i="44"/>
  <c r="R13" i="44"/>
  <c r="R23" i="44"/>
  <c r="U53" i="44"/>
  <c r="U27" i="44"/>
  <c r="U39" i="44"/>
  <c r="U22" i="44"/>
  <c r="R22" i="44"/>
  <c r="R17" i="44"/>
  <c r="R14" i="44"/>
  <c r="R16" i="44"/>
  <c r="R44" i="44"/>
  <c r="R54" i="44"/>
  <c r="R51" i="44"/>
  <c r="R33" i="44"/>
  <c r="U20" i="44"/>
  <c r="R31" i="44"/>
  <c r="R7" i="44"/>
  <c r="H7" i="44" s="1"/>
  <c r="U35" i="44"/>
  <c r="R28" i="44"/>
  <c r="R21" i="80"/>
  <c r="R29" i="80"/>
  <c r="P21" i="62"/>
  <c r="P14" i="62"/>
  <c r="M25" i="58"/>
  <c r="Q7" i="72"/>
  <c r="M20" i="60"/>
  <c r="R36" i="73"/>
  <c r="Q30" i="72"/>
  <c r="Q16" i="72"/>
  <c r="Q24" i="72"/>
  <c r="P29" i="62"/>
  <c r="M20" i="58"/>
  <c r="P30" i="62"/>
  <c r="Q29" i="72"/>
  <c r="Q22" i="72"/>
  <c r="R30" i="74"/>
  <c r="R18" i="74"/>
  <c r="R17" i="74"/>
  <c r="R8" i="74"/>
  <c r="R22" i="74"/>
  <c r="R23" i="74"/>
  <c r="R21" i="74"/>
  <c r="R14" i="74"/>
  <c r="Q14" i="72"/>
  <c r="R11" i="74"/>
  <c r="R25" i="74"/>
  <c r="R10" i="74"/>
  <c r="R24" i="74"/>
  <c r="R15" i="74"/>
  <c r="R31" i="74"/>
  <c r="R38" i="74"/>
  <c r="R16" i="74"/>
  <c r="R9" i="74"/>
  <c r="R7" i="74"/>
  <c r="R35" i="74"/>
  <c r="R25" i="73"/>
  <c r="Q11" i="72"/>
  <c r="Q17" i="72"/>
  <c r="Q15" i="72"/>
  <c r="Q31" i="72"/>
  <c r="M26" i="58"/>
  <c r="M19" i="58"/>
  <c r="M9" i="58"/>
  <c r="M13" i="58"/>
  <c r="M13" i="60"/>
  <c r="M19" i="60"/>
  <c r="M21" i="58"/>
  <c r="P15" i="62"/>
  <c r="P11" i="62"/>
  <c r="P9" i="62"/>
  <c r="P8" i="62"/>
  <c r="P16" i="62"/>
  <c r="M15" i="58"/>
  <c r="M8" i="58"/>
  <c r="B301" i="4"/>
  <c r="F40" i="4"/>
  <c r="F32" i="4"/>
  <c r="F29" i="4"/>
  <c r="D33" i="44" l="1"/>
  <c r="H33" i="44"/>
  <c r="D28" i="44"/>
  <c r="H28" i="44"/>
  <c r="D51" i="44"/>
  <c r="H51" i="44"/>
  <c r="D44" i="44"/>
  <c r="H44" i="44"/>
  <c r="D14" i="44"/>
  <c r="H14" i="44"/>
  <c r="D22" i="44"/>
  <c r="H22" i="44"/>
  <c r="D13" i="44"/>
  <c r="H13" i="44"/>
  <c r="D11" i="44"/>
  <c r="H11" i="44"/>
  <c r="D36" i="44"/>
  <c r="H36" i="44"/>
  <c r="D42" i="44"/>
  <c r="H42" i="44"/>
  <c r="D46" i="44"/>
  <c r="H46" i="44"/>
  <c r="D29" i="44"/>
  <c r="H29" i="44"/>
  <c r="D20" i="44"/>
  <c r="H20" i="44"/>
  <c r="D39" i="44"/>
  <c r="H39" i="44"/>
  <c r="D53" i="44"/>
  <c r="H53" i="44"/>
  <c r="D52" i="44"/>
  <c r="H52" i="44"/>
  <c r="D12" i="44"/>
  <c r="H12" i="44"/>
  <c r="D18" i="44"/>
  <c r="H18" i="44"/>
  <c r="D19" i="44"/>
  <c r="H19" i="44"/>
  <c r="D49" i="44"/>
  <c r="H49" i="44"/>
  <c r="D32" i="44"/>
  <c r="H32" i="44"/>
  <c r="D9" i="44"/>
  <c r="H9" i="44"/>
  <c r="D41" i="44"/>
  <c r="H41" i="44"/>
  <c r="D58" i="44"/>
  <c r="H58" i="44"/>
  <c r="D30" i="44"/>
  <c r="H30" i="44"/>
  <c r="D61" i="44"/>
  <c r="H61" i="44"/>
  <c r="D59" i="44"/>
  <c r="H59" i="44"/>
  <c r="D31" i="44"/>
  <c r="H31" i="44"/>
  <c r="D54" i="44"/>
  <c r="H54" i="44"/>
  <c r="D16" i="44"/>
  <c r="H16" i="44"/>
  <c r="D17" i="44"/>
  <c r="H17" i="44"/>
  <c r="D23" i="44"/>
  <c r="H23" i="44"/>
  <c r="D24" i="44"/>
  <c r="H24" i="44"/>
  <c r="D56" i="44"/>
  <c r="H56" i="44"/>
  <c r="D50" i="44"/>
  <c r="H50" i="44"/>
  <c r="D8" i="44"/>
  <c r="H8" i="44"/>
  <c r="D60" i="44"/>
  <c r="H60" i="44"/>
  <c r="D38" i="44"/>
  <c r="H38" i="44"/>
  <c r="D57" i="44"/>
  <c r="H57" i="44"/>
  <c r="D35" i="44"/>
  <c r="H35" i="44"/>
  <c r="D47" i="44"/>
  <c r="H47" i="44"/>
  <c r="D27" i="44"/>
  <c r="H27" i="44"/>
  <c r="D21" i="44"/>
  <c r="H21" i="44"/>
  <c r="D55" i="44"/>
  <c r="H55" i="44"/>
  <c r="D45" i="44"/>
  <c r="H45" i="44"/>
  <c r="D37" i="44"/>
  <c r="H37" i="44"/>
  <c r="D15" i="44"/>
  <c r="H15" i="44"/>
  <c r="D48" i="44"/>
  <c r="H48" i="44"/>
  <c r="D40" i="44"/>
  <c r="H40" i="44"/>
  <c r="D34" i="44"/>
  <c r="H34" i="44"/>
  <c r="D62" i="44"/>
  <c r="H62" i="44"/>
  <c r="D10" i="44"/>
  <c r="H10" i="44"/>
  <c r="D25" i="44"/>
  <c r="H25" i="44"/>
  <c r="D26" i="44"/>
  <c r="H26" i="44"/>
  <c r="D43" i="44"/>
  <c r="H43" i="44"/>
  <c r="F7" i="44"/>
  <c r="D7" i="44"/>
  <c r="F31" i="44"/>
  <c r="I31" i="44"/>
  <c r="F33" i="44"/>
  <c r="I33" i="44"/>
  <c r="F54" i="44"/>
  <c r="I54" i="44"/>
  <c r="F16" i="44"/>
  <c r="I16" i="44"/>
  <c r="F17" i="44"/>
  <c r="I17" i="44"/>
  <c r="F23" i="44"/>
  <c r="I23" i="44"/>
  <c r="F24" i="44"/>
  <c r="I24" i="44"/>
  <c r="F56" i="44"/>
  <c r="I56" i="44"/>
  <c r="AL56" i="44" s="1"/>
  <c r="F50" i="44"/>
  <c r="I50" i="44"/>
  <c r="AL50" i="44" s="1"/>
  <c r="F8" i="44"/>
  <c r="I8" i="44"/>
  <c r="F60" i="44"/>
  <c r="I60" i="44"/>
  <c r="F38" i="44"/>
  <c r="I38" i="44"/>
  <c r="F57" i="44"/>
  <c r="I57" i="44"/>
  <c r="AL57" i="44" s="1"/>
  <c r="F35" i="44"/>
  <c r="I35" i="44"/>
  <c r="F47" i="44"/>
  <c r="I47" i="44"/>
  <c r="F27" i="44"/>
  <c r="I27" i="44"/>
  <c r="F21" i="44"/>
  <c r="I21" i="44"/>
  <c r="F55" i="44"/>
  <c r="I55" i="44"/>
  <c r="F45" i="44"/>
  <c r="I45" i="44"/>
  <c r="F37" i="44"/>
  <c r="I37" i="44"/>
  <c r="F15" i="44"/>
  <c r="I15" i="44"/>
  <c r="F48" i="44"/>
  <c r="I48" i="44"/>
  <c r="F40" i="44"/>
  <c r="I40" i="44"/>
  <c r="F34" i="44"/>
  <c r="I34" i="44"/>
  <c r="F62" i="44"/>
  <c r="I62" i="44"/>
  <c r="F10" i="44"/>
  <c r="I10" i="44"/>
  <c r="F25" i="44"/>
  <c r="I25" i="44"/>
  <c r="F26" i="44"/>
  <c r="I26" i="44"/>
  <c r="F61" i="44"/>
  <c r="I61" i="44"/>
  <c r="F59" i="44"/>
  <c r="I59" i="44"/>
  <c r="F28" i="44"/>
  <c r="I28" i="44"/>
  <c r="I7" i="44"/>
  <c r="F51" i="44"/>
  <c r="I51" i="44"/>
  <c r="F44" i="44"/>
  <c r="I44" i="44"/>
  <c r="F14" i="44"/>
  <c r="I14" i="44"/>
  <c r="F22" i="44"/>
  <c r="I22" i="44"/>
  <c r="F13" i="44"/>
  <c r="I13" i="44"/>
  <c r="F11" i="44"/>
  <c r="I11" i="44"/>
  <c r="F36" i="44"/>
  <c r="I36" i="44"/>
  <c r="F42" i="44"/>
  <c r="I42" i="44"/>
  <c r="F46" i="44"/>
  <c r="I46" i="44"/>
  <c r="F29" i="44"/>
  <c r="I29" i="44"/>
  <c r="F20" i="44"/>
  <c r="I20" i="44"/>
  <c r="F39" i="44"/>
  <c r="I39" i="44"/>
  <c r="F53" i="44"/>
  <c r="I53" i="44"/>
  <c r="F52" i="44"/>
  <c r="I52" i="44"/>
  <c r="F12" i="44"/>
  <c r="I12" i="44"/>
  <c r="F18" i="44"/>
  <c r="I18" i="44"/>
  <c r="F19" i="44"/>
  <c r="I19" i="44"/>
  <c r="F49" i="44"/>
  <c r="I49" i="44"/>
  <c r="F32" i="44"/>
  <c r="I32" i="44"/>
  <c r="F9" i="44"/>
  <c r="I9" i="44"/>
  <c r="F41" i="44"/>
  <c r="I41" i="44"/>
  <c r="F58" i="44"/>
  <c r="I58" i="44"/>
  <c r="F30" i="44"/>
  <c r="I30" i="44"/>
  <c r="F43" i="44"/>
  <c r="I43" i="44"/>
  <c r="B57" i="44"/>
  <c r="B59" i="44"/>
  <c r="B49" i="44"/>
  <c r="AL49" i="44"/>
  <c r="V59" i="44"/>
  <c r="B56" i="44"/>
  <c r="B61" i="44"/>
  <c r="B45" i="44"/>
  <c r="B43" i="44"/>
  <c r="V61" i="44"/>
  <c r="V43" i="44"/>
  <c r="B31" i="44"/>
  <c r="B33" i="44"/>
  <c r="B54" i="44"/>
  <c r="AL54" i="44"/>
  <c r="B14" i="44"/>
  <c r="B22" i="44"/>
  <c r="B13" i="44"/>
  <c r="B11" i="44"/>
  <c r="B36" i="44"/>
  <c r="B8" i="44"/>
  <c r="B60" i="44"/>
  <c r="AL60" i="44"/>
  <c r="B38" i="44"/>
  <c r="B35" i="44"/>
  <c r="B47" i="44"/>
  <c r="AL47" i="44"/>
  <c r="B39" i="44"/>
  <c r="B53" i="44"/>
  <c r="B52" i="44"/>
  <c r="B12" i="44"/>
  <c r="B18" i="44"/>
  <c r="B19" i="44"/>
  <c r="B32" i="44"/>
  <c r="B9" i="44"/>
  <c r="B41" i="44"/>
  <c r="B58" i="44"/>
  <c r="B30" i="44"/>
  <c r="B28" i="44"/>
  <c r="B7" i="44"/>
  <c r="B51" i="44"/>
  <c r="B44" i="44"/>
  <c r="B16" i="44"/>
  <c r="B17" i="44"/>
  <c r="B23" i="44"/>
  <c r="B24" i="44"/>
  <c r="B50" i="44"/>
  <c r="B42" i="44"/>
  <c r="B46" i="44"/>
  <c r="B29" i="44"/>
  <c r="B20" i="44"/>
  <c r="B27" i="44"/>
  <c r="B21" i="44"/>
  <c r="B55" i="44"/>
  <c r="B37" i="44"/>
  <c r="B15" i="44"/>
  <c r="B48" i="44"/>
  <c r="B40" i="44"/>
  <c r="B34" i="44"/>
  <c r="B62" i="44"/>
  <c r="B10" i="44"/>
  <c r="B25" i="44"/>
  <c r="B26" i="44"/>
  <c r="V35" i="44"/>
  <c r="V20" i="44"/>
  <c r="V22" i="44"/>
  <c r="V27" i="44"/>
  <c r="V21" i="44"/>
  <c r="V45" i="44"/>
  <c r="V37" i="44"/>
  <c r="V15" i="44"/>
  <c r="V40" i="44"/>
  <c r="V34" i="44"/>
  <c r="V62" i="44"/>
  <c r="V10" i="44"/>
  <c r="V25" i="44"/>
  <c r="V26" i="44"/>
  <c r="V47" i="44"/>
  <c r="V51" i="44"/>
  <c r="V44" i="44"/>
  <c r="V16" i="44"/>
  <c r="V17" i="44"/>
  <c r="V13" i="44"/>
  <c r="V55" i="44"/>
  <c r="V11" i="44"/>
  <c r="V48" i="44"/>
  <c r="V36" i="44"/>
  <c r="V8" i="44"/>
  <c r="V60" i="44"/>
  <c r="V38" i="44"/>
  <c r="V57" i="44"/>
  <c r="V39" i="44"/>
  <c r="V53" i="44"/>
  <c r="V24" i="44"/>
  <c r="V52" i="44"/>
  <c r="V12" i="44"/>
  <c r="V18" i="44"/>
  <c r="V19" i="44"/>
  <c r="V49" i="44"/>
  <c r="V32" i="44"/>
  <c r="V42" i="44"/>
  <c r="V9" i="44"/>
  <c r="V41" i="44"/>
  <c r="V58" i="44"/>
  <c r="V28" i="44"/>
  <c r="V7" i="44"/>
  <c r="V31" i="44"/>
  <c r="V33" i="44"/>
  <c r="V54" i="44"/>
  <c r="V14" i="44"/>
  <c r="V23" i="44"/>
  <c r="V56" i="44"/>
  <c r="V50" i="44"/>
  <c r="V46" i="44"/>
  <c r="V30" i="44"/>
  <c r="V29" i="44"/>
  <c r="B306" i="4"/>
  <c r="B303" i="4"/>
  <c r="B307" i="4"/>
  <c r="B304" i="4"/>
  <c r="B305" i="4"/>
  <c r="B302" i="4"/>
  <c r="N11" i="33" s="1"/>
  <c r="L30" i="1"/>
  <c r="G11" i="33" l="1" a="1"/>
  <c r="G11" i="33" s="1"/>
  <c r="U11" i="33"/>
  <c r="C54" i="44"/>
  <c r="G55" i="44"/>
  <c r="G21" i="44"/>
  <c r="G58" i="44"/>
  <c r="G22" i="44"/>
  <c r="G51" i="44"/>
  <c r="AL28" i="44"/>
  <c r="AL59" i="44"/>
  <c r="AL61" i="44"/>
  <c r="AL26" i="44"/>
  <c r="AL25" i="44"/>
  <c r="AL10" i="44"/>
  <c r="AL62" i="44"/>
  <c r="AL34" i="44"/>
  <c r="AL40" i="44"/>
  <c r="AL48" i="44"/>
  <c r="AL15" i="44"/>
  <c r="AL45" i="44"/>
  <c r="AL55" i="44"/>
  <c r="AL21" i="44"/>
  <c r="AL27" i="44"/>
  <c r="AL35" i="44"/>
  <c r="AL38" i="44"/>
  <c r="AL8" i="44"/>
  <c r="AL24" i="44"/>
  <c r="AL17" i="44"/>
  <c r="AL16" i="44"/>
  <c r="AL33" i="44"/>
  <c r="AL43" i="44"/>
  <c r="AL58" i="44"/>
  <c r="AL41" i="44"/>
  <c r="AL9" i="44"/>
  <c r="AL19" i="44"/>
  <c r="AL18" i="44"/>
  <c r="AL12" i="44"/>
  <c r="AL52" i="44"/>
  <c r="AL53" i="44"/>
  <c r="AL39" i="44"/>
  <c r="AL20" i="44"/>
  <c r="AL29" i="44"/>
  <c r="AL46" i="44"/>
  <c r="AL42" i="44"/>
  <c r="AL36" i="44"/>
  <c r="AL11" i="44"/>
  <c r="AL13" i="44"/>
  <c r="AL22" i="44"/>
  <c r="AL14" i="44"/>
  <c r="AL44" i="44"/>
  <c r="AL51" i="44"/>
  <c r="AL7" i="44"/>
  <c r="C44" i="44"/>
  <c r="C43" i="44"/>
  <c r="C10" i="44"/>
  <c r="C34" i="44"/>
  <c r="C37" i="44"/>
  <c r="C21" i="44"/>
  <c r="C47" i="44"/>
  <c r="C38" i="44"/>
  <c r="C56" i="44"/>
  <c r="C23" i="44"/>
  <c r="C16" i="44"/>
  <c r="C31" i="44"/>
  <c r="C30" i="44"/>
  <c r="C41" i="44"/>
  <c r="C49" i="44"/>
  <c r="C12" i="44"/>
  <c r="C53" i="44"/>
  <c r="C20" i="44"/>
  <c r="C42" i="44"/>
  <c r="C11" i="44"/>
  <c r="C22" i="44"/>
  <c r="C25" i="44"/>
  <c r="C62" i="44"/>
  <c r="C40" i="44"/>
  <c r="C45" i="44"/>
  <c r="C27" i="44"/>
  <c r="C35" i="44"/>
  <c r="C8" i="44"/>
  <c r="C24" i="44"/>
  <c r="C17" i="44"/>
  <c r="C7" i="44"/>
  <c r="C59" i="44"/>
  <c r="C58" i="44"/>
  <c r="C32" i="44"/>
  <c r="C18" i="44"/>
  <c r="C52" i="44"/>
  <c r="C39" i="44"/>
  <c r="C46" i="44"/>
  <c r="C36" i="44"/>
  <c r="C13" i="44"/>
  <c r="C14" i="44"/>
  <c r="C28" i="44"/>
  <c r="E9" i="44"/>
  <c r="E29" i="44"/>
  <c r="E33" i="44"/>
  <c r="E19" i="44"/>
  <c r="E51" i="44"/>
  <c r="E26" i="44"/>
  <c r="E15" i="44"/>
  <c r="E57" i="44"/>
  <c r="E50" i="44"/>
  <c r="A62" i="44"/>
  <c r="A48" i="44"/>
  <c r="A55" i="44"/>
  <c r="A42" i="44"/>
  <c r="A24" i="44"/>
  <c r="A23" i="44"/>
  <c r="A51" i="44"/>
  <c r="A28" i="44"/>
  <c r="A30" i="44"/>
  <c r="A58" i="44"/>
  <c r="A32" i="44"/>
  <c r="A47" i="44"/>
  <c r="A60" i="44"/>
  <c r="A36" i="44"/>
  <c r="A11" i="44"/>
  <c r="A22" i="44"/>
  <c r="A54" i="44"/>
  <c r="A31" i="44"/>
  <c r="A43" i="44"/>
  <c r="A45" i="44"/>
  <c r="E61" i="44"/>
  <c r="E48" i="44"/>
  <c r="E55" i="44"/>
  <c r="E60" i="44"/>
  <c r="A7" i="44"/>
  <c r="N17" i="33"/>
  <c r="N13" i="33"/>
  <c r="N7" i="33"/>
  <c r="N20" i="33"/>
  <c r="N26" i="33"/>
  <c r="N23" i="33"/>
  <c r="N12" i="33"/>
  <c r="N18" i="33"/>
  <c r="N8" i="33"/>
  <c r="N14" i="33"/>
  <c r="N27" i="33"/>
  <c r="N16" i="33"/>
  <c r="N15" i="33"/>
  <c r="N30" i="33"/>
  <c r="N24" i="33"/>
  <c r="N21" i="33"/>
  <c r="N25" i="33"/>
  <c r="N10" i="33"/>
  <c r="N22" i="33"/>
  <c r="N9" i="33"/>
  <c r="N29" i="33"/>
  <c r="N34" i="33"/>
  <c r="U34" i="33" s="1"/>
  <c r="N19" i="33"/>
  <c r="N31" i="33"/>
  <c r="N28" i="33"/>
  <c r="G31" i="33" l="1" a="1"/>
  <c r="G31" i="33" s="1"/>
  <c r="U31" i="33"/>
  <c r="G9" i="33" a="1"/>
  <c r="G9" i="33" s="1"/>
  <c r="U9" i="33"/>
  <c r="G10" i="33" a="1"/>
  <c r="G10" i="33" s="1"/>
  <c r="U10" i="33"/>
  <c r="G21" i="33" a="1"/>
  <c r="G21" i="33" s="1"/>
  <c r="U21" i="33"/>
  <c r="G30" i="33" a="1"/>
  <c r="G30" i="33" s="1"/>
  <c r="U30" i="33"/>
  <c r="G16" i="33" a="1"/>
  <c r="G16" i="33" s="1"/>
  <c r="U16" i="33"/>
  <c r="G14" i="33" a="1"/>
  <c r="G14" i="33" s="1"/>
  <c r="U14" i="33"/>
  <c r="G18" i="33" a="1"/>
  <c r="G18" i="33" s="1"/>
  <c r="U18" i="33"/>
  <c r="G23" i="33" a="1"/>
  <c r="G23" i="33" s="1"/>
  <c r="U23" i="33"/>
  <c r="G20" i="33" a="1"/>
  <c r="G20" i="33" s="1"/>
  <c r="U20" i="33"/>
  <c r="G13" i="33" a="1"/>
  <c r="G13" i="33" s="1"/>
  <c r="U13" i="33"/>
  <c r="G28" i="33" a="1"/>
  <c r="G28" i="33" s="1"/>
  <c r="U28" i="33"/>
  <c r="G19" i="33" a="1"/>
  <c r="G19" i="33" s="1"/>
  <c r="U19" i="33"/>
  <c r="G29" i="33" a="1"/>
  <c r="G29" i="33" s="1"/>
  <c r="U29" i="33"/>
  <c r="G22" i="33" a="1"/>
  <c r="G22" i="33" s="1"/>
  <c r="U22" i="33"/>
  <c r="G25" i="33" a="1"/>
  <c r="G25" i="33" s="1"/>
  <c r="U25" i="33"/>
  <c r="G24" i="33" a="1"/>
  <c r="G24" i="33" s="1"/>
  <c r="U24" i="33"/>
  <c r="G15" i="33" a="1"/>
  <c r="G15" i="33" s="1"/>
  <c r="U15" i="33"/>
  <c r="G27" i="33" a="1"/>
  <c r="G27" i="33" s="1"/>
  <c r="U27" i="33"/>
  <c r="G8" i="33" a="1"/>
  <c r="G8" i="33" s="1"/>
  <c r="U8" i="33"/>
  <c r="G12" i="33" a="1"/>
  <c r="G12" i="33" s="1"/>
  <c r="U12" i="33"/>
  <c r="G26" i="33" a="1"/>
  <c r="G26" i="33" s="1"/>
  <c r="U26" i="33"/>
  <c r="G7" i="33" a="1"/>
  <c r="G7" i="33" s="1"/>
  <c r="U7" i="33"/>
  <c r="G17" i="33" a="1"/>
  <c r="G17" i="33" s="1"/>
  <c r="U17" i="33"/>
  <c r="G34" i="33" a="1"/>
  <c r="G34" i="33" s="1"/>
  <c r="N35" i="33"/>
  <c r="O8" i="61"/>
  <c r="H24" i="33"/>
  <c r="H22" i="33"/>
  <c r="L22" i="33" s="1"/>
  <c r="H27" i="33"/>
  <c r="Q13" i="61"/>
  <c r="H34" i="33"/>
  <c r="W34" i="33"/>
  <c r="V34" i="33"/>
  <c r="H30" i="33"/>
  <c r="H16" i="33"/>
  <c r="Q16" i="61"/>
  <c r="S15" i="61"/>
  <c r="H21" i="33"/>
  <c r="H31" i="33"/>
  <c r="H26" i="33"/>
  <c r="S16" i="61"/>
  <c r="O16" i="61"/>
  <c r="H28" i="33"/>
  <c r="H10" i="33"/>
  <c r="O15" i="61"/>
  <c r="H29" i="33"/>
  <c r="W16" i="33"/>
  <c r="V16" i="33"/>
  <c r="I22" i="33" l="1"/>
  <c r="L24" i="33"/>
  <c r="I24" i="33"/>
  <c r="M16" i="61"/>
  <c r="I27" i="33"/>
  <c r="L27" i="33"/>
  <c r="L29" i="33"/>
  <c r="I29" i="33"/>
  <c r="L10" i="33"/>
  <c r="I10" i="33"/>
  <c r="L26" i="33"/>
  <c r="I26" i="33"/>
  <c r="L31" i="33"/>
  <c r="I31" i="33"/>
  <c r="L30" i="33"/>
  <c r="I30" i="33"/>
  <c r="L34" i="33"/>
  <c r="I34" i="33"/>
  <c r="L28" i="33"/>
  <c r="I28" i="33"/>
  <c r="L21" i="33"/>
  <c r="I21" i="33"/>
  <c r="L16" i="33"/>
  <c r="I16" i="33"/>
  <c r="AA4" i="44" l="1"/>
  <c r="A4" i="47"/>
  <c r="A2" i="47"/>
  <c r="A4" i="46"/>
  <c r="A2" i="46"/>
  <c r="E1" i="46"/>
  <c r="A4" i="45"/>
  <c r="A2" i="45"/>
  <c r="AO63" i="44"/>
  <c r="I24" i="3"/>
  <c r="I18" i="3"/>
  <c r="I14" i="3"/>
  <c r="I63" i="44"/>
  <c r="AE6" i="44"/>
  <c r="AD6" i="44"/>
  <c r="AC6" i="44"/>
  <c r="AB6" i="44"/>
  <c r="AA6" i="44"/>
  <c r="Z6" i="44"/>
  <c r="Y6" i="44"/>
  <c r="X6" i="44"/>
  <c r="W6" i="44"/>
  <c r="Z4" i="44"/>
  <c r="Y4" i="44"/>
  <c r="X4" i="44"/>
  <c r="W4" i="44"/>
  <c r="A1" i="53"/>
  <c r="A3" i="53"/>
  <c r="A3" i="48"/>
  <c r="A1" i="48"/>
  <c r="AE64" i="44" l="1"/>
  <c r="I28" i="3"/>
  <c r="AD64" i="44"/>
  <c r="I26" i="3"/>
  <c r="X64" i="44"/>
  <c r="I7" i="3"/>
  <c r="Z64" i="44"/>
  <c r="I12" i="3"/>
  <c r="AB64" i="44"/>
  <c r="Y64" i="44"/>
  <c r="I8" i="3"/>
  <c r="AA64" i="44"/>
  <c r="K36" i="1"/>
  <c r="K34" i="1" l="1"/>
  <c r="AL30" i="44" l="1"/>
  <c r="AL31" i="44"/>
  <c r="AL32" i="44"/>
  <c r="AL23" i="44"/>
  <c r="AL37" i="44"/>
  <c r="AL63" i="44" l="1"/>
  <c r="AL64" i="44" s="1"/>
  <c r="K101" i="1"/>
  <c r="E9" i="3"/>
  <c r="A1" i="47"/>
  <c r="A1" i="46"/>
  <c r="A1" i="45"/>
  <c r="E1" i="4" l="1"/>
  <c r="A3" i="47" l="1"/>
  <c r="A3" i="46"/>
  <c r="A3" i="45"/>
  <c r="E10" i="3" l="1"/>
  <c r="K21" i="1" l="1"/>
  <c r="M95" i="1" l="1"/>
  <c r="M72" i="1"/>
  <c r="K72" i="1"/>
  <c r="M63" i="1"/>
  <c r="M47" i="1"/>
  <c r="K47" i="1"/>
  <c r="M31" i="1"/>
  <c r="M18" i="1"/>
  <c r="M5" i="1"/>
  <c r="K18" i="1"/>
  <c r="R4" i="33" l="1"/>
  <c r="N4" i="33"/>
  <c r="E31" i="3" l="1"/>
  <c r="T4" i="33" l="1"/>
  <c r="S4" i="33"/>
  <c r="Q4" i="33"/>
  <c r="P4" i="33"/>
  <c r="O4" i="33"/>
  <c r="W1" i="33"/>
  <c r="B35" i="33"/>
  <c r="W30" i="33"/>
  <c r="V30" i="33"/>
  <c r="W27" i="33"/>
  <c r="V27" i="33"/>
  <c r="W31" i="33"/>
  <c r="V31" i="33"/>
  <c r="W28" i="33"/>
  <c r="V28" i="33"/>
  <c r="W29" i="33"/>
  <c r="V29" i="33"/>
  <c r="W21" i="33"/>
  <c r="V21" i="33"/>
  <c r="W22" i="33"/>
  <c r="V22" i="33"/>
  <c r="W10" i="33"/>
  <c r="V10" i="33"/>
  <c r="W24" i="33"/>
  <c r="V24" i="33"/>
  <c r="I15" i="3" l="1"/>
  <c r="I30" i="3"/>
  <c r="T36" i="33"/>
  <c r="T37" i="33" s="1"/>
  <c r="X7" i="33" s="1"/>
  <c r="I45" i="3"/>
  <c r="A1" i="25" l="1"/>
  <c r="E38" i="3" l="1"/>
  <c r="A1" i="82" s="1"/>
  <c r="E30" i="3"/>
  <c r="A1" i="76" s="1"/>
  <c r="E25" i="3"/>
  <c r="A1" i="61" s="1"/>
  <c r="E15" i="3"/>
  <c r="A1" i="9" s="1"/>
  <c r="A1" i="4"/>
  <c r="F1" i="22" l="1"/>
  <c r="F1" i="25"/>
  <c r="G1" i="20"/>
  <c r="E1" i="9"/>
  <c r="C1" i="4"/>
  <c r="A4" i="25" l="1"/>
  <c r="A3" i="25"/>
  <c r="A2" i="25"/>
  <c r="C13" i="3" l="1"/>
  <c r="A1" i="20" s="1"/>
  <c r="A3" i="4" l="1"/>
  <c r="A4" i="4"/>
  <c r="A2" i="4"/>
  <c r="E3" i="22" l="1"/>
  <c r="D3" i="22"/>
  <c r="A4" i="20"/>
  <c r="A3" i="20"/>
  <c r="A2" i="20"/>
  <c r="A4" i="9"/>
  <c r="A3" i="9"/>
  <c r="A2" i="9"/>
  <c r="G1" i="9"/>
  <c r="W64" i="44" l="1"/>
  <c r="I5" i="3"/>
  <c r="W26" i="33" l="1"/>
  <c r="I9" i="3"/>
  <c r="V26" i="33"/>
  <c r="N36" i="33" l="1"/>
  <c r="N37" i="33" s="1"/>
  <c r="I25" i="3"/>
  <c r="I38" i="3"/>
  <c r="V11" i="33"/>
  <c r="W11" i="33"/>
  <c r="H11" i="33"/>
  <c r="X27" i="33" l="1"/>
  <c r="X13" i="33"/>
  <c r="X11" i="33"/>
  <c r="X37" i="33"/>
  <c r="L11" i="33"/>
  <c r="O13" i="61"/>
  <c r="I11" i="33"/>
  <c r="W19" i="33"/>
  <c r="V19" i="33"/>
  <c r="V18" i="33"/>
  <c r="W18" i="33"/>
  <c r="W23" i="33"/>
  <c r="V23" i="33"/>
  <c r="V12" i="33"/>
  <c r="W12" i="33"/>
  <c r="W20" i="33"/>
  <c r="V20" i="33"/>
  <c r="W25" i="33"/>
  <c r="V25" i="33"/>
  <c r="V7" i="33"/>
  <c r="W7" i="33"/>
  <c r="W15" i="33"/>
  <c r="V15" i="33"/>
  <c r="V8" i="33"/>
  <c r="W8" i="33"/>
  <c r="W17" i="33"/>
  <c r="V17" i="33"/>
  <c r="V14" i="33"/>
  <c r="W14" i="33"/>
  <c r="V9" i="33"/>
  <c r="W9" i="33"/>
  <c r="I43" i="3"/>
  <c r="W13" i="33"/>
  <c r="H25" i="33"/>
  <c r="L25" i="33" s="1"/>
  <c r="H18" i="33"/>
  <c r="I18" i="33" s="1"/>
  <c r="H19" i="33"/>
  <c r="I19" i="33" s="1"/>
  <c r="H17" i="33"/>
  <c r="O7" i="61"/>
  <c r="H23" i="33"/>
  <c r="I23" i="33" s="1"/>
  <c r="V13" i="33"/>
  <c r="H14" i="33"/>
  <c r="H20" i="33"/>
  <c r="I20" i="33" s="1"/>
  <c r="Q9" i="61"/>
  <c r="H8" i="33"/>
  <c r="H9" i="33"/>
  <c r="I9" i="33" s="1"/>
  <c r="H13" i="33"/>
  <c r="I13" i="33" s="1"/>
  <c r="H15" i="33"/>
  <c r="I15" i="33" s="1"/>
  <c r="H7" i="33"/>
  <c r="I7" i="33" s="1"/>
  <c r="H12" i="33"/>
  <c r="I12" i="33" s="1"/>
  <c r="V35" i="33" l="1"/>
  <c r="W35" i="33"/>
  <c r="Q15" i="61"/>
  <c r="M15" i="61" s="1"/>
  <c r="L8" i="33"/>
  <c r="I8" i="33"/>
  <c r="S7" i="61"/>
  <c r="L14" i="33"/>
  <c r="I14" i="33"/>
  <c r="L20" i="33"/>
  <c r="O14" i="61"/>
  <c r="I25" i="33"/>
  <c r="L12" i="33"/>
  <c r="L9" i="33"/>
  <c r="Q7" i="61"/>
  <c r="M7" i="61" s="1"/>
  <c r="L17" i="33"/>
  <c r="S14" i="61"/>
  <c r="I17" i="33"/>
  <c r="J17" i="33" s="1"/>
  <c r="L7" i="33"/>
  <c r="O9" i="61"/>
  <c r="S13" i="61"/>
  <c r="M13" i="61" s="1"/>
  <c r="L13" i="33"/>
  <c r="Q14" i="61"/>
  <c r="L23" i="33"/>
  <c r="S9" i="61"/>
  <c r="L15" i="33"/>
  <c r="L18" i="33"/>
  <c r="Q8" i="61"/>
  <c r="S8" i="61"/>
  <c r="L19" i="33"/>
  <c r="M19" i="33" l="1"/>
  <c r="J32" i="33"/>
  <c r="J33" i="33"/>
  <c r="M32" i="33"/>
  <c r="M33" i="33"/>
  <c r="M8" i="61"/>
  <c r="M9" i="61"/>
  <c r="M15" i="33"/>
  <c r="M31" i="33"/>
  <c r="M26" i="33"/>
  <c r="M16" i="33"/>
  <c r="M24" i="33"/>
  <c r="M29" i="33"/>
  <c r="M11" i="33"/>
  <c r="M34" i="33"/>
  <c r="M21" i="33"/>
  <c r="M22" i="33"/>
  <c r="M27" i="33"/>
  <c r="M28" i="33"/>
  <c r="M13" i="33"/>
  <c r="M10" i="33"/>
  <c r="M30" i="33"/>
  <c r="M18" i="33"/>
  <c r="M7" i="33"/>
  <c r="M12" i="33"/>
  <c r="M14" i="61"/>
  <c r="J19" i="33"/>
  <c r="J15" i="33"/>
  <c r="M25" i="33"/>
  <c r="J23" i="33"/>
  <c r="M14" i="33"/>
  <c r="J20" i="33"/>
  <c r="M8" i="33"/>
  <c r="J31" i="33"/>
  <c r="J29" i="33"/>
  <c r="J10" i="33"/>
  <c r="J34" i="33"/>
  <c r="J27" i="33"/>
  <c r="J30" i="33"/>
  <c r="J21" i="33"/>
  <c r="J9" i="33"/>
  <c r="M23" i="33"/>
  <c r="M17" i="33"/>
  <c r="M9" i="33"/>
  <c r="J25" i="33"/>
  <c r="M20" i="33"/>
  <c r="J18" i="33"/>
  <c r="J7" i="33"/>
  <c r="J14" i="33"/>
  <c r="J8" i="33"/>
  <c r="J13" i="33"/>
  <c r="J24" i="33"/>
  <c r="J16" i="33"/>
  <c r="J26" i="33"/>
  <c r="J22" i="33"/>
  <c r="J28" i="33"/>
  <c r="J11" i="33"/>
  <c r="J12" i="33"/>
  <c r="A32" i="33" l="1"/>
  <c r="A33" i="33"/>
  <c r="A12" i="33"/>
  <c r="A11" i="33"/>
  <c r="A22" i="33"/>
  <c r="A26" i="33"/>
  <c r="A24" i="33"/>
  <c r="A8" i="33"/>
  <c r="A7" i="33"/>
  <c r="A21" i="33"/>
  <c r="A30" i="33"/>
  <c r="A10" i="33"/>
  <c r="A20" i="33"/>
  <c r="A23" i="33"/>
  <c r="A15" i="33"/>
  <c r="A28" i="33"/>
  <c r="A16" i="33"/>
  <c r="A13" i="33"/>
  <c r="A14" i="33"/>
  <c r="A18" i="33"/>
  <c r="A25" i="33"/>
  <c r="A9" i="33"/>
  <c r="A27" i="33"/>
  <c r="A34" i="33"/>
  <c r="A29" i="33"/>
  <c r="A31" i="33"/>
  <c r="A19" i="33"/>
  <c r="A17" i="33"/>
  <c r="A10" i="22"/>
  <c r="F10" i="22" s="1"/>
  <c r="A8" i="22" l="1"/>
  <c r="F8" i="22" s="1"/>
  <c r="A7" i="22"/>
  <c r="F7" i="22" s="1"/>
  <c r="A6" i="22"/>
  <c r="F6" i="22" s="1"/>
  <c r="A9" i="22"/>
  <c r="F9" i="22" s="1"/>
</calcChain>
</file>

<file path=xl/comments1.xml><?xml version="1.0" encoding="utf-8"?>
<comments xmlns="http://schemas.openxmlformats.org/spreadsheetml/2006/main">
  <authors>
    <author>Author</author>
  </authors>
  <commentList>
    <comment ref="I3" authorId="0">
      <text>
        <r>
          <rPr>
            <b/>
            <sz val="8"/>
            <color indexed="81"/>
            <rFont val="Tahoma"/>
            <family val="2"/>
            <charset val="186"/>
          </rPr>
          <t>Osalejaid</t>
        </r>
      </text>
    </comment>
    <comment ref="F5" authorId="0">
      <text>
        <r>
          <rPr>
            <b/>
            <sz val="8"/>
            <color indexed="81"/>
            <rFont val="Tahoma"/>
            <family val="2"/>
            <charset val="186"/>
          </rPr>
          <t>Voka, Narva mnt 2
Voka petangihall</t>
        </r>
      </text>
    </comment>
    <comment ref="F7" authorId="0">
      <text>
        <r>
          <rPr>
            <b/>
            <sz val="8"/>
            <color indexed="81"/>
            <rFont val="Tahoma"/>
            <family val="2"/>
            <charset val="186"/>
          </rPr>
          <t>Voka, Narva mnt 2
Voka petangihall</t>
        </r>
      </text>
    </comment>
    <comment ref="F8" authorId="0">
      <text>
        <r>
          <rPr>
            <b/>
            <sz val="8"/>
            <color indexed="81"/>
            <rFont val="Tahoma"/>
            <family val="2"/>
            <charset val="186"/>
          </rPr>
          <t>Voka, Narva mnt 2
Voka petangihall</t>
        </r>
      </text>
    </comment>
    <comment ref="F9" authorId="0">
      <text>
        <r>
          <rPr>
            <b/>
            <sz val="8"/>
            <color indexed="81"/>
            <rFont val="Tahoma"/>
            <family val="2"/>
            <charset val="186"/>
          </rPr>
          <t>Kohtla-Järve, Spordi 2, 
Vanalinna petangihall</t>
        </r>
      </text>
    </comment>
    <comment ref="F10" authorId="0">
      <text>
        <r>
          <rPr>
            <b/>
            <sz val="8"/>
            <color indexed="81"/>
            <rFont val="Tahoma"/>
            <family val="2"/>
            <charset val="186"/>
          </rPr>
          <t>Voka, Narva mnt 2
Voka petangihall</t>
        </r>
      </text>
    </comment>
    <comment ref="F12" authorId="0">
      <text>
        <r>
          <rPr>
            <b/>
            <sz val="8"/>
            <color indexed="81"/>
            <rFont val="Tahoma"/>
            <family val="2"/>
            <charset val="186"/>
          </rPr>
          <t>Voka, Narva mnt 2
Voka petangihall</t>
        </r>
      </text>
    </comment>
    <comment ref="F13" authorId="0">
      <text>
        <r>
          <rPr>
            <b/>
            <sz val="8"/>
            <color indexed="81"/>
            <rFont val="Tahoma"/>
            <family val="2"/>
            <charset val="186"/>
          </rPr>
          <t>Kohtla-Järve, Spordi 2, 
Vanalinna petangihall</t>
        </r>
      </text>
    </comment>
    <comment ref="F14" authorId="0">
      <text>
        <r>
          <rPr>
            <b/>
            <sz val="8"/>
            <color indexed="81"/>
            <rFont val="Tahoma"/>
            <family val="2"/>
            <charset val="186"/>
          </rPr>
          <t>Voka, Narva mnt 2
Voka petangihall</t>
        </r>
      </text>
    </comment>
    <comment ref="F15" authorId="0">
      <text>
        <r>
          <rPr>
            <b/>
            <sz val="8"/>
            <color indexed="81"/>
            <rFont val="Tahoma"/>
            <family val="2"/>
            <charset val="186"/>
          </rPr>
          <t>Kohtla-Järve, Spordi 2, 
Vanalinna petangihall</t>
        </r>
      </text>
    </comment>
    <comment ref="F16" authorId="0">
      <text>
        <r>
          <rPr>
            <b/>
            <sz val="8"/>
            <color indexed="81"/>
            <rFont val="Tahoma"/>
            <family val="2"/>
            <charset val="186"/>
          </rPr>
          <t>Voka, Narva mnt 2
Voka petangihall</t>
        </r>
      </text>
    </comment>
    <comment ref="F17" authorId="0">
      <text>
        <r>
          <rPr>
            <b/>
            <sz val="8"/>
            <color indexed="81"/>
            <rFont val="Tahoma"/>
            <family val="2"/>
            <charset val="186"/>
          </rPr>
          <t>Voka, Narva mnt 2
Voka petangihall</t>
        </r>
      </text>
    </comment>
    <comment ref="F18" authorId="0">
      <text>
        <r>
          <rPr>
            <b/>
            <sz val="8"/>
            <color indexed="81"/>
            <rFont val="Tahoma"/>
            <family val="2"/>
            <charset val="186"/>
          </rPr>
          <t>Voka, Narva mnt 2
Voka petangihall</t>
        </r>
      </text>
    </comment>
    <comment ref="F19" authorId="0">
      <text>
        <r>
          <rPr>
            <b/>
            <sz val="8"/>
            <color indexed="81"/>
            <rFont val="Tahoma"/>
            <family val="2"/>
            <charset val="186"/>
          </rPr>
          <t>Voka, Narva mnt 2
Voka staadion</t>
        </r>
      </text>
    </comment>
    <comment ref="F21" authorId="0">
      <text>
        <r>
          <rPr>
            <b/>
            <sz val="8"/>
            <color indexed="81"/>
            <rFont val="Tahoma"/>
            <family val="2"/>
            <charset val="186"/>
          </rPr>
          <t>Kohtla-Järve, Spordi 2, 
Vanalinna petangihall</t>
        </r>
      </text>
    </comment>
    <comment ref="H21" authorId="0">
      <text>
        <r>
          <rPr>
            <b/>
            <sz val="8"/>
            <color indexed="81"/>
            <rFont val="Tahoma"/>
            <family val="2"/>
            <charset val="186"/>
          </rPr>
          <t>Juunioridel 2 €</t>
        </r>
      </text>
    </comment>
    <comment ref="F22" authorId="0">
      <text>
        <r>
          <rPr>
            <b/>
            <sz val="8"/>
            <color indexed="81"/>
            <rFont val="Tahoma"/>
            <family val="2"/>
            <charset val="186"/>
          </rPr>
          <t>Voka, Narva mnt 2
Voka petangihall</t>
        </r>
      </text>
    </comment>
    <comment ref="F23" authorId="0">
      <text>
        <r>
          <rPr>
            <b/>
            <sz val="8"/>
            <color indexed="81"/>
            <rFont val="Tahoma"/>
            <family val="2"/>
            <charset val="186"/>
          </rPr>
          <t>Kohtla-Järve, Spordi 2, 
Vanalinna petangihall</t>
        </r>
      </text>
    </comment>
    <comment ref="H23" authorId="0">
      <text>
        <r>
          <rPr>
            <b/>
            <sz val="8"/>
            <color indexed="81"/>
            <rFont val="Tahoma"/>
            <family val="2"/>
            <charset val="186"/>
          </rPr>
          <t>Juunioridel 2 €</t>
        </r>
      </text>
    </comment>
    <comment ref="F24" authorId="0">
      <text>
        <r>
          <rPr>
            <b/>
            <sz val="8"/>
            <color indexed="81"/>
            <rFont val="Tahoma"/>
            <family val="2"/>
            <charset val="186"/>
          </rPr>
          <t>Voka, Narva mnt 2
Voka petangihall</t>
        </r>
      </text>
    </comment>
    <comment ref="F25" authorId="0">
      <text>
        <r>
          <rPr>
            <b/>
            <sz val="8"/>
            <color indexed="81"/>
            <rFont val="Tahoma"/>
            <family val="2"/>
            <charset val="186"/>
          </rPr>
          <t>Kohtla-Järve, Spordi 2, 
Vanalinna petangihall</t>
        </r>
      </text>
    </comment>
    <comment ref="F26" authorId="0">
      <text>
        <r>
          <rPr>
            <b/>
            <sz val="8"/>
            <color indexed="81"/>
            <rFont val="Tahoma"/>
            <family val="2"/>
            <charset val="186"/>
          </rPr>
          <t>Voka, Narva mnt 2
Voka petangihall</t>
        </r>
      </text>
    </comment>
    <comment ref="F28" authorId="0">
      <text>
        <r>
          <rPr>
            <b/>
            <sz val="8"/>
            <color indexed="81"/>
            <rFont val="Tahoma"/>
            <family val="2"/>
            <charset val="186"/>
          </rPr>
          <t>Voka, Narva mnt 2
Voka petangihall</t>
        </r>
      </text>
    </comment>
    <comment ref="F29" authorId="0">
      <text>
        <r>
          <rPr>
            <b/>
            <sz val="8"/>
            <color indexed="81"/>
            <rFont val="Tahoma"/>
            <family val="2"/>
            <charset val="186"/>
          </rPr>
          <t>Voka, Narva mnt 2
Voka petangihall</t>
        </r>
      </text>
    </comment>
    <comment ref="F30" authorId="0">
      <text>
        <r>
          <rPr>
            <b/>
            <sz val="8"/>
            <color indexed="81"/>
            <rFont val="Tahoma"/>
            <family val="2"/>
            <charset val="186"/>
          </rPr>
          <t>Kohtla-Järve, Spordi 2, 
Vanalinna petangihall</t>
        </r>
      </text>
    </comment>
    <comment ref="F31" authorId="0">
      <text>
        <r>
          <rPr>
            <b/>
            <sz val="8"/>
            <color indexed="81"/>
            <rFont val="Tahoma"/>
            <family val="2"/>
            <charset val="186"/>
          </rPr>
          <t>Kohtla-Järve, Spordi 2, 
Vanalinna petangihall</t>
        </r>
      </text>
    </comment>
    <comment ref="F32" authorId="0">
      <text>
        <r>
          <rPr>
            <b/>
            <sz val="8"/>
            <color indexed="81"/>
            <rFont val="Tahoma"/>
            <family val="2"/>
            <charset val="186"/>
          </rPr>
          <t>Voka, Narva mnt 2
Voka petangihall</t>
        </r>
      </text>
    </comment>
    <comment ref="H32" authorId="0">
      <text>
        <r>
          <rPr>
            <b/>
            <sz val="8"/>
            <color indexed="81"/>
            <rFont val="Tahoma"/>
            <family val="2"/>
            <charset val="186"/>
          </rPr>
          <t>Osalustasu iga mängija kohta 10 eurot (5 eurot mängija kohta saab tagasi kui mängitakse turniir lõpuni)</t>
        </r>
      </text>
    </comment>
    <comment ref="F33" authorId="0">
      <text>
        <r>
          <rPr>
            <b/>
            <sz val="8"/>
            <color indexed="81"/>
            <rFont val="Tahoma"/>
            <family val="2"/>
            <charset val="186"/>
          </rPr>
          <t>Kohtla-Järve, Spordi 2, 
Vanalinna petangihall</t>
        </r>
      </text>
    </comment>
    <comment ref="F35" authorId="0">
      <text>
        <r>
          <rPr>
            <b/>
            <sz val="8"/>
            <color indexed="81"/>
            <rFont val="Tahoma"/>
            <family val="2"/>
            <charset val="186"/>
          </rPr>
          <t>Voka, Narva mnt 2
Voka petangihall</t>
        </r>
      </text>
    </comment>
    <comment ref="F37" authorId="0">
      <text>
        <r>
          <rPr>
            <b/>
            <sz val="8"/>
            <color indexed="81"/>
            <rFont val="Tahoma"/>
            <family val="2"/>
            <charset val="186"/>
          </rPr>
          <t>Voka, Narva mnt 2
Voka petangihall</t>
        </r>
      </text>
    </comment>
    <comment ref="F38" authorId="0">
      <text>
        <r>
          <rPr>
            <b/>
            <sz val="8"/>
            <color indexed="81"/>
            <rFont val="Tahoma"/>
            <family val="2"/>
            <charset val="186"/>
          </rPr>
          <t>Kohtla-Järve, Spordi 2, 
Vanalinna petangihall</t>
        </r>
      </text>
    </comment>
    <comment ref="F40" authorId="0">
      <text>
        <r>
          <rPr>
            <b/>
            <sz val="8"/>
            <color indexed="81"/>
            <rFont val="Tahoma"/>
            <family val="2"/>
            <charset val="186"/>
          </rPr>
          <t>Voka, Narva mnt 2
Voka petangihall</t>
        </r>
      </text>
    </comment>
    <comment ref="F41" authorId="0">
      <text>
        <r>
          <rPr>
            <b/>
            <sz val="8"/>
            <color indexed="81"/>
            <rFont val="Tahoma"/>
            <family val="2"/>
            <charset val="186"/>
          </rPr>
          <t>Voka, Narva mnt 2
Voka petangihall</t>
        </r>
      </text>
    </comment>
    <comment ref="F42" authorId="0">
      <text>
        <r>
          <rPr>
            <b/>
            <sz val="8"/>
            <color indexed="81"/>
            <rFont val="Tahoma"/>
            <family val="2"/>
            <charset val="186"/>
          </rPr>
          <t>Tallinn, Algi 38</t>
        </r>
      </text>
    </comment>
    <comment ref="I42" authorId="0">
      <text>
        <r>
          <rPr>
            <b/>
            <sz val="8"/>
            <color indexed="81"/>
            <rFont val="Tahoma"/>
            <family val="2"/>
            <charset val="186"/>
          </rPr>
          <t>Regioonide karika juhend</t>
        </r>
      </text>
    </comment>
    <comment ref="F43" authorId="0">
      <text>
        <r>
          <rPr>
            <b/>
            <sz val="8"/>
            <color indexed="81"/>
            <rFont val="Tahoma"/>
            <family val="2"/>
            <charset val="186"/>
          </rPr>
          <t>Kohtla-Järve, Spordi 2, 
Vanalinna petangihall</t>
        </r>
      </text>
    </comment>
    <comment ref="F44" authorId="0">
      <text>
        <r>
          <rPr>
            <b/>
            <sz val="8"/>
            <color indexed="81"/>
            <rFont val="Tahoma"/>
            <family val="2"/>
            <charset val="186"/>
          </rPr>
          <t>Voka, Narva mnt 2
Voka petangihall</t>
        </r>
      </text>
    </comment>
    <comment ref="F46" authorId="0">
      <text>
        <r>
          <rPr>
            <b/>
            <sz val="8"/>
            <color indexed="81"/>
            <rFont val="Tahoma"/>
            <family val="2"/>
            <charset val="186"/>
          </rPr>
          <t>Kohtla-Järve, Spordi 2, 
Vanalinna petangihall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K7" authorId="0">
      <text>
        <r>
          <rPr>
            <b/>
            <sz val="8"/>
            <color indexed="81"/>
            <rFont val="Tahoma"/>
            <family val="2"/>
            <charset val="186"/>
          </rPr>
          <t>Voka, Narva mnt 2
Voka petangihall</t>
        </r>
      </text>
    </comment>
    <comment ref="M7" authorId="0">
      <text>
        <r>
          <rPr>
            <b/>
            <sz val="8"/>
            <color indexed="81"/>
            <rFont val="Tahoma"/>
            <family val="2"/>
            <charset val="186"/>
          </rPr>
          <t>Tallinn, Algi 38
Tallinna petangihall</t>
        </r>
      </text>
    </comment>
    <comment ref="K11" authorId="0">
      <text>
        <r>
          <rPr>
            <b/>
            <sz val="8"/>
            <color indexed="81"/>
            <rFont val="Tahoma"/>
            <family val="2"/>
            <charset val="186"/>
          </rPr>
          <t>Voka, Narva mnt 2
Voka petangihall</t>
        </r>
      </text>
    </comment>
    <comment ref="K14" authorId="0">
      <text>
        <r>
          <rPr>
            <b/>
            <sz val="8"/>
            <color indexed="81"/>
            <rFont val="Tahoma"/>
            <family val="2"/>
            <charset val="186"/>
          </rPr>
          <t>Voka, Narva mnt 2
Voka petangihall</t>
        </r>
      </text>
    </comment>
    <comment ref="M17" authorId="0">
      <text>
        <r>
          <rPr>
            <b/>
            <sz val="8"/>
            <color indexed="81"/>
            <rFont val="Tahoma"/>
            <family val="2"/>
            <charset val="186"/>
          </rPr>
          <t>Kohtla-Järve, Spordi 2, 
Vanalinna petangihall</t>
        </r>
      </text>
    </comment>
    <comment ref="K20" authorId="0">
      <text>
        <r>
          <rPr>
            <b/>
            <sz val="8"/>
            <color indexed="81"/>
            <rFont val="Tahoma"/>
            <family val="2"/>
            <charset val="186"/>
          </rPr>
          <t>Tallinn, Algi 38
Tallinna petangihall</t>
        </r>
      </text>
    </comment>
    <comment ref="M20" authorId="0">
      <text>
        <r>
          <rPr>
            <b/>
            <sz val="8"/>
            <color indexed="81"/>
            <rFont val="Tahoma"/>
            <family val="2"/>
            <charset val="186"/>
          </rPr>
          <t>Tallinn, Algi 38
Tallinna petangihall</t>
        </r>
      </text>
    </comment>
    <comment ref="K23" authorId="0">
      <text>
        <r>
          <rPr>
            <b/>
            <sz val="8"/>
            <color indexed="81"/>
            <rFont val="Tahoma"/>
            <family val="2"/>
            <charset val="186"/>
          </rPr>
          <t>Voka, Narva mnt 2
Voka petangihall</t>
        </r>
      </text>
    </comment>
    <comment ref="K27" authorId="0">
      <text>
        <r>
          <rPr>
            <b/>
            <sz val="8"/>
            <color indexed="81"/>
            <rFont val="Tahoma"/>
            <family val="2"/>
            <charset val="186"/>
          </rPr>
          <t>Voka, Narva mnt 2
Voka petangihall</t>
        </r>
      </text>
    </comment>
    <comment ref="M27" authorId="0">
      <text>
        <r>
          <rPr>
            <b/>
            <sz val="8"/>
            <color indexed="81"/>
            <rFont val="Tahoma"/>
            <family val="2"/>
            <charset val="186"/>
          </rPr>
          <t>Kohtla-Järve, Spordi 2, 
Vanalinna petangihall</t>
        </r>
      </text>
    </comment>
    <comment ref="K33" authorId="0">
      <text>
        <r>
          <rPr>
            <b/>
            <sz val="8"/>
            <color indexed="81"/>
            <rFont val="Tahoma"/>
            <family val="2"/>
            <charset val="186"/>
          </rPr>
          <t>Voka, Narva mnt 2
Voka petangihall</t>
        </r>
      </text>
    </comment>
    <comment ref="M33" authorId="0">
      <text>
        <r>
          <rPr>
            <b/>
            <sz val="8"/>
            <color indexed="81"/>
            <rFont val="Tahoma"/>
            <family val="2"/>
            <charset val="186"/>
          </rPr>
          <t>Tallinn, Algi 38
Tallinna petangihall</t>
        </r>
      </text>
    </comment>
    <comment ref="K35" authorId="0">
      <text>
        <r>
          <rPr>
            <b/>
            <sz val="8"/>
            <color indexed="81"/>
            <rFont val="Tahoma"/>
            <family val="2"/>
            <charset val="186"/>
          </rPr>
          <t>Kell 18:00 Veski kõrtsis</t>
        </r>
      </text>
    </comment>
    <comment ref="K38" authorId="0">
      <text>
        <r>
          <rPr>
            <b/>
            <sz val="8"/>
            <color indexed="81"/>
            <rFont val="Tahoma"/>
            <family val="2"/>
            <charset val="186"/>
          </rPr>
          <t>Voka, Narva mnt 2
Voka petangihall</t>
        </r>
      </text>
    </comment>
    <comment ref="M38" authorId="0">
      <text>
        <r>
          <rPr>
            <b/>
            <sz val="8"/>
            <color indexed="81"/>
            <rFont val="Tahoma"/>
            <family val="2"/>
            <charset val="186"/>
          </rPr>
          <t>Kohtla-Järve, Spordi 2, 
Vanalinna petangihall</t>
        </r>
      </text>
    </comment>
    <comment ref="N39" authorId="0">
      <text>
        <r>
          <rPr>
            <b/>
            <sz val="8"/>
            <color indexed="81"/>
            <rFont val="Tahoma"/>
            <family val="2"/>
            <charset val="186"/>
          </rPr>
          <t>Jõululaupäev</t>
        </r>
      </text>
    </comment>
    <comment ref="K42" authorId="0">
      <text>
        <r>
          <rPr>
            <b/>
            <sz val="8"/>
            <color indexed="81"/>
            <rFont val="Tahoma"/>
            <family val="2"/>
            <charset val="186"/>
          </rPr>
          <t>Voka, Narva mnt 2
Voka petangihall</t>
        </r>
      </text>
    </comment>
    <comment ref="B43" authorId="0">
      <text>
        <r>
          <rPr>
            <b/>
            <sz val="8"/>
            <color indexed="81"/>
            <rFont val="Tahoma"/>
            <family val="2"/>
            <charset val="186"/>
          </rPr>
          <t>Esimene jõulupüha</t>
        </r>
      </text>
    </comment>
    <comment ref="D43" authorId="0">
      <text>
        <r>
          <rPr>
            <b/>
            <sz val="8"/>
            <color indexed="81"/>
            <rFont val="Tahoma"/>
            <family val="2"/>
            <charset val="186"/>
          </rPr>
          <t>Teine jõulupüha</t>
        </r>
      </text>
    </comment>
    <comment ref="K45" authorId="0">
      <text>
        <r>
          <rPr>
            <b/>
            <sz val="8"/>
            <color indexed="81"/>
            <rFont val="Tahoma"/>
            <family val="2"/>
            <charset val="186"/>
          </rPr>
          <t>Voka, Narva mnt 2
Voka petangihall</t>
        </r>
      </text>
    </comment>
    <comment ref="B47" authorId="0">
      <text>
        <r>
          <rPr>
            <b/>
            <sz val="8"/>
            <color indexed="81"/>
            <rFont val="Tahoma"/>
            <family val="2"/>
            <charset val="186"/>
          </rPr>
          <t>Uusaasta</t>
        </r>
      </text>
    </comment>
    <comment ref="K49" authorId="0">
      <text>
        <r>
          <rPr>
            <b/>
            <sz val="8"/>
            <color indexed="81"/>
            <rFont val="Tahoma"/>
            <family val="2"/>
            <charset val="186"/>
          </rPr>
          <t>Kohtla-Järve, Spordi 2, 
Vanalinna petangihall</t>
        </r>
      </text>
    </comment>
    <comment ref="M49" authorId="0">
      <text>
        <r>
          <rPr>
            <b/>
            <sz val="8"/>
            <color indexed="81"/>
            <rFont val="Tahoma"/>
            <family val="2"/>
            <charset val="186"/>
          </rPr>
          <t>Kohtla-Järve, Spordi 2, 
Vanalinna petangihall</t>
        </r>
      </text>
    </comment>
    <comment ref="K52" authorId="0">
      <text>
        <r>
          <rPr>
            <b/>
            <sz val="8"/>
            <color indexed="81"/>
            <rFont val="Tahoma"/>
            <family val="2"/>
            <charset val="186"/>
          </rPr>
          <t>Voka, Narva mnt 2
Voka petangihall</t>
        </r>
      </text>
    </comment>
    <comment ref="K55" authorId="0">
      <text>
        <r>
          <rPr>
            <b/>
            <sz val="8"/>
            <color indexed="81"/>
            <rFont val="Tahoma"/>
            <family val="2"/>
            <charset val="186"/>
          </rPr>
          <t>Voka, Narva mnt 2
Voka petangihall</t>
        </r>
      </text>
    </comment>
    <comment ref="M55" authorId="0">
      <text>
        <r>
          <rPr>
            <b/>
            <sz val="8"/>
            <color indexed="81"/>
            <rFont val="Tahoma"/>
            <family val="2"/>
            <charset val="186"/>
          </rPr>
          <t>Kohtla-Järve, Spordi 2, 
Vanalinna petangihall</t>
        </r>
      </text>
    </comment>
    <comment ref="K58" authorId="0">
      <text>
        <r>
          <rPr>
            <b/>
            <sz val="8"/>
            <color indexed="81"/>
            <rFont val="Tahoma"/>
            <family val="2"/>
            <charset val="186"/>
          </rPr>
          <t>Tallinn, Algi 38
Tallinna petangihall</t>
        </r>
      </text>
    </comment>
    <comment ref="M58" authorId="0">
      <text>
        <r>
          <rPr>
            <b/>
            <sz val="8"/>
            <color indexed="81"/>
            <rFont val="Tahoma"/>
            <family val="2"/>
            <charset val="186"/>
          </rPr>
          <t>Tallinn, Algi 38
Tallinna petangihall</t>
        </r>
      </text>
    </comment>
    <comment ref="K61" authorId="0">
      <text>
        <r>
          <rPr>
            <b/>
            <sz val="8"/>
            <color indexed="81"/>
            <rFont val="Tahoma"/>
            <family val="2"/>
            <charset val="186"/>
          </rPr>
          <t>Voka, Narva mnt 2
Voka petangihall</t>
        </r>
      </text>
    </comment>
    <comment ref="K65" authorId="0">
      <text>
        <r>
          <rPr>
            <b/>
            <sz val="8"/>
            <color indexed="81"/>
            <rFont val="Tahoma"/>
            <family val="2"/>
            <charset val="186"/>
          </rPr>
          <t>Voka, Narva mnt 2
Voka petangihall</t>
        </r>
      </text>
    </comment>
    <comment ref="M65" authorId="0">
      <text>
        <r>
          <rPr>
            <b/>
            <sz val="8"/>
            <color indexed="81"/>
            <rFont val="Tahoma"/>
            <family val="2"/>
            <charset val="186"/>
          </rPr>
          <t>Tallinn, Algi 38
Tallinna petangihall</t>
        </r>
      </text>
    </comment>
    <comment ref="J67" authorId="0">
      <text>
        <r>
          <rPr>
            <b/>
            <sz val="8"/>
            <color indexed="81"/>
            <rFont val="Tahoma"/>
            <family val="2"/>
            <charset val="186"/>
          </rPr>
          <t>Klubide karikas
Kõigi klubide osalemise kinnitus peab olema kooskõlastatud EPKL-iga 10.02.2018 a. 
Klubide meeskonna andmed peavad olema esitatud EPKL-ile 20.03.2018 a., meili aadressil juhatus@petanque.ee.</t>
        </r>
      </text>
    </comment>
    <comment ref="K68" authorId="0">
      <text>
        <r>
          <rPr>
            <b/>
            <sz val="8"/>
            <color indexed="81"/>
            <rFont val="Tahoma"/>
            <family val="2"/>
            <charset val="186"/>
          </rPr>
          <t>Voka, Narva mnt 2
Voka petangihall</t>
        </r>
      </text>
    </comment>
    <comment ref="M68" authorId="0">
      <text>
        <r>
          <rPr>
            <b/>
            <sz val="8"/>
            <color indexed="81"/>
            <rFont val="Tahoma"/>
            <family val="2"/>
            <charset val="186"/>
          </rPr>
          <t>Kohtla-Järve, Spordi 2, 
Vanalinna petangihall</t>
        </r>
      </text>
    </comment>
    <comment ref="K71" authorId="0">
      <text>
        <r>
          <rPr>
            <b/>
            <sz val="8"/>
            <color indexed="81"/>
            <rFont val="Tahoma"/>
            <family val="2"/>
            <charset val="186"/>
          </rPr>
          <t>Tallinn, Algi 38</t>
        </r>
      </text>
    </comment>
    <comment ref="K74" authorId="0">
      <text>
        <r>
          <rPr>
            <b/>
            <sz val="8"/>
            <color indexed="81"/>
            <rFont val="Tahoma"/>
            <family val="2"/>
            <charset val="186"/>
          </rPr>
          <t>Tallinn, Algi 38
Tallinna petangihall</t>
        </r>
      </text>
    </comment>
    <comment ref="M74" authorId="0">
      <text>
        <r>
          <rPr>
            <b/>
            <sz val="8"/>
            <color indexed="81"/>
            <rFont val="Tahoma"/>
            <family val="2"/>
            <charset val="186"/>
          </rPr>
          <t>Tallinn, Algi 38
Tallinna petangihall</t>
        </r>
      </text>
    </comment>
    <comment ref="L75" authorId="0">
      <text>
        <r>
          <rPr>
            <b/>
            <sz val="8"/>
            <color indexed="81"/>
            <rFont val="Tahoma"/>
            <family val="2"/>
            <charset val="186"/>
          </rPr>
          <t>iseseisvuspäev, 
Eesti Vabariigi aastapäev</t>
        </r>
      </text>
    </comment>
    <comment ref="K77" authorId="0">
      <text>
        <r>
          <rPr>
            <b/>
            <sz val="8"/>
            <color indexed="81"/>
            <rFont val="Tahoma"/>
            <family val="2"/>
            <charset val="186"/>
          </rPr>
          <t>Voka, Narva mnt 2
Voka petangihall</t>
        </r>
      </text>
    </comment>
    <comment ref="M77" authorId="0">
      <text>
        <r>
          <rPr>
            <b/>
            <sz val="8"/>
            <color indexed="81"/>
            <rFont val="Tahoma"/>
            <family val="2"/>
            <charset val="186"/>
          </rPr>
          <t>Kohtla-Järve, Spordi 2, 
Vanalinna petangihall</t>
        </r>
      </text>
    </comment>
    <comment ref="K81" authorId="0">
      <text>
        <r>
          <rPr>
            <b/>
            <sz val="8"/>
            <color indexed="81"/>
            <rFont val="Tahoma"/>
            <family val="2"/>
            <charset val="186"/>
          </rPr>
          <t>Tallinn, Algi 38
Tallinna petangihall</t>
        </r>
      </text>
    </comment>
    <comment ref="M81" authorId="0">
      <text>
        <r>
          <rPr>
            <b/>
            <sz val="8"/>
            <color indexed="81"/>
            <rFont val="Tahoma"/>
            <family val="2"/>
            <charset val="186"/>
          </rPr>
          <t>Tallinn, Algi 38
Tallinna petangihall</t>
        </r>
      </text>
    </comment>
    <comment ref="K83" authorId="0">
      <text>
        <r>
          <rPr>
            <b/>
            <sz val="8"/>
            <color indexed="81"/>
            <rFont val="Tahoma"/>
            <family val="2"/>
            <charset val="186"/>
          </rPr>
          <t>Helsingi, Pasila petangihall
kell 10:30</t>
        </r>
      </text>
    </comment>
    <comment ref="M83" authorId="0">
      <text>
        <r>
          <rPr>
            <b/>
            <sz val="8"/>
            <color indexed="81"/>
            <rFont val="Tahoma"/>
            <family val="2"/>
            <charset val="186"/>
          </rPr>
          <t>Helsingi, Pasila petangihall
kell 10:30</t>
        </r>
      </text>
    </comment>
    <comment ref="K86" authorId="0">
      <text>
        <r>
          <rPr>
            <b/>
            <sz val="8"/>
            <color indexed="81"/>
            <rFont val="Tahoma"/>
            <family val="2"/>
            <charset val="186"/>
          </rPr>
          <t>Voka, Narva mnt 2
Voka petangihall</t>
        </r>
      </text>
    </comment>
    <comment ref="M86" authorId="0">
      <text>
        <r>
          <rPr>
            <b/>
            <sz val="8"/>
            <color indexed="81"/>
            <rFont val="Tahoma"/>
            <family val="2"/>
            <charset val="186"/>
          </rPr>
          <t>Valga, Tiigi 8</t>
        </r>
      </text>
    </comment>
    <comment ref="D91" authorId="0">
      <text>
        <r>
          <rPr>
            <b/>
            <sz val="8"/>
            <color indexed="81"/>
            <rFont val="Tahoma"/>
            <family val="2"/>
            <charset val="186"/>
          </rPr>
          <t>Klubide karikas
Kõigi klubide osalemise kinnitus peab olema kooskõlastatud EPKL-iga 10.02.2018 a. 
Klubide meeskonna andmed peavad olema esitatud EPKL-ile 20.03.2018 a., meili aadressil juhatus@petanque.ee.</t>
        </r>
      </text>
    </comment>
    <comment ref="K92" authorId="0">
      <text>
        <r>
          <rPr>
            <b/>
            <sz val="8"/>
            <color indexed="81"/>
            <rFont val="Tahoma"/>
            <family val="2"/>
            <charset val="186"/>
          </rPr>
          <t>Voka, Narva mnt 2
Voka petangihall</t>
        </r>
      </text>
    </comment>
    <comment ref="M92" authorId="0">
      <text>
        <r>
          <rPr>
            <b/>
            <sz val="8"/>
            <color indexed="81"/>
            <rFont val="Tahoma"/>
            <family val="2"/>
            <charset val="186"/>
          </rPr>
          <t>Kohtla-Järve, Spordi 2, 
Vanalinna petangihall</t>
        </r>
      </text>
    </comment>
    <comment ref="J93" authorId="0">
      <text>
        <r>
          <rPr>
            <b/>
            <sz val="8"/>
            <color indexed="81"/>
            <rFont val="Tahoma"/>
            <family val="2"/>
            <charset val="186"/>
          </rPr>
          <t>Suur reede</t>
        </r>
      </text>
    </comment>
    <comment ref="N95" authorId="0">
      <text>
        <r>
          <rPr>
            <b/>
            <sz val="8"/>
            <color indexed="81"/>
            <rFont val="Tahoma"/>
            <family val="2"/>
            <charset val="186"/>
          </rPr>
          <t>Ülestõusmispühade 1. püha</t>
        </r>
      </text>
    </comment>
    <comment ref="M97" authorId="0">
      <text>
        <r>
          <rPr>
            <b/>
            <sz val="8"/>
            <color indexed="81"/>
            <rFont val="Tahoma"/>
            <family val="2"/>
            <charset val="186"/>
          </rPr>
          <t>Tallinn, Algi 38
Tallinna petangihall</t>
        </r>
      </text>
    </comment>
    <comment ref="K100" authorId="0">
      <text>
        <r>
          <rPr>
            <b/>
            <sz val="8"/>
            <color indexed="81"/>
            <rFont val="Tahoma"/>
            <family val="2"/>
            <charset val="186"/>
          </rPr>
          <t>Voka, Narva mnt 2
Voka petangihall</t>
        </r>
      </text>
    </comment>
    <comment ref="M100" authorId="0">
      <text>
        <r>
          <rPr>
            <b/>
            <sz val="8"/>
            <color indexed="81"/>
            <rFont val="Tahoma"/>
            <family val="2"/>
            <charset val="186"/>
          </rPr>
          <t>Voka, Narva mnt 2
Voka staadion</t>
        </r>
      </text>
    </comment>
    <comment ref="K103" authorId="0">
      <text>
        <r>
          <rPr>
            <b/>
            <sz val="8"/>
            <color indexed="81"/>
            <rFont val="Tahoma"/>
            <family val="2"/>
            <charset val="186"/>
          </rPr>
          <t>Tallinn, Algi 38
Tallinna petangihall</t>
        </r>
      </text>
    </comment>
    <comment ref="M103" authorId="0">
      <text>
        <r>
          <rPr>
            <b/>
            <sz val="8"/>
            <color indexed="81"/>
            <rFont val="Tahoma"/>
            <family val="2"/>
            <charset val="186"/>
          </rPr>
          <t>Kohtla-Järve, Spordi 2, 
Vanalinna petangihall</t>
        </r>
      </text>
    </comment>
    <comment ref="K106" authorId="0">
      <text>
        <r>
          <rPr>
            <b/>
            <sz val="8"/>
            <color indexed="81"/>
            <rFont val="Tahoma"/>
            <family val="2"/>
            <charset val="186"/>
          </rPr>
          <t>Voka, Narva mnt 2
Voka petangihall</t>
        </r>
      </text>
    </comment>
    <comment ref="M106" authorId="0">
      <text>
        <r>
          <rPr>
            <b/>
            <sz val="8"/>
            <color indexed="81"/>
            <rFont val="Tahoma"/>
            <family val="2"/>
            <charset val="186"/>
          </rPr>
          <t>Kohtla-Järve, Spordi 2, 
Vanalinna petangihall</t>
        </r>
      </text>
    </comment>
    <comment ref="K109" authorId="0">
      <text>
        <r>
          <rPr>
            <b/>
            <sz val="8"/>
            <color indexed="81"/>
            <rFont val="Tahoma"/>
            <family val="2"/>
            <charset val="186"/>
          </rPr>
          <t>Tartu, Lossi 25 
Toomkiriku varemed</t>
        </r>
      </text>
    </comment>
    <comment ref="M109" authorId="0">
      <text>
        <r>
          <rPr>
            <b/>
            <sz val="8"/>
            <color indexed="81"/>
            <rFont val="Tahoma"/>
            <family val="2"/>
            <charset val="186"/>
          </rPr>
          <t>Kohtla-Järve, Järveküla tee 44
Spordihoone taga</t>
        </r>
      </text>
    </comment>
    <comment ref="D114" authorId="0">
      <text>
        <r>
          <rPr>
            <b/>
            <sz val="8"/>
            <color indexed="81"/>
            <rFont val="Tahoma"/>
            <family val="2"/>
            <charset val="186"/>
          </rPr>
          <t>Kevadpüha</t>
        </r>
      </text>
    </comment>
    <comment ref="K114" authorId="0">
      <text>
        <r>
          <rPr>
            <b/>
            <sz val="8"/>
            <color indexed="81"/>
            <rFont val="Tahoma"/>
            <family val="2"/>
            <charset val="186"/>
          </rPr>
          <t>Klubide karikal osalemiseks peavad olema: 
 - petankeri litsents, 
 - võistluskuulid, 
 - meeskonnal ühtne võistlussärk.</t>
        </r>
      </text>
    </comment>
    <comment ref="K115" authorId="0">
      <text>
        <r>
          <rPr>
            <b/>
            <sz val="8"/>
            <color indexed="81"/>
            <rFont val="Tahoma"/>
            <family val="2"/>
            <charset val="186"/>
          </rPr>
          <t>6 üksikut (sh naine) x 2 punkti = 12 punkti
3 duot (sh segaduo) x 3 punkti =   9 punkti
2 triot (sh segatrio)  x 5 punkti = 10 punkti</t>
        </r>
      </text>
    </comment>
    <comment ref="M115" authorId="0">
      <text>
        <r>
          <rPr>
            <b/>
            <sz val="8"/>
            <color indexed="81"/>
            <rFont val="Tahoma"/>
            <family val="2"/>
            <charset val="186"/>
          </rPr>
          <t>6 üksikut (sh naine) x 2 punkti = 12 punkti
3 duot (sh segaduo) x 3 punkti =   9 punkti
2 triot (sh segatrio)  x 5 punkti = 10 punkti</t>
        </r>
      </text>
    </comment>
    <comment ref="C117" authorId="0">
      <text>
        <r>
          <rPr>
            <b/>
            <sz val="8"/>
            <color indexed="81"/>
            <rFont val="Tahoma"/>
            <family val="2"/>
            <charset val="186"/>
          </rPr>
          <t>Voka, Metsa 2
Voka staadion</t>
        </r>
      </text>
    </comment>
    <comment ref="K117" authorId="0">
      <text>
        <r>
          <rPr>
            <b/>
            <sz val="8"/>
            <color indexed="81"/>
            <rFont val="Tahoma"/>
            <family val="2"/>
            <charset val="186"/>
          </rPr>
          <t>Voka, Metsa 2
Voka staadion</t>
        </r>
      </text>
    </comment>
    <comment ref="M117" authorId="0">
      <text>
        <r>
          <rPr>
            <b/>
            <sz val="8"/>
            <color indexed="81"/>
            <rFont val="Tahoma"/>
            <family val="2"/>
            <charset val="186"/>
          </rPr>
          <t>Voka, Metsa 2
Voka staadion</t>
        </r>
      </text>
    </comment>
    <comment ref="G118" authorId="0">
      <text>
        <r>
          <rPr>
            <b/>
            <sz val="8"/>
            <color indexed="81"/>
            <rFont val="Tahoma"/>
            <family val="2"/>
            <charset val="186"/>
          </rPr>
          <t>Kohtla-Järve, Järveküla tee 44
Spordihoone taga</t>
        </r>
      </text>
    </comment>
    <comment ref="C119" authorId="0">
      <text>
        <r>
          <rPr>
            <b/>
            <sz val="8"/>
            <color indexed="81"/>
            <rFont val="Tahoma"/>
            <family val="2"/>
            <charset val="186"/>
          </rPr>
          <t>Tallinn, Algi 38
Tallinna petangihall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T1" authorId="0">
      <text>
        <r>
          <rPr>
            <b/>
            <sz val="8"/>
            <color indexed="81"/>
            <rFont val="Tahoma"/>
            <family val="2"/>
            <charset val="186"/>
          </rPr>
          <t>Koht - Punkte
  1. - 40 p
  2. - 34 p
  3. - 30 p
  4. - 26 p
  5. - 24 p
  6. - 22 p
  7. - 20 p
  8. - 18 p
  9. - 16 p
10. - 14 p
11. - 12 p
12. - 10 p
13. -   8 p
14. -   6 p
15. -   4 p
16. -   2 p
17... - 1 p
DSQ - 0 p</t>
        </r>
      </text>
    </comment>
    <comment ref="T5" authorId="0">
      <text>
        <r>
          <rPr>
            <b/>
            <sz val="8"/>
            <color indexed="81"/>
            <rFont val="Tahoma"/>
            <family val="2"/>
            <charset val="186"/>
          </rPr>
          <t>Üksikmängu etapile pääsevad vaid 8 paremat</t>
        </r>
      </text>
    </comment>
    <comment ref="A6" authorId="0">
      <text>
        <r>
          <rPr>
            <b/>
            <sz val="8"/>
            <color indexed="81"/>
            <rFont val="Tahoma"/>
            <family val="2"/>
            <charset val="186"/>
          </rPr>
          <t>Valem arvutab punktisumma järgi võistleja koha. 
Võrdse punktisumma korral annab kõrgema koha võistlejale, kellel on rohkem 40-t, siis rohkem 34-a, 30-t jne.
Valem töötab Microsoft ja WPS Office-ga. 
Vahel ei tööta Libre ja Open Office-ga.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K6" authorId="0">
      <text>
        <r>
          <rPr>
            <b/>
            <sz val="8"/>
            <color indexed="81"/>
            <rFont val="Tahoma"/>
            <family val="2"/>
            <charset val="186"/>
          </rPr>
          <t>Võite omavahelistes mängudes</t>
        </r>
      </text>
    </comment>
    <comment ref="M6" authorId="0">
      <text>
        <r>
          <rPr>
            <b/>
            <sz val="8"/>
            <color indexed="81"/>
            <rFont val="Tahoma"/>
            <family val="2"/>
            <charset val="186"/>
          </rPr>
          <t>Punktide vahe omavahelistes mängudes</t>
        </r>
      </text>
    </comment>
    <comment ref="N6" authorId="0">
      <text>
        <r>
          <rPr>
            <b/>
            <sz val="8"/>
            <color indexed="81"/>
            <rFont val="Tahoma"/>
            <family val="2"/>
            <charset val="186"/>
          </rPr>
          <t>TRUE kui: 
3-ses alagrupis 3 nime ja   6 tulemust või
4-ses alagrupis 4 nime ja 12 tulemust või
5-ses alagrupis 5 nime ja 20 tulemust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K6" authorId="0">
      <text>
        <r>
          <rPr>
            <b/>
            <sz val="8"/>
            <color indexed="81"/>
            <rFont val="Tahoma"/>
            <family val="2"/>
            <charset val="186"/>
          </rPr>
          <t>Võite omavahelistes mängudes</t>
        </r>
      </text>
    </comment>
    <comment ref="M6" authorId="0">
      <text>
        <r>
          <rPr>
            <b/>
            <sz val="8"/>
            <color indexed="81"/>
            <rFont val="Tahoma"/>
            <family val="2"/>
            <charset val="186"/>
          </rPr>
          <t>Punktide vahe omavahelistes mängudes</t>
        </r>
      </text>
    </comment>
    <comment ref="N6" authorId="0">
      <text>
        <r>
          <rPr>
            <b/>
            <sz val="8"/>
            <color indexed="81"/>
            <rFont val="Tahoma"/>
            <family val="2"/>
            <charset val="186"/>
          </rPr>
          <t>TRUE kui: 
3-ses alagrupis 3 nime ja   6 tulemust või
4-ses alagrupis 4 nime ja 12 tulemust või
5-ses alagrupis 5 nime ja 20 tulemust</t>
        </r>
      </text>
    </comment>
  </commentList>
</comments>
</file>

<file path=xl/comments6.xml><?xml version="1.0" encoding="utf-8"?>
<comments xmlns="http://schemas.openxmlformats.org/spreadsheetml/2006/main">
  <authors>
    <author>Author</author>
  </authors>
  <commentList>
    <comment ref="I1" authorId="0">
      <text>
        <r>
          <rPr>
            <b/>
            <sz val="8"/>
            <color indexed="81"/>
            <rFont val="Tahoma"/>
            <family val="2"/>
            <charset val="186"/>
          </rPr>
          <t>Alagrupis võrdsete punktide korral selgitatakse paremusjärjestus järgnevalt: 
1) omavahelistes mängudes saavutatud võidud, 
2) omavaheliste mängude punktide vahe, 
3) üldine punktide vahe.</t>
        </r>
      </text>
    </comment>
  </commentList>
</comments>
</file>

<file path=xl/comments7.xml><?xml version="1.0" encoding="utf-8"?>
<comments xmlns="http://schemas.openxmlformats.org/spreadsheetml/2006/main">
  <authors>
    <author>Author</author>
  </authors>
  <commentList>
    <comment ref="H1" authorId="0">
      <text>
        <r>
          <rPr>
            <b/>
            <sz val="8"/>
            <color indexed="81"/>
            <rFont val="Tahoma"/>
            <family val="2"/>
            <charset val="186"/>
          </rPr>
          <t>Alagrupis võrdsete punktide korral selgitatakse paremusjärjestus järgnevalt: 
1) omavahelistes mängudes saavutatud võidud, 
2) omavaheliste mängude punktide vahe, 
3) üldine punktide vahe.</t>
        </r>
      </text>
    </comment>
  </commentList>
</comments>
</file>

<file path=xl/comments8.xml><?xml version="1.0" encoding="utf-8"?>
<comments xmlns="http://schemas.openxmlformats.org/spreadsheetml/2006/main">
  <authors>
    <author>Author</author>
  </authors>
  <commentList>
    <comment ref="E1" authorId="0">
      <text>
        <r>
          <rPr>
            <b/>
            <sz val="8"/>
            <color indexed="81"/>
            <rFont val="Tahoma"/>
            <family val="2"/>
            <charset val="186"/>
          </rPr>
          <t>Koht - Punkte
  1. - 20 p
  2. - 18 p
  3. - 16 p
  4. - 14 p
  5. - 13 p
  6. - 12 p
  7. - 11 p
  8. - 10 p
  9. -   9 p
10. -   8 p
11. -   7 p
12. -   6 p
13. -   5 p
14. -   4 p
15. -   3 p
16... - 1 p</t>
        </r>
      </text>
    </comment>
    <comment ref="C5" authorId="0">
      <text>
        <r>
          <rPr>
            <b/>
            <sz val="8"/>
            <color indexed="81"/>
            <rFont val="Tahoma"/>
            <family val="2"/>
            <charset val="186"/>
          </rPr>
          <t>Võrdsete punktide korral saab kõrgema koha teisel etapil kõrgema koha saanud võistkond.</t>
        </r>
      </text>
    </comment>
  </commentList>
</comments>
</file>

<file path=xl/comments9.xml><?xml version="1.0" encoding="utf-8"?>
<comments xmlns="http://schemas.openxmlformats.org/spreadsheetml/2006/main">
  <authors>
    <author>Author</author>
  </authors>
  <commentList>
    <comment ref="A6" authorId="0">
      <text>
        <r>
          <rPr>
            <b/>
            <sz val="8"/>
            <color indexed="81"/>
            <rFont val="Tahoma"/>
            <family val="2"/>
            <charset val="186"/>
          </rPr>
          <t>Kohalikud mängijad</t>
        </r>
      </text>
    </comment>
    <comment ref="N6" authorId="0">
      <text>
        <r>
          <rPr>
            <b/>
            <sz val="8"/>
            <color indexed="81"/>
            <rFont val="Tahoma"/>
            <family val="2"/>
            <charset val="186"/>
          </rPr>
          <t>Kohalikud</t>
        </r>
      </text>
    </comment>
    <comment ref="AM15" authorId="0">
      <text>
        <r>
          <rPr>
            <b/>
            <sz val="8"/>
            <color indexed="81"/>
            <rFont val="Tahoma"/>
            <family val="2"/>
            <charset val="186"/>
          </rPr>
          <t>Oli 2. kolmandikus, kuid oleks pidanud olema Ülo Piigi asemel 1. kolmandikus</t>
        </r>
      </text>
    </comment>
    <comment ref="AM18" authorId="0">
      <text>
        <r>
          <rPr>
            <b/>
            <sz val="8"/>
            <color indexed="81"/>
            <rFont val="Tahoma"/>
            <family val="2"/>
            <charset val="186"/>
          </rPr>
          <t>Oli 1. kolmandikus, kuid oleks pidanud olema Klavdia Piigi asemel 2. kolmandikus</t>
        </r>
      </text>
    </comment>
    <comment ref="J61" authorId="0">
      <text>
        <r>
          <rPr>
            <b/>
            <sz val="8"/>
            <color indexed="81"/>
            <rFont val="Tahoma"/>
            <family val="2"/>
            <charset val="186"/>
          </rPr>
          <t>Наталия Геннадьевна Кяхяря 
Ивангород 
Natalia Kyakhyarya 
Ivangorod</t>
        </r>
      </text>
    </comment>
    <comment ref="AC64" authorId="0">
      <text>
        <r>
          <rPr>
            <b/>
            <sz val="8"/>
            <color indexed="81"/>
            <rFont val="Tahoma"/>
            <family val="2"/>
            <charset val="186"/>
          </rPr>
          <t xml:space="preserve">2-es võistkonnas oli varumängija
</t>
        </r>
      </text>
    </comment>
  </commentList>
</comments>
</file>

<file path=xl/comments10.xml><?xml version="1.0" encoding="utf-8"?>
<comments xmlns="http://schemas.openxmlformats.org/spreadsheetml/2006/main">
  <authors>
    <author>Author</author>
  </authors>
  <commentList>
    <comment ref="N6" authorId="0">
      <text>
        <r>
          <rPr>
            <b/>
            <sz val="8"/>
            <color indexed="81"/>
            <rFont val="Tahoma"/>
            <family val="2"/>
            <charset val="186"/>
          </rPr>
          <t>TRUE kui: 
3-ses alagrupis 3 nime ja   6 tulemust või
4-ses alagrupis 4 nime ja 12 tulemust või
5-ses alagrupis 5 nime ja 20 tulemust</t>
        </r>
      </text>
    </comment>
  </commentList>
</comments>
</file>

<file path=xl/comments11.xml><?xml version="1.0" encoding="utf-8"?>
<comments xmlns="http://schemas.openxmlformats.org/spreadsheetml/2006/main">
  <authors>
    <author>Author</author>
  </authors>
  <commentList>
    <comment ref="L6" authorId="0">
      <text>
        <r>
          <rPr>
            <b/>
            <sz val="8"/>
            <color indexed="81"/>
            <rFont val="Tahoma"/>
            <family val="2"/>
            <charset val="186"/>
          </rPr>
          <t>TRUE kui: 
3-ses alagrupis 3 nime ja   6 tulemust või
4-ses alagrupis 4 nime ja 12 tulemust või
5-ses alagrupis 5 nime ja 20 tulemust</t>
        </r>
      </text>
    </comment>
    <comment ref="L13" authorId="0">
      <text>
        <r>
          <rPr>
            <b/>
            <sz val="8"/>
            <color indexed="81"/>
            <rFont val="Tahoma"/>
            <family val="2"/>
            <charset val="186"/>
          </rPr>
          <t>TRUE kui: 
3-ses alagrupis 3 nime ja   6 tulemust või
4-ses alagrupis 4 nime ja 12 tulemust või
5-ses alagrupis 5 nime ja 20 tulemust</t>
        </r>
      </text>
    </comment>
    <comment ref="L20" authorId="0">
      <text>
        <r>
          <rPr>
            <b/>
            <sz val="8"/>
            <color indexed="81"/>
            <rFont val="Tahoma"/>
            <family val="2"/>
            <charset val="186"/>
          </rPr>
          <t>TRUE kui: 
3-ses alagrupis 3 nime ja   6 tulemust või
4-ses alagrupis 4 nime ja 12 tulemust või
5-ses alagrupis 5 nime ja 20 tulemust</t>
        </r>
      </text>
    </comment>
    <comment ref="L27" authorId="0">
      <text>
        <r>
          <rPr>
            <b/>
            <sz val="8"/>
            <color indexed="81"/>
            <rFont val="Tahoma"/>
            <family val="2"/>
            <charset val="186"/>
          </rPr>
          <t>TRUE kui: 
3-ses alagrupis 3 nime ja   6 tulemust või
4-ses alagrupis 4 nime ja 12 tulemust või
5-ses alagrupis 5 nime ja 20 tulemust</t>
        </r>
      </text>
    </comment>
  </commentList>
</comments>
</file>

<file path=xl/comments12.xml><?xml version="1.0" encoding="utf-8"?>
<comments xmlns="http://schemas.openxmlformats.org/spreadsheetml/2006/main">
  <authors>
    <author>Author</author>
  </authors>
  <commentList>
    <comment ref="K6" authorId="0">
      <text>
        <r>
          <rPr>
            <b/>
            <sz val="8"/>
            <color indexed="81"/>
            <rFont val="Tahoma"/>
            <family val="2"/>
            <charset val="186"/>
          </rPr>
          <t>Võite omavahelistes mängudes</t>
        </r>
      </text>
    </comment>
    <comment ref="L6" authorId="0">
      <text>
        <r>
          <rPr>
            <b/>
            <sz val="8"/>
            <color indexed="81"/>
            <rFont val="Tahoma"/>
            <family val="2"/>
            <charset val="186"/>
          </rPr>
          <t>Punktide vahe omavahelistes mängudes</t>
        </r>
      </text>
    </comment>
    <comment ref="M6" authorId="0">
      <text>
        <r>
          <rPr>
            <b/>
            <sz val="8"/>
            <color indexed="81"/>
            <rFont val="Tahoma"/>
            <family val="2"/>
            <charset val="186"/>
          </rPr>
          <t>TRUE kui: 
3-ses alagrupis 3 nime ja   6 tulemust või
4-ses alagrupis 4 nime ja 12 tulemust või
5-ses alagrupis 5 nime ja 20 tulemust</t>
        </r>
      </text>
    </comment>
  </commentList>
</comments>
</file>

<file path=xl/comments13.xml><?xml version="1.0" encoding="utf-8"?>
<comments xmlns="http://schemas.openxmlformats.org/spreadsheetml/2006/main">
  <authors>
    <author>Author</author>
  </authors>
  <commentList>
    <comment ref="K6" authorId="0">
      <text>
        <r>
          <rPr>
            <b/>
            <sz val="8"/>
            <color indexed="81"/>
            <rFont val="Tahoma"/>
            <family val="2"/>
            <charset val="186"/>
          </rPr>
          <t>Võite omavahelistes mängudes</t>
        </r>
      </text>
    </comment>
    <comment ref="L6" authorId="0">
      <text>
        <r>
          <rPr>
            <b/>
            <sz val="8"/>
            <color indexed="81"/>
            <rFont val="Tahoma"/>
            <family val="2"/>
            <charset val="186"/>
          </rPr>
          <t>Punktide vahe omavahelistes mängudes</t>
        </r>
      </text>
    </comment>
    <comment ref="M6" authorId="0">
      <text>
        <r>
          <rPr>
            <b/>
            <sz val="8"/>
            <color indexed="81"/>
            <rFont val="Tahoma"/>
            <family val="2"/>
            <charset val="186"/>
          </rPr>
          <t>TRUE kui: 
3-ses alagrupis 3 nime ja   6 tulemust või
4-ses alagrupis 4 nime ja 12 tulemust või
5-ses alagrupis 5 nime ja 20 tulemust</t>
        </r>
      </text>
    </comment>
  </commentList>
</comments>
</file>

<file path=xl/comments14.xml><?xml version="1.0" encoding="utf-8"?>
<comments xmlns="http://schemas.openxmlformats.org/spreadsheetml/2006/main">
  <authors>
    <author>Author</author>
  </authors>
  <commentList>
    <comment ref="L6" authorId="0">
      <text>
        <r>
          <rPr>
            <b/>
            <sz val="8"/>
            <color indexed="81"/>
            <rFont val="Tahoma"/>
            <family val="2"/>
            <charset val="186"/>
          </rPr>
          <t>TRUE kui: 
3-ses alagrupis 3 nime ja   6 tulemust või
4-ses alagrupis 4 nime ja 12 tulemust või
5-ses alagrupis 5 nime ja 20 tulemust</t>
        </r>
      </text>
    </comment>
    <comment ref="L13" authorId="0">
      <text>
        <r>
          <rPr>
            <b/>
            <sz val="8"/>
            <color indexed="81"/>
            <rFont val="Tahoma"/>
            <family val="2"/>
            <charset val="186"/>
          </rPr>
          <t>TRUE kui: 
3-ses alagrupis 3 nime ja   6 tulemust või
4-ses alagrupis 4 nime ja 12 tulemust või
5-ses alagrupis 5 nime ja 20 tulemust</t>
        </r>
      </text>
    </comment>
    <comment ref="L20" authorId="0">
      <text>
        <r>
          <rPr>
            <b/>
            <sz val="8"/>
            <color indexed="81"/>
            <rFont val="Tahoma"/>
            <family val="2"/>
            <charset val="186"/>
          </rPr>
          <t>TRUE kui: 
3-ses alagrupis 3 nime ja   6 tulemust või
4-ses alagrupis 4 nime ja 12 tulemust või
5-ses alagrupis 5 nime ja 20 tulemust</t>
        </r>
      </text>
    </comment>
    <comment ref="L27" authorId="0">
      <text>
        <r>
          <rPr>
            <b/>
            <sz val="8"/>
            <color indexed="81"/>
            <rFont val="Tahoma"/>
            <family val="2"/>
            <charset val="186"/>
          </rPr>
          <t>TRUE kui: 
3-ses alagrupis 3 nime ja   6 tulemust või
4-ses alagrupis 4 nime ja 12 tulemust või
5-ses alagrupis 5 nime ja 20 tulemust</t>
        </r>
      </text>
    </comment>
  </commentList>
</comments>
</file>

<file path=xl/comments15.xml><?xml version="1.0" encoding="utf-8"?>
<comments xmlns="http://schemas.openxmlformats.org/spreadsheetml/2006/main">
  <authors>
    <author>Author</author>
  </authors>
  <commentList>
    <comment ref="K6" authorId="0">
      <text>
        <r>
          <rPr>
            <b/>
            <sz val="8"/>
            <color indexed="81"/>
            <rFont val="Tahoma"/>
            <family val="2"/>
            <charset val="186"/>
          </rPr>
          <t>Võite omavahelistes mängudes</t>
        </r>
      </text>
    </comment>
    <comment ref="L6" authorId="0">
      <text>
        <r>
          <rPr>
            <b/>
            <sz val="8"/>
            <color indexed="81"/>
            <rFont val="Tahoma"/>
            <family val="2"/>
            <charset val="186"/>
          </rPr>
          <t>Punktide vahe omavahelistes mängudes</t>
        </r>
      </text>
    </comment>
    <comment ref="M6" authorId="0">
      <text>
        <r>
          <rPr>
            <b/>
            <sz val="8"/>
            <color indexed="81"/>
            <rFont val="Tahoma"/>
            <family val="2"/>
            <charset val="186"/>
          </rPr>
          <t>TRUE kui: 
3-ses alagrupis 3 nime ja   6 tulemust või
4-ses alagrupis 4 nime ja 12 tulemust või
5-ses alagrupis 5 nime ja 20 tulemust</t>
        </r>
      </text>
    </comment>
    <comment ref="K140" authorId="0">
      <text>
        <r>
          <rPr>
            <b/>
            <sz val="8"/>
            <color indexed="81"/>
            <rFont val="Tahoma"/>
            <family val="2"/>
            <charset val="186"/>
          </rPr>
          <t>Võite omavahelistes mängudes</t>
        </r>
      </text>
    </comment>
    <comment ref="L140" authorId="0">
      <text>
        <r>
          <rPr>
            <b/>
            <sz val="8"/>
            <color indexed="81"/>
            <rFont val="Tahoma"/>
            <family val="2"/>
            <charset val="186"/>
          </rPr>
          <t>Punktide vahe omavahelistes mängudes</t>
        </r>
      </text>
    </comment>
    <comment ref="M140" authorId="0">
      <text>
        <r>
          <rPr>
            <b/>
            <sz val="8"/>
            <color indexed="81"/>
            <rFont val="Tahoma"/>
            <family val="2"/>
            <charset val="186"/>
          </rPr>
          <t>TRUE kui: 
3-ses alagrupis 3 nime ja   6 tulemust või
4-ses alagrupis 4 nime ja 12 tulemust või
5-ses alagrupis 5 nime ja 20 tulemust</t>
        </r>
      </text>
    </comment>
  </commentList>
</comments>
</file>

<file path=xl/comments16.xml><?xml version="1.0" encoding="utf-8"?>
<comments xmlns="http://schemas.openxmlformats.org/spreadsheetml/2006/main">
  <authors>
    <author>Author</author>
  </authors>
  <commentList>
    <comment ref="K6" authorId="0">
      <text>
        <r>
          <rPr>
            <b/>
            <sz val="8"/>
            <color indexed="81"/>
            <rFont val="Tahoma"/>
            <family val="2"/>
            <charset val="186"/>
          </rPr>
          <t>Võite omavahelistes mängudes</t>
        </r>
      </text>
    </comment>
    <comment ref="L6" authorId="0">
      <text>
        <r>
          <rPr>
            <b/>
            <sz val="8"/>
            <color indexed="81"/>
            <rFont val="Tahoma"/>
            <family val="2"/>
            <charset val="186"/>
          </rPr>
          <t>Punktide vahe omavahelistes mängudes</t>
        </r>
      </text>
    </comment>
    <comment ref="M6" authorId="0">
      <text>
        <r>
          <rPr>
            <b/>
            <sz val="8"/>
            <color indexed="81"/>
            <rFont val="Tahoma"/>
            <family val="2"/>
            <charset val="186"/>
          </rPr>
          <t>TRUE kui: 
3-ses alagrupis 3 nime ja   6 tulemust või
4-ses alagrupis 4 nime ja 12 tulemust või
5-ses alagrupis 5 nime ja 20 tulemust</t>
        </r>
      </text>
    </comment>
  </commentList>
</comments>
</file>

<file path=xl/comments17.xml><?xml version="1.0" encoding="utf-8"?>
<comments xmlns="http://schemas.openxmlformats.org/spreadsheetml/2006/main">
  <authors>
    <author>Author</author>
  </authors>
  <commentList>
    <comment ref="K6" authorId="0">
      <text>
        <r>
          <rPr>
            <b/>
            <sz val="8"/>
            <color indexed="81"/>
            <rFont val="Tahoma"/>
            <family val="2"/>
            <charset val="186"/>
          </rPr>
          <t>Võite omavahelistes mängudes</t>
        </r>
      </text>
    </comment>
    <comment ref="L6" authorId="0">
      <text>
        <r>
          <rPr>
            <b/>
            <sz val="8"/>
            <color indexed="81"/>
            <rFont val="Tahoma"/>
            <family val="2"/>
            <charset val="186"/>
          </rPr>
          <t>Punktide vahe omavahelistes mängudes</t>
        </r>
      </text>
    </comment>
    <comment ref="M6" authorId="0">
      <text>
        <r>
          <rPr>
            <b/>
            <sz val="8"/>
            <color indexed="81"/>
            <rFont val="Tahoma"/>
            <family val="2"/>
            <charset val="186"/>
          </rPr>
          <t>TRUE kui: 
3-ses alagrupis 3 nime ja   6 tulemust või
4-ses alagrupis 4 nime ja 12 tulemust või
5-ses alagrupis 5 nime ja 20 tulemust</t>
        </r>
      </text>
    </comment>
  </commentList>
</comments>
</file>

<file path=xl/comments18.xml><?xml version="1.0" encoding="utf-8"?>
<comments xmlns="http://schemas.openxmlformats.org/spreadsheetml/2006/main">
  <authors>
    <author>Author</author>
  </authors>
  <commentList>
    <comment ref="K6" authorId="0">
      <text>
        <r>
          <rPr>
            <b/>
            <sz val="8"/>
            <color indexed="81"/>
            <rFont val="Tahoma"/>
            <family val="2"/>
            <charset val="186"/>
          </rPr>
          <t>Võite omavahelistes mängudes</t>
        </r>
      </text>
    </comment>
    <comment ref="L6" authorId="0">
      <text>
        <r>
          <rPr>
            <b/>
            <sz val="8"/>
            <color indexed="81"/>
            <rFont val="Tahoma"/>
            <family val="2"/>
            <charset val="186"/>
          </rPr>
          <t>Punktide vahe omavahelistes mängudes</t>
        </r>
      </text>
    </comment>
    <comment ref="M6" authorId="0">
      <text>
        <r>
          <rPr>
            <b/>
            <sz val="8"/>
            <color indexed="81"/>
            <rFont val="Tahoma"/>
            <family val="2"/>
            <charset val="186"/>
          </rPr>
          <t>TRUE kui: 
3-ses alagrupis 3 nime ja   6 tulemust või
4-ses alagrupis 4 nime ja 12 tulemust või
5-ses alagrupis 5 nime ja 20 tulemust</t>
        </r>
      </text>
    </comment>
  </commentList>
</comments>
</file>

<file path=xl/comments19.xml><?xml version="1.0" encoding="utf-8"?>
<comments xmlns="http://schemas.openxmlformats.org/spreadsheetml/2006/main">
  <authors>
    <author>Author</author>
  </authors>
  <commentList>
    <comment ref="L6" authorId="0">
      <text>
        <r>
          <rPr>
            <b/>
            <sz val="8"/>
            <color indexed="81"/>
            <rFont val="Tahoma"/>
            <family val="2"/>
            <charset val="186"/>
          </rPr>
          <t>TRUE kui: 
3-ses alagrupis 3 nime ja   6 tulemust või
4-ses alagrupis 4 nime ja 12 tulemust või
5-ses alagrupis 5 nime ja 20 tulemust</t>
        </r>
      </text>
    </comment>
    <comment ref="L13" authorId="0">
      <text>
        <r>
          <rPr>
            <b/>
            <sz val="8"/>
            <color indexed="81"/>
            <rFont val="Tahoma"/>
            <family val="2"/>
            <charset val="186"/>
          </rPr>
          <t>TRUE kui: 
3-ses alagrupis 3 nime ja   6 tulemust või
4-ses alagrupis 4 nime ja 12 tulemust või
5-ses alagrupis 5 nime ja 20 tulemust</t>
        </r>
      </text>
    </comment>
    <comment ref="L20" authorId="0">
      <text>
        <r>
          <rPr>
            <b/>
            <sz val="8"/>
            <color indexed="81"/>
            <rFont val="Tahoma"/>
            <family val="2"/>
            <charset val="186"/>
          </rPr>
          <t>TRUE kui: 
3-ses alagrupis 3 nime ja   6 tulemust või
4-ses alagrupis 4 nime ja 12 tulemust või
5-ses alagrupis 5 nime ja 20 tulemust</t>
        </r>
      </text>
    </comment>
    <comment ref="L27" authorId="0">
      <text>
        <r>
          <rPr>
            <b/>
            <sz val="8"/>
            <color indexed="81"/>
            <rFont val="Tahoma"/>
            <family val="2"/>
            <charset val="186"/>
          </rPr>
          <t>TRUE kui: 
3-ses alagrupis 3 nime ja   6 tulemust või
4-ses alagrupis 4 nime ja 12 tulemust või
5-ses alagrupis 5 nime ja 20 tulemust</t>
        </r>
      </text>
    </comment>
  </commentList>
</comments>
</file>

<file path=xl/comments20.xml><?xml version="1.0" encoding="utf-8"?>
<comments xmlns="http://schemas.openxmlformats.org/spreadsheetml/2006/main">
  <authors>
    <author>Author</author>
  </authors>
  <commentList>
    <comment ref="K6" authorId="0">
      <text>
        <r>
          <rPr>
            <b/>
            <sz val="8"/>
            <color indexed="81"/>
            <rFont val="Tahoma"/>
            <family val="2"/>
            <charset val="186"/>
          </rPr>
          <t>Võite omavahelistes mängudes</t>
        </r>
      </text>
    </comment>
    <comment ref="L6" authorId="0">
      <text>
        <r>
          <rPr>
            <b/>
            <sz val="8"/>
            <color indexed="81"/>
            <rFont val="Tahoma"/>
            <family val="2"/>
            <charset val="186"/>
          </rPr>
          <t>Punktide vahe omavahelistes mängudes</t>
        </r>
      </text>
    </comment>
    <comment ref="M6" authorId="0">
      <text>
        <r>
          <rPr>
            <b/>
            <sz val="8"/>
            <color indexed="81"/>
            <rFont val="Tahoma"/>
            <family val="2"/>
            <charset val="186"/>
          </rPr>
          <t>TRUE kui: 
3-ses alagrupis 3 nime ja   6 tulemust või
4-ses alagrupis 4 nime ja 12 tulemust või
5-ses alagrupis 5 nime ja 20 tulemust</t>
        </r>
      </text>
    </comment>
  </commentList>
</comments>
</file>

<file path=xl/comments21.xml><?xml version="1.0" encoding="utf-8"?>
<comments xmlns="http://schemas.openxmlformats.org/spreadsheetml/2006/main">
  <authors>
    <author>Author</author>
  </authors>
  <commentList>
    <comment ref="K6" authorId="0">
      <text>
        <r>
          <rPr>
            <b/>
            <sz val="8"/>
            <color indexed="81"/>
            <rFont val="Tahoma"/>
            <family val="2"/>
            <charset val="186"/>
          </rPr>
          <t>Võite omavahelistes mängudes</t>
        </r>
      </text>
    </comment>
    <comment ref="L6" authorId="0">
      <text>
        <r>
          <rPr>
            <b/>
            <sz val="8"/>
            <color indexed="81"/>
            <rFont val="Tahoma"/>
            <family val="2"/>
            <charset val="186"/>
          </rPr>
          <t>Punktide vahe omavahelistes mängudes</t>
        </r>
      </text>
    </comment>
    <comment ref="M6" authorId="0">
      <text>
        <r>
          <rPr>
            <b/>
            <sz val="8"/>
            <color indexed="81"/>
            <rFont val="Tahoma"/>
            <family val="2"/>
            <charset val="186"/>
          </rPr>
          <t>TRUE kui: 
3-ses alagrupis 3 nime ja   6 tulemust või
4-ses alagrupis 4 nime ja 12 tulemust või
5-ses alagrupis 5 nime ja 20 tulemust</t>
        </r>
      </text>
    </comment>
  </commentList>
</comments>
</file>

<file path=xl/comments22.xml><?xml version="1.0" encoding="utf-8"?>
<comments xmlns="http://schemas.openxmlformats.org/spreadsheetml/2006/main">
  <authors>
    <author>Author</author>
  </authors>
  <commentList>
    <comment ref="N6" authorId="0">
      <text>
        <r>
          <rPr>
            <b/>
            <sz val="8"/>
            <color indexed="81"/>
            <rFont val="Tahoma"/>
            <family val="2"/>
            <charset val="186"/>
          </rPr>
          <t>TRUE kui: 
3-ses alagrupis 3 nime ja   6 tulemust või
4-ses alagrupis 4 nime ja 12 tulemust või
5-ses alagrupis 5 nime ja 20 tulemust</t>
        </r>
      </text>
    </comment>
  </commentList>
</comments>
</file>

<file path=xl/comments23.xml><?xml version="1.0" encoding="utf-8"?>
<comments xmlns="http://schemas.openxmlformats.org/spreadsheetml/2006/main">
  <authors>
    <author>Author</author>
  </authors>
  <commentList>
    <comment ref="N6" authorId="0">
      <text>
        <r>
          <rPr>
            <b/>
            <sz val="8"/>
            <color indexed="81"/>
            <rFont val="Tahoma"/>
            <family val="2"/>
            <charset val="186"/>
          </rPr>
          <t>TRUE kui: 
3-ses alagrupis 3 nime ja   6 tulemust või
4-ses alagrupis 4 nime ja 12 tulemust või
5-ses alagrupis 5 nime ja 20 tulemust</t>
        </r>
      </text>
    </comment>
  </commentList>
</comments>
</file>

<file path=xl/sharedStrings.xml><?xml version="1.0" encoding="utf-8"?>
<sst xmlns="http://schemas.openxmlformats.org/spreadsheetml/2006/main" count="3026" uniqueCount="621">
  <si>
    <t>Esmaspäev</t>
  </si>
  <si>
    <t>Teisipäev</t>
  </si>
  <si>
    <t>Kolmapäev</t>
  </si>
  <si>
    <t>Neljapäev</t>
  </si>
  <si>
    <t>Reede</t>
  </si>
  <si>
    <t>Laupäev</t>
  </si>
  <si>
    <t>Pühapäev</t>
  </si>
  <si>
    <t>ÜKSIK</t>
  </si>
  <si>
    <t>DUO</t>
  </si>
  <si>
    <t>TRIO</t>
  </si>
  <si>
    <t>SEGADUO</t>
  </si>
  <si>
    <t>SEGATRIO</t>
  </si>
  <si>
    <t>Võistlused toimuvad Kohtla-Järve Vanalinna sisehallis aadressil Kohtla-Järve, Spordi 2</t>
  </si>
  <si>
    <t>Ida-Viru reitinguvõistlused on rasvases trükis ja sinise taustaga</t>
  </si>
  <si>
    <t>Viimased muudatused on punasega</t>
  </si>
  <si>
    <t xml:space="preserve"> </t>
  </si>
  <si>
    <t>Osalusi</t>
  </si>
  <si>
    <t>Esikolmikus</t>
  </si>
  <si>
    <t>Võite</t>
  </si>
  <si>
    <t>val</t>
  </si>
  <si>
    <t>Nimi</t>
  </si>
  <si>
    <t>K</t>
  </si>
  <si>
    <t>**</t>
  </si>
  <si>
    <t>***</t>
  </si>
  <si>
    <t>Osalejaid</t>
  </si>
  <si>
    <t>Võistkondi</t>
  </si>
  <si>
    <t>Kuupäev</t>
  </si>
  <si>
    <t>Aeg</t>
  </si>
  <si>
    <t>Võistlus</t>
  </si>
  <si>
    <t>R</t>
  </si>
  <si>
    <t>Mänguviis</t>
  </si>
  <si>
    <t>Toimumiskoht</t>
  </si>
  <si>
    <t>Korraldaja</t>
  </si>
  <si>
    <t>Tasu</t>
  </si>
  <si>
    <t>K-Järve SHK, Ivar Viljaste</t>
  </si>
  <si>
    <t>SHK KV 2. etapp</t>
  </si>
  <si>
    <t>Duo</t>
  </si>
  <si>
    <t>Trio</t>
  </si>
  <si>
    <t>SHK KV 3. etapp</t>
  </si>
  <si>
    <t>Erinevad</t>
  </si>
  <si>
    <t>SHK KV 4. etapp</t>
  </si>
  <si>
    <t>SHK KV 6. etapp</t>
  </si>
  <si>
    <t>1-4, 2-3</t>
  </si>
  <si>
    <t>Võitjad</t>
  </si>
  <si>
    <t>Kaotajad</t>
  </si>
  <si>
    <t>VK-KV</t>
  </si>
  <si>
    <t>Koht</t>
  </si>
  <si>
    <t>I koht</t>
  </si>
  <si>
    <t>II koht</t>
  </si>
  <si>
    <t>III koht</t>
  </si>
  <si>
    <t>4. koht</t>
  </si>
  <si>
    <t>5. koht</t>
  </si>
  <si>
    <t>6. koht</t>
  </si>
  <si>
    <t>7. koht</t>
  </si>
  <si>
    <t>8. koht</t>
  </si>
  <si>
    <t>9. koht</t>
  </si>
  <si>
    <t>10. koht</t>
  </si>
  <si>
    <t>11. koht</t>
  </si>
  <si>
    <t>12. koht</t>
  </si>
  <si>
    <t>13. koht</t>
  </si>
  <si>
    <t>1 - 4 koht</t>
  </si>
  <si>
    <t>5 - 8 koht</t>
  </si>
  <si>
    <t>Rahvusvahelised võistlused on sinisega ja kaldkirjas</t>
  </si>
  <si>
    <t>SHK KV 1. etapp</t>
  </si>
  <si>
    <t>Regioonide karika 2. etapp</t>
  </si>
  <si>
    <t>SHK KV 5. etapp</t>
  </si>
  <si>
    <t>A</t>
  </si>
  <si>
    <t>REGIOONIDE KARIKA EELVOORUDE SUMMA</t>
  </si>
  <si>
    <t>Võistkond</t>
  </si>
  <si>
    <t>Kokku</t>
  </si>
  <si>
    <t>-</t>
  </si>
  <si>
    <t>B2</t>
  </si>
  <si>
    <t>1 - 6 koht</t>
  </si>
  <si>
    <t>V-K</t>
  </si>
  <si>
    <t>1-1</t>
  </si>
  <si>
    <t>C2</t>
  </si>
  <si>
    <t>A2</t>
  </si>
  <si>
    <t>2-0</t>
  </si>
  <si>
    <t>0-2</t>
  </si>
  <si>
    <t>Aarne Välja, Andres Veski, Svetlana Veski</t>
  </si>
  <si>
    <t>I</t>
  </si>
  <si>
    <t>II</t>
  </si>
  <si>
    <t>III</t>
  </si>
  <si>
    <t>Johannes Neiland</t>
  </si>
  <si>
    <t>A1</t>
  </si>
  <si>
    <t>C1</t>
  </si>
  <si>
    <t>B1</t>
  </si>
  <si>
    <t>7 - 9 koht</t>
  </si>
  <si>
    <t>11:00</t>
  </si>
  <si>
    <t>IDAREGIOON</t>
  </si>
  <si>
    <t>B</t>
  </si>
  <si>
    <t>2-1</t>
  </si>
  <si>
    <t>1-2</t>
  </si>
  <si>
    <t>A3</t>
  </si>
  <si>
    <t>B3</t>
  </si>
  <si>
    <t>A4</t>
  </si>
  <si>
    <t>6 - 8 võistkonda</t>
  </si>
  <si>
    <t>5 võistkonda</t>
  </si>
  <si>
    <t>1. voor</t>
  </si>
  <si>
    <t>1-4</t>
  </si>
  <si>
    <t>2-3</t>
  </si>
  <si>
    <t>2. voor</t>
  </si>
  <si>
    <t>1-3</t>
  </si>
  <si>
    <t>2-4</t>
  </si>
  <si>
    <t>3. voor</t>
  </si>
  <si>
    <t>3-4</t>
  </si>
  <si>
    <t>1-5</t>
  </si>
  <si>
    <t>4-5</t>
  </si>
  <si>
    <t>2-5</t>
  </si>
  <si>
    <t>4. voor</t>
  </si>
  <si>
    <t>3-5</t>
  </si>
  <si>
    <t>5. voor</t>
  </si>
  <si>
    <t>3 - 4 võistkonda</t>
  </si>
  <si>
    <t>IV</t>
  </si>
  <si>
    <t xml:space="preserve">Punktid </t>
  </si>
  <si>
    <t>Andres Veski, Svetlana Veski</t>
  </si>
  <si>
    <t>Jaan Sepp, Oskar Sepp</t>
  </si>
  <si>
    <t>Ljudmila Varendi, Viktor Švarõgin</t>
  </si>
  <si>
    <t>C3</t>
  </si>
  <si>
    <t>0-3</t>
  </si>
  <si>
    <t>Klavdia Piik, Tõnu Piik</t>
  </si>
  <si>
    <t>+3</t>
  </si>
  <si>
    <t>C4</t>
  </si>
  <si>
    <t>10:00</t>
  </si>
  <si>
    <t>A5</t>
  </si>
  <si>
    <t>3-0</t>
  </si>
  <si>
    <t>5.-6. koht</t>
  </si>
  <si>
    <t>1 - 7 koht</t>
  </si>
  <si>
    <t>EPKL</t>
  </si>
  <si>
    <t>Matti Vinni, Vello Vasser</t>
  </si>
  <si>
    <t>Enn Tokman, Tarmo Bombe</t>
  </si>
  <si>
    <t>7 - 10 koht</t>
  </si>
  <si>
    <t>EPKL, Ivar Viljaste</t>
  </si>
  <si>
    <t>P</t>
  </si>
  <si>
    <t>5 - 7 koht</t>
  </si>
  <si>
    <t>K-Järve</t>
  </si>
  <si>
    <t>TUL</t>
  </si>
  <si>
    <t>finaal, TRIO</t>
  </si>
  <si>
    <t>Mai 2018</t>
  </si>
  <si>
    <t>Aprill 2018</t>
  </si>
  <si>
    <t>Märts 2018</t>
  </si>
  <si>
    <t>Veebruar 2018</t>
  </si>
  <si>
    <t>Jaanuar 2018</t>
  </si>
  <si>
    <t>Oktoober 2017</t>
  </si>
  <si>
    <t>Eesti reitingus läheb arvesse 8 võistlust 11st (4 reitinguvõistlust 6st + 4 Eesti sise-MV-d 5st)</t>
  </si>
  <si>
    <t>L, 14.04.2018</t>
  </si>
  <si>
    <t>November 2017</t>
  </si>
  <si>
    <t>Detsember 2017</t>
  </si>
  <si>
    <t>P, 25.02.2018</t>
  </si>
  <si>
    <t>P, 03.12.2017</t>
  </si>
  <si>
    <t>P, 19.11.2017</t>
  </si>
  <si>
    <t>P, 17.12.2017</t>
  </si>
  <si>
    <t>P, 14.01.2018</t>
  </si>
  <si>
    <t>P, 11.02.2018</t>
  </si>
  <si>
    <t>P, 25.03.2018</t>
  </si>
  <si>
    <t>P, 15.04.2018</t>
  </si>
  <si>
    <t>L, 24.02.2018</t>
  </si>
  <si>
    <t>L, 28.10.2017</t>
  </si>
  <si>
    <t>L, 04.11.2017</t>
  </si>
  <si>
    <t>L, 11.11.2017</t>
  </si>
  <si>
    <t>Voka lahtine võistlus</t>
  </si>
  <si>
    <t>L, 25.11.2017</t>
  </si>
  <si>
    <t>P, 22.04.2018</t>
  </si>
  <si>
    <t>Üksik</t>
  </si>
  <si>
    <t>*</t>
  </si>
  <si>
    <t>Tõnu Piik, Ülo Piik</t>
  </si>
  <si>
    <t>C</t>
  </si>
  <si>
    <t>Illar Tõnurist, Jaan Saar</t>
  </si>
  <si>
    <t>Heili Vasser, Vello Vasser</t>
  </si>
  <si>
    <t>Henri Mitt, Marta Bernat</t>
  </si>
  <si>
    <t>Karla Purgats, Lemmit Toomra</t>
  </si>
  <si>
    <t>Einar Juhkam, Kenneth Muusikus</t>
  </si>
  <si>
    <t>Boriss Klubov, Elmo Lageda</t>
  </si>
  <si>
    <t>-4</t>
  </si>
  <si>
    <t>+1</t>
  </si>
  <si>
    <t>Klavdia Piik, Ülo Piik</t>
  </si>
  <si>
    <t>Karla Purgats, Tõnu Piik</t>
  </si>
  <si>
    <t>Tõnu Kapper, Vladimir Ogneštšikov</t>
  </si>
  <si>
    <t>Illar Tõnurist, Kati Tuzberg</t>
  </si>
  <si>
    <t>Henri Müür, Johannes Neiland, Oleg Rõndenkov</t>
  </si>
  <si>
    <t>Henri Mitt, Kati Tuzberg</t>
  </si>
  <si>
    <t>Mait Metsla, Vladimir Ogneštšikov</t>
  </si>
  <si>
    <t>Boriss Klubov, Elmo Lageda, Jaan Sepp</t>
  </si>
  <si>
    <t>Argo Sepp, Ljudmila Varendi, Viktor Švarõgin</t>
  </si>
  <si>
    <t>Karla Purgats, Tõnu Kapper, Vladimir Ogneštšikov</t>
  </si>
  <si>
    <t>Klavdia Piik, Tõnu Piik, Ülo Piik</t>
  </si>
  <si>
    <t>Ivar Viljaste, Kristo Viljaste, Sirje Viljaste</t>
  </si>
  <si>
    <t>Mait Metsla, Matti Vinni, Oskar Sepp</t>
  </si>
  <si>
    <t>Janek Tarto, Lemmit Toomra, Romek Tarto</t>
  </si>
  <si>
    <t>B4</t>
  </si>
  <si>
    <t>Janek Tarto</t>
  </si>
  <si>
    <t>Lemmit Toomra</t>
  </si>
  <si>
    <t>Romek Tarto</t>
  </si>
  <si>
    <t>Viktor Švarõgin</t>
  </si>
  <si>
    <t>Argo Sepp</t>
  </si>
  <si>
    <t>Ljudmila Varendi</t>
  </si>
  <si>
    <t>Jaan Sepp</t>
  </si>
  <si>
    <t>Boriss Klubov</t>
  </si>
  <si>
    <t>Elmo Lageda</t>
  </si>
  <si>
    <t>Sirje Viljaste</t>
  </si>
  <si>
    <t>Ivar Viljaste</t>
  </si>
  <si>
    <t>Kristo Viljaste</t>
  </si>
  <si>
    <t>Oskar Sepp</t>
  </si>
  <si>
    <t>Mait Metsla</t>
  </si>
  <si>
    <t>Matti Vinni</t>
  </si>
  <si>
    <t>Svetlana Veski</t>
  </si>
  <si>
    <t>Aarne Välja</t>
  </si>
  <si>
    <t>Andres Veski</t>
  </si>
  <si>
    <t>Ülo Piik</t>
  </si>
  <si>
    <t>Klavdia Piik</t>
  </si>
  <si>
    <t>Tõnu Piik</t>
  </si>
  <si>
    <t>Vladimir Ogneštšikov</t>
  </si>
  <si>
    <t>Karla Purgats</t>
  </si>
  <si>
    <t>Tõnu Kapper</t>
  </si>
  <si>
    <t>ÜKSIK + DUO + TRIO</t>
  </si>
  <si>
    <t>Jaan Sepp, Klavdia Piik</t>
  </si>
  <si>
    <t>Henri Müür, Taavi Press</t>
  </si>
  <si>
    <t>Brigitta Neiland, Joana Taalberg / Johannes Neiland</t>
  </si>
  <si>
    <t>Illar Tõnurist, Jaan Saar / Jan-Martin Neiland</t>
  </si>
  <si>
    <t>Einar Juhkam, Kenneth Muusikus / Kristiin-Marleen Neiland</t>
  </si>
  <si>
    <t>sünnipäevaturniir, DUO</t>
  </si>
  <si>
    <t>Kuld</t>
  </si>
  <si>
    <t>Hõbe</t>
  </si>
  <si>
    <t>Pronks</t>
  </si>
  <si>
    <t>Medaleid</t>
  </si>
  <si>
    <t>KOHT</t>
  </si>
  <si>
    <t>KOKKU</t>
  </si>
  <si>
    <t>edasi/</t>
  </si>
  <si>
    <t>Üld</t>
  </si>
  <si>
    <t>/koht</t>
  </si>
  <si>
    <t>k</t>
  </si>
  <si>
    <t/>
  </si>
  <si>
    <t>Vello Vasser</t>
  </si>
  <si>
    <t>Aigi Orro</t>
  </si>
  <si>
    <t>Kalle Orro</t>
  </si>
  <si>
    <t>Oleg Rõndenkov</t>
  </si>
  <si>
    <t>Meelis Luud</t>
  </si>
  <si>
    <t>Tarmo Bombe</t>
  </si>
  <si>
    <t>Väino Aul</t>
  </si>
  <si>
    <t>Einar Juhkam</t>
  </si>
  <si>
    <t>Illar Tõnurist</t>
  </si>
  <si>
    <t>Urmas Jõeäär</t>
  </si>
  <si>
    <t>Henri Mitt</t>
  </si>
  <si>
    <t>Enn Tokman</t>
  </si>
  <si>
    <t>Melika Lehtla</t>
  </si>
  <si>
    <t>Jaan Saar</t>
  </si>
  <si>
    <t>Kenneth Muusikus</t>
  </si>
  <si>
    <t>Marta Bernat</t>
  </si>
  <si>
    <t>Joana Taalberg</t>
  </si>
  <si>
    <t>Aleksandr Tipakov</t>
  </si>
  <si>
    <t>Henri Müür</t>
  </si>
  <si>
    <t>Antonina Maksimova</t>
  </si>
  <si>
    <t>Taavi Press</t>
  </si>
  <si>
    <t>Kati Tuzberg</t>
  </si>
  <si>
    <t>L, 02.12.2017</t>
  </si>
  <si>
    <t>L, 09.12.2017</t>
  </si>
  <si>
    <t>L, 23.12.2017</t>
  </si>
  <si>
    <t>L, 30.12.2017</t>
  </si>
  <si>
    <t>Voka pliks-plaks</t>
  </si>
  <si>
    <t>Raul Mõtus, Vello Vasser</t>
  </si>
  <si>
    <t>Johannes Neiland, Kati Tuzberg</t>
  </si>
  <si>
    <t>Enn Tokman, Illar Tõnurist</t>
  </si>
  <si>
    <t>Einar Juhkam, Klavdia Piik</t>
  </si>
  <si>
    <t>Punktid</t>
  </si>
  <si>
    <t>Heili Vasser</t>
  </si>
  <si>
    <t>Jaan Sepp, Mait Metsla, Matti Vinni, Oskar Sepp</t>
  </si>
  <si>
    <t>Aarne Välja, Andres Veski, Karla Purgats, Svetlana Veski</t>
  </si>
  <si>
    <t>Ivar Viljaste, Janek Tarto, Kristo Viljaste, Sirje Viljaste</t>
  </si>
  <si>
    <t>Boriss Klubov, Klavdia Piik, Tõnu Piik</t>
  </si>
  <si>
    <t xml:space="preserve">20. EuroCup finaalid, </t>
  </si>
  <si>
    <t>ÜKSIK, DUO, SEGADUO, TRIO, SEGATRIO</t>
  </si>
  <si>
    <t>2-2</t>
  </si>
  <si>
    <t>0-4</t>
  </si>
  <si>
    <t>V</t>
  </si>
  <si>
    <t>3-1</t>
  </si>
  <si>
    <t>1. koht</t>
  </si>
  <si>
    <t>2. koht</t>
  </si>
  <si>
    <t>3. koht</t>
  </si>
  <si>
    <t>7 - 11 koht</t>
  </si>
  <si>
    <t>Mait Metsla, Tõnu Piik</t>
  </si>
  <si>
    <t>-1</t>
  </si>
  <si>
    <t>-2</t>
  </si>
  <si>
    <t>5/7</t>
  </si>
  <si>
    <t>POLE VALEMEID</t>
  </si>
  <si>
    <t>Argo Sepp, Jaan Sepp</t>
  </si>
  <si>
    <t>Johannes Neiland, Meelis Luud</t>
  </si>
  <si>
    <t>Kenneth Muusikus, Taavi Press</t>
  </si>
  <si>
    <t>Margus Vasser, Vello Vasser</t>
  </si>
  <si>
    <t>Margus Vasser</t>
  </si>
  <si>
    <t>Brigitta Neiland</t>
  </si>
  <si>
    <t>Kristiin-Marleen Neiland</t>
  </si>
  <si>
    <t>Jan-Martin Neiland</t>
  </si>
  <si>
    <t>Raul Mõtus</t>
  </si>
  <si>
    <t>Oleg Rõndenkov, Tomas Kivestu</t>
  </si>
  <si>
    <t>14-22</t>
  </si>
  <si>
    <t>16-14</t>
  </si>
  <si>
    <t>22-16</t>
  </si>
  <si>
    <t>+6</t>
  </si>
  <si>
    <t>-8</t>
  </si>
  <si>
    <t>+2</t>
  </si>
  <si>
    <t>Tomas Kivestu</t>
  </si>
  <si>
    <t>19-20</t>
  </si>
  <si>
    <t>17-19</t>
  </si>
  <si>
    <t>20-17</t>
  </si>
  <si>
    <t>19-23</t>
  </si>
  <si>
    <t>23-22</t>
  </si>
  <si>
    <t>22-19</t>
  </si>
  <si>
    <t>22-22</t>
  </si>
  <si>
    <t>22-25</t>
  </si>
  <si>
    <t>25-22</t>
  </si>
  <si>
    <t>0</t>
  </si>
  <si>
    <t>-3</t>
  </si>
  <si>
    <t>v</t>
  </si>
  <si>
    <t>1-4,2-3</t>
  </si>
  <si>
    <t>Janek Tarto, Romek Tarto</t>
  </si>
  <si>
    <t>Ivar Viljaste, Vladimir Ogneštšikov</t>
  </si>
  <si>
    <t>Alari Keedus, Ülo Piik</t>
  </si>
  <si>
    <t>Jaan Sepp, Matti Vinni</t>
  </si>
  <si>
    <t>Aarne Välja, Karla Purgats</t>
  </si>
  <si>
    <t>Alari Keedus</t>
  </si>
  <si>
    <t>Mait Metsla, Oskar Sepp</t>
  </si>
  <si>
    <t>"Jõuluhane" turniir</t>
  </si>
  <si>
    <t>4. Lucky Stone, DUO</t>
  </si>
  <si>
    <t>D</t>
  </si>
  <si>
    <t>E</t>
  </si>
  <si>
    <t>F</t>
  </si>
  <si>
    <t>G</t>
  </si>
  <si>
    <t>H</t>
  </si>
  <si>
    <t>J</t>
  </si>
  <si>
    <t>L</t>
  </si>
  <si>
    <t>M</t>
  </si>
  <si>
    <t>N</t>
  </si>
  <si>
    <t>O</t>
  </si>
  <si>
    <t>Q</t>
  </si>
  <si>
    <t>S</t>
  </si>
  <si>
    <t>T</t>
  </si>
  <si>
    <t>U</t>
  </si>
  <si>
    <t>W</t>
  </si>
  <si>
    <t>X</t>
  </si>
  <si>
    <t>Y</t>
  </si>
  <si>
    <t>Z</t>
  </si>
  <si>
    <t>rank</t>
  </si>
  <si>
    <t>val 1&amp;2</t>
  </si>
  <si>
    <t>val 1&amp;2&amp;3</t>
  </si>
  <si>
    <t>nimi tähestik</t>
  </si>
  <si>
    <t>vasak täht on 40 punkti, järgmine 34 punkti jne</t>
  </si>
  <si>
    <t>val1</t>
  </si>
  <si>
    <t>val2</t>
  </si>
  <si>
    <t>kolm paremat numbrit näitavad mitmes on nimi tähestiku järgi</t>
  </si>
  <si>
    <t>kasutab</t>
  </si>
  <si>
    <t>paremus-järjestus</t>
  </si>
  <si>
    <t>Joana Taalberg, Johannes Neiland, Kenneth Muusikus</t>
  </si>
  <si>
    <t>Aigi Orro, Kalle Orro</t>
  </si>
  <si>
    <t>4-0</t>
  </si>
  <si>
    <t>B5</t>
  </si>
  <si>
    <t>5 - 9 koht</t>
  </si>
  <si>
    <t>2v</t>
  </si>
  <si>
    <t>0v</t>
  </si>
  <si>
    <t>1v</t>
  </si>
  <si>
    <t>n</t>
  </si>
  <si>
    <t>j</t>
  </si>
  <si>
    <t>val3</t>
  </si>
  <si>
    <t>Arvesse läheb 4 võistlust 6st (2 triot 3st + 2 duot 3st). Finaali (üksikmäng) pääsevad 8 paremat.</t>
  </si>
  <si>
    <t>Etappide arvule vastav täht</t>
  </si>
  <si>
    <t>Etappide arv, millel on võistleja saanud näiteks 20 punkti</t>
  </si>
  <si>
    <t>Nagu näha, saab hooajal teha kuni 31 etappi (kuid tähtede ette võib lisada ka 9 numbrit - seega max 40 etappi)</t>
  </si>
  <si>
    <t>DSQ</t>
  </si>
  <si>
    <t xml:space="preserve">  </t>
  </si>
  <si>
    <t>kaks tühikut - ei osalenud</t>
  </si>
  <si>
    <t>Kollase taustaga on põhitabelile lisatud punktid</t>
  </si>
  <si>
    <t>Ida-Viru punktid</t>
  </si>
  <si>
    <t>Voka punktid</t>
  </si>
  <si>
    <t>järgi</t>
  </si>
  <si>
    <t>sordi selle</t>
  </si>
  <si>
    <t>Kui osales 11 võistkonda, sai võitja 11 punkti</t>
  </si>
  <si>
    <t>vasak täht on 17 punkti, järgmine 16 punkti jne</t>
  </si>
  <si>
    <t>max 17 võistkonda</t>
  </si>
  <si>
    <t>jä val 1&amp;2</t>
  </si>
  <si>
    <t>jä val 1&amp;2&amp;3</t>
  </si>
  <si>
    <t>peida need hallid veerud</t>
  </si>
  <si>
    <t>Peida halli taustaga veerud</t>
  </si>
  <si>
    <t>Kui mängija nimi on vigane või puudub reitingutabelist, teeb punaseks</t>
  </si>
  <si>
    <t>punktid</t>
  </si>
  <si>
    <t>enne 1 koma</t>
  </si>
  <si>
    <t>pärast 1 koma</t>
  </si>
  <si>
    <t>1 ja 2 koma vahel</t>
  </si>
  <si>
    <t>pärast 2 koma</t>
  </si>
  <si>
    <t>kokku</t>
  </si>
  <si>
    <t>L, 06.01.2018</t>
  </si>
  <si>
    <t>P, 07.01.2018</t>
  </si>
  <si>
    <t>Voka seeneturniir</t>
  </si>
  <si>
    <t>15:30</t>
  </si>
  <si>
    <t>Einar Juhkam, Illar Tõnurist</t>
  </si>
  <si>
    <t>Karla Purgats, Toomas Tedrekull / Jaan Saar</t>
  </si>
  <si>
    <t>Toomas Tedrekull</t>
  </si>
  <si>
    <t>Kenneth Muusikus, Oleg Rõndenkov / Joana Taalberg</t>
  </si>
  <si>
    <t>sordi selle veeru järgi suuremast</t>
  </si>
  <si>
    <t>väiksemaks</t>
  </si>
  <si>
    <t>Anne Sillamaa, Mati Tapo, Vallo Sillamaa, Vello Sillasoo</t>
  </si>
  <si>
    <t>Henri Mitt, Klavdia Piik</t>
  </si>
  <si>
    <t>14-25</t>
  </si>
  <si>
    <t>-11</t>
  </si>
  <si>
    <t>21-14</t>
  </si>
  <si>
    <t>25-21</t>
  </si>
  <si>
    <t>+7</t>
  </si>
  <si>
    <t>+4</t>
  </si>
  <si>
    <t>D2</t>
  </si>
  <si>
    <t>D1</t>
  </si>
  <si>
    <t>D3</t>
  </si>
  <si>
    <t>D4</t>
  </si>
  <si>
    <t>9 - 13 koht</t>
  </si>
  <si>
    <t>1 - 8 koht</t>
  </si>
  <si>
    <t>Andres Viisitam</t>
  </si>
  <si>
    <t>Klavdia Piik, Karla Purgats / Johannes Neiland</t>
  </si>
  <si>
    <t>Tõnu Kapper, Tõnu Piik, Vladimir Ogneštšikov</t>
  </si>
  <si>
    <t>2 ja 3 koma vahel</t>
  </si>
  <si>
    <t>pärast 3 koma</t>
  </si>
  <si>
    <t>Andres Viisitam, Tõnu Piik</t>
  </si>
  <si>
    <t>Henri Mitt, Taavi Press</t>
  </si>
  <si>
    <t>Jaan Saar, Tarmo Bombe / Illar Tõnurist</t>
  </si>
  <si>
    <t>24-24</t>
  </si>
  <si>
    <t>24-20</t>
  </si>
  <si>
    <t>20-24</t>
  </si>
  <si>
    <t>Jaan Saar, Illar Tõnurist / Tarmo Bombe</t>
  </si>
  <si>
    <t>Einar Juhkam, Enn Tokman</t>
  </si>
  <si>
    <t>K-Järve petangihall</t>
  </si>
  <si>
    <t>TRIO, DUO</t>
  </si>
  <si>
    <t>L, 13.01.2018</t>
  </si>
  <si>
    <t>L, 27.01.2018</t>
  </si>
  <si>
    <t>Kohalikud</t>
  </si>
  <si>
    <t>+/-</t>
  </si>
  <si>
    <t>3-2</t>
  </si>
  <si>
    <t>VI</t>
  </si>
  <si>
    <t>Jaan Rooden, Mait Metsla, Matti Vinni</t>
  </si>
  <si>
    <t>Aarne Välja, Karla Purgats, Ülo Piik</t>
  </si>
  <si>
    <t>Boriss Klubov, Elmo Lageda, Vladimir Ogneštšikov</t>
  </si>
  <si>
    <t>Eenok Sepp, Jaan Sepp, Oskar Sepp</t>
  </si>
  <si>
    <t>Aigi Orro, Kalle Orro, Pjotr Nikkar</t>
  </si>
  <si>
    <t>Janek Tarto, Kristo Viljaste, Tõnu Piik</t>
  </si>
  <si>
    <t>4 korda 2-3</t>
  </si>
  <si>
    <t>4 korda 3-2</t>
  </si>
  <si>
    <t>Andres Veski, Tarmo Bombe</t>
  </si>
  <si>
    <t>Urmas Randlaine, Ülo Piik</t>
  </si>
  <si>
    <t>Henri Mitt, Johannes Neiland</t>
  </si>
  <si>
    <t>Kenneth Muusikus, Svetlana Veski</t>
  </si>
  <si>
    <t>Loosiduo</t>
  </si>
  <si>
    <t>18:00</t>
  </si>
  <si>
    <t>"Jõuluhane" jätkuturniir</t>
  </si>
  <si>
    <t>20-16</t>
  </si>
  <si>
    <t>16-24</t>
  </si>
  <si>
    <t>Fredi Müür, Joana Taalberg</t>
  </si>
  <si>
    <t>DUO, pliks-plaks</t>
  </si>
  <si>
    <t>11. Sakura, ÜKSIK</t>
  </si>
  <si>
    <t>11. Sakura, DUO</t>
  </si>
  <si>
    <t>11. Sakura, TRIO</t>
  </si>
  <si>
    <t>Uzhgorod (Ukraina)</t>
  </si>
  <si>
    <t>Valga petangihall</t>
  </si>
  <si>
    <t>Enn Tokman, Tarmo Bombe / Johannes Neiland</t>
  </si>
  <si>
    <t>Oleg Rõndenkov, Toomas Tedrekull</t>
  </si>
  <si>
    <t>L, 03.02.2018</t>
  </si>
  <si>
    <t>L, 10.02.2018</t>
  </si>
  <si>
    <t>23-19</t>
  </si>
  <si>
    <t>17-16</t>
  </si>
  <si>
    <t>22-17</t>
  </si>
  <si>
    <t>16-22</t>
  </si>
  <si>
    <t>+5</t>
  </si>
  <si>
    <t>-6</t>
  </si>
  <si>
    <t>23-23</t>
  </si>
  <si>
    <t>registr. Klubide karikale</t>
  </si>
  <si>
    <t>Jaan Sepp, Johannes Neiland</t>
  </si>
  <si>
    <t>Enn Tokman, Kati Tuzberg</t>
  </si>
  <si>
    <t>Boriss Klubov, Mait Metsla</t>
  </si>
  <si>
    <t>Karla Purgats, Tõnu Kapper</t>
  </si>
  <si>
    <t>viiene</t>
  </si>
  <si>
    <t>neljane</t>
  </si>
  <si>
    <t>Illar Tõnurist, Jaan Sepp</t>
  </si>
  <si>
    <t>Klavdia Piik, Melika Lehtla</t>
  </si>
  <si>
    <t>Aigi Orro, Svetlana Veski</t>
  </si>
  <si>
    <t>Einar Juhkam, Johannes Neiland</t>
  </si>
  <si>
    <t>Ivar Viljaste, Sirje Viljaste</t>
  </si>
  <si>
    <t>Argo Sepp, Tõnu Piik</t>
  </si>
  <si>
    <t>Mait Metsla, Matti Vinni</t>
  </si>
  <si>
    <t>TRIO, SEGATRIO</t>
  </si>
  <si>
    <t>DUO, SEGADUO</t>
  </si>
  <si>
    <t>P, 18.03.2018</t>
  </si>
  <si>
    <t>Korbi karikas, 1. etapp</t>
  </si>
  <si>
    <t>Trio, segatrio</t>
  </si>
  <si>
    <t>P, 08.04.2018</t>
  </si>
  <si>
    <t>K-Järve SHK, Ilmar Taluste</t>
  </si>
  <si>
    <t>P, 29.04.2018</t>
  </si>
  <si>
    <t>L, 07.04.2018</t>
  </si>
  <si>
    <t>L, 21.04.2018</t>
  </si>
  <si>
    <t>L, 10.03.2018</t>
  </si>
  <si>
    <t>L, 24.03.2018</t>
  </si>
  <si>
    <t>5 €</t>
  </si>
  <si>
    <r>
      <t xml:space="preserve">Anne Sillamaa, Mati Tapo, Vallo Sillamaa, </t>
    </r>
    <r>
      <rPr>
        <sz val="10"/>
        <color theme="0" tint="-0.14999847407452621"/>
        <rFont val="Arial"/>
        <family val="2"/>
        <charset val="186"/>
      </rPr>
      <t>Vello Sillasoo</t>
    </r>
  </si>
  <si>
    <t>14. koht</t>
  </si>
  <si>
    <t>15. koht</t>
  </si>
  <si>
    <t>16. koht</t>
  </si>
  <si>
    <t>Aigi Orro, Elmo Lageda</t>
  </si>
  <si>
    <t>Einar Juhkam, Johannes Neiland, Väino Aul</t>
  </si>
  <si>
    <t>Henri Mitt, Melika Lehtla</t>
  </si>
  <si>
    <t>Olav Türk, Urmas Jõeäär</t>
  </si>
  <si>
    <t>Andrei Grintšak, Emil Murzajev</t>
  </si>
  <si>
    <t>C-finaali võitjad</t>
  </si>
  <si>
    <t>B-finaali võitjad</t>
  </si>
  <si>
    <t>fot</t>
  </si>
  <si>
    <t>Johannes Neiland, Kati Tuzberg, Tarmo Bombe</t>
  </si>
  <si>
    <t>Aarne Välja, Meelis Luud</t>
  </si>
  <si>
    <t>Enn Tokman, Tõnu Piik</t>
  </si>
  <si>
    <t>9 - 12 koht</t>
  </si>
  <si>
    <t>10. SHK-Maestro sõpruskohtumine</t>
  </si>
  <si>
    <t>Aarne Välja, Johannes Neiland</t>
  </si>
  <si>
    <t>Marta Bernat, Aleksandr Tipakov</t>
  </si>
  <si>
    <t>Henri Mitt, Urmas Jõeäär</t>
  </si>
  <si>
    <t>Einar Juhkam, Aleksander Korikov</t>
  </si>
  <si>
    <t>Aleksander Korikov</t>
  </si>
  <si>
    <t>9 - 16 koht</t>
  </si>
  <si>
    <t>Koh</t>
  </si>
  <si>
    <t>LOOSIDUO</t>
  </si>
  <si>
    <t>1-6</t>
  </si>
  <si>
    <t>4-6</t>
  </si>
  <si>
    <t>2-6</t>
  </si>
  <si>
    <t>5-6</t>
  </si>
  <si>
    <t>3-6</t>
  </si>
  <si>
    <t>21-24</t>
  </si>
  <si>
    <t>23-24</t>
  </si>
  <si>
    <t>Osal</t>
  </si>
  <si>
    <t>Eesti Vabariigi 100. aastap. turniir</t>
  </si>
  <si>
    <t xml:space="preserve">Eesti reitingusarja võistlused on kollase taustaga, </t>
  </si>
  <si>
    <t>arvesse läheb 8 võistlust 11st (4 reitinguvõistlust 6st + 4 Eesti sise-MV-d 5st)</t>
  </si>
  <si>
    <t>arvesse läheb 4 võistlust 6st (2 triot 3st + 2 duot 3st). Finaali (üksikmäng) pääsevad 8 paremat.</t>
  </si>
  <si>
    <t xml:space="preserve">Ida-Viru reitinguvõistlused on rasvases trükis ja valge taustaga, </t>
  </si>
  <si>
    <t xml:space="preserve">1. etapp, </t>
  </si>
  <si>
    <t xml:space="preserve">K-Järve </t>
  </si>
  <si>
    <t xml:space="preserve">17. KV </t>
  </si>
  <si>
    <t xml:space="preserve">TRIO, SEGATRIO, DUO, </t>
  </si>
  <si>
    <t>SEGADUO, ÜKSIK</t>
  </si>
  <si>
    <t xml:space="preserve">Avavõistlus, </t>
  </si>
  <si>
    <t>SHK KV 7. etapp (8 paremat)</t>
  </si>
  <si>
    <t>ÜKSIK (8 paremat)</t>
  </si>
  <si>
    <t>Duo,s-duo</t>
  </si>
  <si>
    <t>Trio,s-trio</t>
  </si>
  <si>
    <t>Seisuga 05.04.2018</t>
  </si>
  <si>
    <t>12:00</t>
  </si>
  <si>
    <t>Korbi karikas 1. etapp</t>
  </si>
  <si>
    <t>Korbi karikas 2. etapp</t>
  </si>
  <si>
    <t>Johannes Neiland, Kati Tuzberg, Ülo Piik</t>
  </si>
  <si>
    <t>Antonina Maksimova, Juhan Enniko</t>
  </si>
  <si>
    <t>Klavdia Piik, Taavi Press</t>
  </si>
  <si>
    <t>Janek Tarto, Urmas Jõeäär</t>
  </si>
  <si>
    <t>Juhan Enniko</t>
  </si>
  <si>
    <t>L ***</t>
  </si>
  <si>
    <t>Kohtla-Järve</t>
  </si>
  <si>
    <t>Jõhvi</t>
  </si>
  <si>
    <t>Alutaguse</t>
  </si>
  <si>
    <t>Toila</t>
  </si>
  <si>
    <t>1. DUO</t>
  </si>
  <si>
    <t>2. DUO</t>
  </si>
  <si>
    <t>Võidud</t>
  </si>
  <si>
    <t>Omavahelised mängud</t>
  </si>
  <si>
    <t>Loositrio</t>
  </si>
  <si>
    <t>LOOSITRIO</t>
  </si>
  <si>
    <t xml:space="preserve"> - loobusid</t>
  </si>
  <si>
    <r>
      <rPr>
        <b/>
        <sz val="10"/>
        <color theme="1"/>
        <rFont val="Arial"/>
        <family val="2"/>
        <charset val="186"/>
      </rPr>
      <t>Lõuna 2</t>
    </r>
    <r>
      <rPr>
        <sz val="10"/>
        <color theme="1"/>
        <rFont val="Arial"/>
        <family val="2"/>
        <charset val="186"/>
      </rPr>
      <t xml:space="preserve"> - Avo Tagen, Jaan Lüitsepp, Tiiu Haga, Tõnu Haga</t>
    </r>
  </si>
  <si>
    <r>
      <rPr>
        <b/>
        <sz val="10"/>
        <color theme="1"/>
        <rFont val="Arial"/>
        <family val="2"/>
        <charset val="186"/>
      </rPr>
      <t>Lääne</t>
    </r>
    <r>
      <rPr>
        <sz val="10"/>
        <color theme="1"/>
        <rFont val="Arial"/>
        <family val="2"/>
        <charset val="186"/>
      </rPr>
      <t xml:space="preserve"> - Egert Kingissepp, Ruudi Väärtnõu, Silver Kingissepp, Urmo Auväärt</t>
    </r>
  </si>
  <si>
    <r>
      <rPr>
        <b/>
        <sz val="10"/>
        <color theme="1"/>
        <rFont val="Arial"/>
        <family val="2"/>
        <charset val="186"/>
      </rPr>
      <t>Põhja 1</t>
    </r>
    <r>
      <rPr>
        <sz val="10"/>
        <color theme="1"/>
        <rFont val="Arial"/>
        <family val="2"/>
        <charset val="186"/>
      </rPr>
      <t xml:space="preserve"> - Kaido Kopel, Martin Mänd, Vahur Raudsepp, Veiko Proos</t>
    </r>
  </si>
  <si>
    <t>4-1</t>
  </si>
  <si>
    <r>
      <rPr>
        <b/>
        <sz val="10"/>
        <color theme="1"/>
        <rFont val="Arial"/>
        <family val="2"/>
        <charset val="186"/>
      </rPr>
      <t>Lõuna 1</t>
    </r>
    <r>
      <rPr>
        <sz val="10"/>
        <color theme="1"/>
        <rFont val="Arial"/>
        <family val="2"/>
        <charset val="186"/>
      </rPr>
      <t xml:space="preserve"> - Danel Pilv, Illart Majas, Jaan Joonas, Toomas Hoole</t>
    </r>
  </si>
  <si>
    <r>
      <rPr>
        <b/>
        <sz val="10"/>
        <color theme="1"/>
        <rFont val="Arial"/>
        <family val="2"/>
        <charset val="186"/>
      </rPr>
      <t>Ida</t>
    </r>
    <r>
      <rPr>
        <sz val="10"/>
        <color theme="1"/>
        <rFont val="Arial"/>
        <family val="2"/>
        <charset val="186"/>
      </rPr>
      <t xml:space="preserve"> - Jaan Sepp, Mait Metsla, Matti Vinni, Oskar Sepp</t>
    </r>
  </si>
  <si>
    <r>
      <rPr>
        <b/>
        <sz val="10"/>
        <color theme="1"/>
        <rFont val="Arial"/>
        <family val="2"/>
        <charset val="186"/>
      </rPr>
      <t>Põhja 2</t>
    </r>
    <r>
      <rPr>
        <sz val="10"/>
        <color theme="1"/>
        <rFont val="Arial"/>
        <family val="2"/>
        <charset val="186"/>
      </rPr>
      <t xml:space="preserve"> - Eve Oidsalu, Kalju Olmre, Priit Koppel, Thibaut Sergeï Mathon</t>
    </r>
  </si>
  <si>
    <t xml:space="preserve">Arvesse läheb 4 võistlust 6st (2 triot 3st + 2 duot 3st). Iga etapi võitja saab </t>
  </si>
  <si>
    <t>auhinnaks 70% osalustasudest. Finaali (üksikmäng) pääsevad 8 paremat.</t>
  </si>
  <si>
    <r>
      <t xml:space="preserve">DUO </t>
    </r>
    <r>
      <rPr>
        <sz val="10"/>
        <color rgb="FFCC0000"/>
        <rFont val="Arial"/>
        <family val="2"/>
        <charset val="186"/>
      </rPr>
      <t>- Naistepäeva turniir</t>
    </r>
  </si>
  <si>
    <t>Natalia Kähärä</t>
  </si>
  <si>
    <t>Illar Tõnurist, Natalia Kähärä</t>
  </si>
  <si>
    <t>Jäi ära? :(</t>
  </si>
  <si>
    <t>Naised</t>
  </si>
  <si>
    <t>Mehed</t>
  </si>
  <si>
    <t>Juuniorid</t>
  </si>
  <si>
    <t>triod (vajadusel mõni duo) reitingu esimesest, teisest ja kolmandast kolmandikust</t>
  </si>
  <si>
    <t xml:space="preserve">Finaali pääsemiseks on vajalik osavõtt vähemalt 1st etapist. Finaalis loositakse osavõtjatest </t>
  </si>
  <si>
    <t xml:space="preserve">Voka karikasarjas on finaali pääsemiseks on vajalik osavõtt vähemalt 1st etapist. </t>
  </si>
  <si>
    <t>Jaan Sepp, Tõnu Piik</t>
  </si>
  <si>
    <t>Ivar Viljaste, Kristo Viljaste</t>
  </si>
  <si>
    <t>Einar Juhkam, Jaan Saar, Johannes Neiland, Tarmo Bombe</t>
  </si>
  <si>
    <t>Aarne Välja, Kenneth Muusikus, Lemmit Toomra</t>
  </si>
  <si>
    <t>Elmo Lageda, Mait Metsla, Urmas Jõeäär</t>
  </si>
  <si>
    <t>Enn Tokman, Kati Tuzberg, Ülo Piik</t>
  </si>
  <si>
    <t>Boriss Klubov, Janek Tarto, Taavi Press</t>
  </si>
  <si>
    <t>Illar Tõnurist, Jaan Sepp, Klavdia Piik</t>
  </si>
  <si>
    <t>Henri Mitt, Tõnu Piik, Vladimir Ogneštšikov</t>
  </si>
  <si>
    <t>Karla Purgats, Melika Lehtla, Oskar Sepp</t>
  </si>
  <si>
    <t>Kahjuks selgusid KV sarja tingimused alles pärast viimast etappi …</t>
  </si>
  <si>
    <t>Hooaja auhinnaraha</t>
  </si>
  <si>
    <t>KORBI KARIKA EELVOORUDE SUMMA</t>
  </si>
  <si>
    <t>Voka 1. sise-KV 1. etapp</t>
  </si>
  <si>
    <t>Voka 1. sise-KV 2. etapp</t>
  </si>
  <si>
    <t>Voka 1. sise-KV 3. etapp</t>
  </si>
  <si>
    <t>Voka 1. sise-KV 4. etapp</t>
  </si>
  <si>
    <t>Voka 1. sise-KV 5. etapp</t>
  </si>
  <si>
    <t>Voka 1. sise-KV 6. etapp</t>
  </si>
  <si>
    <t>Voka 1. sise-KV 7. etapp</t>
  </si>
  <si>
    <t>Voka 1. sise-KV 8. etapp</t>
  </si>
  <si>
    <t>Voka 1. sise-KV 9. etapp</t>
  </si>
  <si>
    <t>Voka 1. sise-KV 10. etapp</t>
  </si>
  <si>
    <t>Voka 1. sise-KV 11. etapp - Naistepäeva</t>
  </si>
  <si>
    <t>Voka 1. sise-KV 12. etapp</t>
  </si>
  <si>
    <t>Voka 1. sise-KV 13. etapp</t>
  </si>
  <si>
    <t>Voka 1. sise-KV finaal</t>
  </si>
  <si>
    <t>Auhinnaraha mängija kohta:</t>
  </si>
  <si>
    <t>Kenneth Muusikus, Peep Peenema</t>
  </si>
  <si>
    <t>Illar Tõnurist, Kati Tuzberg, Peep Peenema</t>
  </si>
  <si>
    <t>Henri Mitt, Peep Peenema</t>
  </si>
  <si>
    <t>Peep Peenema, Väino Aul</t>
  </si>
  <si>
    <t>Peep Peenema</t>
  </si>
  <si>
    <t>Kenneth Muusikus, Peep Peenema, Ülo Piik</t>
  </si>
  <si>
    <t>VOKA 1. SISEKARIKAVÕISTLUSED 2017-2018</t>
  </si>
  <si>
    <t>IDA-VIRUMAA PETANGIREITING 2017-2018 (SISE) / SHK KARIKAS</t>
  </si>
  <si>
    <t>EESTI JA IDA-VIRUMAA PETANGIKALENDER 2017-2018 (SISE)</t>
  </si>
  <si>
    <t>IDA-VIRUMAA PETANGIKALENDER 2017-2018 (SISE)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</si>
</sst>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&quot; €&quot;"/>
    <numFmt numFmtId="165" formatCode="ddd&quot;, &quot;dd/mm/yyyy"/>
    <numFmt numFmtId="166" formatCode="0;\-0;;@"/>
    <numFmt numFmtId="167" formatCode="#,##0\ &quot;€&quot;"/>
    <numFmt numFmtId="168" formatCode="0&quot; €&quot;"/>
    <numFmt numFmtId="169" formatCode="##&quot;.&quot;"/>
    <numFmt numFmtId="170" formatCode="#,##0.0\ &quot;€&quot;;\-#,##0.0\ &quot;€&quot;"/>
  </numFmts>
  <fonts count="68" x14ac:knownFonts="1">
    <font>
      <sz val="10"/>
      <color theme="1"/>
      <name val="Arial"/>
      <family val="2"/>
      <charset val="186"/>
    </font>
    <font>
      <sz val="10"/>
      <color indexed="8"/>
      <name val="Arial"/>
      <family val="2"/>
      <charset val="186"/>
    </font>
    <font>
      <sz val="11"/>
      <color indexed="8"/>
      <name val="Calibri"/>
      <family val="2"/>
      <charset val="186"/>
    </font>
    <font>
      <sz val="11"/>
      <color indexed="8"/>
      <name val="Calibri"/>
      <family val="2"/>
      <charset val="186"/>
    </font>
    <font>
      <sz val="10"/>
      <color indexed="8"/>
      <name val="Times New Roman"/>
      <family val="1"/>
      <charset val="186"/>
    </font>
    <font>
      <sz val="10"/>
      <name val="Arial"/>
      <family val="2"/>
      <charset val="186"/>
    </font>
    <font>
      <b/>
      <sz val="8"/>
      <color indexed="81"/>
      <name val="Tahoma"/>
      <family val="2"/>
      <charset val="186"/>
    </font>
    <font>
      <sz val="10"/>
      <name val="Arial"/>
      <family val="2"/>
      <charset val="204"/>
    </font>
    <font>
      <sz val="8"/>
      <color indexed="8"/>
      <name val="Arial Narrow"/>
      <family val="2"/>
      <charset val="186"/>
    </font>
    <font>
      <sz val="10"/>
      <color indexed="8"/>
      <name val="Arial"/>
      <family val="2"/>
      <charset val="186"/>
    </font>
    <font>
      <b/>
      <sz val="10"/>
      <color indexed="9"/>
      <name val="Arial"/>
      <family val="2"/>
      <charset val="186"/>
    </font>
    <font>
      <sz val="10"/>
      <color indexed="10"/>
      <name val="Arial"/>
      <family val="2"/>
      <charset val="186"/>
    </font>
    <font>
      <b/>
      <sz val="10"/>
      <color indexed="8"/>
      <name val="Arial"/>
      <family val="2"/>
      <charset val="186"/>
    </font>
    <font>
      <b/>
      <sz val="10"/>
      <name val="Arial"/>
      <family val="2"/>
      <charset val="186"/>
    </font>
    <font>
      <sz val="10"/>
      <color theme="1"/>
      <name val="Arial"/>
      <family val="2"/>
      <charset val="186"/>
    </font>
    <font>
      <u/>
      <sz val="10"/>
      <color theme="10"/>
      <name val="Arial"/>
      <family val="2"/>
      <charset val="186"/>
    </font>
    <font>
      <u/>
      <sz val="10"/>
      <color theme="10"/>
      <name val="Times New Roman"/>
      <family val="1"/>
      <charset val="186"/>
    </font>
    <font>
      <u/>
      <sz val="11"/>
      <color theme="10"/>
      <name val="Calibri"/>
      <family val="2"/>
      <charset val="186"/>
      <scheme val="minor"/>
    </font>
    <font>
      <sz val="10"/>
      <color rgb="FF000000"/>
      <name val="Times New Roman"/>
      <family val="1"/>
      <charset val="186"/>
    </font>
    <font>
      <sz val="10"/>
      <color rgb="FF000000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Arial"/>
      <family val="2"/>
      <charset val="186"/>
    </font>
    <font>
      <sz val="10"/>
      <color rgb="FFFF0000"/>
      <name val="Arial"/>
      <family val="2"/>
      <charset val="186"/>
    </font>
    <font>
      <b/>
      <sz val="10"/>
      <color rgb="FF0070C0"/>
      <name val="Arial"/>
      <family val="2"/>
      <charset val="186"/>
    </font>
    <font>
      <sz val="10"/>
      <color rgb="FFCC0000"/>
      <name val="Arial"/>
      <family val="2"/>
      <charset val="186"/>
    </font>
    <font>
      <sz val="10"/>
      <color theme="0" tint="-0.34998626667073579"/>
      <name val="Arial"/>
      <family val="2"/>
      <charset val="186"/>
    </font>
    <font>
      <b/>
      <sz val="10"/>
      <name val="Calibri"/>
      <family val="2"/>
      <charset val="186"/>
      <scheme val="minor"/>
    </font>
    <font>
      <u/>
      <sz val="10"/>
      <color rgb="FF0000FF"/>
      <name val="Arial"/>
      <family val="2"/>
      <charset val="186"/>
    </font>
    <font>
      <sz val="10"/>
      <color rgb="FF0000FF"/>
      <name val="Arial"/>
      <family val="2"/>
      <charset val="186"/>
    </font>
    <font>
      <b/>
      <u/>
      <sz val="10"/>
      <color theme="1"/>
      <name val="Arial"/>
      <family val="2"/>
      <charset val="186"/>
    </font>
    <font>
      <sz val="10"/>
      <color rgb="FF0070C0"/>
      <name val="Arial"/>
      <family val="2"/>
      <charset val="186"/>
    </font>
    <font>
      <u/>
      <sz val="10"/>
      <color theme="1"/>
      <name val="Arial"/>
      <family val="2"/>
      <charset val="186"/>
    </font>
    <font>
      <i/>
      <sz val="10"/>
      <color theme="1"/>
      <name val="Arial"/>
      <family val="2"/>
      <charset val="186"/>
    </font>
    <font>
      <b/>
      <sz val="10"/>
      <color rgb="FF00B050"/>
      <name val="Arial"/>
      <family val="2"/>
      <charset val="186"/>
    </font>
    <font>
      <b/>
      <u/>
      <sz val="10"/>
      <color rgb="FFFF0000"/>
      <name val="Arial"/>
      <family val="2"/>
      <charset val="186"/>
    </font>
    <font>
      <b/>
      <sz val="10"/>
      <color rgb="FFFF0000"/>
      <name val="Arial"/>
      <family val="2"/>
      <charset val="186"/>
    </font>
    <font>
      <b/>
      <sz val="10"/>
      <color theme="0"/>
      <name val="Arial"/>
      <family val="2"/>
      <charset val="186"/>
    </font>
    <font>
      <sz val="9"/>
      <color theme="0" tint="-0.249977111117893"/>
      <name val="Arial"/>
      <family val="2"/>
      <charset val="186"/>
    </font>
    <font>
      <i/>
      <sz val="10"/>
      <color theme="8" tint="0.39997558519241921"/>
      <name val="Arial"/>
      <family val="2"/>
      <charset val="186"/>
    </font>
    <font>
      <sz val="10"/>
      <color theme="10"/>
      <name val="Arial"/>
      <family val="2"/>
      <charset val="186"/>
    </font>
    <font>
      <sz val="10"/>
      <color theme="0" tint="-0.14999847407452621"/>
      <name val="Arial"/>
      <family val="2"/>
      <charset val="186"/>
    </font>
    <font>
      <b/>
      <sz val="10"/>
      <color theme="0" tint="-0.34998626667073579"/>
      <name val="Arial"/>
      <family val="2"/>
      <charset val="186"/>
    </font>
    <font>
      <sz val="10"/>
      <color theme="0"/>
      <name val="Arial"/>
      <family val="2"/>
      <charset val="186"/>
    </font>
    <font>
      <b/>
      <sz val="9"/>
      <color theme="1"/>
      <name val="Arial"/>
      <family val="2"/>
      <charset val="186"/>
    </font>
    <font>
      <b/>
      <sz val="9"/>
      <color rgb="FFCC0000"/>
      <name val="Arial"/>
      <family val="2"/>
      <charset val="186"/>
    </font>
    <font>
      <b/>
      <sz val="10"/>
      <color theme="1"/>
      <name val="Calibri"/>
      <family val="2"/>
      <charset val="186"/>
      <scheme val="minor"/>
    </font>
    <font>
      <sz val="9"/>
      <color theme="0" tint="-0.34998626667073579"/>
      <name val="Arial"/>
      <family val="2"/>
      <charset val="186"/>
    </font>
    <font>
      <b/>
      <sz val="10"/>
      <color rgb="FFCC0000"/>
      <name val="Arial"/>
      <family val="2"/>
      <charset val="186"/>
    </font>
    <font>
      <i/>
      <sz val="10"/>
      <color theme="8" tint="-0.249977111117893"/>
      <name val="Arial"/>
      <family val="2"/>
      <charset val="186"/>
    </font>
    <font>
      <i/>
      <sz val="10"/>
      <color theme="8" tint="0.79998168889431442"/>
      <name val="Arial"/>
      <family val="2"/>
      <charset val="186"/>
    </font>
    <font>
      <sz val="10"/>
      <color theme="8" tint="0.79998168889431442"/>
      <name val="Arial"/>
      <family val="2"/>
      <charset val="186"/>
    </font>
    <font>
      <i/>
      <u/>
      <sz val="10"/>
      <color theme="8" tint="0.39997558519241921"/>
      <name val="Arial"/>
      <family val="2"/>
      <charset val="186"/>
    </font>
    <font>
      <b/>
      <sz val="10"/>
      <color rgb="FF00B0F0"/>
      <name val="Arial"/>
      <family val="2"/>
      <charset val="186"/>
    </font>
    <font>
      <i/>
      <u/>
      <sz val="10"/>
      <color theme="1"/>
      <name val="Arial"/>
      <family val="2"/>
      <charset val="186"/>
    </font>
    <font>
      <sz val="10"/>
      <color theme="4" tint="0.39997558519241921"/>
      <name val="Arial"/>
      <family val="2"/>
      <charset val="186"/>
    </font>
    <font>
      <sz val="10"/>
      <color theme="5" tint="0.39997558519241921"/>
      <name val="Arial"/>
      <family val="2"/>
      <charset val="186"/>
    </font>
    <font>
      <b/>
      <u/>
      <sz val="10"/>
      <color theme="10"/>
      <name val="Arial"/>
      <family val="2"/>
      <charset val="186"/>
    </font>
    <font>
      <b/>
      <u/>
      <sz val="10"/>
      <color rgb="FF0000FF"/>
      <name val="Arial"/>
      <family val="2"/>
      <charset val="186"/>
    </font>
    <font>
      <u/>
      <sz val="10"/>
      <color rgb="FFFF0000"/>
      <name val="Arial"/>
      <family val="2"/>
      <charset val="186"/>
    </font>
    <font>
      <b/>
      <sz val="10"/>
      <color rgb="FFCC0066"/>
      <name val="Arial"/>
      <family val="2"/>
      <charset val="186"/>
    </font>
    <font>
      <sz val="10"/>
      <color rgb="FF00B0F0"/>
      <name val="Arial"/>
      <family val="2"/>
      <charset val="186"/>
    </font>
    <font>
      <b/>
      <sz val="10"/>
      <color theme="2" tint="-0.499984740745262"/>
      <name val="Arial"/>
      <family val="2"/>
      <charset val="186"/>
    </font>
    <font>
      <b/>
      <sz val="8"/>
      <color theme="2" tint="-0.499984740745262"/>
      <name val="Arial"/>
      <family val="2"/>
      <charset val="186"/>
    </font>
    <font>
      <sz val="10"/>
      <color theme="1"/>
      <name val="Calibri"/>
      <family val="2"/>
      <charset val="186"/>
      <scheme val="minor"/>
    </font>
    <font>
      <u/>
      <sz val="10"/>
      <color theme="10"/>
      <name val="Calibri"/>
      <family val="2"/>
      <charset val="186"/>
      <scheme val="minor"/>
    </font>
    <font>
      <b/>
      <sz val="8"/>
      <color theme="1"/>
      <name val="Arial"/>
      <family val="2"/>
      <charset val="186"/>
    </font>
  </fonts>
  <fills count="3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1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9"/>
      </patternFill>
    </fill>
    <fill>
      <patternFill patternType="solid">
        <fgColor rgb="FFFFFF99"/>
      </patternFill>
    </fill>
    <fill>
      <patternFill patternType="solid">
        <fgColor rgb="FFFF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94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24994659260841701"/>
      </left>
      <right style="medium">
        <color indexed="8"/>
      </right>
      <top style="medium">
        <color indexed="8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8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8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medium">
        <color indexed="8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8"/>
      </right>
      <top style="medium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n">
        <color theme="0" tint="-0.24994659260841701"/>
      </left>
      <right style="thick">
        <color indexed="8"/>
      </right>
      <top style="medium">
        <color indexed="8"/>
      </top>
      <bottom style="thin">
        <color theme="0" tint="-0.24994659260841701"/>
      </bottom>
      <diagonal/>
    </border>
    <border>
      <left/>
      <right style="thick">
        <color indexed="8"/>
      </right>
      <top/>
      <bottom/>
      <diagonal/>
    </border>
    <border>
      <left/>
      <right/>
      <top/>
      <bottom style="thick">
        <color indexed="8"/>
      </bottom>
      <diagonal/>
    </border>
    <border>
      <left/>
      <right style="medium">
        <color theme="1"/>
      </right>
      <top/>
      <bottom style="thick">
        <color indexed="8"/>
      </bottom>
      <diagonal/>
    </border>
    <border>
      <left style="medium">
        <color indexed="8"/>
      </left>
      <right/>
      <top/>
      <bottom style="thick">
        <color indexed="8"/>
      </bottom>
      <diagonal/>
    </border>
    <border>
      <left/>
      <right style="medium">
        <color indexed="8"/>
      </right>
      <top/>
      <bottom style="thick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theme="0" tint="-0.24994659260841701"/>
      </left>
      <right style="medium">
        <color indexed="8"/>
      </right>
      <top style="medium">
        <color auto="1"/>
      </top>
      <bottom style="thin">
        <color theme="0" tint="-0.24994659260841701"/>
      </bottom>
      <diagonal/>
    </border>
    <border>
      <left style="medium">
        <color theme="1"/>
      </left>
      <right/>
      <top style="medium">
        <color auto="1"/>
      </top>
      <bottom/>
      <diagonal/>
    </border>
    <border>
      <left style="thin">
        <color theme="0" tint="-0.24994659260841701"/>
      </left>
      <right style="thick">
        <color indexed="8"/>
      </right>
      <top style="medium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auto="1"/>
      </right>
      <top style="medium">
        <color auto="1"/>
      </top>
      <bottom style="thin">
        <color theme="0" tint="-0.2499465926084170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ck">
        <color indexed="8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 style="medium">
        <color auto="1"/>
      </left>
      <right/>
      <top style="medium">
        <color indexed="8"/>
      </top>
      <bottom/>
      <diagonal/>
    </border>
    <border>
      <left style="medium">
        <color auto="1"/>
      </left>
      <right/>
      <top/>
      <bottom style="medium">
        <color indexed="8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indexed="8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8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theme="1"/>
      </left>
      <right/>
      <top style="medium">
        <color auto="1"/>
      </top>
      <bottom/>
      <diagonal/>
    </border>
    <border>
      <left style="thin">
        <color theme="0" tint="-0.24994659260841701"/>
      </left>
      <right style="medium">
        <color auto="1"/>
      </right>
      <top style="medium">
        <color auto="1"/>
      </top>
      <bottom style="thin">
        <color theme="0" tint="-0.24994659260841701"/>
      </bottom>
      <diagonal/>
    </border>
    <border>
      <left/>
      <right style="medium">
        <color theme="1"/>
      </right>
      <top/>
      <bottom style="medium">
        <color auto="1"/>
      </bottom>
      <diagonal/>
    </border>
    <border>
      <left style="medium">
        <color theme="1"/>
      </left>
      <right/>
      <top/>
      <bottom style="medium">
        <color auto="1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auto="1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8"/>
      </left>
      <right/>
      <top/>
      <bottom/>
      <diagonal/>
    </border>
    <border>
      <left style="medium">
        <color indexed="8"/>
      </left>
      <right/>
      <top style="thick">
        <color indexed="8"/>
      </top>
      <bottom/>
      <diagonal/>
    </border>
    <border>
      <left style="thin">
        <color theme="0" tint="-0.24994659260841701"/>
      </left>
      <right style="medium">
        <color indexed="8"/>
      </right>
      <top style="thick">
        <color indexed="8"/>
      </top>
      <bottom style="thin">
        <color theme="0" tint="-0.24994659260841701"/>
      </bottom>
      <diagonal/>
    </border>
    <border>
      <left/>
      <right/>
      <top style="thick">
        <color indexed="8"/>
      </top>
      <bottom/>
      <diagonal/>
    </border>
    <border>
      <left/>
      <right/>
      <top style="thin">
        <color theme="8" tint="0.39994506668294322"/>
      </top>
      <bottom style="thin">
        <color theme="8" tint="0.39994506668294322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thin">
        <color theme="8" tint="0.39994506668294322"/>
      </top>
      <bottom style="thin">
        <color theme="8" tint="0.39994506668294322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auto="1"/>
      </left>
      <right/>
      <top style="thin">
        <color theme="8" tint="0.39994506668294322"/>
      </top>
      <bottom style="medium">
        <color rgb="FF000000"/>
      </bottom>
      <diagonal/>
    </border>
    <border>
      <left/>
      <right style="medium">
        <color rgb="FF000000"/>
      </right>
      <top style="thin">
        <color theme="8" tint="0.39994506668294322"/>
      </top>
      <bottom style="thin">
        <color theme="8" tint="0.39994506668294322"/>
      </bottom>
      <diagonal/>
    </border>
    <border>
      <left/>
      <right/>
      <top style="thin">
        <color theme="8" tint="0.39994506668294322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8"/>
      </right>
      <top style="medium">
        <color indexed="8"/>
      </top>
      <bottom style="thin">
        <color theme="0" tint="-0.2499465926084170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ck">
        <color rgb="FF000000"/>
      </right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theme="0" tint="-0.24994659260841701"/>
      </left>
      <right style="medium">
        <color rgb="FF000000"/>
      </right>
      <top style="medium">
        <color rgb="FF000000"/>
      </top>
      <bottom style="thin">
        <color theme="0" tint="-0.24994659260841701"/>
      </bottom>
      <diagonal/>
    </border>
    <border>
      <left style="thick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auto="1"/>
      </right>
      <top style="thin">
        <color theme="0" tint="-0.24994659260841701"/>
      </top>
      <bottom/>
      <diagonal/>
    </border>
    <border>
      <left/>
      <right style="medium">
        <color rgb="FF000000"/>
      </right>
      <top/>
      <bottom style="medium">
        <color indexed="8"/>
      </bottom>
      <diagonal/>
    </border>
    <border>
      <left style="thick">
        <color auto="1"/>
      </left>
      <right/>
      <top/>
      <bottom style="dashDot">
        <color auto="1"/>
      </bottom>
      <diagonal/>
    </border>
    <border>
      <left/>
      <right style="medium">
        <color indexed="8"/>
      </right>
      <top/>
      <bottom style="dashDot">
        <color auto="1"/>
      </bottom>
      <diagonal/>
    </border>
    <border>
      <left style="medium">
        <color indexed="8"/>
      </left>
      <right/>
      <top/>
      <bottom style="dashDot">
        <color auto="1"/>
      </bottom>
      <diagonal/>
    </border>
    <border>
      <left style="thick">
        <color auto="1"/>
      </left>
      <right/>
      <top style="dashDot">
        <color auto="1"/>
      </top>
      <bottom style="thin">
        <color theme="8" tint="0.39994506668294322"/>
      </bottom>
      <diagonal/>
    </border>
    <border>
      <left/>
      <right/>
      <top style="dashDot">
        <color auto="1"/>
      </top>
      <bottom style="thin">
        <color theme="8" tint="0.39994506668294322"/>
      </bottom>
      <diagonal/>
    </border>
    <border>
      <left/>
      <right style="medium">
        <color indexed="8"/>
      </right>
      <top style="dashDot">
        <color auto="1"/>
      </top>
      <bottom style="thin">
        <color theme="8" tint="0.39994506668294322"/>
      </bottom>
      <diagonal/>
    </border>
    <border>
      <left/>
      <right style="medium">
        <color indexed="8"/>
      </right>
      <top/>
      <bottom style="dashDot">
        <color indexed="8"/>
      </bottom>
      <diagonal/>
    </border>
    <border>
      <left style="medium">
        <color indexed="8"/>
      </left>
      <right/>
      <top style="dashDot">
        <color indexed="8"/>
      </top>
      <bottom/>
      <diagonal/>
    </border>
    <border>
      <left/>
      <right style="medium">
        <color indexed="8"/>
      </right>
      <top style="dashDot">
        <color indexed="8"/>
      </top>
      <bottom/>
      <diagonal/>
    </border>
    <border>
      <left/>
      <right/>
      <top style="dashDot">
        <color indexed="8"/>
      </top>
      <bottom/>
      <diagonal/>
    </border>
    <border>
      <left style="medium">
        <color indexed="8"/>
      </left>
      <right/>
      <top/>
      <bottom style="dashDot">
        <color indexed="8"/>
      </bottom>
      <diagonal/>
    </border>
    <border>
      <left style="medium">
        <color rgb="FF000000"/>
      </left>
      <right/>
      <top/>
      <bottom style="dashDot">
        <color auto="1"/>
      </bottom>
      <diagonal/>
    </border>
    <border>
      <left/>
      <right style="medium">
        <color auto="1"/>
      </right>
      <top/>
      <bottom style="dashDot">
        <color auto="1"/>
      </bottom>
      <diagonal/>
    </border>
    <border>
      <left/>
      <right/>
      <top/>
      <bottom style="dashDot">
        <color auto="1"/>
      </bottom>
      <diagonal/>
    </border>
    <border>
      <left style="medium">
        <color rgb="FF000000"/>
      </left>
      <right/>
      <top style="dashDot">
        <color auto="1"/>
      </top>
      <bottom/>
      <diagonal/>
    </border>
    <border>
      <left/>
      <right/>
      <top style="dashDot">
        <color auto="1"/>
      </top>
      <bottom/>
      <diagonal/>
    </border>
    <border>
      <left style="medium">
        <color auto="1"/>
      </left>
      <right/>
      <top style="dashDot">
        <color auto="1"/>
      </top>
      <bottom/>
      <diagonal/>
    </border>
    <border>
      <left/>
      <right style="medium">
        <color auto="1"/>
      </right>
      <top style="dashDot">
        <color auto="1"/>
      </top>
      <bottom/>
      <diagonal/>
    </border>
    <border>
      <left style="thick">
        <color rgb="FF000000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rgb="FF000000"/>
      </left>
      <right/>
      <top style="dashDot">
        <color rgb="FF000000"/>
      </top>
      <bottom/>
      <diagonal/>
    </border>
    <border>
      <left/>
      <right style="medium">
        <color rgb="FF000000"/>
      </right>
      <top style="dashDot">
        <color rgb="FF000000"/>
      </top>
      <bottom/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/>
      <top/>
      <bottom style="thin">
        <color theme="8" tint="0.39994506668294322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auto="1"/>
      </left>
      <right/>
      <top/>
      <bottom style="dashDot">
        <color auto="1"/>
      </bottom>
      <diagonal/>
    </border>
  </borders>
  <cellStyleXfs count="33">
    <xf numFmtId="0" fontId="0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" fillId="0" borderId="0"/>
    <xf numFmtId="0" fontId="7" fillId="0" borderId="0"/>
    <xf numFmtId="0" fontId="18" fillId="0" borderId="0"/>
    <xf numFmtId="0" fontId="7" fillId="0" borderId="0"/>
    <xf numFmtId="0" fontId="18" fillId="0" borderId="0"/>
    <xf numFmtId="0" fontId="19" fillId="0" borderId="0"/>
    <xf numFmtId="0" fontId="4" fillId="0" borderId="0"/>
    <xf numFmtId="0" fontId="7" fillId="0" borderId="0"/>
    <xf numFmtId="0" fontId="4" fillId="0" borderId="0"/>
    <xf numFmtId="0" fontId="20" fillId="0" borderId="0"/>
    <xf numFmtId="0" fontId="3" fillId="0" borderId="0"/>
    <xf numFmtId="0" fontId="5" fillId="0" borderId="0"/>
    <xf numFmtId="0" fontId="21" fillId="0" borderId="0"/>
    <xf numFmtId="0" fontId="2" fillId="0" borderId="0"/>
    <xf numFmtId="0" fontId="3" fillId="0" borderId="0"/>
    <xf numFmtId="0" fontId="18" fillId="0" borderId="0"/>
    <xf numFmtId="0" fontId="2" fillId="0" borderId="0"/>
    <xf numFmtId="0" fontId="20" fillId="0" borderId="0"/>
    <xf numFmtId="0" fontId="3" fillId="0" borderId="0"/>
    <xf numFmtId="0" fontId="3" fillId="0" borderId="0"/>
    <xf numFmtId="0" fontId="2" fillId="0" borderId="0"/>
    <xf numFmtId="0" fontId="22" fillId="0" borderId="0"/>
    <xf numFmtId="0" fontId="2" fillId="0" borderId="0"/>
    <xf numFmtId="0" fontId="5" fillId="0" borderId="0"/>
    <xf numFmtId="0" fontId="20" fillId="0" borderId="0"/>
    <xf numFmtId="0" fontId="14" fillId="0" borderId="0"/>
    <xf numFmtId="49" fontId="8" fillId="2" borderId="0" applyBorder="0" applyProtection="0">
      <alignment horizontal="left" vertical="top" wrapText="1"/>
    </xf>
  </cellStyleXfs>
  <cellXfs count="1469">
    <xf numFmtId="0" fontId="0" fillId="0" borderId="0" xfId="0"/>
    <xf numFmtId="0" fontId="12" fillId="0" borderId="0" xfId="23" applyFont="1" applyAlignment="1">
      <alignment vertical="top"/>
    </xf>
    <xf numFmtId="164" fontId="9" fillId="0" borderId="0" xfId="20" applyNumberFormat="1" applyFont="1" applyAlignment="1">
      <alignment horizontal="right"/>
    </xf>
    <xf numFmtId="0" fontId="9" fillId="0" borderId="0" xfId="23" applyFont="1" applyAlignment="1">
      <alignment vertical="top"/>
    </xf>
    <xf numFmtId="0" fontId="9" fillId="0" borderId="0" xfId="23" applyFont="1" applyAlignment="1"/>
    <xf numFmtId="0" fontId="9" fillId="0" borderId="0" xfId="23" applyFont="1" applyBorder="1" applyAlignment="1"/>
    <xf numFmtId="0" fontId="0" fillId="0" borderId="0" xfId="0" applyFont="1"/>
    <xf numFmtId="0" fontId="15" fillId="0" borderId="0" xfId="1" applyAlignment="1">
      <alignment horizontal="right"/>
    </xf>
    <xf numFmtId="0" fontId="0" fillId="0" borderId="0" xfId="0" applyFont="1" applyFill="1"/>
    <xf numFmtId="165" fontId="12" fillId="0" borderId="0" xfId="20" applyNumberFormat="1" applyFont="1" applyAlignment="1">
      <alignment horizontal="left"/>
    </xf>
    <xf numFmtId="20" fontId="12" fillId="0" borderId="0" xfId="20" applyNumberFormat="1" applyFont="1" applyAlignment="1">
      <alignment horizontal="left"/>
    </xf>
    <xf numFmtId="0" fontId="9" fillId="0" borderId="0" xfId="20" applyFont="1" applyAlignment="1"/>
    <xf numFmtId="0" fontId="9" fillId="0" borderId="0" xfId="20" applyFont="1" applyAlignment="1">
      <alignment horizontal="center"/>
    </xf>
    <xf numFmtId="0" fontId="12" fillId="0" borderId="0" xfId="15" applyFont="1" applyBorder="1" applyAlignment="1"/>
    <xf numFmtId="0" fontId="12" fillId="0" borderId="0" xfId="15" applyFont="1" applyFill="1" applyBorder="1" applyAlignment="1"/>
    <xf numFmtId="0" fontId="9" fillId="0" borderId="6" xfId="15" applyFont="1" applyFill="1" applyBorder="1" applyAlignment="1"/>
    <xf numFmtId="0" fontId="9" fillId="0" borderId="0" xfId="15" applyFont="1" applyFill="1" applyBorder="1" applyAlignment="1"/>
    <xf numFmtId="0" fontId="12" fillId="0" borderId="9" xfId="0" applyFont="1" applyFill="1" applyBorder="1" applyAlignment="1"/>
    <xf numFmtId="0" fontId="12" fillId="0" borderId="4" xfId="15" applyFont="1" applyFill="1" applyBorder="1" applyAlignment="1"/>
    <xf numFmtId="0" fontId="12" fillId="0" borderId="7" xfId="15" applyFont="1" applyFill="1" applyBorder="1" applyAlignment="1"/>
    <xf numFmtId="0" fontId="9" fillId="0" borderId="5" xfId="15" applyFont="1" applyFill="1" applyBorder="1" applyAlignment="1"/>
    <xf numFmtId="0" fontId="9" fillId="0" borderId="12" xfId="15" applyFont="1" applyFill="1" applyBorder="1" applyAlignment="1"/>
    <xf numFmtId="0" fontId="9" fillId="0" borderId="9" xfId="15" applyFont="1" applyFill="1" applyBorder="1" applyAlignment="1"/>
    <xf numFmtId="0" fontId="9" fillId="0" borderId="8" xfId="15" applyFont="1" applyFill="1" applyBorder="1" applyAlignment="1"/>
    <xf numFmtId="0" fontId="9" fillId="0" borderId="0" xfId="1" applyFont="1" applyFill="1" applyBorder="1" applyAlignment="1"/>
    <xf numFmtId="0" fontId="9" fillId="0" borderId="8" xfId="1" applyFont="1" applyFill="1" applyBorder="1" applyAlignment="1"/>
    <xf numFmtId="0" fontId="9" fillId="0" borderId="5" xfId="1" applyFont="1" applyFill="1" applyBorder="1" applyAlignment="1"/>
    <xf numFmtId="0" fontId="9" fillId="0" borderId="8" xfId="3" applyFont="1" applyFill="1" applyBorder="1" applyAlignment="1"/>
    <xf numFmtId="0" fontId="12" fillId="0" borderId="9" xfId="15" applyFont="1" applyFill="1" applyBorder="1" applyAlignment="1"/>
    <xf numFmtId="0" fontId="12" fillId="0" borderId="5" xfId="15" applyFont="1" applyFill="1" applyBorder="1" applyAlignment="1"/>
    <xf numFmtId="0" fontId="9" fillId="0" borderId="15" xfId="15" applyFont="1" applyFill="1" applyBorder="1" applyAlignment="1"/>
    <xf numFmtId="0" fontId="12" fillId="0" borderId="14" xfId="15" applyFont="1" applyFill="1" applyBorder="1" applyAlignment="1"/>
    <xf numFmtId="0" fontId="0" fillId="0" borderId="0" xfId="0"/>
    <xf numFmtId="0" fontId="0" fillId="0" borderId="0" xfId="0" applyFont="1" applyFill="1" applyBorder="1" applyAlignment="1"/>
    <xf numFmtId="0" fontId="9" fillId="0" borderId="7" xfId="15" applyFont="1" applyFill="1" applyBorder="1" applyAlignment="1"/>
    <xf numFmtId="0" fontId="9" fillId="0" borderId="5" xfId="23" applyFont="1" applyFill="1" applyBorder="1" applyAlignment="1"/>
    <xf numFmtId="0" fontId="12" fillId="0" borderId="5" xfId="23" applyFont="1" applyFill="1" applyBorder="1" applyAlignment="1"/>
    <xf numFmtId="0" fontId="9" fillId="0" borderId="9" xfId="23" applyFont="1" applyFill="1" applyBorder="1" applyAlignment="1"/>
    <xf numFmtId="0" fontId="12" fillId="0" borderId="4" xfId="23" applyFont="1" applyFill="1" applyBorder="1" applyAlignment="1"/>
    <xf numFmtId="0" fontId="12" fillId="0" borderId="9" xfId="23" applyFont="1" applyFill="1" applyBorder="1" applyAlignment="1"/>
    <xf numFmtId="0" fontId="10" fillId="0" borderId="4" xfId="23" applyFont="1" applyFill="1" applyBorder="1" applyAlignment="1"/>
    <xf numFmtId="0" fontId="9" fillId="0" borderId="8" xfId="23" applyFont="1" applyFill="1" applyBorder="1" applyAlignment="1"/>
    <xf numFmtId="0" fontId="12" fillId="0" borderId="7" xfId="23" applyFont="1" applyFill="1" applyBorder="1" applyAlignment="1"/>
    <xf numFmtId="0" fontId="12" fillId="0" borderId="8" xfId="23" applyFont="1" applyFill="1" applyBorder="1" applyAlignment="1"/>
    <xf numFmtId="0" fontId="23" fillId="0" borderId="0" xfId="15" applyFont="1" applyFill="1" applyBorder="1" applyAlignment="1"/>
    <xf numFmtId="0" fontId="14" fillId="0" borderId="0" xfId="15" applyFont="1" applyFill="1" applyBorder="1" applyAlignment="1"/>
    <xf numFmtId="0" fontId="14" fillId="0" borderId="0" xfId="15" applyFont="1" applyBorder="1" applyAlignment="1"/>
    <xf numFmtId="0" fontId="14" fillId="0" borderId="0" xfId="15" applyFont="1" applyAlignment="1">
      <alignment vertical="top"/>
    </xf>
    <xf numFmtId="0" fontId="23" fillId="7" borderId="0" xfId="23" applyFont="1" applyFill="1" applyAlignment="1">
      <alignment vertical="top"/>
    </xf>
    <xf numFmtId="0" fontId="23" fillId="0" borderId="0" xfId="23" applyFont="1" applyFill="1" applyAlignment="1">
      <alignment vertical="top"/>
    </xf>
    <xf numFmtId="0" fontId="25" fillId="0" borderId="0" xfId="23" applyFont="1" applyAlignment="1">
      <alignment vertical="top"/>
    </xf>
    <xf numFmtId="0" fontId="15" fillId="0" borderId="0" xfId="1"/>
    <xf numFmtId="0" fontId="26" fillId="0" borderId="0" xfId="7" applyFont="1" applyFill="1" applyBorder="1" applyAlignment="1">
      <alignment horizontal="right"/>
    </xf>
    <xf numFmtId="0" fontId="13" fillId="0" borderId="16" xfId="7" applyFont="1" applyFill="1" applyBorder="1" applyAlignment="1"/>
    <xf numFmtId="0" fontId="5" fillId="0" borderId="16" xfId="7" applyFont="1" applyFill="1" applyBorder="1" applyAlignment="1"/>
    <xf numFmtId="0" fontId="5" fillId="0" borderId="16" xfId="7" applyFont="1" applyFill="1" applyBorder="1" applyAlignment="1">
      <alignment horizontal="center"/>
    </xf>
    <xf numFmtId="0" fontId="13" fillId="0" borderId="16" xfId="7" applyFont="1" applyFill="1" applyBorder="1" applyAlignment="1">
      <alignment horizontal="center"/>
    </xf>
    <xf numFmtId="0" fontId="27" fillId="0" borderId="16" xfId="7" applyFont="1" applyFill="1" applyBorder="1" applyAlignment="1">
      <alignment horizontal="center"/>
    </xf>
    <xf numFmtId="0" fontId="27" fillId="0" borderId="16" xfId="7" applyFont="1" applyFill="1" applyBorder="1" applyAlignment="1"/>
    <xf numFmtId="0" fontId="5" fillId="0" borderId="16" xfId="26" applyFont="1" applyFill="1" applyBorder="1" applyAlignment="1">
      <alignment horizontal="center"/>
    </xf>
    <xf numFmtId="0" fontId="14" fillId="0" borderId="16" xfId="6" applyFont="1" applyFill="1" applyBorder="1"/>
    <xf numFmtId="0" fontId="14" fillId="0" borderId="16" xfId="7" applyFont="1" applyFill="1" applyBorder="1" applyAlignment="1"/>
    <xf numFmtId="165" fontId="25" fillId="0" borderId="0" xfId="6" applyNumberFormat="1" applyFont="1" applyFill="1" applyBorder="1" applyAlignment="1">
      <alignment horizontal="left"/>
    </xf>
    <xf numFmtId="20" fontId="13" fillId="0" borderId="0" xfId="6" applyNumberFormat="1" applyFont="1" applyFill="1" applyBorder="1" applyAlignment="1">
      <alignment horizontal="left"/>
    </xf>
    <xf numFmtId="0" fontId="1" fillId="0" borderId="0" xfId="22" applyFont="1" applyFill="1"/>
    <xf numFmtId="0" fontId="1" fillId="0" borderId="0" xfId="22" applyFont="1" applyFill="1" applyAlignment="1"/>
    <xf numFmtId="0" fontId="1" fillId="0" borderId="0" xfId="22" applyFont="1" applyFill="1" applyAlignment="1">
      <alignment horizontal="center"/>
    </xf>
    <xf numFmtId="0" fontId="1" fillId="0" borderId="0" xfId="22" applyFont="1" applyAlignment="1">
      <alignment horizontal="center"/>
    </xf>
    <xf numFmtId="0" fontId="1" fillId="0" borderId="0" xfId="22" applyFont="1"/>
    <xf numFmtId="165" fontId="12" fillId="0" borderId="0" xfId="22" applyNumberFormat="1" applyFont="1" applyFill="1" applyAlignment="1">
      <alignment horizontal="left"/>
    </xf>
    <xf numFmtId="20" fontId="12" fillId="0" borderId="0" xfId="22" applyNumberFormat="1" applyFont="1" applyFill="1" applyAlignment="1">
      <alignment horizontal="left"/>
    </xf>
    <xf numFmtId="164" fontId="1" fillId="0" borderId="0" xfId="22" applyNumberFormat="1" applyFont="1" applyFill="1" applyAlignment="1">
      <alignment horizontal="right"/>
    </xf>
    <xf numFmtId="0" fontId="12" fillId="6" borderId="17" xfId="22" applyFont="1" applyFill="1" applyBorder="1" applyAlignment="1"/>
    <xf numFmtId="0" fontId="1" fillId="0" borderId="0" xfId="22" applyFont="1" applyFill="1" applyAlignment="1">
      <alignment vertical="center"/>
    </xf>
    <xf numFmtId="0" fontId="1" fillId="0" borderId="0" xfId="22" applyFont="1" applyAlignment="1">
      <alignment vertical="center"/>
    </xf>
    <xf numFmtId="0" fontId="14" fillId="0" borderId="0" xfId="22" applyFont="1" applyFill="1" applyAlignment="1">
      <alignment vertical="center"/>
    </xf>
    <xf numFmtId="0" fontId="30" fillId="0" borderId="0" xfId="22" applyFont="1" applyFill="1" applyAlignment="1">
      <alignment vertical="center"/>
    </xf>
    <xf numFmtId="164" fontId="14" fillId="0" borderId="0" xfId="22" applyNumberFormat="1" applyFont="1" applyFill="1" applyAlignment="1">
      <alignment horizontal="center" vertical="center"/>
    </xf>
    <xf numFmtId="166" fontId="14" fillId="0" borderId="0" xfId="22" applyNumberFormat="1" applyFont="1" applyFill="1" applyAlignment="1">
      <alignment horizontal="center" vertical="center"/>
    </xf>
    <xf numFmtId="0" fontId="23" fillId="0" borderId="0" xfId="0" applyFont="1" applyFill="1"/>
    <xf numFmtId="0" fontId="0" fillId="0" borderId="0" xfId="0" applyFill="1"/>
    <xf numFmtId="0" fontId="24" fillId="0" borderId="0" xfId="0" applyFont="1"/>
    <xf numFmtId="165" fontId="12" fillId="0" borderId="0" xfId="22" applyNumberFormat="1" applyFont="1" applyAlignment="1">
      <alignment horizontal="left"/>
    </xf>
    <xf numFmtId="20" fontId="12" fillId="0" borderId="0" xfId="22" applyNumberFormat="1" applyFont="1" applyAlignment="1">
      <alignment horizontal="left"/>
    </xf>
    <xf numFmtId="0" fontId="1" fillId="0" borderId="0" xfId="22" applyFont="1" applyAlignment="1"/>
    <xf numFmtId="164" fontId="1" fillId="0" borderId="0" xfId="22" applyNumberFormat="1" applyFont="1" applyAlignment="1">
      <alignment horizontal="right"/>
    </xf>
    <xf numFmtId="0" fontId="25" fillId="0" borderId="0" xfId="23" applyFont="1"/>
    <xf numFmtId="0" fontId="23" fillId="0" borderId="0" xfId="23" applyFont="1"/>
    <xf numFmtId="0" fontId="14" fillId="0" borderId="0" xfId="23" applyFont="1"/>
    <xf numFmtId="0" fontId="14" fillId="0" borderId="0" xfId="6" applyFont="1"/>
    <xf numFmtId="0" fontId="23" fillId="0" borderId="16" xfId="23" applyFont="1" applyBorder="1" applyAlignment="1"/>
    <xf numFmtId="0" fontId="23" fillId="0" borderId="16" xfId="23" applyFont="1" applyBorder="1" applyAlignment="1">
      <alignment horizontal="center"/>
    </xf>
    <xf numFmtId="0" fontId="14" fillId="0" borderId="0" xfId="23" applyFont="1" applyAlignment="1"/>
    <xf numFmtId="0" fontId="14" fillId="0" borderId="16" xfId="23" applyFont="1" applyFill="1" applyBorder="1" applyAlignment="1">
      <alignment horizontal="center"/>
    </xf>
    <xf numFmtId="0" fontId="14" fillId="0" borderId="0" xfId="23" applyFont="1" applyBorder="1" applyAlignment="1"/>
    <xf numFmtId="0" fontId="23" fillId="0" borderId="0" xfId="23" applyFont="1" applyBorder="1" applyAlignment="1"/>
    <xf numFmtId="0" fontId="14" fillId="0" borderId="0" xfId="23" applyFont="1" applyBorder="1" applyAlignment="1">
      <alignment horizontal="center"/>
    </xf>
    <xf numFmtId="0" fontId="14" fillId="0" borderId="0" xfId="23" applyFont="1" applyFill="1" applyBorder="1" applyAlignment="1">
      <alignment horizontal="center"/>
    </xf>
    <xf numFmtId="49" fontId="14" fillId="0" borderId="0" xfId="23" applyNumberFormat="1" applyFont="1" applyBorder="1" applyAlignment="1">
      <alignment horizontal="center"/>
    </xf>
    <xf numFmtId="0" fontId="14" fillId="0" borderId="0" xfId="23" applyFont="1" applyBorder="1"/>
    <xf numFmtId="0" fontId="31" fillId="0" borderId="0" xfId="7" applyFont="1" applyAlignment="1"/>
    <xf numFmtId="0" fontId="14" fillId="0" borderId="0" xfId="7" applyFont="1" applyAlignment="1"/>
    <xf numFmtId="0" fontId="14" fillId="0" borderId="22" xfId="9" applyFont="1" applyFill="1" applyBorder="1" applyAlignment="1"/>
    <xf numFmtId="0" fontId="14" fillId="0" borderId="21" xfId="9" applyFont="1" applyFill="1" applyBorder="1" applyAlignment="1"/>
    <xf numFmtId="0" fontId="14" fillId="0" borderId="16" xfId="23" applyFont="1" applyBorder="1" applyAlignment="1"/>
    <xf numFmtId="0" fontId="14" fillId="0" borderId="16" xfId="23" applyFont="1" applyBorder="1"/>
    <xf numFmtId="0" fontId="23" fillId="0" borderId="0" xfId="23" applyFont="1" applyFill="1" applyBorder="1" applyAlignment="1">
      <alignment horizontal="right"/>
    </xf>
    <xf numFmtId="0" fontId="23" fillId="0" borderId="0" xfId="23" applyFont="1" applyAlignment="1">
      <alignment horizontal="right"/>
    </xf>
    <xf numFmtId="0" fontId="14" fillId="0" borderId="19" xfId="23" applyFont="1" applyBorder="1"/>
    <xf numFmtId="0" fontId="14" fillId="0" borderId="20" xfId="23" applyFont="1" applyBorder="1"/>
    <xf numFmtId="0" fontId="14" fillId="0" borderId="23" xfId="23" applyFont="1" applyBorder="1" applyAlignment="1">
      <alignment horizontal="left"/>
    </xf>
    <xf numFmtId="0" fontId="14" fillId="0" borderId="24" xfId="23" applyFont="1" applyBorder="1"/>
    <xf numFmtId="0" fontId="14" fillId="0" borderId="25" xfId="23" applyFont="1" applyBorder="1"/>
    <xf numFmtId="0" fontId="14" fillId="0" borderId="0" xfId="23" applyFont="1" applyBorder="1" applyAlignment="1">
      <alignment horizontal="left"/>
    </xf>
    <xf numFmtId="0" fontId="14" fillId="0" borderId="27" xfId="23" applyFont="1" applyBorder="1"/>
    <xf numFmtId="0" fontId="23" fillId="0" borderId="11" xfId="23" applyFont="1" applyBorder="1"/>
    <xf numFmtId="0" fontId="14" fillId="0" borderId="11" xfId="23" applyFont="1" applyBorder="1"/>
    <xf numFmtId="0" fontId="14" fillId="0" borderId="23" xfId="23" applyFont="1" applyBorder="1"/>
    <xf numFmtId="0" fontId="14" fillId="0" borderId="22" xfId="23" applyFont="1" applyBorder="1"/>
    <xf numFmtId="0" fontId="14" fillId="0" borderId="18" xfId="23" applyFont="1" applyBorder="1"/>
    <xf numFmtId="0" fontId="14" fillId="0" borderId="0" xfId="23" applyFont="1" applyAlignment="1">
      <alignment horizontal="left"/>
    </xf>
    <xf numFmtId="0" fontId="23" fillId="0" borderId="0" xfId="23" applyFont="1" applyBorder="1"/>
    <xf numFmtId="0" fontId="14" fillId="0" borderId="26" xfId="23" applyFont="1" applyBorder="1" applyAlignment="1">
      <alignment horizontal="left"/>
    </xf>
    <xf numFmtId="0" fontId="14" fillId="0" borderId="0" xfId="17" applyFont="1"/>
    <xf numFmtId="0" fontId="23" fillId="8" borderId="16" xfId="23" applyFont="1" applyFill="1" applyBorder="1" applyAlignment="1"/>
    <xf numFmtId="0" fontId="24" fillId="0" borderId="0" xfId="23" applyFont="1" applyAlignment="1">
      <alignment vertical="top"/>
    </xf>
    <xf numFmtId="0" fontId="23" fillId="0" borderId="16" xfId="23" applyFont="1" applyBorder="1"/>
    <xf numFmtId="0" fontId="14" fillId="13" borderId="16" xfId="23" applyFont="1" applyFill="1" applyBorder="1" applyAlignment="1">
      <alignment horizontal="center"/>
    </xf>
    <xf numFmtId="0" fontId="14" fillId="0" borderId="16" xfId="23" applyFont="1" applyBorder="1" applyAlignment="1">
      <alignment horizontal="center"/>
    </xf>
    <xf numFmtId="0" fontId="26" fillId="0" borderId="0" xfId="0" applyFont="1" applyAlignment="1">
      <alignment horizontal="right"/>
    </xf>
    <xf numFmtId="0" fontId="0" fillId="0" borderId="0" xfId="7" applyFont="1" applyAlignment="1"/>
    <xf numFmtId="0" fontId="0" fillId="0" borderId="16" xfId="23" applyFont="1" applyBorder="1" applyAlignment="1">
      <alignment horizontal="center"/>
    </xf>
    <xf numFmtId="49" fontId="0" fillId="0" borderId="16" xfId="23" applyNumberFormat="1" applyFont="1" applyBorder="1" applyAlignment="1">
      <alignment horizontal="center"/>
    </xf>
    <xf numFmtId="0" fontId="0" fillId="0" borderId="16" xfId="7" applyFont="1" applyFill="1" applyBorder="1" applyAlignment="1"/>
    <xf numFmtId="0" fontId="1" fillId="0" borderId="5" xfId="23" applyFont="1" applyFill="1" applyBorder="1" applyAlignment="1"/>
    <xf numFmtId="0" fontId="23" fillId="0" borderId="4" xfId="15" applyFont="1" applyFill="1" applyBorder="1" applyAlignment="1"/>
    <xf numFmtId="0" fontId="23" fillId="0" borderId="16" xfId="15" applyFont="1" applyBorder="1" applyAlignment="1">
      <alignment horizontal="center"/>
    </xf>
    <xf numFmtId="0" fontId="14" fillId="0" borderId="16" xfId="15" applyFont="1" applyBorder="1" applyAlignment="1">
      <alignment horizontal="center"/>
    </xf>
    <xf numFmtId="49" fontId="14" fillId="0" borderId="16" xfId="15" applyNumberFormat="1" applyFont="1" applyBorder="1" applyAlignment="1">
      <alignment horizontal="center"/>
    </xf>
    <xf numFmtId="0" fontId="14" fillId="0" borderId="0" xfId="15" applyFont="1"/>
    <xf numFmtId="0" fontId="14" fillId="0" borderId="0" xfId="15" applyFont="1" applyAlignment="1">
      <alignment horizontal="left"/>
    </xf>
    <xf numFmtId="0" fontId="23" fillId="0" borderId="0" xfId="15" applyFont="1" applyBorder="1"/>
    <xf numFmtId="0" fontId="14" fillId="0" borderId="0" xfId="15" applyFont="1" applyBorder="1" applyAlignment="1">
      <alignment horizontal="center"/>
    </xf>
    <xf numFmtId="49" fontId="14" fillId="0" borderId="0" xfId="15" applyNumberFormat="1" applyFont="1" applyBorder="1" applyAlignment="1">
      <alignment horizontal="center"/>
    </xf>
    <xf numFmtId="0" fontId="31" fillId="0" borderId="0" xfId="13" applyFont="1" applyAlignment="1"/>
    <xf numFmtId="0" fontId="14" fillId="0" borderId="0" xfId="13" applyFont="1" applyAlignment="1"/>
    <xf numFmtId="0" fontId="23" fillId="0" borderId="0" xfId="13" applyFont="1" applyAlignment="1"/>
    <xf numFmtId="0" fontId="14" fillId="0" borderId="0" xfId="13" applyFont="1" applyAlignment="1">
      <alignment horizontal="left"/>
    </xf>
    <xf numFmtId="0" fontId="14" fillId="0" borderId="19" xfId="13" applyFont="1" applyBorder="1" applyAlignment="1"/>
    <xf numFmtId="0" fontId="14" fillId="0" borderId="20" xfId="13" applyFont="1" applyBorder="1" applyAlignment="1"/>
    <xf numFmtId="0" fontId="14" fillId="0" borderId="21" xfId="13" applyFont="1" applyBorder="1" applyAlignment="1"/>
    <xf numFmtId="0" fontId="14" fillId="0" borderId="24" xfId="13" applyFont="1" applyBorder="1" applyAlignment="1"/>
    <xf numFmtId="0" fontId="14" fillId="0" borderId="0" xfId="13" applyFont="1" applyBorder="1" applyAlignment="1"/>
    <xf numFmtId="0" fontId="14" fillId="0" borderId="25" xfId="13" applyFont="1" applyBorder="1" applyAlignment="1"/>
    <xf numFmtId="0" fontId="14" fillId="0" borderId="0" xfId="13" applyFont="1" applyBorder="1" applyAlignment="1">
      <alignment horizontal="left"/>
    </xf>
    <xf numFmtId="0" fontId="14" fillId="0" borderId="23" xfId="13" applyFont="1" applyBorder="1" applyAlignment="1"/>
    <xf numFmtId="0" fontId="14" fillId="0" borderId="22" xfId="13" applyFont="1" applyBorder="1" applyAlignment="1"/>
    <xf numFmtId="0" fontId="14" fillId="0" borderId="27" xfId="13" applyFont="1" applyBorder="1" applyAlignment="1"/>
    <xf numFmtId="0" fontId="23" fillId="0" borderId="11" xfId="13" applyFont="1" applyBorder="1" applyAlignment="1"/>
    <xf numFmtId="0" fontId="14" fillId="0" borderId="11" xfId="13" applyFont="1" applyBorder="1" applyAlignment="1"/>
    <xf numFmtId="0" fontId="14" fillId="0" borderId="23" xfId="13" applyFont="1" applyBorder="1" applyAlignment="1">
      <alignment horizontal="left"/>
    </xf>
    <xf numFmtId="0" fontId="14" fillId="0" borderId="18" xfId="13" applyFont="1" applyBorder="1" applyAlignment="1"/>
    <xf numFmtId="0" fontId="14" fillId="0" borderId="26" xfId="13" applyFont="1" applyBorder="1" applyAlignment="1">
      <alignment horizontal="left"/>
    </xf>
    <xf numFmtId="0" fontId="23" fillId="0" borderId="0" xfId="13" applyFont="1" applyBorder="1" applyAlignment="1"/>
    <xf numFmtId="0" fontId="0" fillId="0" borderId="16" xfId="23" applyFont="1" applyBorder="1"/>
    <xf numFmtId="0" fontId="36" fillId="0" borderId="0" xfId="23" applyFont="1"/>
    <xf numFmtId="0" fontId="23" fillId="0" borderId="0" xfId="13" applyFont="1" applyAlignment="1">
      <alignment horizontal="right"/>
    </xf>
    <xf numFmtId="0" fontId="14" fillId="0" borderId="0" xfId="13" applyFont="1" applyAlignment="1">
      <alignment horizontal="right"/>
    </xf>
    <xf numFmtId="0" fontId="14" fillId="0" borderId="0" xfId="15" applyFont="1" applyBorder="1" applyAlignment="1">
      <alignment horizontal="right"/>
    </xf>
    <xf numFmtId="0" fontId="35" fillId="0" borderId="0" xfId="0" applyFont="1" applyAlignment="1"/>
    <xf numFmtId="0" fontId="12" fillId="6" borderId="3" xfId="23" applyFont="1" applyFill="1" applyBorder="1" applyAlignment="1">
      <alignment vertical="top"/>
    </xf>
    <xf numFmtId="0" fontId="14" fillId="8" borderId="16" xfId="23" applyFont="1" applyFill="1" applyBorder="1" applyAlignment="1">
      <alignment horizontal="center"/>
    </xf>
    <xf numFmtId="166" fontId="23" fillId="0" borderId="16" xfId="7" applyNumberFormat="1" applyFont="1" applyFill="1" applyBorder="1" applyAlignment="1">
      <alignment horizontal="center"/>
    </xf>
    <xf numFmtId="0" fontId="37" fillId="0" borderId="0" xfId="6" applyFont="1"/>
    <xf numFmtId="0" fontId="12" fillId="15" borderId="32" xfId="15" applyFont="1" applyFill="1" applyBorder="1" applyAlignment="1"/>
    <xf numFmtId="0" fontId="12" fillId="15" borderId="33" xfId="15" applyFont="1" applyFill="1" applyBorder="1" applyAlignment="1"/>
    <xf numFmtId="0" fontId="12" fillId="15" borderId="35" xfId="15" applyFont="1" applyFill="1" applyBorder="1" applyAlignment="1"/>
    <xf numFmtId="0" fontId="12" fillId="15" borderId="36" xfId="15" applyFont="1" applyFill="1" applyBorder="1" applyAlignment="1"/>
    <xf numFmtId="0" fontId="12" fillId="15" borderId="32" xfId="23" applyFont="1" applyFill="1" applyBorder="1" applyAlignment="1"/>
    <xf numFmtId="0" fontId="10" fillId="3" borderId="32" xfId="15" applyFont="1" applyFill="1" applyBorder="1" applyAlignment="1"/>
    <xf numFmtId="0" fontId="0" fillId="8" borderId="0" xfId="0" applyFont="1" applyFill="1"/>
    <xf numFmtId="0" fontId="38" fillId="16" borderId="32" xfId="23" applyFont="1" applyFill="1" applyBorder="1" applyAlignment="1"/>
    <xf numFmtId="0" fontId="31" fillId="0" borderId="0" xfId="17" applyFont="1"/>
    <xf numFmtId="0" fontId="23" fillId="0" borderId="0" xfId="17" applyFont="1" applyAlignment="1">
      <alignment horizontal="right"/>
    </xf>
    <xf numFmtId="0" fontId="0" fillId="0" borderId="18" xfId="23" applyFont="1" applyBorder="1"/>
    <xf numFmtId="0" fontId="0" fillId="7" borderId="16" xfId="0" applyFill="1" applyBorder="1" applyAlignment="1">
      <alignment horizontal="center" vertical="center"/>
    </xf>
    <xf numFmtId="0" fontId="14" fillId="0" borderId="0" xfId="6" applyFont="1"/>
    <xf numFmtId="0" fontId="23" fillId="0" borderId="16" xfId="23" applyFont="1" applyBorder="1" applyAlignment="1"/>
    <xf numFmtId="0" fontId="14" fillId="0" borderId="0" xfId="23" applyFont="1" applyAlignment="1"/>
    <xf numFmtId="0" fontId="0" fillId="0" borderId="16" xfId="23" applyFont="1" applyBorder="1" applyAlignment="1"/>
    <xf numFmtId="0" fontId="23" fillId="0" borderId="16" xfId="15" applyFont="1" applyBorder="1" applyAlignment="1">
      <alignment horizontal="center"/>
    </xf>
    <xf numFmtId="0" fontId="14" fillId="0" borderId="16" xfId="9" applyFont="1" applyFill="1" applyBorder="1" applyAlignment="1"/>
    <xf numFmtId="0" fontId="0" fillId="0" borderId="0" xfId="23" quotePrefix="1" applyFont="1" applyAlignment="1"/>
    <xf numFmtId="0" fontId="25" fillId="0" borderId="0" xfId="0" applyFont="1"/>
    <xf numFmtId="0" fontId="34" fillId="0" borderId="0" xfId="0" applyFont="1"/>
    <xf numFmtId="0" fontId="14" fillId="0" borderId="0" xfId="13" applyFont="1" applyFill="1" applyAlignment="1"/>
    <xf numFmtId="0" fontId="14" fillId="0" borderId="0" xfId="13" applyFont="1" applyFill="1" applyAlignment="1">
      <alignment horizontal="center"/>
    </xf>
    <xf numFmtId="0" fontId="34" fillId="0" borderId="0" xfId="13" applyFont="1" applyFill="1" applyBorder="1" applyAlignment="1"/>
    <xf numFmtId="0" fontId="14" fillId="6" borderId="0" xfId="13" applyFont="1" applyFill="1" applyAlignment="1"/>
    <xf numFmtId="0" fontId="14" fillId="0" borderId="23" xfId="13" applyFont="1" applyFill="1" applyBorder="1" applyAlignment="1">
      <alignment textRotation="90"/>
    </xf>
    <xf numFmtId="0" fontId="14" fillId="0" borderId="0" xfId="13" applyFont="1" applyFill="1" applyAlignment="1">
      <alignment horizontal="center" textRotation="90"/>
    </xf>
    <xf numFmtId="0" fontId="23" fillId="0" borderId="16" xfId="9" applyFont="1" applyFill="1" applyBorder="1" applyAlignment="1"/>
    <xf numFmtId="166" fontId="14" fillId="0" borderId="0" xfId="13" applyNumberFormat="1" applyFont="1" applyFill="1" applyAlignment="1">
      <alignment horizontal="center"/>
    </xf>
    <xf numFmtId="0" fontId="23" fillId="0" borderId="0" xfId="13" applyFont="1" applyFill="1" applyAlignment="1">
      <alignment horizontal="center"/>
    </xf>
    <xf numFmtId="0" fontId="23" fillId="6" borderId="0" xfId="13" applyFont="1" applyFill="1" applyAlignment="1"/>
    <xf numFmtId="0" fontId="14" fillId="6" borderId="0" xfId="13" applyFont="1" applyFill="1" applyAlignment="1">
      <alignment horizontal="right"/>
    </xf>
    <xf numFmtId="0" fontId="23" fillId="6" borderId="0" xfId="13" applyFont="1" applyFill="1" applyAlignment="1">
      <alignment horizontal="center"/>
    </xf>
    <xf numFmtId="166" fontId="14" fillId="6" borderId="0" xfId="13" applyNumberFormat="1" applyFont="1" applyFill="1" applyAlignment="1">
      <alignment horizontal="center"/>
    </xf>
    <xf numFmtId="166" fontId="23" fillId="6" borderId="0" xfId="13" applyNumberFormat="1" applyFont="1" applyFill="1" applyAlignment="1"/>
    <xf numFmtId="1" fontId="14" fillId="6" borderId="0" xfId="8" applyNumberFormat="1" applyFont="1" applyFill="1" applyBorder="1" applyAlignment="1">
      <alignment horizontal="center"/>
    </xf>
    <xf numFmtId="0" fontId="15" fillId="8" borderId="16" xfId="1" applyFill="1" applyBorder="1"/>
    <xf numFmtId="0" fontId="0" fillId="0" borderId="16" xfId="15" applyFont="1" applyFill="1" applyBorder="1" applyAlignment="1"/>
    <xf numFmtId="0" fontId="0" fillId="0" borderId="0" xfId="23" applyFont="1" applyAlignment="1"/>
    <xf numFmtId="0" fontId="14" fillId="0" borderId="0" xfId="23" applyFont="1" applyBorder="1" applyAlignment="1">
      <alignment horizontal="right"/>
    </xf>
    <xf numFmtId="0" fontId="31" fillId="0" borderId="0" xfId="23" applyFont="1" applyBorder="1"/>
    <xf numFmtId="0" fontId="0" fillId="0" borderId="0" xfId="23" applyFont="1"/>
    <xf numFmtId="0" fontId="14" fillId="0" borderId="26" xfId="23" applyFont="1" applyBorder="1"/>
    <xf numFmtId="0" fontId="0" fillId="0" borderId="0" xfId="23" applyFont="1" applyBorder="1"/>
    <xf numFmtId="0" fontId="31" fillId="0" borderId="0" xfId="23" applyFont="1"/>
    <xf numFmtId="0" fontId="14" fillId="0" borderId="19" xfId="23" applyFont="1" applyBorder="1" applyAlignment="1">
      <alignment horizontal="left"/>
    </xf>
    <xf numFmtId="0" fontId="14" fillId="0" borderId="24" xfId="23" applyFont="1" applyBorder="1" applyAlignment="1">
      <alignment horizontal="left"/>
    </xf>
    <xf numFmtId="0" fontId="14" fillId="0" borderId="25" xfId="23" applyFont="1" applyBorder="1" applyAlignment="1">
      <alignment horizontal="left"/>
    </xf>
    <xf numFmtId="0" fontId="14" fillId="0" borderId="27" xfId="23" applyFont="1" applyBorder="1" applyAlignment="1">
      <alignment horizontal="left"/>
    </xf>
    <xf numFmtId="0" fontId="39" fillId="0" borderId="9" xfId="23" applyFont="1" applyFill="1" applyBorder="1" applyAlignment="1"/>
    <xf numFmtId="0" fontId="39" fillId="0" borderId="8" xfId="23" applyFont="1" applyFill="1" applyBorder="1" applyAlignment="1"/>
    <xf numFmtId="0" fontId="0" fillId="0" borderId="16" xfId="23" applyFont="1" applyFill="1" applyBorder="1" applyAlignment="1">
      <alignment horizontal="center"/>
    </xf>
    <xf numFmtId="0" fontId="14" fillId="0" borderId="37" xfId="23" applyFont="1" applyBorder="1"/>
    <xf numFmtId="0" fontId="23" fillId="0" borderId="0" xfId="23" applyFont="1" applyAlignment="1"/>
    <xf numFmtId="0" fontId="23" fillId="0" borderId="0" xfId="23" applyFont="1" applyBorder="1" applyAlignment="1">
      <alignment horizontal="right"/>
    </xf>
    <xf numFmtId="0" fontId="14" fillId="0" borderId="30" xfId="6" applyFont="1" applyFill="1" applyBorder="1"/>
    <xf numFmtId="0" fontId="5" fillId="0" borderId="30" xfId="26" applyFont="1" applyFill="1" applyBorder="1" applyAlignment="1">
      <alignment horizontal="center"/>
    </xf>
    <xf numFmtId="0" fontId="14" fillId="0" borderId="38" xfId="23" applyFont="1" applyBorder="1"/>
    <xf numFmtId="0" fontId="14" fillId="0" borderId="39" xfId="23" applyFont="1" applyBorder="1"/>
    <xf numFmtId="0" fontId="14" fillId="0" borderId="40" xfId="23" applyFont="1" applyBorder="1"/>
    <xf numFmtId="0" fontId="14" fillId="0" borderId="41" xfId="23" applyFont="1" applyBorder="1"/>
    <xf numFmtId="0" fontId="23" fillId="0" borderId="43" xfId="13" applyFont="1" applyBorder="1" applyAlignment="1"/>
    <xf numFmtId="0" fontId="14" fillId="0" borderId="42" xfId="13" applyFont="1" applyBorder="1" applyAlignment="1">
      <alignment horizontal="left"/>
    </xf>
    <xf numFmtId="0" fontId="14" fillId="0" borderId="38" xfId="13" applyFont="1" applyBorder="1" applyAlignment="1"/>
    <xf numFmtId="0" fontId="14" fillId="0" borderId="39" xfId="13" applyFont="1" applyBorder="1" applyAlignment="1"/>
    <xf numFmtId="0" fontId="13" fillId="0" borderId="16" xfId="7" applyFont="1" applyBorder="1" applyAlignment="1"/>
    <xf numFmtId="0" fontId="40" fillId="0" borderId="0" xfId="0" applyFont="1" applyAlignment="1">
      <alignment horizontal="right"/>
    </xf>
    <xf numFmtId="0" fontId="13" fillId="0" borderId="28" xfId="7" applyFont="1" applyFill="1" applyBorder="1" applyAlignment="1">
      <alignment horizontal="center"/>
    </xf>
    <xf numFmtId="0" fontId="14" fillId="0" borderId="28" xfId="13" applyFont="1" applyFill="1" applyBorder="1" applyAlignment="1"/>
    <xf numFmtId="0" fontId="14" fillId="0" borderId="28" xfId="15" applyFont="1" applyFill="1" applyBorder="1" applyAlignment="1"/>
    <xf numFmtId="0" fontId="0" fillId="0" borderId="16" xfId="23" applyFont="1" applyFill="1" applyBorder="1" applyAlignment="1"/>
    <xf numFmtId="0" fontId="23" fillId="4" borderId="0" xfId="15" applyFont="1" applyFill="1" applyBorder="1" applyAlignment="1"/>
    <xf numFmtId="0" fontId="14" fillId="4" borderId="0" xfId="15" applyFont="1" applyFill="1" applyBorder="1" applyAlignment="1"/>
    <xf numFmtId="0" fontId="23" fillId="4" borderId="0" xfId="15" quotePrefix="1" applyNumberFormat="1" applyFont="1" applyFill="1" applyBorder="1" applyAlignment="1"/>
    <xf numFmtId="0" fontId="23" fillId="0" borderId="46" xfId="15" applyFont="1" applyFill="1" applyBorder="1" applyAlignment="1"/>
    <xf numFmtId="0" fontId="23" fillId="0" borderId="49" xfId="15" applyFont="1" applyFill="1" applyBorder="1" applyAlignment="1"/>
    <xf numFmtId="0" fontId="14" fillId="0" borderId="44" xfId="15" applyFont="1" applyFill="1" applyBorder="1" applyAlignment="1"/>
    <xf numFmtId="0" fontId="14" fillId="0" borderId="48" xfId="15" applyFont="1" applyFill="1" applyBorder="1" applyAlignment="1"/>
    <xf numFmtId="0" fontId="23" fillId="0" borderId="45" xfId="15" applyFont="1" applyFill="1" applyBorder="1" applyAlignment="1"/>
    <xf numFmtId="0" fontId="14" fillId="0" borderId="46" xfId="15" applyFont="1" applyBorder="1" applyAlignment="1">
      <alignment vertical="top"/>
    </xf>
    <xf numFmtId="0" fontId="0" fillId="0" borderId="47" xfId="0" applyFont="1" applyFill="1" applyBorder="1" applyAlignment="1"/>
    <xf numFmtId="0" fontId="14" fillId="0" borderId="49" xfId="15" applyFont="1" applyBorder="1" applyAlignment="1">
      <alignment vertical="top"/>
    </xf>
    <xf numFmtId="0" fontId="0" fillId="0" borderId="0" xfId="15" applyFont="1" applyAlignment="1">
      <alignment vertical="top"/>
    </xf>
    <xf numFmtId="0" fontId="12" fillId="15" borderId="35" xfId="23" applyFont="1" applyFill="1" applyBorder="1" applyAlignment="1"/>
    <xf numFmtId="0" fontId="34" fillId="0" borderId="0" xfId="13" applyFont="1" applyFill="1" applyAlignment="1"/>
    <xf numFmtId="0" fontId="28" fillId="7" borderId="16" xfId="7" quotePrefix="1" applyFont="1" applyFill="1" applyBorder="1" applyAlignment="1">
      <alignment horizontal="center"/>
    </xf>
    <xf numFmtId="0" fontId="28" fillId="7" borderId="16" xfId="7" applyFont="1" applyFill="1" applyBorder="1" applyAlignment="1">
      <alignment horizontal="center"/>
    </xf>
    <xf numFmtId="0" fontId="0" fillId="0" borderId="0" xfId="15" applyFont="1" applyBorder="1"/>
    <xf numFmtId="0" fontId="0" fillId="0" borderId="16" xfId="15" applyFont="1" applyBorder="1" applyAlignment="1">
      <alignment horizontal="center"/>
    </xf>
    <xf numFmtId="49" fontId="0" fillId="0" borderId="16" xfId="15" applyNumberFormat="1" applyFont="1" applyBorder="1" applyAlignment="1">
      <alignment horizontal="center"/>
    </xf>
    <xf numFmtId="0" fontId="0" fillId="0" borderId="0" xfId="15" applyFont="1"/>
    <xf numFmtId="164" fontId="0" fillId="0" borderId="0" xfId="20" applyNumberFormat="1" applyFont="1" applyAlignment="1">
      <alignment horizontal="right"/>
    </xf>
    <xf numFmtId="0" fontId="9" fillId="0" borderId="0" xfId="23" applyFont="1" applyFill="1" applyBorder="1" applyAlignment="1"/>
    <xf numFmtId="0" fontId="23" fillId="0" borderId="52" xfId="15" applyFont="1" applyFill="1" applyBorder="1" applyAlignment="1"/>
    <xf numFmtId="0" fontId="14" fillId="0" borderId="53" xfId="15" applyFont="1" applyFill="1" applyBorder="1" applyAlignment="1"/>
    <xf numFmtId="0" fontId="14" fillId="0" borderId="54" xfId="15" applyFont="1" applyBorder="1" applyAlignment="1">
      <alignment vertical="top"/>
    </xf>
    <xf numFmtId="0" fontId="23" fillId="0" borderId="50" xfId="15" applyFont="1" applyFill="1" applyBorder="1" applyAlignment="1"/>
    <xf numFmtId="0" fontId="14" fillId="9" borderId="46" xfId="15" applyFont="1" applyFill="1" applyBorder="1" applyAlignment="1">
      <alignment vertical="top"/>
    </xf>
    <xf numFmtId="0" fontId="23" fillId="7" borderId="0" xfId="15" applyFont="1" applyFill="1" applyBorder="1" applyAlignment="1"/>
    <xf numFmtId="0" fontId="12" fillId="15" borderId="51" xfId="23" applyFont="1" applyFill="1" applyBorder="1" applyAlignment="1"/>
    <xf numFmtId="0" fontId="14" fillId="0" borderId="60" xfId="15" applyFont="1" applyFill="1" applyBorder="1" applyAlignment="1"/>
    <xf numFmtId="0" fontId="12" fillId="15" borderId="61" xfId="15" applyFont="1" applyFill="1" applyBorder="1" applyAlignment="1"/>
    <xf numFmtId="0" fontId="14" fillId="0" borderId="62" xfId="15" applyFont="1" applyFill="1" applyBorder="1" applyAlignment="1"/>
    <xf numFmtId="0" fontId="12" fillId="15" borderId="63" xfId="15" applyFont="1" applyFill="1" applyBorder="1" applyAlignment="1"/>
    <xf numFmtId="0" fontId="14" fillId="0" borderId="43" xfId="15" applyFont="1" applyFill="1" applyBorder="1" applyAlignment="1"/>
    <xf numFmtId="0" fontId="14" fillId="0" borderId="65" xfId="15" applyFont="1" applyFill="1" applyBorder="1" applyAlignment="1"/>
    <xf numFmtId="0" fontId="23" fillId="0" borderId="66" xfId="15" applyFont="1" applyFill="1" applyBorder="1" applyAlignment="1"/>
    <xf numFmtId="0" fontId="14" fillId="0" borderId="67" xfId="15" applyFont="1" applyFill="1" applyBorder="1" applyAlignment="1"/>
    <xf numFmtId="0" fontId="23" fillId="0" borderId="68" xfId="15" applyFont="1" applyFill="1" applyBorder="1" applyAlignment="1"/>
    <xf numFmtId="0" fontId="23" fillId="0" borderId="14" xfId="15" applyFont="1" applyFill="1" applyBorder="1" applyAlignment="1"/>
    <xf numFmtId="0" fontId="23" fillId="7" borderId="66" xfId="15" applyFont="1" applyFill="1" applyBorder="1" applyAlignment="1"/>
    <xf numFmtId="0" fontId="23" fillId="7" borderId="68" xfId="15" applyFont="1" applyFill="1" applyBorder="1" applyAlignment="1"/>
    <xf numFmtId="0" fontId="23" fillId="15" borderId="32" xfId="23" applyFont="1" applyFill="1" applyBorder="1" applyAlignment="1"/>
    <xf numFmtId="0" fontId="0" fillId="9" borderId="0" xfId="0" applyFont="1" applyFill="1"/>
    <xf numFmtId="0" fontId="14" fillId="0" borderId="13" xfId="15" applyFont="1" applyFill="1" applyBorder="1" applyAlignment="1"/>
    <xf numFmtId="0" fontId="23" fillId="0" borderId="76" xfId="15" applyFont="1" applyFill="1" applyBorder="1" applyAlignment="1"/>
    <xf numFmtId="0" fontId="14" fillId="0" borderId="57" xfId="15" applyFont="1" applyFill="1" applyBorder="1" applyAlignment="1"/>
    <xf numFmtId="0" fontId="14" fillId="0" borderId="71" xfId="15" applyFont="1" applyFill="1" applyBorder="1" applyAlignment="1"/>
    <xf numFmtId="0" fontId="14" fillId="0" borderId="78" xfId="15" applyFont="1" applyBorder="1" applyAlignment="1">
      <alignment vertical="top"/>
    </xf>
    <xf numFmtId="0" fontId="14" fillId="0" borderId="73" xfId="15" applyFont="1" applyFill="1" applyBorder="1" applyAlignment="1"/>
    <xf numFmtId="0" fontId="23" fillId="0" borderId="78" xfId="15" applyFont="1" applyFill="1" applyBorder="1" applyAlignment="1"/>
    <xf numFmtId="0" fontId="0" fillId="0" borderId="79" xfId="0" applyFont="1" applyFill="1" applyBorder="1" applyAlignment="1"/>
    <xf numFmtId="0" fontId="14" fillId="9" borderId="78" xfId="15" applyFont="1" applyFill="1" applyBorder="1" applyAlignment="1">
      <alignment vertical="top"/>
    </xf>
    <xf numFmtId="0" fontId="23" fillId="0" borderId="75" xfId="15" applyFont="1" applyFill="1" applyBorder="1" applyAlignment="1"/>
    <xf numFmtId="0" fontId="23" fillId="14" borderId="4" xfId="15" applyFont="1" applyFill="1" applyBorder="1" applyAlignment="1"/>
    <xf numFmtId="0" fontId="34" fillId="0" borderId="80" xfId="15" applyFont="1" applyFill="1" applyBorder="1" applyAlignment="1"/>
    <xf numFmtId="0" fontId="23" fillId="0" borderId="81" xfId="15" applyFont="1" applyFill="1" applyBorder="1" applyAlignment="1"/>
    <xf numFmtId="0" fontId="14" fillId="9" borderId="49" xfId="15" applyFont="1" applyFill="1" applyBorder="1" applyAlignment="1">
      <alignment vertical="top"/>
    </xf>
    <xf numFmtId="0" fontId="23" fillId="9" borderId="46" xfId="15" applyFont="1" applyFill="1" applyBorder="1" applyAlignment="1"/>
    <xf numFmtId="0" fontId="23" fillId="9" borderId="49" xfId="15" applyFont="1" applyFill="1" applyBorder="1" applyAlignment="1"/>
    <xf numFmtId="0" fontId="15" fillId="9" borderId="17" xfId="1" applyFill="1" applyBorder="1"/>
    <xf numFmtId="0" fontId="0" fillId="9" borderId="0" xfId="0" applyFill="1"/>
    <xf numFmtId="0" fontId="0" fillId="8" borderId="0" xfId="0" applyFill="1"/>
    <xf numFmtId="0" fontId="15" fillId="0" borderId="0" xfId="1" applyBorder="1" applyAlignment="1">
      <alignment horizontal="right"/>
    </xf>
    <xf numFmtId="0" fontId="0" fillId="0" borderId="16" xfId="15" applyFont="1" applyBorder="1" applyAlignment="1"/>
    <xf numFmtId="0" fontId="14" fillId="0" borderId="0" xfId="23" applyFont="1" applyAlignment="1">
      <alignment horizontal="center"/>
    </xf>
    <xf numFmtId="49" fontId="14" fillId="0" borderId="0" xfId="23" applyNumberFormat="1" applyFont="1" applyAlignment="1">
      <alignment horizontal="center"/>
    </xf>
    <xf numFmtId="0" fontId="5" fillId="0" borderId="16" xfId="23" applyFont="1" applyBorder="1" applyAlignment="1">
      <alignment horizontal="center"/>
    </xf>
    <xf numFmtId="16" fontId="14" fillId="0" borderId="0" xfId="23" applyNumberFormat="1" applyFont="1" applyBorder="1" applyAlignment="1">
      <alignment horizontal="center"/>
    </xf>
    <xf numFmtId="0" fontId="5" fillId="0" borderId="31" xfId="23" applyFont="1" applyBorder="1" applyAlignment="1"/>
    <xf numFmtId="0" fontId="14" fillId="0" borderId="0" xfId="15" applyFont="1" applyAlignment="1"/>
    <xf numFmtId="0" fontId="0" fillId="0" borderId="0" xfId="6" quotePrefix="1" applyFont="1"/>
    <xf numFmtId="0" fontId="14" fillId="17" borderId="16" xfId="23" applyFont="1" applyFill="1" applyBorder="1" applyAlignment="1">
      <alignment horizontal="center"/>
    </xf>
    <xf numFmtId="49" fontId="0" fillId="18" borderId="16" xfId="23" applyNumberFormat="1" applyFont="1" applyFill="1" applyBorder="1" applyAlignment="1">
      <alignment horizontal="center"/>
    </xf>
    <xf numFmtId="0" fontId="0" fillId="0" borderId="0" xfId="17" applyFont="1"/>
    <xf numFmtId="0" fontId="0" fillId="0" borderId="0" xfId="23" quotePrefix="1" applyFont="1" applyAlignment="1">
      <alignment horizontal="center"/>
    </xf>
    <xf numFmtId="0" fontId="9" fillId="0" borderId="83" xfId="15" applyFont="1" applyFill="1" applyBorder="1" applyAlignment="1"/>
    <xf numFmtId="0" fontId="12" fillId="0" borderId="82" xfId="15" applyFont="1" applyFill="1" applyBorder="1" applyAlignment="1"/>
    <xf numFmtId="0" fontId="12" fillId="0" borderId="0" xfId="0" applyFont="1" applyFill="1" applyBorder="1" applyAlignment="1"/>
    <xf numFmtId="0" fontId="12" fillId="0" borderId="85" xfId="15" applyFont="1" applyFill="1" applyBorder="1" applyAlignment="1"/>
    <xf numFmtId="0" fontId="12" fillId="0" borderId="6" xfId="0" applyFont="1" applyFill="1" applyBorder="1" applyAlignment="1"/>
    <xf numFmtId="0" fontId="9" fillId="0" borderId="86" xfId="15" applyFont="1" applyFill="1" applyBorder="1" applyAlignment="1"/>
    <xf numFmtId="0" fontId="12" fillId="0" borderId="12" xfId="15" applyFont="1" applyFill="1" applyBorder="1" applyAlignment="1"/>
    <xf numFmtId="0" fontId="14" fillId="0" borderId="0" xfId="9" applyFont="1" applyFill="1" applyAlignment="1">
      <alignment horizontal="center"/>
    </xf>
    <xf numFmtId="0" fontId="23" fillId="0" borderId="0" xfId="26" applyFont="1" applyBorder="1" applyAlignment="1"/>
    <xf numFmtId="0" fontId="14" fillId="0" borderId="0" xfId="26" applyFont="1" applyAlignment="1"/>
    <xf numFmtId="0" fontId="14" fillId="0" borderId="0" xfId="9" applyFont="1" applyFill="1" applyAlignment="1"/>
    <xf numFmtId="0" fontId="23" fillId="8" borderId="0" xfId="9" applyFont="1" applyFill="1" applyAlignment="1"/>
    <xf numFmtId="0" fontId="23" fillId="0" borderId="0" xfId="9" applyFont="1" applyFill="1" applyAlignment="1"/>
    <xf numFmtId="0" fontId="14" fillId="6" borderId="0" xfId="9" applyFont="1" applyFill="1" applyAlignment="1"/>
    <xf numFmtId="0" fontId="14" fillId="5" borderId="0" xfId="9" applyFont="1" applyFill="1" applyAlignment="1"/>
    <xf numFmtId="0" fontId="14" fillId="0" borderId="0" xfId="9" applyFont="1" applyFill="1" applyAlignment="1">
      <alignment horizontal="center" textRotation="90"/>
    </xf>
    <xf numFmtId="166" fontId="14" fillId="0" borderId="0" xfId="9" applyNumberFormat="1" applyFont="1" applyFill="1" applyAlignment="1">
      <alignment horizontal="center"/>
    </xf>
    <xf numFmtId="166" fontId="14" fillId="0" borderId="0" xfId="9" applyNumberFormat="1" applyFont="1" applyFill="1" applyBorder="1" applyAlignment="1">
      <alignment horizontal="center"/>
    </xf>
    <xf numFmtId="0" fontId="23" fillId="6" borderId="0" xfId="9" applyFont="1" applyFill="1" applyAlignment="1"/>
    <xf numFmtId="0" fontId="14" fillId="6" borderId="0" xfId="9" applyFont="1" applyFill="1" applyAlignment="1">
      <alignment horizontal="right"/>
    </xf>
    <xf numFmtId="0" fontId="23" fillId="6" borderId="0" xfId="9" applyFont="1" applyFill="1" applyAlignment="1">
      <alignment horizontal="center"/>
    </xf>
    <xf numFmtId="166" fontId="14" fillId="6" borderId="0" xfId="9" applyNumberFormat="1" applyFont="1" applyFill="1" applyAlignment="1">
      <alignment horizontal="center"/>
    </xf>
    <xf numFmtId="166" fontId="14" fillId="6" borderId="0" xfId="9" applyNumberFormat="1" applyFont="1" applyFill="1" applyAlignment="1"/>
    <xf numFmtId="0" fontId="14" fillId="6" borderId="0" xfId="9" applyFont="1" applyFill="1" applyAlignment="1">
      <alignment horizontal="center"/>
    </xf>
    <xf numFmtId="1" fontId="14" fillId="6" borderId="0" xfId="9" applyNumberFormat="1" applyFont="1" applyFill="1" applyAlignment="1">
      <alignment horizontal="center"/>
    </xf>
    <xf numFmtId="0" fontId="23" fillId="0" borderId="0" xfId="9" applyFont="1" applyFill="1" applyAlignment="1">
      <alignment horizontal="center"/>
    </xf>
    <xf numFmtId="0" fontId="15" fillId="9" borderId="88" xfId="1" applyFill="1" applyBorder="1"/>
    <xf numFmtId="0" fontId="15" fillId="14" borderId="88" xfId="1" applyFill="1" applyBorder="1" applyAlignment="1">
      <alignment vertical="center"/>
    </xf>
    <xf numFmtId="0" fontId="31" fillId="0" borderId="0" xfId="9" applyFont="1" applyAlignment="1"/>
    <xf numFmtId="0" fontId="14" fillId="0" borderId="0" xfId="9" applyFont="1" applyAlignment="1"/>
    <xf numFmtId="0" fontId="23" fillId="0" borderId="0" xfId="9" applyFont="1" applyAlignment="1">
      <alignment horizontal="right"/>
    </xf>
    <xf numFmtId="0" fontId="0" fillId="0" borderId="0" xfId="9" applyFont="1" applyAlignment="1"/>
    <xf numFmtId="0" fontId="14" fillId="0" borderId="0" xfId="9" applyFont="1" applyAlignment="1">
      <alignment horizontal="left"/>
    </xf>
    <xf numFmtId="0" fontId="14" fillId="0" borderId="0" xfId="9" applyFont="1" applyAlignment="1">
      <alignment horizontal="right"/>
    </xf>
    <xf numFmtId="0" fontId="14" fillId="0" borderId="24" xfId="9" applyFont="1" applyBorder="1" applyAlignment="1"/>
    <xf numFmtId="0" fontId="0" fillId="0" borderId="89" xfId="9" applyFont="1" applyFill="1" applyBorder="1" applyAlignment="1"/>
    <xf numFmtId="0" fontId="14" fillId="0" borderId="19" xfId="9" applyFont="1" applyBorder="1" applyAlignment="1">
      <alignment horizontal="left"/>
    </xf>
    <xf numFmtId="0" fontId="14" fillId="0" borderId="19" xfId="9" applyFont="1" applyBorder="1" applyAlignment="1"/>
    <xf numFmtId="0" fontId="14" fillId="0" borderId="0" xfId="9" applyFont="1" applyBorder="1" applyAlignment="1"/>
    <xf numFmtId="0" fontId="14" fillId="0" borderId="25" xfId="9" applyFont="1" applyBorder="1" applyAlignment="1"/>
    <xf numFmtId="0" fontId="0" fillId="0" borderId="90" xfId="9" applyFont="1" applyFill="1" applyBorder="1" applyAlignment="1"/>
    <xf numFmtId="0" fontId="14" fillId="0" borderId="0" xfId="9" applyFont="1" applyBorder="1" applyAlignment="1">
      <alignment horizontal="left"/>
    </xf>
    <xf numFmtId="0" fontId="14" fillId="0" borderId="20" xfId="9" applyFont="1" applyBorder="1" applyAlignment="1"/>
    <xf numFmtId="0" fontId="14" fillId="0" borderId="90" xfId="9" applyFont="1" applyBorder="1" applyAlignment="1"/>
    <xf numFmtId="0" fontId="14" fillId="0" borderId="89" xfId="9" applyFont="1" applyBorder="1" applyAlignment="1"/>
    <xf numFmtId="0" fontId="14" fillId="0" borderId="23" xfId="9" applyFont="1" applyBorder="1" applyAlignment="1">
      <alignment horizontal="left"/>
    </xf>
    <xf numFmtId="0" fontId="14" fillId="0" borderId="42" xfId="9" applyFont="1" applyBorder="1" applyAlignment="1"/>
    <xf numFmtId="0" fontId="23" fillId="0" borderId="43" xfId="9" applyFont="1" applyBorder="1" applyAlignment="1"/>
    <xf numFmtId="0" fontId="14" fillId="0" borderId="43" xfId="9" applyFont="1" applyBorder="1" applyAlignment="1"/>
    <xf numFmtId="0" fontId="14" fillId="0" borderId="26" xfId="9" applyFont="1" applyBorder="1" applyAlignment="1">
      <alignment horizontal="left"/>
    </xf>
    <xf numFmtId="0" fontId="14" fillId="0" borderId="18" xfId="9" applyFont="1" applyBorder="1" applyAlignment="1"/>
    <xf numFmtId="0" fontId="0" fillId="0" borderId="90" xfId="9" applyFont="1" applyBorder="1" applyAlignment="1"/>
    <xf numFmtId="0" fontId="23" fillId="0" borderId="0" xfId="9" applyFont="1" applyBorder="1" applyAlignment="1"/>
    <xf numFmtId="0" fontId="23" fillId="0" borderId="0" xfId="9" applyFont="1" applyAlignment="1"/>
    <xf numFmtId="0" fontId="14" fillId="0" borderId="23" xfId="9" applyFont="1" applyBorder="1" applyAlignment="1"/>
    <xf numFmtId="0" fontId="0" fillId="0" borderId="0" xfId="9" applyFont="1" applyBorder="1" applyAlignment="1"/>
    <xf numFmtId="0" fontId="14" fillId="0" borderId="90" xfId="23" applyFont="1" applyBorder="1"/>
    <xf numFmtId="0" fontId="14" fillId="0" borderId="89" xfId="23" applyFont="1" applyBorder="1"/>
    <xf numFmtId="0" fontId="14" fillId="0" borderId="43" xfId="23" applyFont="1" applyBorder="1"/>
    <xf numFmtId="0" fontId="23" fillId="0" borderId="43" xfId="23" applyFont="1" applyBorder="1"/>
    <xf numFmtId="0" fontId="9" fillId="0" borderId="92" xfId="15" applyFont="1" applyFill="1" applyBorder="1" applyAlignment="1"/>
    <xf numFmtId="0" fontId="12" fillId="15" borderId="93" xfId="15" applyFont="1" applyFill="1" applyBorder="1" applyAlignment="1"/>
    <xf numFmtId="0" fontId="9" fillId="0" borderId="94" xfId="15" applyFont="1" applyFill="1" applyBorder="1" applyAlignment="1"/>
    <xf numFmtId="0" fontId="12" fillId="0" borderId="92" xfId="0" applyFont="1" applyFill="1" applyBorder="1" applyAlignment="1"/>
    <xf numFmtId="0" fontId="51" fillId="0" borderId="95" xfId="15" applyFont="1" applyFill="1" applyBorder="1" applyAlignment="1"/>
    <xf numFmtId="0" fontId="40" fillId="0" borderId="95" xfId="15" applyFont="1" applyFill="1" applyBorder="1" applyAlignment="1">
      <alignment horizontal="right"/>
    </xf>
    <xf numFmtId="0" fontId="14" fillId="0" borderId="96" xfId="15" applyFont="1" applyFill="1" applyBorder="1" applyAlignment="1"/>
    <xf numFmtId="0" fontId="40" fillId="0" borderId="98" xfId="15" applyFont="1" applyFill="1" applyBorder="1" applyAlignment="1"/>
    <xf numFmtId="0" fontId="40" fillId="0" borderId="100" xfId="15" applyFont="1" applyFill="1" applyBorder="1" applyAlignment="1"/>
    <xf numFmtId="0" fontId="50" fillId="0" borderId="95" xfId="15" applyFont="1" applyFill="1" applyBorder="1" applyAlignment="1"/>
    <xf numFmtId="0" fontId="52" fillId="0" borderId="101" xfId="1" applyFont="1" applyFill="1" applyBorder="1" applyAlignment="1"/>
    <xf numFmtId="0" fontId="52" fillId="0" borderId="95" xfId="15" applyFont="1" applyFill="1" applyBorder="1" applyAlignment="1"/>
    <xf numFmtId="0" fontId="14" fillId="0" borderId="102" xfId="15" applyFont="1" applyFill="1" applyBorder="1" applyAlignment="1"/>
    <xf numFmtId="0" fontId="40" fillId="0" borderId="102" xfId="15" applyFont="1" applyFill="1" applyBorder="1" applyAlignment="1"/>
    <xf numFmtId="0" fontId="53" fillId="0" borderId="102" xfId="1" applyFont="1" applyFill="1" applyBorder="1" applyAlignment="1">
      <alignment horizontal="center"/>
    </xf>
    <xf numFmtId="49" fontId="0" fillId="18" borderId="16" xfId="15" applyNumberFormat="1" applyFont="1" applyFill="1" applyBorder="1" applyAlignment="1">
      <alignment horizontal="center"/>
    </xf>
    <xf numFmtId="49" fontId="24" fillId="0" borderId="0" xfId="15" applyNumberFormat="1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14" fillId="15" borderId="16" xfId="23" applyFont="1" applyFill="1" applyBorder="1" applyAlignment="1">
      <alignment horizontal="center"/>
    </xf>
    <xf numFmtId="0" fontId="0" fillId="0" borderId="90" xfId="23" applyFont="1" applyBorder="1"/>
    <xf numFmtId="0" fontId="0" fillId="0" borderId="20" xfId="23" applyFont="1" applyBorder="1"/>
    <xf numFmtId="0" fontId="0" fillId="0" borderId="89" xfId="23" applyFont="1" applyBorder="1"/>
    <xf numFmtId="49" fontId="14" fillId="0" borderId="0" xfId="23" applyNumberFormat="1" applyFont="1" applyFill="1" applyBorder="1" applyAlignment="1">
      <alignment horizontal="center"/>
    </xf>
    <xf numFmtId="0" fontId="5" fillId="17" borderId="16" xfId="23" applyFont="1" applyFill="1" applyBorder="1" applyAlignment="1">
      <alignment horizontal="center"/>
    </xf>
    <xf numFmtId="0" fontId="0" fillId="0" borderId="0" xfId="23" applyFont="1" applyFill="1"/>
    <xf numFmtId="0" fontId="14" fillId="0" borderId="38" xfId="23" applyFont="1" applyFill="1" applyBorder="1"/>
    <xf numFmtId="0" fontId="0" fillId="0" borderId="89" xfId="23" applyFont="1" applyFill="1" applyBorder="1"/>
    <xf numFmtId="0" fontId="14" fillId="0" borderId="0" xfId="23" applyFont="1" applyFill="1"/>
    <xf numFmtId="0" fontId="14" fillId="0" borderId="38" xfId="23" applyFont="1" applyBorder="1" applyAlignment="1">
      <alignment horizontal="left"/>
    </xf>
    <xf numFmtId="0" fontId="14" fillId="0" borderId="89" xfId="23" applyFont="1" applyBorder="1" applyAlignment="1">
      <alignment horizontal="left"/>
    </xf>
    <xf numFmtId="0" fontId="14" fillId="0" borderId="0" xfId="23" applyFont="1" applyFill="1" applyBorder="1" applyAlignment="1"/>
    <xf numFmtId="0" fontId="14" fillId="0" borderId="24" xfId="23" applyFont="1" applyFill="1" applyBorder="1"/>
    <xf numFmtId="0" fontId="44" fillId="0" borderId="0" xfId="23" applyFont="1" applyAlignment="1">
      <alignment horizontal="center"/>
    </xf>
    <xf numFmtId="0" fontId="44" fillId="0" borderId="0" xfId="23" applyFont="1"/>
    <xf numFmtId="0" fontId="44" fillId="0" borderId="0" xfId="23" applyFont="1" applyAlignment="1"/>
    <xf numFmtId="0" fontId="44" fillId="0" borderId="0" xfId="23" applyFont="1" applyBorder="1"/>
    <xf numFmtId="0" fontId="14" fillId="0" borderId="16" xfId="6" applyFont="1" applyBorder="1"/>
    <xf numFmtId="0" fontId="14" fillId="0" borderId="19" xfId="23" applyFont="1" applyBorder="1" applyAlignment="1"/>
    <xf numFmtId="0" fontId="14" fillId="0" borderId="90" xfId="23" applyFont="1" applyFill="1" applyBorder="1" applyAlignment="1"/>
    <xf numFmtId="0" fontId="5" fillId="0" borderId="16" xfId="23" applyFont="1" applyBorder="1" applyAlignment="1"/>
    <xf numFmtId="0" fontId="44" fillId="0" borderId="0" xfId="6" applyFont="1"/>
    <xf numFmtId="0" fontId="24" fillId="17" borderId="16" xfId="23" quotePrefix="1" applyFont="1" applyFill="1" applyBorder="1" applyAlignment="1">
      <alignment horizontal="center"/>
    </xf>
    <xf numFmtId="0" fontId="44" fillId="0" borderId="0" xfId="15" applyFont="1"/>
    <xf numFmtId="0" fontId="14" fillId="0" borderId="19" xfId="23" applyFont="1" applyFill="1" applyBorder="1"/>
    <xf numFmtId="0" fontId="23" fillId="0" borderId="16" xfId="9" applyFont="1" applyBorder="1" applyAlignment="1"/>
    <xf numFmtId="49" fontId="14" fillId="0" borderId="0" xfId="15" applyNumberFormat="1" applyFont="1"/>
    <xf numFmtId="49" fontId="14" fillId="0" borderId="0" xfId="15" applyNumberFormat="1" applyFont="1" applyAlignment="1">
      <alignment horizontal="right"/>
    </xf>
    <xf numFmtId="49" fontId="0" fillId="0" borderId="0" xfId="15" applyNumberFormat="1" applyFont="1" applyAlignment="1">
      <alignment horizontal="right"/>
    </xf>
    <xf numFmtId="49" fontId="0" fillId="0" borderId="0" xfId="15" quotePrefix="1" applyNumberFormat="1" applyFont="1"/>
    <xf numFmtId="0" fontId="14" fillId="8" borderId="0" xfId="23" applyFont="1" applyFill="1" applyAlignment="1">
      <alignment horizontal="left"/>
    </xf>
    <xf numFmtId="0" fontId="14" fillId="8" borderId="23" xfId="23" applyFont="1" applyFill="1" applyBorder="1" applyAlignment="1">
      <alignment horizontal="left"/>
    </xf>
    <xf numFmtId="49" fontId="0" fillId="0" borderId="0" xfId="23" quotePrefix="1" applyNumberFormat="1" applyFont="1" applyAlignment="1">
      <alignment horizontal="right"/>
    </xf>
    <xf numFmtId="49" fontId="14" fillId="0" borderId="0" xfId="23" applyNumberFormat="1" applyFont="1" applyAlignment="1">
      <alignment horizontal="right"/>
    </xf>
    <xf numFmtId="49" fontId="0" fillId="0" borderId="0" xfId="23" applyNumberFormat="1" applyFont="1" applyAlignment="1">
      <alignment horizontal="right"/>
    </xf>
    <xf numFmtId="49" fontId="0" fillId="0" borderId="0" xfId="6" applyNumberFormat="1" applyFont="1" applyAlignment="1">
      <alignment horizontal="right"/>
    </xf>
    <xf numFmtId="49" fontId="0" fillId="0" borderId="0" xfId="6" quotePrefix="1" applyNumberFormat="1" applyFont="1"/>
    <xf numFmtId="0" fontId="23" fillId="0" borderId="16" xfId="23" applyFont="1" applyFill="1" applyBorder="1" applyAlignment="1"/>
    <xf numFmtId="0" fontId="14" fillId="0" borderId="16" xfId="23" applyNumberFormat="1" applyFont="1" applyFill="1" applyBorder="1" applyAlignment="1">
      <alignment horizontal="center"/>
    </xf>
    <xf numFmtId="0" fontId="23" fillId="0" borderId="16" xfId="23" applyFont="1" applyFill="1" applyBorder="1" applyAlignment="1">
      <alignment horizontal="center"/>
    </xf>
    <xf numFmtId="0" fontId="0" fillId="0" borderId="16" xfId="9" applyFont="1" applyFill="1" applyBorder="1" applyAlignment="1"/>
    <xf numFmtId="0" fontId="0" fillId="0" borderId="16" xfId="9" applyNumberFormat="1" applyFont="1" applyFill="1" applyBorder="1" applyAlignment="1"/>
    <xf numFmtId="0" fontId="0" fillId="0" borderId="16" xfId="23" applyNumberFormat="1" applyFont="1" applyFill="1" applyBorder="1" applyAlignment="1"/>
    <xf numFmtId="0" fontId="23" fillId="0" borderId="0" xfId="23" applyFont="1" applyFill="1" applyAlignment="1">
      <alignment horizontal="right"/>
    </xf>
    <xf numFmtId="0" fontId="33" fillId="0" borderId="0" xfId="23" applyFont="1"/>
    <xf numFmtId="0" fontId="0" fillId="20" borderId="0" xfId="23" applyFont="1" applyFill="1" applyAlignment="1">
      <alignment horizontal="left"/>
    </xf>
    <xf numFmtId="0" fontId="14" fillId="20" borderId="0" xfId="23" applyFont="1" applyFill="1" applyAlignment="1">
      <alignment horizontal="left"/>
    </xf>
    <xf numFmtId="0" fontId="14" fillId="20" borderId="23" xfId="23" applyFont="1" applyFill="1" applyBorder="1" applyAlignment="1">
      <alignment horizontal="left"/>
    </xf>
    <xf numFmtId="0" fontId="0" fillId="0" borderId="90" xfId="23" applyFont="1" applyFill="1" applyBorder="1"/>
    <xf numFmtId="0" fontId="14" fillId="0" borderId="0" xfId="23" applyFont="1" applyFill="1" applyBorder="1"/>
    <xf numFmtId="0" fontId="0" fillId="0" borderId="0" xfId="23" applyFont="1" applyFill="1" applyBorder="1"/>
    <xf numFmtId="0" fontId="15" fillId="7" borderId="16" xfId="1" applyFill="1" applyBorder="1" applyAlignment="1"/>
    <xf numFmtId="0" fontId="13" fillId="6" borderId="16" xfId="7" applyFont="1" applyFill="1" applyBorder="1" applyAlignment="1">
      <alignment horizontal="center"/>
    </xf>
    <xf numFmtId="166" fontId="23" fillId="6" borderId="16" xfId="9" applyNumberFormat="1" applyFont="1" applyFill="1" applyBorder="1" applyAlignment="1">
      <alignment horizontal="center"/>
    </xf>
    <xf numFmtId="166" fontId="23" fillId="6" borderId="16" xfId="13" applyNumberFormat="1" applyFont="1" applyFill="1" applyBorder="1" applyAlignment="1">
      <alignment horizontal="center"/>
    </xf>
    <xf numFmtId="0" fontId="5" fillId="6" borderId="16" xfId="7" applyFont="1" applyFill="1" applyBorder="1" applyAlignment="1"/>
    <xf numFmtId="0" fontId="23" fillId="6" borderId="16" xfId="9" applyFont="1" applyFill="1" applyBorder="1" applyAlignment="1"/>
    <xf numFmtId="0" fontId="23" fillId="6" borderId="16" xfId="13" applyFont="1" applyFill="1" applyBorder="1" applyAlignment="1"/>
    <xf numFmtId="0" fontId="0" fillId="0" borderId="16" xfId="26" applyFont="1" applyFill="1" applyBorder="1" applyAlignment="1">
      <alignment horizontal="center"/>
    </xf>
    <xf numFmtId="0" fontId="0" fillId="0" borderId="16" xfId="13" applyFont="1" applyFill="1" applyBorder="1" applyAlignment="1">
      <alignment horizontal="center"/>
    </xf>
    <xf numFmtId="0" fontId="9" fillId="0" borderId="83" xfId="23" applyFont="1" applyFill="1" applyBorder="1" applyAlignment="1"/>
    <xf numFmtId="0" fontId="12" fillId="0" borderId="82" xfId="23" applyFont="1" applyFill="1" applyBorder="1" applyAlignment="1"/>
    <xf numFmtId="0" fontId="53" fillId="0" borderId="83" xfId="1" applyFont="1" applyFill="1" applyBorder="1" applyAlignment="1"/>
    <xf numFmtId="0" fontId="9" fillId="0" borderId="12" xfId="23" applyFont="1" applyFill="1" applyBorder="1" applyAlignment="1"/>
    <xf numFmtId="0" fontId="9" fillId="0" borderId="6" xfId="23" applyFont="1" applyFill="1" applyBorder="1" applyAlignment="1"/>
    <xf numFmtId="0" fontId="12" fillId="15" borderId="34" xfId="23" applyFont="1" applyFill="1" applyBorder="1" applyAlignment="1"/>
    <xf numFmtId="0" fontId="9" fillId="0" borderId="86" xfId="23" applyFont="1" applyFill="1" applyBorder="1" applyAlignment="1"/>
    <xf numFmtId="0" fontId="12" fillId="0" borderId="52" xfId="23" applyFont="1" applyFill="1" applyBorder="1" applyAlignment="1"/>
    <xf numFmtId="0" fontId="9" fillId="0" borderId="55" xfId="23" applyFont="1" applyFill="1" applyBorder="1" applyAlignment="1"/>
    <xf numFmtId="0" fontId="12" fillId="0" borderId="56" xfId="23" applyFont="1" applyFill="1" applyBorder="1" applyAlignment="1"/>
    <xf numFmtId="0" fontId="12" fillId="0" borderId="50" xfId="23" applyFont="1" applyFill="1" applyBorder="1" applyAlignment="1"/>
    <xf numFmtId="0" fontId="12" fillId="0" borderId="12" xfId="23" applyFont="1" applyFill="1" applyBorder="1" applyAlignment="1"/>
    <xf numFmtId="0" fontId="12" fillId="0" borderId="6" xfId="23" applyFont="1" applyFill="1" applyBorder="1" applyAlignment="1"/>
    <xf numFmtId="0" fontId="14" fillId="0" borderId="0" xfId="13" applyFont="1" applyFill="1" applyAlignment="1">
      <alignment textRotation="90"/>
    </xf>
    <xf numFmtId="0" fontId="0" fillId="0" borderId="0" xfId="0" applyAlignment="1">
      <alignment horizontal="center"/>
    </xf>
    <xf numFmtId="0" fontId="27" fillId="0" borderId="16" xfId="9" applyNumberFormat="1" applyFont="1" applyFill="1" applyBorder="1" applyAlignment="1"/>
    <xf numFmtId="0" fontId="27" fillId="0" borderId="16" xfId="9" applyNumberFormat="1" applyFont="1" applyFill="1" applyBorder="1" applyAlignment="1">
      <alignment horizontal="left"/>
    </xf>
    <xf numFmtId="0" fontId="27" fillId="0" borderId="16" xfId="9" applyNumberFormat="1" applyFont="1" applyFill="1" applyBorder="1" applyAlignment="1">
      <alignment horizontal="center"/>
    </xf>
    <xf numFmtId="0" fontId="27" fillId="0" borderId="0" xfId="13" applyFont="1" applyFill="1" applyAlignment="1">
      <alignment horizontal="center"/>
    </xf>
    <xf numFmtId="0" fontId="14" fillId="0" borderId="16" xfId="7" applyFont="1" applyFill="1" applyBorder="1" applyAlignment="1">
      <alignment horizontal="center" wrapText="1"/>
    </xf>
    <xf numFmtId="0" fontId="23" fillId="0" borderId="16" xfId="7" applyFont="1" applyFill="1" applyBorder="1" applyAlignment="1"/>
    <xf numFmtId="0" fontId="14" fillId="0" borderId="28" xfId="7" applyFont="1" applyFill="1" applyBorder="1" applyAlignment="1"/>
    <xf numFmtId="0" fontId="14" fillId="0" borderId="16" xfId="7" applyFont="1" applyFill="1" applyBorder="1" applyAlignment="1">
      <alignment horizontal="center"/>
    </xf>
    <xf numFmtId="0" fontId="0" fillId="0" borderId="0" xfId="23" applyFont="1" applyBorder="1" applyAlignment="1"/>
    <xf numFmtId="0" fontId="0" fillId="0" borderId="0" xfId="23" applyFont="1" applyBorder="1" applyAlignment="1">
      <alignment horizontal="center"/>
    </xf>
    <xf numFmtId="0" fontId="0" fillId="0" borderId="0" xfId="15" quotePrefix="1" applyFont="1"/>
    <xf numFmtId="49" fontId="0" fillId="0" borderId="0" xfId="23" applyNumberFormat="1" applyFont="1" applyBorder="1" applyAlignment="1">
      <alignment horizontal="center"/>
    </xf>
    <xf numFmtId="0" fontId="26" fillId="0" borderId="16" xfId="18" applyFont="1" applyFill="1" applyBorder="1" applyAlignment="1">
      <alignment horizontal="center"/>
    </xf>
    <xf numFmtId="0" fontId="14" fillId="9" borderId="16" xfId="18" applyFont="1" applyFill="1" applyBorder="1" applyAlignment="1">
      <alignment horizontal="center"/>
    </xf>
    <xf numFmtId="0" fontId="0" fillId="0" borderId="0" xfId="0" applyAlignment="1"/>
    <xf numFmtId="0" fontId="14" fillId="8" borderId="16" xfId="18" applyFont="1" applyFill="1" applyBorder="1" applyAlignment="1">
      <alignment horizontal="center"/>
    </xf>
    <xf numFmtId="0" fontId="0" fillId="8" borderId="16" xfId="0" applyFill="1" applyBorder="1" applyAlignment="1">
      <alignment horizontal="center"/>
    </xf>
    <xf numFmtId="0" fontId="0" fillId="8" borderId="16" xfId="7" applyFont="1" applyFill="1" applyBorder="1" applyAlignment="1">
      <alignment horizontal="center" wrapText="1"/>
    </xf>
    <xf numFmtId="0" fontId="0" fillId="8" borderId="16" xfId="7" applyFont="1" applyFill="1" applyBorder="1" applyAlignment="1">
      <alignment horizontal="center"/>
    </xf>
    <xf numFmtId="0" fontId="0" fillId="21" borderId="16" xfId="7" applyFont="1" applyFill="1" applyBorder="1" applyAlignment="1">
      <alignment horizontal="center" wrapText="1"/>
    </xf>
    <xf numFmtId="0" fontId="0" fillId="21" borderId="16" xfId="7" applyFont="1" applyFill="1" applyBorder="1" applyAlignment="1">
      <alignment horizontal="center"/>
    </xf>
    <xf numFmtId="0" fontId="26" fillId="0" borderId="16" xfId="7" applyFont="1" applyFill="1" applyBorder="1" applyAlignment="1">
      <alignment horizontal="center"/>
    </xf>
    <xf numFmtId="0" fontId="26" fillId="0" borderId="16" xfId="9" applyNumberFormat="1" applyFont="1" applyFill="1" applyBorder="1" applyAlignment="1">
      <alignment horizontal="center"/>
    </xf>
    <xf numFmtId="0" fontId="14" fillId="9" borderId="16" xfId="9" applyNumberFormat="1" applyFont="1" applyFill="1" applyBorder="1" applyAlignment="1">
      <alignment horizontal="center"/>
    </xf>
    <xf numFmtId="0" fontId="0" fillId="6" borderId="0" xfId="0" applyFill="1"/>
    <xf numFmtId="0" fontId="37" fillId="6" borderId="0" xfId="0" applyFont="1" applyFill="1"/>
    <xf numFmtId="0" fontId="26" fillId="0" borderId="0" xfId="15" applyFont="1"/>
    <xf numFmtId="0" fontId="5" fillId="0" borderId="0" xfId="23" applyFont="1" applyBorder="1" applyAlignment="1">
      <alignment horizontal="center"/>
    </xf>
    <xf numFmtId="0" fontId="23" fillId="6" borderId="0" xfId="0" applyFont="1" applyFill="1"/>
    <xf numFmtId="0" fontId="14" fillId="6" borderId="0" xfId="15" applyFont="1" applyFill="1" applyAlignment="1"/>
    <xf numFmtId="0" fontId="14" fillId="6" borderId="0" xfId="15" applyFont="1" applyFill="1"/>
    <xf numFmtId="0" fontId="37" fillId="0" borderId="0" xfId="15" applyFont="1"/>
    <xf numFmtId="0" fontId="23" fillId="9" borderId="103" xfId="15" applyFont="1" applyFill="1" applyBorder="1" applyAlignment="1">
      <alignment horizontal="center"/>
    </xf>
    <xf numFmtId="0" fontId="14" fillId="0" borderId="103" xfId="15" applyFont="1" applyBorder="1" applyAlignment="1"/>
    <xf numFmtId="0" fontId="14" fillId="0" borderId="103" xfId="15" applyFont="1" applyBorder="1"/>
    <xf numFmtId="0" fontId="0" fillId="0" borderId="103" xfId="15" applyFont="1" applyBorder="1" applyAlignment="1"/>
    <xf numFmtId="0" fontId="23" fillId="0" borderId="103" xfId="15" applyFont="1" applyBorder="1" applyAlignment="1">
      <alignment horizontal="center"/>
    </xf>
    <xf numFmtId="0" fontId="23" fillId="0" borderId="103" xfId="15" applyFont="1" applyFill="1" applyBorder="1" applyAlignment="1">
      <alignment horizontal="center"/>
    </xf>
    <xf numFmtId="0" fontId="23" fillId="0" borderId="103" xfId="23" applyFont="1" applyBorder="1" applyAlignment="1">
      <alignment horizontal="center"/>
    </xf>
    <xf numFmtId="0" fontId="14" fillId="0" borderId="103" xfId="23" applyFont="1" applyBorder="1" applyAlignment="1"/>
    <xf numFmtId="0" fontId="14" fillId="6" borderId="103" xfId="15" applyFont="1" applyFill="1" applyBorder="1" applyAlignment="1"/>
    <xf numFmtId="0" fontId="14" fillId="6" borderId="103" xfId="15" applyFont="1" applyFill="1" applyBorder="1" applyAlignment="1">
      <alignment horizontal="center"/>
    </xf>
    <xf numFmtId="0" fontId="14" fillId="6" borderId="103" xfId="15" applyFont="1" applyFill="1" applyBorder="1"/>
    <xf numFmtId="0" fontId="0" fillId="0" borderId="0" xfId="6" applyFont="1"/>
    <xf numFmtId="0" fontId="9" fillId="0" borderId="82" xfId="15" applyFont="1" applyFill="1" applyBorder="1" applyAlignment="1"/>
    <xf numFmtId="0" fontId="12" fillId="0" borderId="83" xfId="15" applyFont="1" applyFill="1" applyBorder="1" applyAlignment="1"/>
    <xf numFmtId="0" fontId="9" fillId="0" borderId="66" xfId="2" applyFont="1" applyFill="1" applyBorder="1" applyAlignment="1">
      <alignment vertical="top"/>
    </xf>
    <xf numFmtId="0" fontId="14" fillId="6" borderId="0" xfId="26" applyFont="1" applyFill="1" applyAlignment="1"/>
    <xf numFmtId="0" fontId="0" fillId="9" borderId="16" xfId="7" applyFont="1" applyFill="1" applyBorder="1" applyAlignment="1">
      <alignment horizontal="center"/>
    </xf>
    <xf numFmtId="16" fontId="0" fillId="0" borderId="16" xfId="23" applyNumberFormat="1" applyFont="1" applyBorder="1" applyAlignment="1">
      <alignment horizontal="center"/>
    </xf>
    <xf numFmtId="0" fontId="0" fillId="0" borderId="106" xfId="23" applyFont="1" applyBorder="1"/>
    <xf numFmtId="0" fontId="0" fillId="0" borderId="41" xfId="23" applyFont="1" applyFill="1" applyBorder="1"/>
    <xf numFmtId="0" fontId="0" fillId="0" borderId="73" xfId="23" applyFont="1" applyBorder="1"/>
    <xf numFmtId="0" fontId="14" fillId="0" borderId="73" xfId="23" applyFont="1" applyBorder="1"/>
    <xf numFmtId="0" fontId="0" fillId="0" borderId="40" xfId="23" applyFont="1" applyBorder="1"/>
    <xf numFmtId="0" fontId="14" fillId="0" borderId="41" xfId="23" applyFont="1" applyBorder="1" applyAlignment="1">
      <alignment horizontal="left"/>
    </xf>
    <xf numFmtId="49" fontId="0" fillId="0" borderId="0" xfId="6" quotePrefix="1" applyNumberFormat="1" applyFont="1" applyAlignment="1"/>
    <xf numFmtId="0" fontId="23" fillId="6" borderId="0" xfId="22" quotePrefix="1" applyNumberFormat="1" applyFont="1" applyFill="1" applyAlignment="1">
      <alignment horizontal="left" vertical="center"/>
    </xf>
    <xf numFmtId="20" fontId="23" fillId="6" borderId="0" xfId="22" applyNumberFormat="1" applyFont="1" applyFill="1" applyAlignment="1">
      <alignment horizontal="left" vertical="center"/>
    </xf>
    <xf numFmtId="20" fontId="14" fillId="6" borderId="0" xfId="22" applyNumberFormat="1" applyFont="1" applyFill="1" applyAlignment="1">
      <alignment horizontal="left" vertical="center"/>
    </xf>
    <xf numFmtId="0" fontId="24" fillId="6" borderId="0" xfId="9" applyFont="1" applyFill="1" applyAlignment="1">
      <alignment horizontal="right"/>
    </xf>
    <xf numFmtId="49" fontId="0" fillId="0" borderId="16" xfId="23" applyNumberFormat="1" applyFont="1" applyFill="1" applyBorder="1" applyAlignment="1">
      <alignment horizontal="center"/>
    </xf>
    <xf numFmtId="0" fontId="14" fillId="0" borderId="107" xfId="23" applyFont="1" applyBorder="1"/>
    <xf numFmtId="0" fontId="14" fillId="0" borderId="39" xfId="23" applyFont="1" applyBorder="1" applyAlignment="1">
      <alignment horizontal="left"/>
    </xf>
    <xf numFmtId="0" fontId="0" fillId="0" borderId="41" xfId="23" applyFont="1" applyBorder="1"/>
    <xf numFmtId="0" fontId="14" fillId="0" borderId="103" xfId="15" applyFont="1" applyBorder="1" applyAlignment="1">
      <alignment horizontal="center"/>
    </xf>
    <xf numFmtId="0" fontId="23" fillId="0" borderId="103" xfId="23" applyFont="1" applyFill="1" applyBorder="1" applyAlignment="1">
      <alignment horizontal="center"/>
    </xf>
    <xf numFmtId="0" fontId="0" fillId="20" borderId="16" xfId="23" applyFont="1" applyFill="1" applyBorder="1" applyAlignment="1">
      <alignment horizontal="center"/>
    </xf>
    <xf numFmtId="0" fontId="14" fillId="20" borderId="16" xfId="23" applyFont="1" applyFill="1" applyBorder="1" applyAlignment="1">
      <alignment horizontal="center"/>
    </xf>
    <xf numFmtId="0" fontId="0" fillId="20" borderId="16" xfId="0" applyFill="1" applyBorder="1" applyAlignment="1">
      <alignment horizontal="center"/>
    </xf>
    <xf numFmtId="0" fontId="0" fillId="6" borderId="16" xfId="9" applyNumberFormat="1" applyFont="1" applyFill="1" applyBorder="1" applyAlignment="1"/>
    <xf numFmtId="0" fontId="0" fillId="6" borderId="16" xfId="9" applyFont="1" applyFill="1" applyBorder="1" applyAlignment="1"/>
    <xf numFmtId="0" fontId="0" fillId="9" borderId="16" xfId="9" applyNumberFormat="1" applyFont="1" applyFill="1" applyBorder="1" applyAlignment="1">
      <alignment horizontal="center"/>
    </xf>
    <xf numFmtId="0" fontId="14" fillId="13" borderId="16" xfId="6" applyFont="1" applyFill="1" applyBorder="1"/>
    <xf numFmtId="0" fontId="5" fillId="0" borderId="16" xfId="23" applyFont="1" applyFill="1" applyBorder="1" applyAlignment="1">
      <alignment horizontal="center"/>
    </xf>
    <xf numFmtId="0" fontId="14" fillId="0" borderId="42" xfId="23" applyFont="1" applyBorder="1" applyAlignment="1">
      <alignment horizontal="left"/>
    </xf>
    <xf numFmtId="0" fontId="0" fillId="0" borderId="23" xfId="23" applyFont="1" applyBorder="1"/>
    <xf numFmtId="0" fontId="14" fillId="0" borderId="107" xfId="23" applyFont="1" applyFill="1" applyBorder="1" applyAlignment="1">
      <alignment horizontal="left"/>
    </xf>
    <xf numFmtId="0" fontId="0" fillId="7" borderId="16" xfId="0" applyFont="1" applyFill="1" applyBorder="1" applyAlignment="1">
      <alignment horizontal="center" vertical="center"/>
    </xf>
    <xf numFmtId="0" fontId="15" fillId="7" borderId="16" xfId="1" applyFont="1" applyFill="1" applyBorder="1" applyAlignment="1"/>
    <xf numFmtId="0" fontId="23" fillId="6" borderId="28" xfId="7" applyFont="1" applyFill="1" applyBorder="1" applyAlignment="1"/>
    <xf numFmtId="0" fontId="23" fillId="6" borderId="29" xfId="7" applyFont="1" applyFill="1" applyBorder="1" applyAlignment="1">
      <alignment horizontal="center"/>
    </xf>
    <xf numFmtId="0" fontId="23" fillId="6" borderId="29" xfId="7" applyFont="1" applyFill="1" applyBorder="1" applyAlignment="1">
      <alignment horizontal="right"/>
    </xf>
    <xf numFmtId="0" fontId="12" fillId="0" borderId="85" xfId="23" applyFont="1" applyFill="1" applyBorder="1" applyAlignment="1"/>
    <xf numFmtId="0" fontId="55" fillId="0" borderId="111" xfId="1" applyFont="1" applyFill="1" applyBorder="1" applyAlignment="1"/>
    <xf numFmtId="0" fontId="55" fillId="0" borderId="113" xfId="1" applyFont="1" applyFill="1" applyBorder="1" applyAlignment="1"/>
    <xf numFmtId="0" fontId="23" fillId="19" borderId="81" xfId="15" applyFont="1" applyFill="1" applyBorder="1" applyAlignment="1"/>
    <xf numFmtId="0" fontId="15" fillId="23" borderId="88" xfId="1" applyFill="1" applyBorder="1"/>
    <xf numFmtId="0" fontId="15" fillId="23" borderId="17" xfId="1" applyFill="1" applyBorder="1"/>
    <xf numFmtId="0" fontId="48" fillId="15" borderId="16" xfId="7" applyFont="1" applyFill="1" applyBorder="1" applyAlignment="1"/>
    <xf numFmtId="166" fontId="48" fillId="15" borderId="16" xfId="9" applyNumberFormat="1" applyFont="1" applyFill="1" applyBorder="1" applyAlignment="1">
      <alignment horizontal="center"/>
    </xf>
    <xf numFmtId="0" fontId="48" fillId="15" borderId="16" xfId="19" applyFont="1" applyFill="1" applyBorder="1" applyAlignment="1">
      <alignment horizontal="center"/>
    </xf>
    <xf numFmtId="0" fontId="48" fillId="15" borderId="16" xfId="9" applyFont="1" applyFill="1" applyBorder="1" applyAlignment="1"/>
    <xf numFmtId="49" fontId="0" fillId="0" borderId="0" xfId="23" applyNumberFormat="1" applyFont="1" applyAlignment="1">
      <alignment horizontal="center"/>
    </xf>
    <xf numFmtId="49" fontId="0" fillId="0" borderId="0" xfId="6" applyNumberFormat="1" applyFont="1" applyAlignment="1">
      <alignment horizontal="center"/>
    </xf>
    <xf numFmtId="49" fontId="14" fillId="0" borderId="0" xfId="23" applyNumberFormat="1" applyFont="1" applyAlignment="1"/>
    <xf numFmtId="0" fontId="0" fillId="0" borderId="0" xfId="0" applyFont="1" applyFill="1" applyAlignment="1">
      <alignment horizontal="center"/>
    </xf>
    <xf numFmtId="0" fontId="0" fillId="14" borderId="16" xfId="0" applyFill="1" applyBorder="1" applyAlignment="1">
      <alignment horizontal="center" vertical="center"/>
    </xf>
    <xf numFmtId="0" fontId="28" fillId="14" borderId="16" xfId="7" quotePrefix="1" applyFont="1" applyFill="1" applyBorder="1" applyAlignment="1">
      <alignment horizontal="center"/>
    </xf>
    <xf numFmtId="0" fontId="15" fillId="14" borderId="16" xfId="1" applyFill="1" applyBorder="1" applyAlignment="1">
      <alignment horizontal="center"/>
    </xf>
    <xf numFmtId="49" fontId="14" fillId="0" borderId="0" xfId="6" applyNumberFormat="1" applyFont="1" applyAlignment="1"/>
    <xf numFmtId="49" fontId="14" fillId="0" borderId="0" xfId="6" applyNumberFormat="1" applyFont="1" applyAlignment="1">
      <alignment horizontal="center"/>
    </xf>
    <xf numFmtId="0" fontId="0" fillId="0" borderId="16" xfId="23" applyNumberFormat="1" applyFont="1" applyFill="1" applyBorder="1" applyAlignment="1">
      <alignment horizontal="center"/>
    </xf>
    <xf numFmtId="0" fontId="27" fillId="0" borderId="0" xfId="23" applyFont="1" applyAlignment="1">
      <alignment horizontal="center"/>
    </xf>
    <xf numFmtId="0" fontId="27" fillId="0" borderId="0" xfId="23" quotePrefix="1" applyFont="1" applyAlignment="1">
      <alignment horizontal="center"/>
    </xf>
    <xf numFmtId="0" fontId="14" fillId="0" borderId="0" xfId="23" applyNumberFormat="1" applyFont="1" applyAlignment="1"/>
    <xf numFmtId="0" fontId="44" fillId="0" borderId="0" xfId="23" applyFont="1" applyFill="1" applyAlignment="1"/>
    <xf numFmtId="0" fontId="0" fillId="0" borderId="16" xfId="0" applyBorder="1"/>
    <xf numFmtId="0" fontId="0" fillId="0" borderId="16" xfId="0" applyFill="1" applyBorder="1"/>
    <xf numFmtId="0" fontId="0" fillId="0" borderId="16" xfId="23" applyFont="1" applyFill="1" applyBorder="1"/>
    <xf numFmtId="0" fontId="27" fillId="0" borderId="0" xfId="23" applyFont="1" applyFill="1" applyBorder="1" applyAlignment="1">
      <alignment horizontal="center"/>
    </xf>
    <xf numFmtId="0" fontId="14" fillId="0" borderId="0" xfId="15" applyFont="1" applyFill="1"/>
    <xf numFmtId="0" fontId="27" fillId="0" borderId="0" xfId="23" applyFont="1" applyFill="1" applyAlignment="1">
      <alignment horizontal="center"/>
    </xf>
    <xf numFmtId="0" fontId="27" fillId="0" borderId="0" xfId="23" quotePrefix="1" applyFont="1" applyFill="1" applyAlignment="1">
      <alignment horizontal="center"/>
    </xf>
    <xf numFmtId="0" fontId="14" fillId="0" borderId="0" xfId="23" applyFont="1" applyFill="1" applyAlignment="1"/>
    <xf numFmtId="49" fontId="14" fillId="0" borderId="0" xfId="23" applyNumberFormat="1" applyFont="1" applyFill="1" applyAlignment="1">
      <alignment horizontal="center"/>
    </xf>
    <xf numFmtId="0" fontId="14" fillId="0" borderId="0" xfId="23" applyFont="1" applyFill="1" applyAlignment="1">
      <alignment horizontal="center"/>
    </xf>
    <xf numFmtId="0" fontId="14" fillId="0" borderId="0" xfId="6" applyFont="1" applyFill="1"/>
    <xf numFmtId="49" fontId="0" fillId="0" borderId="0" xfId="23" applyNumberFormat="1" applyFont="1" applyFill="1" applyBorder="1" applyAlignment="1">
      <alignment horizontal="center"/>
    </xf>
    <xf numFmtId="0" fontId="5" fillId="0" borderId="0" xfId="23" applyFont="1" applyFill="1" applyBorder="1" applyAlignment="1">
      <alignment horizontal="center"/>
    </xf>
    <xf numFmtId="0" fontId="23" fillId="0" borderId="0" xfId="0" applyFont="1"/>
    <xf numFmtId="0" fontId="37" fillId="0" borderId="0" xfId="0" applyFont="1"/>
    <xf numFmtId="0" fontId="0" fillId="13" borderId="16" xfId="0" applyFill="1" applyBorder="1" applyAlignment="1">
      <alignment horizontal="center"/>
    </xf>
    <xf numFmtId="0" fontId="0" fillId="24" borderId="16" xfId="23" applyNumberFormat="1" applyFont="1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5" fillId="0" borderId="0" xfId="15" applyFont="1"/>
    <xf numFmtId="0" fontId="14" fillId="24" borderId="16" xfId="23" applyFont="1" applyFill="1" applyBorder="1" applyAlignment="1">
      <alignment horizontal="center"/>
    </xf>
    <xf numFmtId="0" fontId="0" fillId="17" borderId="16" xfId="0" applyFill="1" applyBorder="1" applyAlignment="1">
      <alignment horizontal="center"/>
    </xf>
    <xf numFmtId="0" fontId="0" fillId="18" borderId="16" xfId="23" applyNumberFormat="1" applyFont="1" applyFill="1" applyBorder="1" applyAlignment="1">
      <alignment horizontal="center"/>
    </xf>
    <xf numFmtId="0" fontId="0" fillId="18" borderId="16" xfId="0" applyFill="1" applyBorder="1" applyAlignment="1">
      <alignment horizontal="center"/>
    </xf>
    <xf numFmtId="0" fontId="14" fillId="18" borderId="16" xfId="23" applyFont="1" applyFill="1" applyBorder="1" applyAlignment="1">
      <alignment horizontal="center"/>
    </xf>
    <xf numFmtId="0" fontId="5" fillId="18" borderId="16" xfId="23" applyFont="1" applyFill="1" applyBorder="1" applyAlignment="1">
      <alignment horizontal="center"/>
    </xf>
    <xf numFmtId="0" fontId="14" fillId="25" borderId="16" xfId="23" applyFont="1" applyFill="1" applyBorder="1" applyAlignment="1">
      <alignment horizontal="center"/>
    </xf>
    <xf numFmtId="0" fontId="0" fillId="18" borderId="0" xfId="0" applyFill="1"/>
    <xf numFmtId="0" fontId="5" fillId="18" borderId="0" xfId="15" quotePrefix="1" applyFont="1" applyFill="1" applyAlignment="1">
      <alignment horizontal="right"/>
    </xf>
    <xf numFmtId="0" fontId="5" fillId="8" borderId="0" xfId="15" quotePrefix="1" applyFont="1" applyFill="1" applyAlignment="1">
      <alignment horizontal="right"/>
    </xf>
    <xf numFmtId="49" fontId="0" fillId="18" borderId="0" xfId="0" applyNumberFormat="1" applyFill="1" applyAlignment="1">
      <alignment horizontal="center"/>
    </xf>
    <xf numFmtId="49" fontId="0" fillId="8" borderId="0" xfId="0" applyNumberFormat="1" applyFill="1" applyAlignment="1">
      <alignment horizontal="center"/>
    </xf>
    <xf numFmtId="49" fontId="0" fillId="0" borderId="0" xfId="0" applyNumberFormat="1" applyAlignment="1">
      <alignment horizontal="center"/>
    </xf>
    <xf numFmtId="0" fontId="0" fillId="12" borderId="16" xfId="23" applyFont="1" applyFill="1" applyBorder="1" applyAlignment="1">
      <alignment horizontal="center"/>
    </xf>
    <xf numFmtId="0" fontId="0" fillId="0" borderId="0" xfId="0" quotePrefix="1"/>
    <xf numFmtId="0" fontId="14" fillId="6" borderId="16" xfId="23" applyFont="1" applyFill="1" applyBorder="1" applyAlignment="1"/>
    <xf numFmtId="0" fontId="14" fillId="5" borderId="16" xfId="23" applyFont="1" applyFill="1" applyBorder="1" applyAlignment="1"/>
    <xf numFmtId="0" fontId="9" fillId="0" borderId="114" xfId="15" applyFont="1" applyFill="1" applyBorder="1" applyAlignment="1"/>
    <xf numFmtId="0" fontId="12" fillId="0" borderId="115" xfId="15" applyFont="1" applyFill="1" applyBorder="1" applyAlignment="1"/>
    <xf numFmtId="0" fontId="12" fillId="0" borderId="114" xfId="15" applyFont="1" applyFill="1" applyBorder="1" applyAlignment="1"/>
    <xf numFmtId="0" fontId="14" fillId="0" borderId="116" xfId="15" applyFont="1" applyFill="1" applyBorder="1" applyAlignment="1"/>
    <xf numFmtId="0" fontId="14" fillId="0" borderId="112" xfId="15" applyFont="1" applyFill="1" applyBorder="1" applyAlignment="1">
      <alignment vertical="top"/>
    </xf>
    <xf numFmtId="0" fontId="23" fillId="0" borderId="117" xfId="15" applyFont="1" applyFill="1" applyBorder="1" applyAlignment="1"/>
    <xf numFmtId="0" fontId="14" fillId="0" borderId="0" xfId="15" applyFont="1" applyFill="1" applyBorder="1" applyAlignment="1">
      <alignment vertical="top"/>
    </xf>
    <xf numFmtId="0" fontId="23" fillId="0" borderId="0" xfId="15" applyFont="1" applyFill="1" applyAlignment="1">
      <alignment vertical="top"/>
    </xf>
    <xf numFmtId="0" fontId="29" fillId="0" borderId="96" xfId="1" applyFont="1" applyFill="1" applyBorder="1" applyAlignment="1"/>
    <xf numFmtId="0" fontId="14" fillId="0" borderId="0" xfId="15" applyFont="1" applyBorder="1" applyAlignment="1">
      <alignment vertical="top"/>
    </xf>
    <xf numFmtId="0" fontId="14" fillId="0" borderId="119" xfId="15" applyFont="1" applyFill="1" applyBorder="1" applyAlignment="1"/>
    <xf numFmtId="0" fontId="14" fillId="0" borderId="120" xfId="15" applyFont="1" applyFill="1" applyBorder="1" applyAlignment="1"/>
    <xf numFmtId="0" fontId="14" fillId="0" borderId="121" xfId="15" applyFont="1" applyFill="1" applyBorder="1" applyAlignment="1"/>
    <xf numFmtId="0" fontId="34" fillId="0" borderId="0" xfId="15" applyNumberFormat="1" applyFont="1" applyFill="1" applyBorder="1" applyAlignment="1"/>
    <xf numFmtId="0" fontId="14" fillId="0" borderId="0" xfId="26" applyFont="1" applyFill="1" applyAlignment="1"/>
    <xf numFmtId="49" fontId="0" fillId="0" borderId="0" xfId="23" quotePrefix="1" applyNumberFormat="1" applyFont="1" applyAlignment="1"/>
    <xf numFmtId="0" fontId="23" fillId="6" borderId="38" xfId="22" quotePrefix="1" applyNumberFormat="1" applyFont="1" applyFill="1" applyBorder="1" applyAlignment="1">
      <alignment horizontal="left" vertical="center"/>
    </xf>
    <xf numFmtId="20" fontId="14" fillId="6" borderId="38" xfId="22" applyNumberFormat="1" applyFont="1" applyFill="1" applyBorder="1" applyAlignment="1">
      <alignment horizontal="left" vertical="center"/>
    </xf>
    <xf numFmtId="0" fontId="14" fillId="0" borderId="38" xfId="22" applyFont="1" applyFill="1" applyBorder="1" applyAlignment="1">
      <alignment vertical="center"/>
    </xf>
    <xf numFmtId="0" fontId="30" fillId="0" borderId="38" xfId="22" applyFont="1" applyFill="1" applyBorder="1" applyAlignment="1">
      <alignment vertical="center"/>
    </xf>
    <xf numFmtId="164" fontId="14" fillId="0" borderId="38" xfId="22" applyNumberFormat="1" applyFont="1" applyFill="1" applyBorder="1" applyAlignment="1">
      <alignment horizontal="center" vertical="center"/>
    </xf>
    <xf numFmtId="166" fontId="14" fillId="0" borderId="38" xfId="22" applyNumberFormat="1" applyFont="1" applyFill="1" applyBorder="1" applyAlignment="1">
      <alignment horizontal="center" vertical="center"/>
    </xf>
    <xf numFmtId="0" fontId="0" fillId="0" borderId="0" xfId="23" applyNumberFormat="1" applyFont="1" applyFill="1" applyBorder="1" applyAlignment="1">
      <alignment horizontal="center"/>
    </xf>
    <xf numFmtId="0" fontId="23" fillId="0" borderId="0" xfId="23" applyFont="1" applyBorder="1" applyAlignment="1">
      <alignment horizontal="center"/>
    </xf>
    <xf numFmtId="0" fontId="14" fillId="6" borderId="0" xfId="15" applyFont="1" applyFill="1" applyBorder="1" applyAlignment="1"/>
    <xf numFmtId="0" fontId="14" fillId="6" borderId="0" xfId="15" applyFont="1" applyFill="1" applyBorder="1" applyAlignment="1">
      <alignment horizontal="center"/>
    </xf>
    <xf numFmtId="0" fontId="14" fillId="6" borderId="0" xfId="15" applyFont="1" applyFill="1" applyBorder="1"/>
    <xf numFmtId="0" fontId="9" fillId="0" borderId="114" xfId="23" applyFont="1" applyFill="1" applyBorder="1" applyAlignment="1"/>
    <xf numFmtId="0" fontId="12" fillId="0" borderId="114" xfId="23" applyFont="1" applyFill="1" applyBorder="1" applyAlignment="1"/>
    <xf numFmtId="0" fontId="56" fillId="0" borderId="82" xfId="23" applyFont="1" applyFill="1" applyBorder="1" applyAlignment="1">
      <alignment horizontal="right"/>
    </xf>
    <xf numFmtId="0" fontId="12" fillId="0" borderId="86" xfId="23" applyFont="1" applyFill="1" applyBorder="1" applyAlignment="1"/>
    <xf numFmtId="0" fontId="23" fillId="20" borderId="16" xfId="23" applyFont="1" applyFill="1" applyBorder="1" applyAlignment="1">
      <alignment horizontal="center"/>
    </xf>
    <xf numFmtId="0" fontId="23" fillId="0" borderId="0" xfId="15" applyFont="1" applyFill="1" applyAlignment="1">
      <alignment horizontal="center"/>
    </xf>
    <xf numFmtId="0" fontId="23" fillId="0" borderId="0" xfId="23" quotePrefix="1" applyFont="1" applyAlignment="1">
      <alignment horizontal="center"/>
    </xf>
    <xf numFmtId="166" fontId="14" fillId="0" borderId="0" xfId="15" applyNumberFormat="1" applyFont="1" applyFill="1" applyAlignment="1">
      <alignment horizontal="center"/>
    </xf>
    <xf numFmtId="0" fontId="14" fillId="0" borderId="0" xfId="23" applyFont="1" applyFill="1" applyBorder="1" applyAlignment="1">
      <alignment horizontal="right"/>
    </xf>
    <xf numFmtId="166" fontId="14" fillId="0" borderId="0" xfId="6" applyNumberFormat="1" applyFont="1" applyFill="1" applyAlignment="1">
      <alignment horizontal="center"/>
    </xf>
    <xf numFmtId="0" fontId="14" fillId="0" borderId="0" xfId="15" applyFont="1" applyFill="1" applyAlignment="1">
      <alignment horizontal="center"/>
    </xf>
    <xf numFmtId="0" fontId="14" fillId="0" borderId="0" xfId="15" applyFont="1" applyFill="1" applyAlignment="1">
      <alignment horizontal="right"/>
    </xf>
    <xf numFmtId="0" fontId="23" fillId="0" borderId="0" xfId="23" quotePrefix="1" applyFont="1" applyFill="1" applyAlignment="1">
      <alignment horizontal="center"/>
    </xf>
    <xf numFmtId="0" fontId="0" fillId="0" borderId="0" xfId="15" applyFont="1" applyFill="1" applyAlignment="1">
      <alignment horizontal="center"/>
    </xf>
    <xf numFmtId="0" fontId="14" fillId="0" borderId="0" xfId="6" applyFont="1" applyFill="1" applyAlignment="1">
      <alignment horizontal="right"/>
    </xf>
    <xf numFmtId="0" fontId="23" fillId="24" borderId="16" xfId="23" applyFont="1" applyFill="1" applyBorder="1"/>
    <xf numFmtId="0" fontId="14" fillId="0" borderId="0" xfId="23" applyFont="1" applyFill="1" applyAlignment="1">
      <alignment horizontal="right"/>
    </xf>
    <xf numFmtId="0" fontId="14" fillId="28" borderId="16" xfId="23" applyFont="1" applyFill="1" applyBorder="1" applyAlignment="1">
      <alignment horizontal="center"/>
    </xf>
    <xf numFmtId="0" fontId="5" fillId="28" borderId="16" xfId="23" applyFont="1" applyFill="1" applyBorder="1" applyAlignment="1">
      <alignment horizontal="center"/>
    </xf>
    <xf numFmtId="0" fontId="14" fillId="0" borderId="0" xfId="23" applyNumberFormat="1" applyFont="1" applyFill="1" applyAlignment="1"/>
    <xf numFmtId="0" fontId="14" fillId="0" borderId="124" xfId="23" applyFont="1" applyBorder="1"/>
    <xf numFmtId="0" fontId="14" fillId="0" borderId="16" xfId="23" applyFont="1" applyFill="1" applyBorder="1" applyAlignment="1"/>
    <xf numFmtId="0" fontId="23" fillId="0" borderId="73" xfId="23" applyFont="1" applyBorder="1" applyAlignment="1">
      <alignment horizontal="right"/>
    </xf>
    <xf numFmtId="0" fontId="14" fillId="0" borderId="43" xfId="23" applyFont="1" applyBorder="1" applyAlignment="1">
      <alignment horizontal="left"/>
    </xf>
    <xf numFmtId="1" fontId="27" fillId="0" borderId="0" xfId="23" applyNumberFormat="1" applyFont="1" applyFill="1" applyBorder="1" applyAlignment="1">
      <alignment horizontal="center"/>
    </xf>
    <xf numFmtId="0" fontId="0" fillId="0" borderId="0" xfId="23" applyFont="1" applyAlignment="1">
      <alignment horizontal="center"/>
    </xf>
    <xf numFmtId="0" fontId="14" fillId="16" borderId="0" xfId="23" applyFont="1" applyFill="1" applyBorder="1" applyAlignment="1">
      <alignment horizontal="right"/>
    </xf>
    <xf numFmtId="0" fontId="14" fillId="0" borderId="125" xfId="23" applyFont="1" applyBorder="1"/>
    <xf numFmtId="0" fontId="14" fillId="0" borderId="126" xfId="23" applyFont="1" applyFill="1" applyBorder="1"/>
    <xf numFmtId="0" fontId="14" fillId="0" borderId="42" xfId="23" applyFont="1" applyBorder="1"/>
    <xf numFmtId="0" fontId="14" fillId="0" borderId="126" xfId="23" applyFont="1" applyBorder="1"/>
    <xf numFmtId="0" fontId="14" fillId="0" borderId="126" xfId="23" applyFont="1" applyBorder="1" applyAlignment="1">
      <alignment horizontal="left"/>
    </xf>
    <xf numFmtId="0" fontId="14" fillId="0" borderId="125" xfId="23" applyFont="1" applyBorder="1" applyAlignment="1">
      <alignment horizontal="left"/>
    </xf>
    <xf numFmtId="0" fontId="44" fillId="0" borderId="0" xfId="15" applyFont="1" applyFill="1"/>
    <xf numFmtId="0" fontId="47" fillId="9" borderId="127" xfId="26" applyFont="1" applyFill="1" applyBorder="1" applyAlignment="1">
      <alignment horizontal="center"/>
    </xf>
    <xf numFmtId="0" fontId="14" fillId="0" borderId="127" xfId="26" applyFont="1" applyFill="1" applyBorder="1" applyAlignment="1">
      <alignment horizontal="center"/>
    </xf>
    <xf numFmtId="0" fontId="23" fillId="0" borderId="88" xfId="23" applyFont="1" applyBorder="1" applyAlignment="1"/>
    <xf numFmtId="0" fontId="23" fillId="0" borderId="88" xfId="23" applyFont="1" applyBorder="1" applyAlignment="1">
      <alignment horizontal="center"/>
    </xf>
    <xf numFmtId="0" fontId="0" fillId="0" borderId="88" xfId="9" applyFont="1" applyFill="1" applyBorder="1" applyAlignment="1"/>
    <xf numFmtId="0" fontId="0" fillId="13" borderId="88" xfId="23" applyFont="1" applyFill="1" applyBorder="1" applyAlignment="1">
      <alignment horizontal="center"/>
    </xf>
    <xf numFmtId="0" fontId="0" fillId="0" borderId="88" xfId="23" applyFont="1" applyFill="1" applyBorder="1" applyAlignment="1">
      <alignment horizontal="center"/>
    </xf>
    <xf numFmtId="0" fontId="14" fillId="0" borderId="88" xfId="23" applyFont="1" applyFill="1" applyBorder="1" applyAlignment="1">
      <alignment horizontal="center"/>
    </xf>
    <xf numFmtId="0" fontId="0" fillId="0" borderId="88" xfId="0" applyFill="1" applyBorder="1" applyAlignment="1">
      <alignment horizontal="center"/>
    </xf>
    <xf numFmtId="0" fontId="0" fillId="0" borderId="88" xfId="7" applyFont="1" applyFill="1" applyBorder="1" applyAlignment="1"/>
    <xf numFmtId="0" fontId="14" fillId="13" borderId="88" xfId="23" applyFont="1" applyFill="1" applyBorder="1" applyAlignment="1">
      <alignment horizontal="center"/>
    </xf>
    <xf numFmtId="0" fontId="0" fillId="0" borderId="88" xfId="15" applyFont="1" applyFill="1" applyBorder="1" applyAlignment="1"/>
    <xf numFmtId="0" fontId="0" fillId="13" borderId="88" xfId="0" applyFill="1" applyBorder="1" applyAlignment="1">
      <alignment horizontal="center"/>
    </xf>
    <xf numFmtId="49" fontId="0" fillId="0" borderId="88" xfId="23" applyNumberFormat="1" applyFont="1" applyFill="1" applyBorder="1" applyAlignment="1">
      <alignment horizontal="center"/>
    </xf>
    <xf numFmtId="49" fontId="0" fillId="18" borderId="88" xfId="23" applyNumberFormat="1" applyFont="1" applyFill="1" applyBorder="1" applyAlignment="1">
      <alignment horizontal="center"/>
    </xf>
    <xf numFmtId="0" fontId="0" fillId="17" borderId="88" xfId="23" applyFont="1" applyFill="1" applyBorder="1" applyAlignment="1">
      <alignment horizontal="center"/>
    </xf>
    <xf numFmtId="0" fontId="14" fillId="17" borderId="88" xfId="23" applyFont="1" applyFill="1" applyBorder="1" applyAlignment="1">
      <alignment horizontal="center"/>
    </xf>
    <xf numFmtId="49" fontId="0" fillId="29" borderId="88" xfId="23" applyNumberFormat="1" applyFont="1" applyFill="1" applyBorder="1" applyAlignment="1">
      <alignment horizontal="center"/>
    </xf>
    <xf numFmtId="0" fontId="0" fillId="28" borderId="88" xfId="0" applyFill="1" applyBorder="1" applyAlignment="1">
      <alignment horizontal="center"/>
    </xf>
    <xf numFmtId="0" fontId="14" fillId="28" borderId="88" xfId="23" applyFont="1" applyFill="1" applyBorder="1" applyAlignment="1">
      <alignment horizontal="center"/>
    </xf>
    <xf numFmtId="0" fontId="0" fillId="17" borderId="0" xfId="23" applyFont="1" applyFill="1"/>
    <xf numFmtId="0" fontId="0" fillId="28" borderId="0" xfId="23" applyFont="1" applyFill="1"/>
    <xf numFmtId="0" fontId="0" fillId="20" borderId="23" xfId="23" applyFont="1" applyFill="1" applyBorder="1" applyAlignment="1">
      <alignment horizontal="left"/>
    </xf>
    <xf numFmtId="166" fontId="14" fillId="0" borderId="88" xfId="22" applyNumberFormat="1" applyFont="1" applyFill="1" applyBorder="1" applyAlignment="1">
      <alignment horizontal="center" vertical="center"/>
    </xf>
    <xf numFmtId="0" fontId="15" fillId="9" borderId="88" xfId="1" applyFill="1" applyBorder="1" applyAlignment="1"/>
    <xf numFmtId="0" fontId="23" fillId="0" borderId="88" xfId="22" applyFont="1" applyFill="1" applyBorder="1" applyAlignment="1"/>
    <xf numFmtId="164" fontId="23" fillId="0" borderId="88" xfId="22" applyNumberFormat="1" applyFont="1" applyFill="1" applyBorder="1" applyAlignment="1">
      <alignment horizontal="center"/>
    </xf>
    <xf numFmtId="0" fontId="12" fillId="9" borderId="82" xfId="15" applyFont="1" applyFill="1" applyBorder="1" applyAlignment="1"/>
    <xf numFmtId="0" fontId="15" fillId="23" borderId="16" xfId="1" applyFill="1" applyBorder="1"/>
    <xf numFmtId="0" fontId="15" fillId="9" borderId="16" xfId="1" applyFill="1" applyBorder="1"/>
    <xf numFmtId="0" fontId="0" fillId="0" borderId="88" xfId="0" applyFill="1" applyBorder="1"/>
    <xf numFmtId="0" fontId="0" fillId="0" borderId="88" xfId="0" applyBorder="1"/>
    <xf numFmtId="0" fontId="0" fillId="0" borderId="88" xfId="6" applyFont="1" applyBorder="1"/>
    <xf numFmtId="0" fontId="19" fillId="0" borderId="88" xfId="0" applyFont="1" applyBorder="1" applyAlignment="1">
      <alignment vertical="center"/>
    </xf>
    <xf numFmtId="0" fontId="23" fillId="8" borderId="88" xfId="0" applyFont="1" applyFill="1" applyBorder="1"/>
    <xf numFmtId="0" fontId="0" fillId="6" borderId="88" xfId="23" applyFont="1" applyFill="1" applyBorder="1" applyAlignment="1"/>
    <xf numFmtId="0" fontId="0" fillId="5" borderId="88" xfId="0" applyFill="1" applyBorder="1"/>
    <xf numFmtId="0" fontId="0" fillId="30" borderId="88" xfId="0" applyFill="1" applyBorder="1"/>
    <xf numFmtId="0" fontId="0" fillId="31" borderId="88" xfId="0" applyFill="1" applyBorder="1"/>
    <xf numFmtId="0" fontId="15" fillId="0" borderId="0" xfId="1" applyFill="1" applyAlignment="1">
      <alignment vertical="top"/>
    </xf>
    <xf numFmtId="0" fontId="23" fillId="0" borderId="88" xfId="22" applyNumberFormat="1" applyFont="1" applyFill="1" applyBorder="1" applyAlignment="1">
      <alignment horizontal="left"/>
    </xf>
    <xf numFmtId="0" fontId="12" fillId="0" borderId="0" xfId="22" applyNumberFormat="1" applyFont="1" applyFill="1" applyBorder="1" applyAlignment="1">
      <alignment horizontal="left"/>
    </xf>
    <xf numFmtId="0" fontId="0" fillId="9" borderId="104" xfId="15" applyFont="1" applyFill="1" applyBorder="1" applyAlignment="1"/>
    <xf numFmtId="0" fontId="15" fillId="14" borderId="127" xfId="1" applyFill="1" applyBorder="1" applyAlignment="1">
      <alignment vertical="center"/>
    </xf>
    <xf numFmtId="49" fontId="44" fillId="27" borderId="17" xfId="6" applyNumberFormat="1" applyFont="1" applyFill="1" applyBorder="1"/>
    <xf numFmtId="0" fontId="33" fillId="9" borderId="71" xfId="1" applyFont="1" applyFill="1" applyBorder="1" applyAlignment="1"/>
    <xf numFmtId="0" fontId="15" fillId="26" borderId="17" xfId="1" applyFill="1" applyBorder="1"/>
    <xf numFmtId="0" fontId="30" fillId="30" borderId="88" xfId="22" applyFont="1" applyFill="1" applyBorder="1" applyAlignment="1">
      <alignment vertical="center"/>
    </xf>
    <xf numFmtId="0" fontId="0" fillId="29" borderId="0" xfId="0" quotePrefix="1" applyFill="1"/>
    <xf numFmtId="0" fontId="0" fillId="29" borderId="0" xfId="0" applyFill="1" applyAlignment="1">
      <alignment horizontal="center"/>
    </xf>
    <xf numFmtId="0" fontId="23" fillId="6" borderId="0" xfId="26" applyFont="1" applyFill="1" applyAlignment="1"/>
    <xf numFmtId="0" fontId="23" fillId="0" borderId="0" xfId="26" applyFont="1" applyAlignment="1"/>
    <xf numFmtId="0" fontId="23" fillId="6" borderId="131" xfId="22" quotePrefix="1" applyNumberFormat="1" applyFont="1" applyFill="1" applyBorder="1" applyAlignment="1">
      <alignment horizontal="left" vertical="center"/>
    </xf>
    <xf numFmtId="49" fontId="14" fillId="7" borderId="17" xfId="6" applyNumberFormat="1" applyFont="1" applyFill="1" applyBorder="1"/>
    <xf numFmtId="0" fontId="14" fillId="7" borderId="17" xfId="22" applyFont="1" applyFill="1" applyBorder="1" applyAlignment="1"/>
    <xf numFmtId="0" fontId="14" fillId="7" borderId="17" xfId="1" applyFont="1" applyFill="1" applyBorder="1"/>
    <xf numFmtId="168" fontId="14" fillId="7" borderId="17" xfId="22" applyNumberFormat="1" applyFont="1" applyFill="1" applyBorder="1" applyAlignment="1">
      <alignment horizontal="center" vertical="center"/>
    </xf>
    <xf numFmtId="166" fontId="14" fillId="7" borderId="17" xfId="22" applyNumberFormat="1" applyFont="1" applyFill="1" applyBorder="1" applyAlignment="1">
      <alignment horizontal="center"/>
    </xf>
    <xf numFmtId="0" fontId="0" fillId="7" borderId="17" xfId="22" applyFont="1" applyFill="1" applyBorder="1" applyAlignment="1"/>
    <xf numFmtId="0" fontId="14" fillId="7" borderId="17" xfId="7" applyFont="1" applyFill="1" applyBorder="1" applyAlignment="1">
      <alignment horizontal="left" vertical="top"/>
    </xf>
    <xf numFmtId="0" fontId="15" fillId="0" borderId="117" xfId="1" applyFill="1" applyBorder="1" applyAlignment="1"/>
    <xf numFmtId="0" fontId="0" fillId="0" borderId="16" xfId="6" applyFont="1" applyBorder="1"/>
    <xf numFmtId="0" fontId="27" fillId="0" borderId="127" xfId="9" applyFont="1" applyFill="1" applyBorder="1" applyAlignment="1">
      <alignment horizontal="right"/>
    </xf>
    <xf numFmtId="0" fontId="23" fillId="6" borderId="127" xfId="9" applyFont="1" applyFill="1" applyBorder="1" applyAlignment="1">
      <alignment horizontal="right"/>
    </xf>
    <xf numFmtId="0" fontId="14" fillId="0" borderId="127" xfId="15" applyFont="1" applyFill="1" applyBorder="1" applyAlignment="1"/>
    <xf numFmtId="0" fontId="49" fillId="0" borderId="127" xfId="17" applyFont="1" applyFill="1" applyBorder="1" applyAlignment="1">
      <alignment horizontal="center"/>
    </xf>
    <xf numFmtId="0" fontId="14" fillId="9" borderId="127" xfId="17" applyFont="1" applyFill="1" applyBorder="1" applyAlignment="1">
      <alignment horizontal="center"/>
    </xf>
    <xf numFmtId="0" fontId="54" fillId="0" borderId="127" xfId="17" applyFont="1" applyFill="1" applyBorder="1" applyAlignment="1">
      <alignment horizontal="center"/>
    </xf>
    <xf numFmtId="0" fontId="27" fillId="0" borderId="127" xfId="17" applyFont="1" applyFill="1" applyBorder="1" applyAlignment="1">
      <alignment horizontal="center"/>
    </xf>
    <xf numFmtId="0" fontId="42" fillId="0" borderId="127" xfId="9" applyFont="1" applyFill="1" applyBorder="1" applyAlignment="1">
      <alignment horizontal="center"/>
    </xf>
    <xf numFmtId="0" fontId="34" fillId="0" borderId="127" xfId="15" applyFont="1" applyFill="1" applyBorder="1" applyAlignment="1"/>
    <xf numFmtId="0" fontId="14" fillId="0" borderId="0" xfId="23" applyFont="1" applyFill="1" applyAlignment="1">
      <alignment horizontal="left"/>
    </xf>
    <xf numFmtId="0" fontId="14" fillId="0" borderId="127" xfId="9" applyFont="1" applyFill="1" applyBorder="1" applyAlignment="1"/>
    <xf numFmtId="0" fontId="23" fillId="6" borderId="127" xfId="9" applyNumberFormat="1" applyFont="1" applyFill="1" applyBorder="1" applyAlignment="1">
      <alignment horizontal="center"/>
    </xf>
    <xf numFmtId="0" fontId="14" fillId="0" borderId="127" xfId="7" applyFont="1" applyFill="1" applyBorder="1" applyAlignment="1">
      <alignment wrapText="1"/>
    </xf>
    <xf numFmtId="0" fontId="14" fillId="9" borderId="127" xfId="3" applyNumberFormat="1" applyFont="1" applyFill="1" applyBorder="1" applyAlignment="1" applyProtection="1">
      <alignment textRotation="90"/>
    </xf>
    <xf numFmtId="0" fontId="45" fillId="9" borderId="127" xfId="3" applyNumberFormat="1" applyFont="1" applyFill="1" applyBorder="1" applyAlignment="1" applyProtection="1"/>
    <xf numFmtId="0" fontId="26" fillId="0" borderId="127" xfId="18" applyFont="1" applyFill="1" applyBorder="1" applyAlignment="1">
      <alignment horizontal="center"/>
    </xf>
    <xf numFmtId="0" fontId="14" fillId="9" borderId="127" xfId="18" applyFont="1" applyFill="1" applyBorder="1" applyAlignment="1">
      <alignment horizontal="center"/>
    </xf>
    <xf numFmtId="0" fontId="54" fillId="0" borderId="127" xfId="9" applyFont="1" applyFill="1" applyBorder="1" applyAlignment="1">
      <alignment horizontal="center"/>
    </xf>
    <xf numFmtId="0" fontId="32" fillId="0" borderId="127" xfId="18" applyFont="1" applyFill="1" applyBorder="1" applyAlignment="1">
      <alignment horizontal="center"/>
    </xf>
    <xf numFmtId="0" fontId="43" fillId="0" borderId="127" xfId="18" applyFont="1" applyFill="1" applyBorder="1" applyAlignment="1"/>
    <xf numFmtId="0" fontId="14" fillId="0" borderId="127" xfId="7" applyFont="1" applyFill="1" applyBorder="1" applyAlignment="1">
      <alignment horizontal="center"/>
    </xf>
    <xf numFmtId="0" fontId="27" fillId="0" borderId="127" xfId="9" applyFont="1" applyBorder="1" applyAlignment="1"/>
    <xf numFmtId="0" fontId="23" fillId="0" borderId="127" xfId="9" applyFont="1" applyBorder="1" applyAlignment="1">
      <alignment horizontal="center"/>
    </xf>
    <xf numFmtId="0" fontId="23" fillId="6" borderId="127" xfId="9" applyFont="1" applyFill="1" applyBorder="1" applyAlignment="1">
      <alignment horizontal="center"/>
    </xf>
    <xf numFmtId="0" fontId="27" fillId="0" borderId="127" xfId="7" applyFont="1" applyFill="1" applyBorder="1" applyAlignment="1">
      <alignment horizontal="center"/>
    </xf>
    <xf numFmtId="0" fontId="27" fillId="0" borderId="127" xfId="13" applyFont="1" applyFill="1" applyBorder="1" applyAlignment="1">
      <alignment horizontal="center"/>
    </xf>
    <xf numFmtId="0" fontId="23" fillId="9" borderId="127" xfId="26" applyFont="1" applyFill="1" applyBorder="1" applyAlignment="1"/>
    <xf numFmtId="0" fontId="23" fillId="9" borderId="127" xfId="26" applyFont="1" applyFill="1" applyBorder="1" applyAlignment="1">
      <alignment horizontal="center"/>
    </xf>
    <xf numFmtId="0" fontId="43" fillId="0" borderId="0" xfId="15" applyFont="1" applyFill="1" applyAlignment="1">
      <alignment horizontal="center"/>
    </xf>
    <xf numFmtId="0" fontId="14" fillId="0" borderId="0" xfId="23" applyFont="1" applyAlignment="1">
      <alignment horizontal="right"/>
    </xf>
    <xf numFmtId="0" fontId="0" fillId="0" borderId="0" xfId="23" applyFont="1" applyAlignment="1">
      <alignment horizontal="right"/>
    </xf>
    <xf numFmtId="0" fontId="0" fillId="0" borderId="28" xfId="13" applyFont="1" applyFill="1" applyBorder="1" applyAlignment="1"/>
    <xf numFmtId="166" fontId="14" fillId="0" borderId="16" xfId="26" applyNumberFormat="1" applyFont="1" applyFill="1" applyBorder="1" applyAlignment="1">
      <alignment horizontal="center"/>
    </xf>
    <xf numFmtId="0" fontId="15" fillId="9" borderId="134" xfId="1" applyFill="1" applyBorder="1" applyAlignment="1"/>
    <xf numFmtId="0" fontId="57" fillId="0" borderId="4" xfId="23" applyFont="1" applyFill="1" applyBorder="1" applyAlignment="1">
      <alignment horizontal="right"/>
    </xf>
    <xf numFmtId="0" fontId="23" fillId="7" borderId="117" xfId="15" applyFont="1" applyFill="1" applyBorder="1" applyAlignment="1"/>
    <xf numFmtId="0" fontId="40" fillId="0" borderId="0" xfId="15" applyFont="1" applyFill="1" applyBorder="1" applyAlignment="1"/>
    <xf numFmtId="0" fontId="23" fillId="7" borderId="136" xfId="1" applyFont="1" applyFill="1" applyBorder="1" applyAlignment="1"/>
    <xf numFmtId="0" fontId="23" fillId="15" borderId="137" xfId="15" applyFont="1" applyFill="1" applyBorder="1" applyAlignment="1"/>
    <xf numFmtId="0" fontId="12" fillId="7" borderId="112" xfId="23" applyFont="1" applyFill="1" applyBorder="1" applyAlignment="1"/>
    <xf numFmtId="0" fontId="23" fillId="7" borderId="112" xfId="0" applyFont="1" applyFill="1" applyBorder="1" applyAlignment="1"/>
    <xf numFmtId="0" fontId="58" fillId="0" borderId="17" xfId="1" applyFont="1" applyFill="1" applyBorder="1" applyAlignment="1">
      <alignment vertical="center"/>
    </xf>
    <xf numFmtId="0" fontId="58" fillId="0" borderId="88" xfId="1" applyFont="1" applyFill="1" applyBorder="1" applyAlignment="1"/>
    <xf numFmtId="0" fontId="59" fillId="0" borderId="16" xfId="1" applyFont="1" applyFill="1" applyBorder="1"/>
    <xf numFmtId="0" fontId="58" fillId="0" borderId="17" xfId="1" applyFont="1" applyFill="1" applyBorder="1"/>
    <xf numFmtId="0" fontId="44" fillId="6" borderId="0" xfId="15" applyFont="1" applyFill="1" applyBorder="1" applyAlignment="1"/>
    <xf numFmtId="0" fontId="14" fillId="6" borderId="0" xfId="15" applyFont="1" applyFill="1" applyAlignment="1">
      <alignment vertical="top"/>
    </xf>
    <xf numFmtId="0" fontId="0" fillId="6" borderId="138" xfId="1" applyFont="1" applyFill="1" applyBorder="1" applyAlignment="1"/>
    <xf numFmtId="0" fontId="38" fillId="16" borderId="139" xfId="15" applyFont="1" applyFill="1" applyBorder="1" applyAlignment="1"/>
    <xf numFmtId="0" fontId="0" fillId="0" borderId="114" xfId="23" applyFont="1" applyFill="1" applyBorder="1" applyAlignment="1">
      <alignment vertical="top"/>
    </xf>
    <xf numFmtId="0" fontId="0" fillId="0" borderId="0" xfId="23" applyFont="1" applyFill="1" applyBorder="1" applyAlignment="1">
      <alignment vertical="top"/>
    </xf>
    <xf numFmtId="0" fontId="14" fillId="0" borderId="113" xfId="15" applyFont="1" applyFill="1" applyBorder="1" applyAlignment="1"/>
    <xf numFmtId="0" fontId="14" fillId="7" borderId="141" xfId="15" applyFont="1" applyFill="1" applyBorder="1" applyAlignment="1"/>
    <xf numFmtId="0" fontId="14" fillId="7" borderId="6" xfId="15" applyFont="1" applyFill="1" applyBorder="1" applyAlignment="1">
      <alignment vertical="top"/>
    </xf>
    <xf numFmtId="0" fontId="31" fillId="7" borderId="0" xfId="1" applyFont="1" applyFill="1" applyBorder="1" applyAlignment="1"/>
    <xf numFmtId="0" fontId="23" fillId="0" borderId="82" xfId="15" applyFont="1" applyFill="1" applyBorder="1" applyAlignment="1"/>
    <xf numFmtId="0" fontId="14" fillId="0" borderId="85" xfId="15" applyFont="1" applyFill="1" applyBorder="1" applyAlignment="1"/>
    <xf numFmtId="0" fontId="14" fillId="6" borderId="112" xfId="1" applyFont="1" applyFill="1" applyBorder="1" applyAlignment="1"/>
    <xf numFmtId="0" fontId="14" fillId="0" borderId="5" xfId="23" applyFont="1" applyFill="1" applyBorder="1" applyAlignment="1">
      <alignment vertical="top"/>
    </xf>
    <xf numFmtId="0" fontId="14" fillId="0" borderId="9" xfId="23" applyFont="1" applyFill="1" applyBorder="1" applyAlignment="1">
      <alignment vertical="top"/>
    </xf>
    <xf numFmtId="0" fontId="23" fillId="14" borderId="143" xfId="15" applyFont="1" applyFill="1" applyBorder="1" applyAlignment="1"/>
    <xf numFmtId="0" fontId="40" fillId="0" borderId="145" xfId="15" applyFont="1" applyFill="1" applyBorder="1" applyAlignment="1"/>
    <xf numFmtId="0" fontId="40" fillId="0" borderId="146" xfId="15" applyFont="1" applyFill="1" applyBorder="1" applyAlignment="1">
      <alignment horizontal="center"/>
    </xf>
    <xf numFmtId="0" fontId="53" fillId="0" borderId="149" xfId="1" applyFont="1" applyFill="1" applyBorder="1" applyAlignment="1">
      <alignment vertical="top"/>
    </xf>
    <xf numFmtId="0" fontId="15" fillId="0" borderId="150" xfId="1" applyFill="1" applyBorder="1" applyAlignment="1"/>
    <xf numFmtId="0" fontId="40" fillId="0" borderId="151" xfId="23" applyFont="1" applyFill="1" applyBorder="1" applyAlignment="1">
      <alignment vertical="top"/>
    </xf>
    <xf numFmtId="0" fontId="33" fillId="9" borderId="153" xfId="1" applyFont="1" applyFill="1" applyBorder="1" applyAlignment="1"/>
    <xf numFmtId="0" fontId="23" fillId="0" borderId="154" xfId="15" applyFont="1" applyFill="1" applyBorder="1" applyAlignment="1"/>
    <xf numFmtId="0" fontId="33" fillId="9" borderId="155" xfId="1" applyFont="1" applyFill="1" applyBorder="1" applyAlignment="1"/>
    <xf numFmtId="0" fontId="23" fillId="0" borderId="157" xfId="15" applyFont="1" applyFill="1" applyBorder="1" applyAlignment="1"/>
    <xf numFmtId="0" fontId="12" fillId="6" borderId="1" xfId="23" applyFont="1" applyFill="1" applyBorder="1" applyAlignment="1">
      <alignment vertical="top"/>
    </xf>
    <xf numFmtId="0" fontId="12" fillId="6" borderId="2" xfId="23" applyFont="1" applyFill="1" applyBorder="1" applyAlignment="1">
      <alignment vertical="top"/>
    </xf>
    <xf numFmtId="0" fontId="15" fillId="0" borderId="85" xfId="1" applyFill="1" applyBorder="1" applyAlignment="1"/>
    <xf numFmtId="0" fontId="33" fillId="9" borderId="160" xfId="3" applyFont="1" applyFill="1" applyBorder="1" applyAlignment="1"/>
    <xf numFmtId="0" fontId="14" fillId="0" borderId="8" xfId="23" applyFont="1" applyFill="1" applyBorder="1" applyAlignment="1">
      <alignment vertical="top"/>
    </xf>
    <xf numFmtId="0" fontId="14" fillId="32" borderId="9" xfId="23" applyFont="1" applyFill="1" applyBorder="1" applyAlignment="1">
      <alignment vertical="top"/>
    </xf>
    <xf numFmtId="0" fontId="15" fillId="32" borderId="4" xfId="1" applyFill="1" applyBorder="1" applyAlignment="1">
      <alignment vertical="top"/>
    </xf>
    <xf numFmtId="0" fontId="12" fillId="32" borderId="7" xfId="23" applyFont="1" applyFill="1" applyBorder="1" applyAlignment="1">
      <alignment vertical="top"/>
    </xf>
    <xf numFmtId="0" fontId="1" fillId="0" borderId="5" xfId="23" applyFont="1" applyFill="1" applyBorder="1" applyAlignment="1">
      <alignment vertical="top"/>
    </xf>
    <xf numFmtId="0" fontId="1" fillId="0" borderId="12" xfId="23" applyFont="1" applyFill="1" applyBorder="1" applyAlignment="1">
      <alignment vertical="top"/>
    </xf>
    <xf numFmtId="0" fontId="9" fillId="0" borderId="5" xfId="23" applyFont="1" applyFill="1" applyBorder="1" applyAlignment="1">
      <alignment vertical="top"/>
    </xf>
    <xf numFmtId="0" fontId="1" fillId="0" borderId="9" xfId="23" applyFont="1" applyFill="1" applyBorder="1" applyAlignment="1">
      <alignment vertical="top"/>
    </xf>
    <xf numFmtId="0" fontId="1" fillId="0" borderId="0" xfId="23" applyFont="1" applyFill="1" applyBorder="1" applyAlignment="1">
      <alignment vertical="top"/>
    </xf>
    <xf numFmtId="0" fontId="9" fillId="0" borderId="9" xfId="23" applyFont="1" applyFill="1" applyBorder="1" applyAlignment="1">
      <alignment vertical="top"/>
    </xf>
    <xf numFmtId="0" fontId="12" fillId="0" borderId="14" xfId="23" applyFont="1" applyFill="1" applyBorder="1" applyAlignment="1">
      <alignment vertical="top"/>
    </xf>
    <xf numFmtId="0" fontId="12" fillId="7" borderId="4" xfId="23" applyFont="1" applyFill="1" applyBorder="1" applyAlignment="1">
      <alignment vertical="top"/>
    </xf>
    <xf numFmtId="0" fontId="1" fillId="0" borderId="8" xfId="23" applyFont="1" applyFill="1" applyBorder="1" applyAlignment="1">
      <alignment vertical="top"/>
    </xf>
    <xf numFmtId="0" fontId="12" fillId="0" borderId="7" xfId="23" applyFont="1" applyFill="1" applyBorder="1" applyAlignment="1">
      <alignment vertical="top"/>
    </xf>
    <xf numFmtId="0" fontId="1" fillId="0" borderId="6" xfId="23" applyFont="1" applyFill="1" applyBorder="1" applyAlignment="1">
      <alignment vertical="top"/>
    </xf>
    <xf numFmtId="0" fontId="9" fillId="0" borderId="8" xfId="23" applyFont="1" applyFill="1" applyBorder="1" applyAlignment="1">
      <alignment vertical="top"/>
    </xf>
    <xf numFmtId="0" fontId="12" fillId="0" borderId="15" xfId="23" applyFont="1" applyFill="1" applyBorder="1" applyAlignment="1">
      <alignment vertical="top"/>
    </xf>
    <xf numFmtId="0" fontId="12" fillId="7" borderId="7" xfId="23" applyFont="1" applyFill="1" applyBorder="1" applyAlignment="1">
      <alignment vertical="top"/>
    </xf>
    <xf numFmtId="0" fontId="9" fillId="0" borderId="12" xfId="23" applyFont="1" applyFill="1" applyBorder="1" applyAlignment="1">
      <alignment vertical="top"/>
    </xf>
    <xf numFmtId="0" fontId="12" fillId="0" borderId="5" xfId="23" applyFont="1" applyFill="1" applyBorder="1" applyAlignment="1">
      <alignment vertical="top"/>
    </xf>
    <xf numFmtId="0" fontId="12" fillId="0" borderId="12" xfId="23" applyFont="1" applyFill="1" applyBorder="1" applyAlignment="1">
      <alignment vertical="top"/>
    </xf>
    <xf numFmtId="0" fontId="12" fillId="0" borderId="0" xfId="23" applyFont="1" applyFill="1" applyBorder="1" applyAlignment="1">
      <alignment vertical="top"/>
    </xf>
    <xf numFmtId="0" fontId="12" fillId="0" borderId="4" xfId="23" applyFont="1" applyFill="1" applyBorder="1" applyAlignment="1">
      <alignment vertical="top"/>
    </xf>
    <xf numFmtId="0" fontId="12" fillId="0" borderId="9" xfId="23" applyFont="1" applyFill="1" applyBorder="1" applyAlignment="1">
      <alignment vertical="top"/>
    </xf>
    <xf numFmtId="0" fontId="12" fillId="9" borderId="14" xfId="23" applyFont="1" applyFill="1" applyBorder="1" applyAlignment="1">
      <alignment vertical="top"/>
    </xf>
    <xf numFmtId="0" fontId="12" fillId="0" borderId="6" xfId="23" applyFont="1" applyFill="1" applyBorder="1" applyAlignment="1">
      <alignment vertical="top"/>
    </xf>
    <xf numFmtId="0" fontId="9" fillId="0" borderId="6" xfId="23" applyFont="1" applyFill="1" applyBorder="1" applyAlignment="1">
      <alignment vertical="top"/>
    </xf>
    <xf numFmtId="0" fontId="12" fillId="0" borderId="8" xfId="23" applyFont="1" applyFill="1" applyBorder="1" applyAlignment="1">
      <alignment vertical="top"/>
    </xf>
    <xf numFmtId="0" fontId="12" fillId="0" borderId="84" xfId="23" applyFont="1" applyFill="1" applyBorder="1" applyAlignment="1">
      <alignment vertical="top"/>
    </xf>
    <xf numFmtId="0" fontId="12" fillId="9" borderId="15" xfId="23" applyFont="1" applyFill="1" applyBorder="1" applyAlignment="1">
      <alignment vertical="top"/>
    </xf>
    <xf numFmtId="0" fontId="9" fillId="0" borderId="4" xfId="23" applyFont="1" applyBorder="1" applyAlignment="1">
      <alignment vertical="top"/>
    </xf>
    <xf numFmtId="0" fontId="34" fillId="0" borderId="112" xfId="1" applyFont="1" applyBorder="1" applyAlignment="1"/>
    <xf numFmtId="0" fontId="12" fillId="32" borderId="4" xfId="23" applyFont="1" applyFill="1" applyBorder="1" applyAlignment="1">
      <alignment vertical="top"/>
    </xf>
    <xf numFmtId="0" fontId="9" fillId="0" borderId="0" xfId="23" applyFont="1" applyFill="1" applyBorder="1" applyAlignment="1">
      <alignment vertical="top"/>
    </xf>
    <xf numFmtId="0" fontId="12" fillId="9" borderId="4" xfId="23" applyFont="1" applyFill="1" applyBorder="1" applyAlignment="1">
      <alignment vertical="top"/>
    </xf>
    <xf numFmtId="0" fontId="12" fillId="9" borderId="84" xfId="23" applyFont="1" applyFill="1" applyBorder="1" applyAlignment="1">
      <alignment vertical="top"/>
    </xf>
    <xf numFmtId="49" fontId="12" fillId="4" borderId="0" xfId="6" applyNumberFormat="1" applyFont="1" applyFill="1" applyAlignment="1"/>
    <xf numFmtId="0" fontId="12" fillId="4" borderId="0" xfId="23" applyFont="1" applyFill="1" applyBorder="1" applyAlignment="1"/>
    <xf numFmtId="0" fontId="1" fillId="20" borderId="0" xfId="23" applyFont="1" applyFill="1" applyBorder="1" applyAlignment="1">
      <alignment vertical="top"/>
    </xf>
    <xf numFmtId="0" fontId="9" fillId="0" borderId="118" xfId="23" applyFont="1" applyFill="1" applyBorder="1" applyAlignment="1">
      <alignment vertical="top"/>
    </xf>
    <xf numFmtId="0" fontId="33" fillId="0" borderId="5" xfId="1" applyFont="1" applyFill="1" applyBorder="1" applyAlignment="1">
      <alignment vertical="top"/>
    </xf>
    <xf numFmtId="0" fontId="9" fillId="0" borderId="119" xfId="23" applyFont="1" applyFill="1" applyBorder="1" applyAlignment="1">
      <alignment vertical="top"/>
    </xf>
    <xf numFmtId="0" fontId="12" fillId="0" borderId="52" xfId="23" applyFont="1" applyFill="1" applyBorder="1" applyAlignment="1">
      <alignment vertical="top"/>
    </xf>
    <xf numFmtId="0" fontId="12" fillId="0" borderId="104" xfId="23" applyFont="1" applyFill="1" applyBorder="1" applyAlignment="1">
      <alignment vertical="top"/>
    </xf>
    <xf numFmtId="0" fontId="12" fillId="0" borderId="66" xfId="23" applyFont="1" applyFill="1" applyBorder="1" applyAlignment="1">
      <alignment vertical="top"/>
    </xf>
    <xf numFmtId="0" fontId="12" fillId="0" borderId="140" xfId="23" applyFont="1" applyFill="1" applyBorder="1" applyAlignment="1">
      <alignment vertical="top"/>
    </xf>
    <xf numFmtId="0" fontId="9" fillId="0" borderId="114" xfId="23" applyFont="1" applyFill="1" applyBorder="1" applyAlignment="1">
      <alignment vertical="top"/>
    </xf>
    <xf numFmtId="0" fontId="40" fillId="0" borderId="156" xfId="23" applyFont="1" applyFill="1" applyBorder="1" applyAlignment="1">
      <alignment vertical="top"/>
    </xf>
    <xf numFmtId="0" fontId="40" fillId="0" borderId="158" xfId="23" applyFont="1" applyFill="1" applyBorder="1" applyAlignment="1">
      <alignment vertical="top"/>
    </xf>
    <xf numFmtId="0" fontId="40" fillId="0" borderId="6" xfId="1" applyFont="1" applyBorder="1" applyAlignment="1"/>
    <xf numFmtId="0" fontId="40" fillId="0" borderId="8" xfId="1" applyFont="1" applyBorder="1" applyAlignment="1"/>
    <xf numFmtId="0" fontId="9" fillId="0" borderId="0" xfId="1" applyFont="1" applyAlignment="1"/>
    <xf numFmtId="0" fontId="0" fillId="0" borderId="0" xfId="0" applyFont="1" applyAlignment="1"/>
    <xf numFmtId="0" fontId="12" fillId="7" borderId="0" xfId="0" applyFont="1" applyFill="1" applyAlignment="1"/>
    <xf numFmtId="0" fontId="0" fillId="7" borderId="0" xfId="0" applyFont="1" applyFill="1" applyAlignment="1"/>
    <xf numFmtId="0" fontId="0" fillId="0" borderId="0" xfId="0" applyFont="1" applyFill="1" applyAlignment="1"/>
    <xf numFmtId="0" fontId="0" fillId="9" borderId="0" xfId="0" applyFont="1" applyFill="1" applyAlignment="1"/>
    <xf numFmtId="0" fontId="11" fillId="0" borderId="0" xfId="0" applyFont="1" applyAlignment="1"/>
    <xf numFmtId="0" fontId="41" fillId="0" borderId="0" xfId="1" applyFont="1" applyAlignment="1">
      <alignment vertical="top"/>
    </xf>
    <xf numFmtId="0" fontId="12" fillId="4" borderId="0" xfId="23" applyFont="1" applyFill="1" applyBorder="1" applyAlignment="1">
      <alignment vertical="top"/>
    </xf>
    <xf numFmtId="0" fontId="9" fillId="4" borderId="0" xfId="23" applyFont="1" applyFill="1" applyBorder="1" applyAlignment="1">
      <alignment vertical="top"/>
    </xf>
    <xf numFmtId="0" fontId="12" fillId="0" borderId="0" xfId="23" applyFont="1" applyBorder="1" applyAlignment="1"/>
    <xf numFmtId="0" fontId="9" fillId="0" borderId="65" xfId="23" applyFont="1" applyFill="1" applyBorder="1" applyAlignment="1">
      <alignment vertical="top"/>
    </xf>
    <xf numFmtId="0" fontId="12" fillId="15" borderId="34" xfId="23" applyFont="1" applyFill="1" applyBorder="1" applyAlignment="1">
      <alignment vertical="top"/>
    </xf>
    <xf numFmtId="0" fontId="9" fillId="0" borderId="5" xfId="23" applyFont="1" applyBorder="1" applyAlignment="1">
      <alignment vertical="top"/>
    </xf>
    <xf numFmtId="0" fontId="12" fillId="15" borderId="32" xfId="23" applyFont="1" applyFill="1" applyBorder="1" applyAlignment="1">
      <alignment vertical="top"/>
    </xf>
    <xf numFmtId="0" fontId="12" fillId="0" borderId="5" xfId="23" applyFont="1" applyBorder="1" applyAlignment="1">
      <alignment vertical="top"/>
    </xf>
    <xf numFmtId="0" fontId="9" fillId="0" borderId="9" xfId="23" applyFont="1" applyBorder="1" applyAlignment="1">
      <alignment vertical="top"/>
    </xf>
    <xf numFmtId="0" fontId="12" fillId="0" borderId="4" xfId="23" applyFont="1" applyBorder="1" applyAlignment="1">
      <alignment vertical="top"/>
    </xf>
    <xf numFmtId="0" fontId="12" fillId="0" borderId="9" xfId="23" applyFont="1" applyBorder="1" applyAlignment="1">
      <alignment vertical="top"/>
    </xf>
    <xf numFmtId="0" fontId="9" fillId="0" borderId="69" xfId="23" applyFont="1" applyFill="1" applyBorder="1" applyAlignment="1">
      <alignment vertical="top"/>
    </xf>
    <xf numFmtId="0" fontId="12" fillId="15" borderId="33" xfId="23" applyFont="1" applyFill="1" applyBorder="1" applyAlignment="1">
      <alignment vertical="top"/>
    </xf>
    <xf numFmtId="0" fontId="9" fillId="0" borderId="70" xfId="23" applyFont="1" applyFill="1" applyBorder="1" applyAlignment="1">
      <alignment vertical="top"/>
    </xf>
    <xf numFmtId="0" fontId="9" fillId="0" borderId="0" xfId="23" applyFont="1" applyBorder="1" applyAlignment="1">
      <alignment vertical="top"/>
    </xf>
    <xf numFmtId="0" fontId="9" fillId="0" borderId="8" xfId="23" applyFont="1" applyBorder="1" applyAlignment="1">
      <alignment vertical="top"/>
    </xf>
    <xf numFmtId="0" fontId="12" fillId="0" borderId="7" xfId="23" applyFont="1" applyBorder="1" applyAlignment="1">
      <alignment vertical="top"/>
    </xf>
    <xf numFmtId="0" fontId="12" fillId="0" borderId="8" xfId="23" applyFont="1" applyBorder="1" applyAlignment="1">
      <alignment vertical="top"/>
    </xf>
    <xf numFmtId="0" fontId="12" fillId="0" borderId="82" xfId="23" applyFont="1" applyFill="1" applyBorder="1" applyAlignment="1">
      <alignment vertical="top"/>
    </xf>
    <xf numFmtId="0" fontId="9" fillId="0" borderId="83" xfId="23" applyFont="1" applyBorder="1" applyAlignment="1">
      <alignment vertical="top"/>
    </xf>
    <xf numFmtId="0" fontId="12" fillId="0" borderId="82" xfId="23" applyFont="1" applyBorder="1" applyAlignment="1">
      <alignment vertical="top"/>
    </xf>
    <xf numFmtId="0" fontId="12" fillId="0" borderId="83" xfId="23" applyFont="1" applyBorder="1" applyAlignment="1">
      <alignment vertical="top"/>
    </xf>
    <xf numFmtId="0" fontId="9" fillId="0" borderId="71" xfId="23" applyFont="1" applyFill="1" applyBorder="1" applyAlignment="1">
      <alignment vertical="top"/>
    </xf>
    <xf numFmtId="0" fontId="12" fillId="0" borderId="72" xfId="23" applyFont="1" applyFill="1" applyBorder="1" applyAlignment="1">
      <alignment vertical="top"/>
    </xf>
    <xf numFmtId="0" fontId="9" fillId="0" borderId="73" xfId="23" applyFont="1" applyFill="1" applyBorder="1" applyAlignment="1">
      <alignment vertical="top"/>
    </xf>
    <xf numFmtId="0" fontId="9" fillId="0" borderId="74" xfId="23" applyFont="1" applyBorder="1" applyAlignment="1">
      <alignment vertical="top"/>
    </xf>
    <xf numFmtId="0" fontId="12" fillId="0" borderId="72" xfId="23" applyFont="1" applyBorder="1" applyAlignment="1">
      <alignment vertical="top"/>
    </xf>
    <xf numFmtId="0" fontId="12" fillId="0" borderId="74" xfId="23" applyFont="1" applyBorder="1" applyAlignment="1">
      <alignment vertical="top"/>
    </xf>
    <xf numFmtId="0" fontId="23" fillId="15" borderId="51" xfId="23" applyFont="1" applyFill="1" applyBorder="1" applyAlignment="1">
      <alignment vertical="top"/>
    </xf>
    <xf numFmtId="0" fontId="23" fillId="15" borderId="32" xfId="23" applyFont="1" applyFill="1" applyBorder="1" applyAlignment="1">
      <alignment vertical="top"/>
    </xf>
    <xf numFmtId="0" fontId="12" fillId="0" borderId="91" xfId="23" applyFont="1" applyFill="1" applyBorder="1" applyAlignment="1">
      <alignment vertical="top"/>
    </xf>
    <xf numFmtId="0" fontId="9" fillId="0" borderId="83" xfId="23" applyFont="1" applyFill="1" applyBorder="1" applyAlignment="1">
      <alignment vertical="top"/>
    </xf>
    <xf numFmtId="0" fontId="12" fillId="0" borderId="97" xfId="23" applyFont="1" applyBorder="1" applyAlignment="1">
      <alignment vertical="top"/>
    </xf>
    <xf numFmtId="0" fontId="12" fillId="0" borderId="142" xfId="23" applyFont="1" applyFill="1" applyBorder="1" applyAlignment="1">
      <alignment vertical="top"/>
    </xf>
    <xf numFmtId="0" fontId="12" fillId="0" borderId="143" xfId="23" applyFont="1" applyBorder="1" applyAlignment="1">
      <alignment vertical="top"/>
    </xf>
    <xf numFmtId="0" fontId="12" fillId="0" borderId="146" xfId="23" applyFont="1" applyBorder="1" applyAlignment="1">
      <alignment vertical="top"/>
    </xf>
    <xf numFmtId="0" fontId="9" fillId="0" borderId="146" xfId="23" applyFont="1" applyBorder="1" applyAlignment="1">
      <alignment vertical="top"/>
    </xf>
    <xf numFmtId="0" fontId="12" fillId="0" borderId="147" xfId="23" applyFont="1" applyBorder="1" applyAlignment="1">
      <alignment vertical="top"/>
    </xf>
    <xf numFmtId="0" fontId="9" fillId="0" borderId="55" xfId="23" applyFont="1" applyFill="1" applyBorder="1" applyAlignment="1">
      <alignment vertical="top"/>
    </xf>
    <xf numFmtId="0" fontId="12" fillId="0" borderId="56" xfId="23" applyFont="1" applyFill="1" applyBorder="1" applyAlignment="1">
      <alignment vertical="top"/>
    </xf>
    <xf numFmtId="0" fontId="9" fillId="0" borderId="53" xfId="23" applyFont="1" applyFill="1" applyBorder="1" applyAlignment="1">
      <alignment vertical="top"/>
    </xf>
    <xf numFmtId="0" fontId="12" fillId="0" borderId="56" xfId="23" applyFont="1" applyBorder="1" applyAlignment="1">
      <alignment vertical="top"/>
    </xf>
    <xf numFmtId="0" fontId="12" fillId="0" borderId="55" xfId="23" applyFont="1" applyBorder="1" applyAlignment="1">
      <alignment vertical="top"/>
    </xf>
    <xf numFmtId="0" fontId="12" fillId="0" borderId="99" xfId="23" applyFont="1" applyBorder="1" applyAlignment="1">
      <alignment vertical="top"/>
    </xf>
    <xf numFmtId="0" fontId="9" fillId="0" borderId="86" xfId="23" applyFont="1" applyFill="1" applyBorder="1" applyAlignment="1">
      <alignment vertical="top"/>
    </xf>
    <xf numFmtId="0" fontId="9" fillId="0" borderId="66" xfId="23" applyFont="1" applyBorder="1" applyAlignment="1">
      <alignment vertical="top"/>
    </xf>
    <xf numFmtId="0" fontId="9" fillId="0" borderId="84" xfId="23" applyFont="1" applyBorder="1" applyAlignment="1">
      <alignment vertical="top"/>
    </xf>
    <xf numFmtId="0" fontId="12" fillId="0" borderId="0" xfId="23" applyFont="1" applyBorder="1" applyAlignment="1">
      <alignment vertical="top"/>
    </xf>
    <xf numFmtId="0" fontId="9" fillId="0" borderId="10" xfId="23" applyFont="1" applyFill="1" applyBorder="1" applyAlignment="1">
      <alignment vertical="top"/>
    </xf>
    <xf numFmtId="0" fontId="9" fillId="0" borderId="11" xfId="23" applyFont="1" applyFill="1" applyBorder="1" applyAlignment="1">
      <alignment vertical="top"/>
    </xf>
    <xf numFmtId="0" fontId="12" fillId="0" borderId="10" xfId="23" applyFont="1" applyBorder="1" applyAlignment="1">
      <alignment vertical="top"/>
    </xf>
    <xf numFmtId="0" fontId="12" fillId="0" borderId="11" xfId="23" applyFont="1" applyBorder="1" applyAlignment="1">
      <alignment vertical="top"/>
    </xf>
    <xf numFmtId="0" fontId="12" fillId="0" borderId="66" xfId="23" applyFont="1" applyBorder="1" applyAlignment="1">
      <alignment vertical="top"/>
    </xf>
    <xf numFmtId="0" fontId="9" fillId="0" borderId="0" xfId="23" applyNumberFormat="1" applyFont="1" applyFill="1" applyBorder="1" applyAlignment="1">
      <alignment vertical="top"/>
    </xf>
    <xf numFmtId="0" fontId="12" fillId="0" borderId="12" xfId="23" applyFont="1" applyBorder="1" applyAlignment="1">
      <alignment vertical="top"/>
    </xf>
    <xf numFmtId="0" fontId="9" fillId="0" borderId="0" xfId="23" applyFont="1" applyFill="1" applyAlignment="1">
      <alignment vertical="top"/>
    </xf>
    <xf numFmtId="0" fontId="15" fillId="0" borderId="7" xfId="1" applyFill="1" applyBorder="1" applyAlignment="1">
      <alignment vertical="top"/>
    </xf>
    <xf numFmtId="0" fontId="12" fillId="0" borderId="133" xfId="23" applyFont="1" applyFill="1" applyBorder="1" applyAlignment="1">
      <alignment vertical="top"/>
    </xf>
    <xf numFmtId="0" fontId="9" fillId="20" borderId="0" xfId="23" applyFont="1" applyFill="1" applyBorder="1" applyAlignment="1"/>
    <xf numFmtId="0" fontId="12" fillId="0" borderId="0" xfId="23" applyFont="1" applyFill="1" applyBorder="1" applyAlignment="1"/>
    <xf numFmtId="49" fontId="12" fillId="0" borderId="0" xfId="6" applyNumberFormat="1" applyFont="1" applyFill="1" applyAlignment="1"/>
    <xf numFmtId="0" fontId="12" fillId="0" borderId="133" xfId="23" applyFont="1" applyFill="1" applyBorder="1" applyAlignment="1"/>
    <xf numFmtId="0" fontId="58" fillId="0" borderId="134" xfId="1" applyFont="1" applyFill="1" applyBorder="1" applyAlignment="1">
      <alignment vertical="center"/>
    </xf>
    <xf numFmtId="0" fontId="15" fillId="9" borderId="134" xfId="1" applyFill="1" applyBorder="1"/>
    <xf numFmtId="0" fontId="14" fillId="0" borderId="163" xfId="15" applyFont="1" applyFill="1" applyBorder="1" applyAlignment="1"/>
    <xf numFmtId="0" fontId="33" fillId="0" borderId="164" xfId="1" applyFont="1" applyFill="1" applyBorder="1" applyAlignment="1"/>
    <xf numFmtId="0" fontId="60" fillId="0" borderId="162" xfId="1" applyFont="1" applyFill="1" applyBorder="1" applyAlignment="1">
      <alignment vertical="top"/>
    </xf>
    <xf numFmtId="0" fontId="0" fillId="0" borderId="165" xfId="0" applyBorder="1"/>
    <xf numFmtId="0" fontId="23" fillId="0" borderId="0" xfId="15" applyFont="1" applyAlignment="1">
      <alignment horizontal="center"/>
    </xf>
    <xf numFmtId="0" fontId="14" fillId="17" borderId="0" xfId="15" applyFont="1" applyFill="1" applyAlignment="1">
      <alignment horizontal="center"/>
    </xf>
    <xf numFmtId="0" fontId="14" fillId="29" borderId="0" xfId="15" applyFont="1" applyFill="1" applyAlignment="1">
      <alignment horizontal="center"/>
    </xf>
    <xf numFmtId="0" fontId="14" fillId="9" borderId="16" xfId="23" applyFont="1" applyFill="1" applyBorder="1" applyAlignment="1">
      <alignment horizontal="center"/>
    </xf>
    <xf numFmtId="0" fontId="23" fillId="0" borderId="166" xfId="23" applyFont="1" applyBorder="1"/>
    <xf numFmtId="0" fontId="23" fillId="0" borderId="167" xfId="23" applyFont="1" applyFill="1" applyBorder="1" applyAlignment="1">
      <alignment horizontal="center"/>
    </xf>
    <xf numFmtId="0" fontId="15" fillId="0" borderId="154" xfId="1" applyFill="1" applyBorder="1" applyAlignment="1"/>
    <xf numFmtId="0" fontId="23" fillId="0" borderId="165" xfId="23" applyFont="1" applyBorder="1"/>
    <xf numFmtId="0" fontId="23" fillId="0" borderId="165" xfId="23" applyFont="1" applyBorder="1" applyAlignment="1">
      <alignment horizontal="center"/>
    </xf>
    <xf numFmtId="0" fontId="23" fillId="0" borderId="165" xfId="23" applyFont="1" applyFill="1" applyBorder="1" applyAlignment="1">
      <alignment horizontal="center"/>
    </xf>
    <xf numFmtId="0" fontId="23" fillId="0" borderId="165" xfId="23" applyFont="1" applyBorder="1" applyAlignment="1">
      <alignment horizontal="center" vertical="center" wrapText="1"/>
    </xf>
    <xf numFmtId="0" fontId="0" fillId="0" borderId="165" xfId="0" applyBorder="1" applyAlignment="1">
      <alignment vertical="top" wrapText="1"/>
    </xf>
    <xf numFmtId="49" fontId="14" fillId="13" borderId="165" xfId="23" applyNumberFormat="1" applyFont="1" applyFill="1" applyBorder="1" applyAlignment="1">
      <alignment horizontal="center" vertical="center"/>
    </xf>
    <xf numFmtId="0" fontId="0" fillId="0" borderId="165" xfId="23" applyNumberFormat="1" applyFont="1" applyFill="1" applyBorder="1" applyAlignment="1">
      <alignment horizontal="center" vertical="center"/>
    </xf>
    <xf numFmtId="49" fontId="0" fillId="0" borderId="165" xfId="23" applyNumberFormat="1" applyFont="1" applyFill="1" applyBorder="1" applyAlignment="1">
      <alignment horizontal="center" vertical="center"/>
    </xf>
    <xf numFmtId="0" fontId="23" fillId="0" borderId="165" xfId="23" applyFont="1" applyFill="1" applyBorder="1" applyAlignment="1">
      <alignment horizontal="center" vertical="center"/>
    </xf>
    <xf numFmtId="0" fontId="14" fillId="0" borderId="0" xfId="23" applyFont="1" applyAlignment="1">
      <alignment vertical="center"/>
    </xf>
    <xf numFmtId="0" fontId="0" fillId="28" borderId="165" xfId="23" applyNumberFormat="1" applyFont="1" applyFill="1" applyBorder="1" applyAlignment="1">
      <alignment horizontal="center" vertical="center"/>
    </xf>
    <xf numFmtId="49" fontId="0" fillId="29" borderId="165" xfId="23" applyNumberFormat="1" applyFont="1" applyFill="1" applyBorder="1" applyAlignment="1">
      <alignment horizontal="center" vertical="center"/>
    </xf>
    <xf numFmtId="0" fontId="0" fillId="29" borderId="0" xfId="23" applyFont="1" applyFill="1" applyAlignment="1">
      <alignment vertical="center"/>
    </xf>
    <xf numFmtId="0" fontId="5" fillId="0" borderId="165" xfId="23" applyNumberFormat="1" applyFont="1" applyFill="1" applyBorder="1" applyAlignment="1">
      <alignment horizontal="center" vertical="center"/>
    </xf>
    <xf numFmtId="0" fontId="0" fillId="17" borderId="165" xfId="23" applyNumberFormat="1" applyFont="1" applyFill="1" applyBorder="1" applyAlignment="1">
      <alignment horizontal="center" vertical="center"/>
    </xf>
    <xf numFmtId="49" fontId="0" fillId="18" borderId="165" xfId="23" applyNumberFormat="1" applyFont="1" applyFill="1" applyBorder="1" applyAlignment="1">
      <alignment horizontal="center" vertical="center"/>
    </xf>
    <xf numFmtId="0" fontId="0" fillId="18" borderId="0" xfId="23" applyFont="1" applyFill="1" applyAlignment="1">
      <alignment vertical="center"/>
    </xf>
    <xf numFmtId="0" fontId="0" fillId="0" borderId="165" xfId="0" applyNumberFormat="1" applyFont="1" applyFill="1" applyBorder="1" applyAlignment="1">
      <alignment horizontal="center" vertical="center"/>
    </xf>
    <xf numFmtId="0" fontId="0" fillId="17" borderId="165" xfId="0" applyNumberFormat="1" applyFont="1" applyFill="1" applyBorder="1" applyAlignment="1">
      <alignment horizontal="center" vertical="center"/>
    </xf>
    <xf numFmtId="49" fontId="0" fillId="13" borderId="165" xfId="0" applyNumberFormat="1" applyFill="1" applyBorder="1" applyAlignment="1">
      <alignment horizontal="center" vertical="center"/>
    </xf>
    <xf numFmtId="49" fontId="0" fillId="18" borderId="165" xfId="0" applyNumberFormat="1" applyFill="1" applyBorder="1" applyAlignment="1">
      <alignment horizontal="center" vertical="center"/>
    </xf>
    <xf numFmtId="0" fontId="23" fillId="0" borderId="165" xfId="9" applyFont="1" applyBorder="1" applyAlignment="1">
      <alignment horizontal="center" vertical="center"/>
    </xf>
    <xf numFmtId="0" fontId="0" fillId="8" borderId="165" xfId="0" applyFill="1" applyBorder="1" applyAlignment="1">
      <alignment vertical="top" wrapText="1"/>
    </xf>
    <xf numFmtId="0" fontId="0" fillId="6" borderId="165" xfId="0" applyFill="1" applyBorder="1" applyAlignment="1">
      <alignment vertical="top" wrapText="1"/>
    </xf>
    <xf numFmtId="0" fontId="0" fillId="5" borderId="165" xfId="0" applyFill="1" applyBorder="1" applyAlignment="1">
      <alignment vertical="top" wrapText="1"/>
    </xf>
    <xf numFmtId="0" fontId="15" fillId="14" borderId="31" xfId="1" applyFill="1" applyBorder="1"/>
    <xf numFmtId="0" fontId="15" fillId="0" borderId="159" xfId="1" applyFill="1" applyBorder="1" applyAlignment="1"/>
    <xf numFmtId="0" fontId="23" fillId="6" borderId="17" xfId="22" applyFont="1" applyFill="1" applyBorder="1" applyAlignment="1">
      <alignment horizontal="left"/>
    </xf>
    <xf numFmtId="164" fontId="23" fillId="6" borderId="17" xfId="22" applyNumberFormat="1" applyFont="1" applyFill="1" applyBorder="1" applyAlignment="1"/>
    <xf numFmtId="0" fontId="23" fillId="6" borderId="17" xfId="22" applyFont="1" applyFill="1" applyBorder="1"/>
    <xf numFmtId="164" fontId="14" fillId="0" borderId="0" xfId="22" applyNumberFormat="1" applyFont="1" applyFill="1" applyAlignment="1">
      <alignment horizontal="right" vertical="center"/>
    </xf>
    <xf numFmtId="0" fontId="23" fillId="0" borderId="0" xfId="22" applyFont="1" applyFill="1" applyAlignment="1">
      <alignment vertical="center"/>
    </xf>
    <xf numFmtId="0" fontId="33" fillId="9" borderId="17" xfId="1" applyFont="1" applyFill="1" applyBorder="1" applyAlignment="1"/>
    <xf numFmtId="0" fontId="14" fillId="9" borderId="17" xfId="7" applyFont="1" applyFill="1" applyBorder="1" applyAlignment="1">
      <alignment horizontal="left" vertical="top"/>
    </xf>
    <xf numFmtId="167" fontId="14" fillId="9" borderId="17" xfId="22" applyNumberFormat="1" applyFont="1" applyFill="1" applyBorder="1" applyAlignment="1">
      <alignment horizontal="center"/>
    </xf>
    <xf numFmtId="166" fontId="14" fillId="9" borderId="17" xfId="22" applyNumberFormat="1" applyFont="1" applyFill="1" applyBorder="1" applyAlignment="1">
      <alignment horizontal="center"/>
    </xf>
    <xf numFmtId="0" fontId="23" fillId="0" borderId="17" xfId="7" applyFont="1" applyFill="1" applyBorder="1" applyAlignment="1">
      <alignment horizontal="left"/>
    </xf>
    <xf numFmtId="164" fontId="23" fillId="0" borderId="17" xfId="22" applyNumberFormat="1" applyFont="1" applyFill="1" applyBorder="1" applyAlignment="1">
      <alignment horizontal="center"/>
    </xf>
    <xf numFmtId="166" fontId="14" fillId="0" borderId="17" xfId="22" applyNumberFormat="1" applyFont="1" applyFill="1" applyBorder="1" applyAlignment="1">
      <alignment horizontal="center" vertical="center"/>
    </xf>
    <xf numFmtId="0" fontId="33" fillId="23" borderId="17" xfId="1" applyFont="1" applyFill="1" applyBorder="1" applyAlignment="1"/>
    <xf numFmtId="0" fontId="14" fillId="23" borderId="17" xfId="7" applyFont="1" applyFill="1" applyBorder="1" applyAlignment="1">
      <alignment horizontal="left" vertical="top"/>
    </xf>
    <xf numFmtId="167" fontId="14" fillId="23" borderId="17" xfId="22" applyNumberFormat="1" applyFont="1" applyFill="1" applyBorder="1" applyAlignment="1">
      <alignment horizontal="center"/>
    </xf>
    <xf numFmtId="166" fontId="14" fillId="23" borderId="17" xfId="22" applyNumberFormat="1" applyFont="1" applyFill="1" applyBorder="1" applyAlignment="1">
      <alignment horizontal="center"/>
    </xf>
    <xf numFmtId="0" fontId="33" fillId="9" borderId="130" xfId="1" applyFont="1" applyFill="1" applyBorder="1" applyAlignment="1"/>
    <xf numFmtId="0" fontId="14" fillId="9" borderId="88" xfId="7" applyFont="1" applyFill="1" applyBorder="1" applyAlignment="1">
      <alignment horizontal="left" vertical="top"/>
    </xf>
    <xf numFmtId="167" fontId="14" fillId="9" borderId="88" xfId="22" applyNumberFormat="1" applyFont="1" applyFill="1" applyBorder="1" applyAlignment="1">
      <alignment horizontal="center"/>
    </xf>
    <xf numFmtId="166" fontId="14" fillId="9" borderId="88" xfId="22" applyNumberFormat="1" applyFont="1" applyFill="1" applyBorder="1" applyAlignment="1">
      <alignment horizontal="center"/>
    </xf>
    <xf numFmtId="0" fontId="14" fillId="14" borderId="88" xfId="7" applyFont="1" applyFill="1" applyBorder="1" applyAlignment="1">
      <alignment horizontal="left" vertical="center"/>
    </xf>
    <xf numFmtId="168" fontId="14" fillId="14" borderId="88" xfId="22" applyNumberFormat="1" applyFont="1" applyFill="1" applyBorder="1" applyAlignment="1">
      <alignment horizontal="center" vertical="center"/>
    </xf>
    <xf numFmtId="166" fontId="14" fillId="14" borderId="88" xfId="22" applyNumberFormat="1" applyFont="1" applyFill="1" applyBorder="1" applyAlignment="1">
      <alignment horizontal="center" vertical="center"/>
    </xf>
    <xf numFmtId="0" fontId="33" fillId="9" borderId="127" xfId="1" applyFont="1" applyFill="1" applyBorder="1" applyAlignment="1"/>
    <xf numFmtId="0" fontId="23" fillId="0" borderId="88" xfId="7" applyFont="1" applyFill="1" applyBorder="1" applyAlignment="1">
      <alignment horizontal="left"/>
    </xf>
    <xf numFmtId="0" fontId="33" fillId="23" borderId="127" xfId="1" applyFont="1" applyFill="1" applyBorder="1" applyAlignment="1"/>
    <xf numFmtId="0" fontId="14" fillId="23" borderId="88" xfId="7" applyFont="1" applyFill="1" applyBorder="1" applyAlignment="1">
      <alignment horizontal="left" vertical="top"/>
    </xf>
    <xf numFmtId="168" fontId="14" fillId="23" borderId="88" xfId="22" applyNumberFormat="1" applyFont="1" applyFill="1" applyBorder="1" applyAlignment="1">
      <alignment horizontal="center" vertical="center"/>
    </xf>
    <xf numFmtId="166" fontId="14" fillId="23" borderId="88" xfId="22" applyNumberFormat="1" applyFont="1" applyFill="1" applyBorder="1" applyAlignment="1">
      <alignment horizontal="center"/>
    </xf>
    <xf numFmtId="0" fontId="33" fillId="23" borderId="88" xfId="1" applyFont="1" applyFill="1" applyBorder="1" applyAlignment="1"/>
    <xf numFmtId="167" fontId="14" fillId="23" borderId="88" xfId="22" applyNumberFormat="1" applyFont="1" applyFill="1" applyBorder="1" applyAlignment="1">
      <alignment horizontal="center"/>
    </xf>
    <xf numFmtId="0" fontId="14" fillId="11" borderId="16" xfId="7" applyFont="1" applyFill="1" applyBorder="1" applyAlignment="1">
      <alignment horizontal="left" vertical="top"/>
    </xf>
    <xf numFmtId="164" fontId="14" fillId="8" borderId="16" xfId="22" applyNumberFormat="1" applyFont="1" applyFill="1" applyBorder="1" applyAlignment="1">
      <alignment horizontal="center"/>
    </xf>
    <xf numFmtId="166" fontId="14" fillId="8" borderId="16" xfId="22" applyNumberFormat="1" applyFont="1" applyFill="1" applyBorder="1" applyAlignment="1">
      <alignment horizontal="center"/>
    </xf>
    <xf numFmtId="0" fontId="14" fillId="23" borderId="16" xfId="7" applyFont="1" applyFill="1" applyBorder="1" applyAlignment="1">
      <alignment horizontal="left" vertical="top"/>
    </xf>
    <xf numFmtId="167" fontId="14" fillId="23" borderId="16" xfId="22" applyNumberFormat="1" applyFont="1" applyFill="1" applyBorder="1" applyAlignment="1">
      <alignment horizontal="center"/>
    </xf>
    <xf numFmtId="166" fontId="14" fillId="23" borderId="16" xfId="22" applyNumberFormat="1" applyFont="1" applyFill="1" applyBorder="1" applyAlignment="1">
      <alignment horizontal="center"/>
    </xf>
    <xf numFmtId="0" fontId="14" fillId="9" borderId="16" xfId="7" applyFont="1" applyFill="1" applyBorder="1" applyAlignment="1">
      <alignment horizontal="left" vertical="top"/>
    </xf>
    <xf numFmtId="167" fontId="14" fillId="9" borderId="16" xfId="22" applyNumberFormat="1" applyFont="1" applyFill="1" applyBorder="1" applyAlignment="1">
      <alignment horizontal="center"/>
    </xf>
    <xf numFmtId="166" fontId="14" fillId="9" borderId="16" xfId="22" applyNumberFormat="1" applyFont="1" applyFill="1" applyBorder="1" applyAlignment="1">
      <alignment horizontal="center"/>
    </xf>
    <xf numFmtId="0" fontId="23" fillId="0" borderId="16" xfId="7" applyFont="1" applyFill="1" applyBorder="1" applyAlignment="1">
      <alignment horizontal="left" vertical="top"/>
    </xf>
    <xf numFmtId="164" fontId="23" fillId="0" borderId="16" xfId="22" applyNumberFormat="1" applyFont="1" applyFill="1" applyBorder="1" applyAlignment="1">
      <alignment horizontal="center"/>
    </xf>
    <xf numFmtId="166" fontId="14" fillId="0" borderId="16" xfId="22" applyNumberFormat="1" applyFont="1" applyFill="1" applyBorder="1" applyAlignment="1">
      <alignment horizontal="center" vertical="center"/>
    </xf>
    <xf numFmtId="0" fontId="23" fillId="0" borderId="17" xfId="7" applyFont="1" applyFill="1" applyBorder="1" applyAlignment="1">
      <alignment horizontal="left" vertical="top"/>
    </xf>
    <xf numFmtId="165" fontId="23" fillId="6" borderId="17" xfId="22" applyNumberFormat="1" applyFont="1" applyFill="1" applyBorder="1" applyAlignment="1">
      <alignment horizontal="left" wrapText="1"/>
    </xf>
    <xf numFmtId="20" fontId="23" fillId="6" borderId="17" xfId="22" applyNumberFormat="1" applyFont="1" applyFill="1" applyBorder="1" applyAlignment="1">
      <alignment horizontal="left"/>
    </xf>
    <xf numFmtId="0" fontId="14" fillId="9" borderId="17" xfId="22" applyNumberFormat="1" applyFont="1" applyFill="1" applyBorder="1" applyAlignment="1">
      <alignment horizontal="left"/>
    </xf>
    <xf numFmtId="49" fontId="14" fillId="9" borderId="17" xfId="6" applyNumberFormat="1" applyFont="1" applyFill="1" applyBorder="1"/>
    <xf numFmtId="0" fontId="14" fillId="9" borderId="17" xfId="22" applyFont="1" applyFill="1" applyBorder="1"/>
    <xf numFmtId="0" fontId="14" fillId="9" borderId="17" xfId="22" applyFont="1" applyFill="1" applyBorder="1" applyAlignment="1"/>
    <xf numFmtId="0" fontId="23" fillId="0" borderId="17" xfId="22" applyNumberFormat="1" applyFont="1" applyFill="1" applyBorder="1" applyAlignment="1">
      <alignment horizontal="left"/>
    </xf>
    <xf numFmtId="49" fontId="23" fillId="0" borderId="17" xfId="6" applyNumberFormat="1" applyFont="1" applyFill="1" applyBorder="1" applyAlignment="1"/>
    <xf numFmtId="0" fontId="23" fillId="0" borderId="17" xfId="22" applyFont="1" applyFill="1" applyBorder="1" applyAlignment="1">
      <alignment wrapText="1"/>
    </xf>
    <xf numFmtId="0" fontId="23" fillId="0" borderId="17" xfId="22" applyFont="1" applyFill="1" applyBorder="1" applyAlignment="1"/>
    <xf numFmtId="0" fontId="14" fillId="23" borderId="17" xfId="22" applyNumberFormat="1" applyFont="1" applyFill="1" applyBorder="1" applyAlignment="1">
      <alignment horizontal="left"/>
    </xf>
    <xf numFmtId="49" fontId="14" fillId="23" borderId="17" xfId="6" applyNumberFormat="1" applyFont="1" applyFill="1" applyBorder="1"/>
    <xf numFmtId="0" fontId="14" fillId="23" borderId="17" xfId="22" applyFont="1" applyFill="1" applyBorder="1"/>
    <xf numFmtId="0" fontId="14" fillId="23" borderId="17" xfId="22" applyFont="1" applyFill="1" applyBorder="1" applyAlignment="1"/>
    <xf numFmtId="0" fontId="14" fillId="9" borderId="88" xfId="22" applyNumberFormat="1" applyFont="1" applyFill="1" applyBorder="1" applyAlignment="1">
      <alignment horizontal="left"/>
    </xf>
    <xf numFmtId="49" fontId="14" fillId="9" borderId="88" xfId="6" applyNumberFormat="1" applyFont="1" applyFill="1" applyBorder="1"/>
    <xf numFmtId="0" fontId="14" fillId="9" borderId="88" xfId="22" applyFont="1" applyFill="1" applyBorder="1"/>
    <xf numFmtId="0" fontId="14" fillId="9" borderId="88" xfId="22" applyFont="1" applyFill="1" applyBorder="1" applyAlignment="1"/>
    <xf numFmtId="0" fontId="14" fillId="14" borderId="88" xfId="22" applyNumberFormat="1" applyFont="1" applyFill="1" applyBorder="1" applyAlignment="1">
      <alignment horizontal="left" vertical="center"/>
    </xf>
    <xf numFmtId="49" fontId="14" fillId="14" borderId="88" xfId="6" applyNumberFormat="1" applyFont="1" applyFill="1" applyBorder="1" applyAlignment="1">
      <alignment vertical="center"/>
    </xf>
    <xf numFmtId="0" fontId="33" fillId="14" borderId="88" xfId="1" applyFont="1" applyFill="1" applyBorder="1" applyAlignment="1">
      <alignment vertical="center"/>
    </xf>
    <xf numFmtId="0" fontId="14" fillId="14" borderId="88" xfId="22" applyFont="1" applyFill="1" applyBorder="1" applyAlignment="1">
      <alignment vertical="center"/>
    </xf>
    <xf numFmtId="49" fontId="23" fillId="0" borderId="88" xfId="6" applyNumberFormat="1" applyFont="1" applyFill="1" applyBorder="1" applyAlignment="1"/>
    <xf numFmtId="0" fontId="23" fillId="0" borderId="88" xfId="22" applyFont="1" applyFill="1" applyBorder="1" applyAlignment="1">
      <alignment wrapText="1"/>
    </xf>
    <xf numFmtId="49" fontId="14" fillId="23" borderId="88" xfId="6" applyNumberFormat="1" applyFont="1" applyFill="1" applyBorder="1"/>
    <xf numFmtId="0" fontId="14" fillId="23" borderId="88" xfId="22" applyFont="1" applyFill="1" applyBorder="1"/>
    <xf numFmtId="0" fontId="14" fillId="23" borderId="88" xfId="22" applyFont="1" applyFill="1" applyBorder="1" applyAlignment="1"/>
    <xf numFmtId="0" fontId="14" fillId="10" borderId="16" xfId="22" applyNumberFormat="1" applyFont="1" applyFill="1" applyBorder="1" applyAlignment="1">
      <alignment horizontal="left"/>
    </xf>
    <xf numFmtId="49" fontId="14" fillId="8" borderId="16" xfId="6" applyNumberFormat="1" applyFont="1" applyFill="1" applyBorder="1"/>
    <xf numFmtId="0" fontId="33" fillId="10" borderId="16" xfId="1" applyFont="1" applyFill="1" applyBorder="1"/>
    <xf numFmtId="0" fontId="14" fillId="10" borderId="16" xfId="22" applyFont="1" applyFill="1" applyBorder="1" applyAlignment="1"/>
    <xf numFmtId="0" fontId="14" fillId="23" borderId="16" xfId="22" applyNumberFormat="1" applyFont="1" applyFill="1" applyBorder="1" applyAlignment="1">
      <alignment horizontal="left"/>
    </xf>
    <xf numFmtId="49" fontId="14" fillId="23" borderId="16" xfId="6" applyNumberFormat="1" applyFont="1" applyFill="1" applyBorder="1"/>
    <xf numFmtId="0" fontId="14" fillId="23" borderId="16" xfId="22" applyFont="1" applyFill="1" applyBorder="1"/>
    <xf numFmtId="0" fontId="14" fillId="23" borderId="16" xfId="22" applyFont="1" applyFill="1" applyBorder="1" applyAlignment="1"/>
    <xf numFmtId="0" fontId="33" fillId="8" borderId="16" xfId="1" applyFont="1" applyFill="1" applyBorder="1"/>
    <xf numFmtId="0" fontId="14" fillId="9" borderId="16" xfId="22" applyNumberFormat="1" applyFont="1" applyFill="1" applyBorder="1" applyAlignment="1">
      <alignment horizontal="left"/>
    </xf>
    <xf numFmtId="49" fontId="14" fillId="9" borderId="16" xfId="6" applyNumberFormat="1" applyFont="1" applyFill="1" applyBorder="1"/>
    <xf numFmtId="0" fontId="14" fillId="9" borderId="16" xfId="22" applyFont="1" applyFill="1" applyBorder="1"/>
    <xf numFmtId="0" fontId="14" fillId="9" borderId="16" xfId="22" applyFont="1" applyFill="1" applyBorder="1" applyAlignment="1"/>
    <xf numFmtId="0" fontId="23" fillId="0" borderId="16" xfId="22" applyNumberFormat="1" applyFont="1" applyFill="1" applyBorder="1" applyAlignment="1">
      <alignment horizontal="left"/>
    </xf>
    <xf numFmtId="49" fontId="23" fillId="0" borderId="16" xfId="6" applyNumberFormat="1" applyFont="1" applyFill="1" applyBorder="1"/>
    <xf numFmtId="0" fontId="23" fillId="0" borderId="16" xfId="22" applyFont="1" applyFill="1" applyBorder="1"/>
    <xf numFmtId="0" fontId="23" fillId="0" borderId="16" xfId="22" applyFont="1" applyFill="1" applyBorder="1" applyAlignment="1"/>
    <xf numFmtId="49" fontId="23" fillId="0" borderId="17" xfId="6" applyNumberFormat="1" applyFont="1" applyFill="1" applyBorder="1"/>
    <xf numFmtId="0" fontId="23" fillId="0" borderId="17" xfId="22" applyFont="1" applyFill="1" applyBorder="1"/>
    <xf numFmtId="0" fontId="40" fillId="0" borderId="169" xfId="15" applyFont="1" applyFill="1" applyBorder="1" applyAlignment="1"/>
    <xf numFmtId="0" fontId="23" fillId="15" borderId="36" xfId="15" applyFont="1" applyFill="1" applyBorder="1" applyAlignment="1"/>
    <xf numFmtId="0" fontId="33" fillId="9" borderId="43" xfId="1" applyFont="1" applyFill="1" applyBorder="1" applyAlignment="1"/>
    <xf numFmtId="0" fontId="31" fillId="0" borderId="13" xfId="1" applyFont="1" applyBorder="1" applyAlignment="1"/>
    <xf numFmtId="0" fontId="23" fillId="15" borderId="77" xfId="15" applyFont="1" applyFill="1" applyBorder="1" applyAlignment="1"/>
    <xf numFmtId="0" fontId="14" fillId="9" borderId="0" xfId="15" applyFont="1" applyFill="1" applyBorder="1" applyAlignment="1"/>
    <xf numFmtId="0" fontId="23" fillId="0" borderId="57" xfId="23" applyFont="1" applyFill="1" applyBorder="1" applyAlignment="1">
      <alignment vertical="top"/>
    </xf>
    <xf numFmtId="0" fontId="33" fillId="9" borderId="73" xfId="1" applyFont="1" applyFill="1" applyBorder="1" applyAlignment="1"/>
    <xf numFmtId="0" fontId="31" fillId="0" borderId="105" xfId="1" applyFont="1" applyBorder="1" applyAlignment="1"/>
    <xf numFmtId="0" fontId="23" fillId="15" borderId="61" xfId="15" applyFont="1" applyFill="1" applyBorder="1" applyAlignment="1"/>
    <xf numFmtId="0" fontId="23" fillId="15" borderId="64" xfId="15" applyFont="1" applyFill="1" applyBorder="1" applyAlignment="1"/>
    <xf numFmtId="0" fontId="23" fillId="15" borderId="33" xfId="15" applyFont="1" applyFill="1" applyBorder="1" applyAlignment="1"/>
    <xf numFmtId="0" fontId="31" fillId="7" borderId="43" xfId="1" applyFont="1" applyFill="1" applyBorder="1" applyAlignment="1"/>
    <xf numFmtId="0" fontId="23" fillId="15" borderId="33" xfId="23" applyFont="1" applyFill="1" applyBorder="1" applyAlignment="1">
      <alignment vertical="top"/>
    </xf>
    <xf numFmtId="0" fontId="23" fillId="0" borderId="4" xfId="23" applyFont="1" applyFill="1" applyBorder="1" applyAlignment="1">
      <alignment vertical="top"/>
    </xf>
    <xf numFmtId="0" fontId="23" fillId="0" borderId="7" xfId="23" applyFont="1" applyFill="1" applyBorder="1" applyAlignment="1">
      <alignment vertical="top"/>
    </xf>
    <xf numFmtId="0" fontId="31" fillId="0" borderId="0" xfId="1" applyFont="1" applyBorder="1" applyAlignment="1"/>
    <xf numFmtId="0" fontId="23" fillId="15" borderId="32" xfId="15" applyFont="1" applyFill="1" applyBorder="1" applyAlignment="1"/>
    <xf numFmtId="0" fontId="23" fillId="0" borderId="9" xfId="23" applyFont="1" applyFill="1" applyBorder="1" applyAlignment="1">
      <alignment vertical="top"/>
    </xf>
    <xf numFmtId="0" fontId="23" fillId="0" borderId="66" xfId="23" applyFont="1" applyFill="1" applyBorder="1" applyAlignment="1">
      <alignment vertical="top"/>
    </xf>
    <xf numFmtId="0" fontId="31" fillId="0" borderId="152" xfId="1" applyFont="1" applyBorder="1" applyAlignment="1"/>
    <xf numFmtId="0" fontId="23" fillId="0" borderId="148" xfId="23" applyFont="1" applyFill="1" applyBorder="1" applyAlignment="1">
      <alignment vertical="top"/>
    </xf>
    <xf numFmtId="0" fontId="33" fillId="19" borderId="149" xfId="1" applyFont="1" applyFill="1" applyBorder="1" applyAlignment="1"/>
    <xf numFmtId="0" fontId="23" fillId="19" borderId="150" xfId="23" applyFont="1" applyFill="1" applyBorder="1" applyAlignment="1">
      <alignment vertical="top"/>
    </xf>
    <xf numFmtId="0" fontId="14" fillId="19" borderId="83" xfId="15" applyFont="1" applyFill="1" applyBorder="1" applyAlignment="1"/>
    <xf numFmtId="0" fontId="23" fillId="19" borderId="82" xfId="23" applyFont="1" applyFill="1" applyBorder="1" applyAlignment="1">
      <alignment vertical="top"/>
    </xf>
    <xf numFmtId="0" fontId="23" fillId="0" borderId="0" xfId="23" applyFont="1" applyFill="1" applyBorder="1" applyAlignment="1">
      <alignment vertical="top"/>
    </xf>
    <xf numFmtId="0" fontId="33" fillId="19" borderId="73" xfId="1" applyFont="1" applyFill="1" applyBorder="1" applyAlignment="1"/>
    <xf numFmtId="0" fontId="23" fillId="19" borderId="7" xfId="23" applyFont="1" applyFill="1" applyBorder="1" applyAlignment="1">
      <alignment vertical="top"/>
    </xf>
    <xf numFmtId="0" fontId="14" fillId="0" borderId="6" xfId="23" applyFont="1" applyBorder="1" applyAlignment="1">
      <alignment vertical="top"/>
    </xf>
    <xf numFmtId="0" fontId="23" fillId="0" borderId="84" xfId="23" applyFont="1" applyFill="1" applyBorder="1" applyAlignment="1">
      <alignment vertical="top"/>
    </xf>
    <xf numFmtId="0" fontId="14" fillId="0" borderId="0" xfId="15" applyFont="1" applyFill="1" applyAlignment="1"/>
    <xf numFmtId="0" fontId="23" fillId="9" borderId="82" xfId="23" applyFont="1" applyFill="1" applyBorder="1" applyAlignment="1">
      <alignment vertical="top"/>
    </xf>
    <xf numFmtId="0" fontId="14" fillId="0" borderId="83" xfId="1" applyFont="1" applyFill="1" applyBorder="1" applyAlignment="1">
      <alignment vertical="top"/>
    </xf>
    <xf numFmtId="0" fontId="33" fillId="9" borderId="144" xfId="1" applyFont="1" applyFill="1" applyBorder="1" applyAlignment="1"/>
    <xf numFmtId="0" fontId="23" fillId="9" borderId="143" xfId="23" applyFont="1" applyFill="1" applyBorder="1" applyAlignment="1">
      <alignment vertical="top"/>
    </xf>
    <xf numFmtId="0" fontId="33" fillId="9" borderId="69" xfId="1" applyFont="1" applyFill="1" applyBorder="1" applyAlignment="1"/>
    <xf numFmtId="0" fontId="31" fillId="0" borderId="69" xfId="1" applyFont="1" applyBorder="1" applyAlignment="1"/>
    <xf numFmtId="0" fontId="14" fillId="9" borderId="65" xfId="15" applyFont="1" applyFill="1" applyBorder="1" applyAlignment="1"/>
    <xf numFmtId="0" fontId="14" fillId="9" borderId="66" xfId="23" applyFont="1" applyFill="1" applyBorder="1" applyAlignment="1">
      <alignment vertical="top"/>
    </xf>
    <xf numFmtId="0" fontId="23" fillId="0" borderId="65" xfId="23" applyFont="1" applyFill="1" applyBorder="1" applyAlignment="1">
      <alignment vertical="top"/>
    </xf>
    <xf numFmtId="0" fontId="31" fillId="0" borderId="87" xfId="1" applyFont="1" applyBorder="1" applyAlignment="1"/>
    <xf numFmtId="0" fontId="33" fillId="0" borderId="8" xfId="1" applyFont="1" applyBorder="1" applyAlignment="1"/>
    <xf numFmtId="0" fontId="14" fillId="0" borderId="84" xfId="23" applyFont="1" applyBorder="1" applyAlignment="1">
      <alignment vertical="top"/>
    </xf>
    <xf numFmtId="0" fontId="23" fillId="0" borderId="70" xfId="23" applyFont="1" applyFill="1" applyBorder="1" applyAlignment="1">
      <alignment vertical="top"/>
    </xf>
    <xf numFmtId="0" fontId="23" fillId="0" borderId="85" xfId="15" applyFont="1" applyFill="1" applyBorder="1" applyAlignment="1"/>
    <xf numFmtId="0" fontId="33" fillId="19" borderId="43" xfId="1" applyFont="1" applyFill="1" applyBorder="1" applyAlignment="1"/>
    <xf numFmtId="0" fontId="14" fillId="19" borderId="0" xfId="15" applyFont="1" applyFill="1" applyBorder="1" applyAlignment="1"/>
    <xf numFmtId="0" fontId="23" fillId="19" borderId="4" xfId="15" applyFont="1" applyFill="1" applyBorder="1" applyAlignment="1"/>
    <xf numFmtId="0" fontId="23" fillId="7" borderId="4" xfId="15" applyFont="1" applyFill="1" applyBorder="1" applyAlignment="1"/>
    <xf numFmtId="0" fontId="14" fillId="7" borderId="7" xfId="1" applyFont="1" applyFill="1" applyBorder="1" applyAlignment="1"/>
    <xf numFmtId="0" fontId="33" fillId="19" borderId="86" xfId="1" applyFont="1" applyFill="1" applyBorder="1" applyAlignment="1"/>
    <xf numFmtId="0" fontId="23" fillId="15" borderId="35" xfId="15" applyFont="1" applyFill="1" applyBorder="1" applyAlignment="1"/>
    <xf numFmtId="0" fontId="33" fillId="19" borderId="0" xfId="1" applyFont="1" applyFill="1" applyBorder="1" applyAlignment="1"/>
    <xf numFmtId="0" fontId="23" fillId="19" borderId="82" xfId="15" applyFont="1" applyFill="1" applyBorder="1" applyAlignment="1"/>
    <xf numFmtId="0" fontId="14" fillId="0" borderId="114" xfId="23" applyFont="1" applyFill="1" applyBorder="1" applyAlignment="1">
      <alignment vertical="top"/>
    </xf>
    <xf numFmtId="0" fontId="23" fillId="19" borderId="7" xfId="15" applyFont="1" applyFill="1" applyBorder="1" applyAlignment="1"/>
    <xf numFmtId="0" fontId="14" fillId="0" borderId="5" xfId="1" applyFont="1" applyFill="1" applyBorder="1" applyAlignment="1"/>
    <xf numFmtId="0" fontId="23" fillId="9" borderId="4" xfId="15" applyFont="1" applyFill="1" applyBorder="1" applyAlignment="1"/>
    <xf numFmtId="0" fontId="14" fillId="0" borderId="9" xfId="15" applyFont="1" applyFill="1" applyBorder="1" applyAlignment="1"/>
    <xf numFmtId="0" fontId="23" fillId="9" borderId="15" xfId="15" applyFont="1" applyFill="1" applyBorder="1" applyAlignment="1"/>
    <xf numFmtId="0" fontId="14" fillId="0" borderId="8" xfId="1" applyFont="1" applyFill="1" applyBorder="1" applyAlignment="1"/>
    <xf numFmtId="0" fontId="14" fillId="0" borderId="0" xfId="23" applyFont="1" applyFill="1" applyBorder="1" applyAlignment="1">
      <alignment vertical="top"/>
    </xf>
    <xf numFmtId="0" fontId="14" fillId="0" borderId="0" xfId="23" applyFont="1" applyFill="1" applyAlignment="1">
      <alignment vertical="top"/>
    </xf>
    <xf numFmtId="0" fontId="31" fillId="0" borderId="5" xfId="1" applyFont="1" applyBorder="1" applyAlignment="1"/>
    <xf numFmtId="0" fontId="31" fillId="0" borderId="59" xfId="1" applyFont="1" applyFill="1" applyBorder="1" applyAlignment="1"/>
    <xf numFmtId="0" fontId="23" fillId="19" borderId="150" xfId="15" applyFont="1" applyFill="1" applyBorder="1" applyAlignment="1"/>
    <xf numFmtId="0" fontId="14" fillId="9" borderId="104" xfId="15" applyFont="1" applyFill="1" applyBorder="1" applyAlignment="1"/>
    <xf numFmtId="0" fontId="23" fillId="9" borderId="14" xfId="23" applyFont="1" applyFill="1" applyBorder="1" applyAlignment="1">
      <alignment vertical="top"/>
    </xf>
    <xf numFmtId="0" fontId="23" fillId="9" borderId="15" xfId="23" applyFont="1" applyFill="1" applyBorder="1" applyAlignment="1">
      <alignment vertical="top"/>
    </xf>
    <xf numFmtId="0" fontId="33" fillId="0" borderId="69" xfId="1" applyFont="1" applyFill="1" applyBorder="1" applyAlignment="1">
      <alignment vertical="top"/>
    </xf>
    <xf numFmtId="0" fontId="14" fillId="0" borderId="104" xfId="23" applyFont="1" applyFill="1" applyBorder="1" applyAlignment="1">
      <alignment vertical="top"/>
    </xf>
    <xf numFmtId="0" fontId="33" fillId="0" borderId="105" xfId="1" applyFont="1" applyBorder="1" applyAlignment="1"/>
    <xf numFmtId="0" fontId="33" fillId="9" borderId="60" xfId="1" applyFont="1" applyFill="1" applyBorder="1" applyAlignment="1"/>
    <xf numFmtId="0" fontId="14" fillId="9" borderId="4" xfId="2" applyFont="1" applyFill="1" applyBorder="1" applyAlignment="1">
      <alignment vertical="top"/>
    </xf>
    <xf numFmtId="0" fontId="23" fillId="9" borderId="7" xfId="23" applyFont="1" applyFill="1" applyBorder="1" applyAlignment="1">
      <alignment vertical="top"/>
    </xf>
    <xf numFmtId="0" fontId="23" fillId="0" borderId="82" xfId="23" applyFont="1" applyFill="1" applyBorder="1" applyAlignment="1">
      <alignment vertical="top"/>
    </xf>
    <xf numFmtId="0" fontId="23" fillId="0" borderId="7" xfId="15" applyFont="1" applyFill="1" applyBorder="1" applyAlignment="1"/>
    <xf numFmtId="0" fontId="14" fillId="7" borderId="4" xfId="23" applyFont="1" applyFill="1" applyBorder="1" applyAlignment="1">
      <alignment vertical="top"/>
    </xf>
    <xf numFmtId="0" fontId="14" fillId="0" borderId="4" xfId="0" applyFont="1" applyFill="1" applyBorder="1" applyAlignment="1"/>
    <xf numFmtId="0" fontId="31" fillId="0" borderId="59" xfId="1" applyFont="1" applyBorder="1" applyAlignment="1"/>
    <xf numFmtId="0" fontId="23" fillId="9" borderId="4" xfId="23" applyFont="1" applyFill="1" applyBorder="1" applyAlignment="1"/>
    <xf numFmtId="0" fontId="23" fillId="0" borderId="4" xfId="23" applyFont="1" applyFill="1" applyBorder="1" applyAlignment="1"/>
    <xf numFmtId="0" fontId="23" fillId="9" borderId="7" xfId="23" applyFont="1" applyFill="1" applyBorder="1" applyAlignment="1"/>
    <xf numFmtId="0" fontId="31" fillId="0" borderId="8" xfId="1" applyFont="1" applyBorder="1" applyAlignment="1"/>
    <xf numFmtId="0" fontId="23" fillId="0" borderId="7" xfId="23" applyFont="1" applyFill="1" applyBorder="1" applyAlignment="1"/>
    <xf numFmtId="0" fontId="23" fillId="7" borderId="4" xfId="23" applyFont="1" applyFill="1" applyBorder="1" applyAlignment="1">
      <alignment vertical="top"/>
    </xf>
    <xf numFmtId="0" fontId="33" fillId="9" borderId="128" xfId="1" applyFont="1" applyFill="1" applyBorder="1" applyAlignment="1"/>
    <xf numFmtId="0" fontId="23" fillId="9" borderId="129" xfId="23" applyFont="1" applyFill="1" applyBorder="1" applyAlignment="1"/>
    <xf numFmtId="0" fontId="23" fillId="7" borderId="82" xfId="23" applyFont="1" applyFill="1" applyBorder="1" applyAlignment="1">
      <alignment vertical="top"/>
    </xf>
    <xf numFmtId="0" fontId="33" fillId="0" borderId="122" xfId="1" applyFont="1" applyBorder="1" applyAlignment="1"/>
    <xf numFmtId="0" fontId="23" fillId="0" borderId="123" xfId="23" applyFont="1" applyFill="1" applyBorder="1" applyAlignment="1"/>
    <xf numFmtId="0" fontId="23" fillId="7" borderId="114" xfId="15" applyFont="1" applyFill="1" applyBorder="1" applyAlignment="1"/>
    <xf numFmtId="0" fontId="33" fillId="0" borderId="82" xfId="1" applyFont="1" applyFill="1" applyBorder="1" applyAlignment="1"/>
    <xf numFmtId="0" fontId="14" fillId="0" borderId="85" xfId="23" applyFont="1" applyBorder="1" applyAlignment="1">
      <alignment vertical="top"/>
    </xf>
    <xf numFmtId="0" fontId="14" fillId="7" borderId="8" xfId="23" applyFont="1" applyFill="1" applyBorder="1" applyAlignment="1">
      <alignment vertical="top"/>
    </xf>
    <xf numFmtId="0" fontId="14" fillId="7" borderId="85" xfId="23" applyFont="1" applyFill="1" applyBorder="1" applyAlignment="1">
      <alignment vertical="top"/>
    </xf>
    <xf numFmtId="0" fontId="31" fillId="0" borderId="12" xfId="1" applyFont="1" applyBorder="1" applyAlignment="1"/>
    <xf numFmtId="0" fontId="33" fillId="26" borderId="109" xfId="1" applyFont="1" applyFill="1" applyBorder="1" applyAlignment="1"/>
    <xf numFmtId="0" fontId="23" fillId="3" borderId="108" xfId="23" applyFont="1" applyFill="1" applyBorder="1" applyAlignment="1"/>
    <xf numFmtId="0" fontId="14" fillId="0" borderId="9" xfId="1" applyFont="1" applyFill="1" applyBorder="1" applyAlignment="1">
      <alignment vertical="top"/>
    </xf>
    <xf numFmtId="0" fontId="33" fillId="0" borderId="73" xfId="1" applyFont="1" applyFill="1" applyBorder="1" applyAlignment="1"/>
    <xf numFmtId="0" fontId="23" fillId="0" borderId="85" xfId="23" applyFont="1" applyFill="1" applyBorder="1" applyAlignment="1"/>
    <xf numFmtId="0" fontId="23" fillId="0" borderId="82" xfId="23" applyFont="1" applyFill="1" applyBorder="1" applyAlignment="1"/>
    <xf numFmtId="0" fontId="44" fillId="27" borderId="110" xfId="23" applyFont="1" applyFill="1" applyBorder="1" applyAlignment="1"/>
    <xf numFmtId="0" fontId="23" fillId="0" borderId="148" xfId="15" applyFont="1" applyFill="1" applyBorder="1" applyAlignment="1"/>
    <xf numFmtId="0" fontId="23" fillId="9" borderId="7" xfId="15" applyFont="1" applyFill="1" applyBorder="1" applyAlignment="1"/>
    <xf numFmtId="0" fontId="31" fillId="7" borderId="44" xfId="1" applyFont="1" applyFill="1" applyBorder="1" applyAlignment="1"/>
    <xf numFmtId="0" fontId="23" fillId="7" borderId="7" xfId="15" applyFont="1" applyFill="1" applyBorder="1" applyAlignment="1"/>
    <xf numFmtId="0" fontId="23" fillId="15" borderId="51" xfId="23" applyFont="1" applyFill="1" applyBorder="1" applyAlignment="1"/>
    <xf numFmtId="0" fontId="14" fillId="0" borderId="0" xfId="23" applyFont="1" applyAlignment="1">
      <alignment vertical="top"/>
    </xf>
    <xf numFmtId="0" fontId="23" fillId="0" borderId="52" xfId="23" applyFont="1" applyFill="1" applyBorder="1" applyAlignment="1">
      <alignment vertical="top"/>
    </xf>
    <xf numFmtId="0" fontId="33" fillId="0" borderId="86" xfId="1" applyFont="1" applyBorder="1" applyAlignment="1">
      <alignment vertical="top"/>
    </xf>
    <xf numFmtId="0" fontId="0" fillId="18" borderId="0" xfId="23" quotePrefix="1" applyFont="1" applyFill="1" applyAlignment="1">
      <alignment horizontal="right"/>
    </xf>
    <xf numFmtId="0" fontId="0" fillId="18" borderId="0" xfId="23" applyFont="1" applyFill="1" applyAlignment="1"/>
    <xf numFmtId="49" fontId="0" fillId="29" borderId="16" xfId="15" applyNumberFormat="1" applyFont="1" applyFill="1" applyBorder="1" applyAlignment="1">
      <alignment horizontal="center"/>
    </xf>
    <xf numFmtId="0" fontId="0" fillId="29" borderId="0" xfId="23" applyFont="1" applyFill="1" applyAlignment="1"/>
    <xf numFmtId="49" fontId="0" fillId="18" borderId="0" xfId="6" quotePrefix="1" applyNumberFormat="1" applyFont="1" applyFill="1" applyAlignment="1"/>
    <xf numFmtId="0" fontId="0" fillId="18" borderId="0" xfId="23" quotePrefix="1" applyFont="1" applyFill="1" applyAlignment="1"/>
    <xf numFmtId="49" fontId="0" fillId="18" borderId="0" xfId="15" quotePrefix="1" applyNumberFormat="1" applyFont="1" applyFill="1"/>
    <xf numFmtId="49" fontId="0" fillId="29" borderId="16" xfId="23" applyNumberFormat="1" applyFont="1" applyFill="1" applyBorder="1" applyAlignment="1">
      <alignment horizontal="center"/>
    </xf>
    <xf numFmtId="49" fontId="0" fillId="18" borderId="0" xfId="23" quotePrefix="1" applyNumberFormat="1" applyFont="1" applyFill="1" applyAlignment="1"/>
    <xf numFmtId="166" fontId="37" fillId="7" borderId="17" xfId="22" applyNumberFormat="1" applyFont="1" applyFill="1" applyBorder="1" applyAlignment="1">
      <alignment horizontal="center"/>
    </xf>
    <xf numFmtId="166" fontId="23" fillId="6" borderId="16" xfId="7" applyNumberFormat="1" applyFont="1" applyFill="1" applyBorder="1" applyAlignment="1">
      <alignment horizontal="center"/>
    </xf>
    <xf numFmtId="0" fontId="13" fillId="6" borderId="16" xfId="7" applyFont="1" applyFill="1" applyBorder="1" applyAlignment="1"/>
    <xf numFmtId="0" fontId="15" fillId="0" borderId="5" xfId="1" applyFill="1" applyBorder="1" applyAlignment="1">
      <alignment vertical="top"/>
    </xf>
    <xf numFmtId="0" fontId="58" fillId="0" borderId="134" xfId="1" applyFont="1" applyFill="1" applyBorder="1"/>
    <xf numFmtId="0" fontId="27" fillId="0" borderId="171" xfId="9" applyFont="1" applyBorder="1" applyAlignment="1"/>
    <xf numFmtId="0" fontId="27" fillId="0" borderId="171" xfId="9" applyFont="1" applyFill="1" applyBorder="1" applyAlignment="1">
      <alignment horizontal="right"/>
    </xf>
    <xf numFmtId="0" fontId="61" fillId="0" borderId="171" xfId="9" applyFont="1" applyBorder="1" applyAlignment="1">
      <alignment horizontal="center"/>
    </xf>
    <xf numFmtId="0" fontId="61" fillId="0" borderId="171" xfId="9" applyFont="1" applyFill="1" applyBorder="1" applyAlignment="1"/>
    <xf numFmtId="0" fontId="54" fillId="0" borderId="171" xfId="9" applyFont="1" applyBorder="1" applyAlignment="1">
      <alignment horizontal="center"/>
    </xf>
    <xf numFmtId="0" fontId="62" fillId="0" borderId="171" xfId="18" applyFont="1" applyFill="1" applyBorder="1" applyAlignment="1">
      <alignment horizontal="center"/>
    </xf>
    <xf numFmtId="0" fontId="54" fillId="0" borderId="171" xfId="17" applyFont="1" applyFill="1" applyBorder="1" applyAlignment="1">
      <alignment horizontal="center"/>
    </xf>
    <xf numFmtId="0" fontId="54" fillId="0" borderId="171" xfId="9" applyFont="1" applyFill="1" applyBorder="1" applyAlignment="1">
      <alignment horizontal="center"/>
    </xf>
    <xf numFmtId="0" fontId="64" fillId="0" borderId="127" xfId="9" applyFont="1" applyFill="1" applyBorder="1" applyAlignment="1"/>
    <xf numFmtId="0" fontId="63" fillId="0" borderId="127" xfId="9" applyFont="1" applyFill="1" applyBorder="1" applyAlignment="1">
      <alignment horizontal="right"/>
    </xf>
    <xf numFmtId="0" fontId="23" fillId="0" borderId="171" xfId="9" applyFont="1" applyFill="1" applyBorder="1" applyAlignment="1">
      <alignment horizontal="center"/>
    </xf>
    <xf numFmtId="0" fontId="14" fillId="6" borderId="172" xfId="9" applyFont="1" applyFill="1" applyBorder="1" applyAlignment="1">
      <alignment horizontal="center"/>
    </xf>
    <xf numFmtId="0" fontId="14" fillId="6" borderId="173" xfId="9" applyFont="1" applyFill="1" applyBorder="1" applyAlignment="1">
      <alignment horizontal="center"/>
    </xf>
    <xf numFmtId="0" fontId="23" fillId="6" borderId="174" xfId="9" applyFont="1" applyFill="1" applyBorder="1" applyAlignment="1">
      <alignment horizontal="right"/>
    </xf>
    <xf numFmtId="0" fontId="35" fillId="0" borderId="171" xfId="9" applyFont="1" applyBorder="1" applyAlignment="1">
      <alignment horizontal="center"/>
    </xf>
    <xf numFmtId="0" fontId="35" fillId="0" borderId="171" xfId="9" applyFont="1" applyFill="1" applyBorder="1" applyAlignment="1">
      <alignment horizontal="right"/>
    </xf>
    <xf numFmtId="0" fontId="12" fillId="0" borderId="85" xfId="23" applyFont="1" applyFill="1" applyBorder="1" applyAlignment="1">
      <alignment vertical="top"/>
    </xf>
    <xf numFmtId="0" fontId="14" fillId="0" borderId="0" xfId="9" applyFont="1" applyFill="1" applyBorder="1" applyAlignment="1">
      <alignment textRotation="90"/>
    </xf>
    <xf numFmtId="0" fontId="45" fillId="9" borderId="172" xfId="3" applyNumberFormat="1" applyFont="1" applyFill="1" applyBorder="1" applyAlignment="1" applyProtection="1"/>
    <xf numFmtId="0" fontId="23" fillId="9" borderId="172" xfId="26" applyFont="1" applyFill="1" applyBorder="1" applyAlignment="1">
      <alignment horizontal="center"/>
    </xf>
    <xf numFmtId="0" fontId="44" fillId="0" borderId="172" xfId="9" applyFont="1" applyFill="1" applyBorder="1" applyAlignment="1">
      <alignment horizontal="center"/>
    </xf>
    <xf numFmtId="0" fontId="46" fillId="9" borderId="175" xfId="3" applyNumberFormat="1" applyFont="1" applyFill="1" applyBorder="1" applyAlignment="1" applyProtection="1">
      <alignment horizontal="center" textRotation="90" wrapText="1"/>
    </xf>
    <xf numFmtId="0" fontId="47" fillId="9" borderId="175" xfId="26" applyFont="1" applyFill="1" applyBorder="1" applyAlignment="1">
      <alignment horizontal="center"/>
    </xf>
    <xf numFmtId="169" fontId="49" fillId="0" borderId="175" xfId="9" applyNumberFormat="1" applyFont="1" applyFill="1" applyBorder="1" applyAlignment="1">
      <alignment horizontal="center"/>
    </xf>
    <xf numFmtId="166" fontId="26" fillId="6" borderId="176" xfId="9" applyNumberFormat="1" applyFont="1" applyFill="1" applyBorder="1" applyAlignment="1">
      <alignment horizontal="center"/>
    </xf>
    <xf numFmtId="1" fontId="26" fillId="6" borderId="176" xfId="9" applyNumberFormat="1" applyFont="1" applyFill="1" applyBorder="1" applyAlignment="1">
      <alignment horizontal="center"/>
    </xf>
    <xf numFmtId="0" fontId="54" fillId="8" borderId="171" xfId="9" applyFont="1" applyFill="1" applyBorder="1" applyAlignment="1">
      <alignment horizontal="center"/>
    </xf>
    <xf numFmtId="0" fontId="61" fillId="8" borderId="171" xfId="9" applyFont="1" applyFill="1" applyBorder="1" applyAlignment="1"/>
    <xf numFmtId="0" fontId="35" fillId="8" borderId="171" xfId="9" applyFont="1" applyFill="1" applyBorder="1" applyAlignment="1">
      <alignment horizontal="right"/>
    </xf>
    <xf numFmtId="0" fontId="54" fillId="6" borderId="171" xfId="9" applyFont="1" applyFill="1" applyBorder="1" applyAlignment="1">
      <alignment horizontal="center"/>
    </xf>
    <xf numFmtId="0" fontId="61" fillId="6" borderId="171" xfId="9" applyFont="1" applyFill="1" applyBorder="1" applyAlignment="1"/>
    <xf numFmtId="0" fontId="35" fillId="6" borderId="171" xfId="9" applyFont="1" applyFill="1" applyBorder="1" applyAlignment="1">
      <alignment horizontal="right"/>
    </xf>
    <xf numFmtId="0" fontId="54" fillId="5" borderId="171" xfId="9" applyFont="1" applyFill="1" applyBorder="1" applyAlignment="1">
      <alignment horizontal="center"/>
    </xf>
    <xf numFmtId="0" fontId="61" fillId="5" borderId="171" xfId="9" applyFont="1" applyFill="1" applyBorder="1" applyAlignment="1"/>
    <xf numFmtId="0" fontId="35" fillId="5" borderId="171" xfId="9" applyFont="1" applyFill="1" applyBorder="1" applyAlignment="1">
      <alignment horizontal="right"/>
    </xf>
    <xf numFmtId="0" fontId="65" fillId="9" borderId="127" xfId="3" applyNumberFormat="1" applyFont="1" applyFill="1" applyBorder="1" applyAlignment="1">
      <alignment horizontal="center"/>
    </xf>
    <xf numFmtId="0" fontId="66" fillId="9" borderId="127" xfId="1" applyFont="1" applyFill="1" applyBorder="1" applyAlignment="1">
      <alignment horizontal="center"/>
    </xf>
    <xf numFmtId="0" fontId="65" fillId="9" borderId="172" xfId="3" applyNumberFormat="1" applyFont="1" applyFill="1" applyBorder="1" applyAlignment="1">
      <alignment horizontal="center"/>
    </xf>
    <xf numFmtId="0" fontId="14" fillId="8" borderId="127" xfId="7" applyFont="1" applyFill="1" applyBorder="1" applyAlignment="1">
      <alignment wrapText="1"/>
    </xf>
    <xf numFmtId="0" fontId="14" fillId="21" borderId="127" xfId="7" applyFont="1" applyFill="1" applyBorder="1" applyAlignment="1">
      <alignment wrapText="1"/>
    </xf>
    <xf numFmtId="0" fontId="14" fillId="0" borderId="127" xfId="9" applyFont="1" applyBorder="1" applyAlignment="1">
      <alignment horizontal="center"/>
    </xf>
    <xf numFmtId="0" fontId="14" fillId="8" borderId="127" xfId="7" applyFont="1" applyFill="1" applyBorder="1" applyAlignment="1">
      <alignment horizontal="center"/>
    </xf>
    <xf numFmtId="0" fontId="14" fillId="21" borderId="127" xfId="7" applyFont="1" applyFill="1" applyBorder="1" applyAlignment="1">
      <alignment horizontal="center"/>
    </xf>
    <xf numFmtId="0" fontId="15" fillId="9" borderId="127" xfId="1" applyFont="1" applyFill="1" applyBorder="1" applyAlignment="1">
      <alignment horizontal="center"/>
    </xf>
    <xf numFmtId="0" fontId="15" fillId="9" borderId="175" xfId="1" applyFont="1" applyFill="1" applyBorder="1" applyAlignment="1">
      <alignment horizontal="center"/>
    </xf>
    <xf numFmtId="0" fontId="67" fillId="6" borderId="127" xfId="9" applyFont="1" applyFill="1" applyBorder="1" applyAlignment="1"/>
    <xf numFmtId="169" fontId="49" fillId="0" borderId="177" xfId="9" applyNumberFormat="1" applyFont="1" applyFill="1" applyBorder="1" applyAlignment="1">
      <alignment horizontal="center"/>
    </xf>
    <xf numFmtId="0" fontId="14" fillId="0" borderId="178" xfId="9" applyFont="1" applyFill="1" applyBorder="1" applyAlignment="1"/>
    <xf numFmtId="0" fontId="63" fillId="0" borderId="180" xfId="9" applyFont="1" applyFill="1" applyBorder="1" applyAlignment="1">
      <alignment horizontal="right"/>
    </xf>
    <xf numFmtId="0" fontId="27" fillId="0" borderId="180" xfId="9" applyFont="1" applyFill="1" applyBorder="1" applyAlignment="1">
      <alignment horizontal="right"/>
    </xf>
    <xf numFmtId="0" fontId="54" fillId="0" borderId="180" xfId="9" applyFont="1" applyFill="1" applyBorder="1" applyAlignment="1">
      <alignment horizontal="center"/>
    </xf>
    <xf numFmtId="0" fontId="61" fillId="0" borderId="180" xfId="9" applyFont="1" applyFill="1" applyBorder="1" applyAlignment="1"/>
    <xf numFmtId="0" fontId="35" fillId="0" borderId="180" xfId="9" applyFont="1" applyFill="1" applyBorder="1" applyAlignment="1">
      <alignment horizontal="right"/>
    </xf>
    <xf numFmtId="0" fontId="23" fillId="6" borderId="180" xfId="9" applyFont="1" applyFill="1" applyBorder="1" applyAlignment="1">
      <alignment horizontal="right"/>
    </xf>
    <xf numFmtId="0" fontId="49" fillId="0" borderId="180" xfId="17" applyFont="1" applyFill="1" applyBorder="1" applyAlignment="1">
      <alignment horizontal="center"/>
    </xf>
    <xf numFmtId="0" fontId="54" fillId="0" borderId="180" xfId="17" applyFont="1" applyFill="1" applyBorder="1" applyAlignment="1">
      <alignment horizontal="center"/>
    </xf>
    <xf numFmtId="0" fontId="14" fillId="9" borderId="180" xfId="17" applyFont="1" applyFill="1" applyBorder="1" applyAlignment="1">
      <alignment horizontal="center"/>
    </xf>
    <xf numFmtId="0" fontId="23" fillId="6" borderId="180" xfId="9" applyNumberFormat="1" applyFont="1" applyFill="1" applyBorder="1" applyAlignment="1">
      <alignment horizontal="center"/>
    </xf>
    <xf numFmtId="0" fontId="27" fillId="0" borderId="180" xfId="17" applyFont="1" applyFill="1" applyBorder="1" applyAlignment="1">
      <alignment horizontal="center"/>
    </xf>
    <xf numFmtId="0" fontId="14" fillId="0" borderId="180" xfId="26" applyFont="1" applyFill="1" applyBorder="1" applyAlignment="1">
      <alignment horizontal="center"/>
    </xf>
    <xf numFmtId="0" fontId="42" fillId="0" borderId="180" xfId="9" applyFont="1" applyFill="1" applyBorder="1" applyAlignment="1">
      <alignment horizontal="center"/>
    </xf>
    <xf numFmtId="0" fontId="44" fillId="0" borderId="181" xfId="9" applyFont="1" applyFill="1" applyBorder="1" applyAlignment="1">
      <alignment horizontal="center"/>
    </xf>
    <xf numFmtId="0" fontId="63" fillId="0" borderId="178" xfId="9" applyFont="1" applyFill="1" applyBorder="1" applyAlignment="1">
      <alignment horizontal="right"/>
    </xf>
    <xf numFmtId="0" fontId="27" fillId="0" borderId="178" xfId="9" applyFont="1" applyFill="1" applyBorder="1" applyAlignment="1">
      <alignment horizontal="right"/>
    </xf>
    <xf numFmtId="0" fontId="54" fillId="0" borderId="178" xfId="9" applyFont="1" applyFill="1" applyBorder="1" applyAlignment="1">
      <alignment horizontal="center"/>
    </xf>
    <xf numFmtId="0" fontId="61" fillId="0" borderId="178" xfId="9" applyFont="1" applyFill="1" applyBorder="1" applyAlignment="1"/>
    <xf numFmtId="0" fontId="35" fillId="0" borderId="178" xfId="9" applyFont="1" applyFill="1" applyBorder="1" applyAlignment="1">
      <alignment horizontal="right"/>
    </xf>
    <xf numFmtId="0" fontId="23" fillId="6" borderId="178" xfId="9" applyFont="1" applyFill="1" applyBorder="1" applyAlignment="1">
      <alignment horizontal="right"/>
    </xf>
    <xf numFmtId="0" fontId="49" fillId="0" borderId="178" xfId="17" applyFont="1" applyFill="1" applyBorder="1" applyAlignment="1">
      <alignment horizontal="center"/>
    </xf>
    <xf numFmtId="0" fontId="54" fillId="0" borderId="178" xfId="17" applyFont="1" applyFill="1" applyBorder="1" applyAlignment="1">
      <alignment horizontal="center"/>
    </xf>
    <xf numFmtId="0" fontId="14" fillId="9" borderId="178" xfId="17" applyFont="1" applyFill="1" applyBorder="1" applyAlignment="1">
      <alignment horizontal="center"/>
    </xf>
    <xf numFmtId="0" fontId="23" fillId="6" borderId="178" xfId="9" applyNumberFormat="1" applyFont="1" applyFill="1" applyBorder="1" applyAlignment="1">
      <alignment horizontal="center"/>
    </xf>
    <xf numFmtId="0" fontId="27" fillId="0" borderId="178" xfId="17" applyFont="1" applyFill="1" applyBorder="1" applyAlignment="1">
      <alignment horizontal="center"/>
    </xf>
    <xf numFmtId="0" fontId="14" fillId="0" borderId="178" xfId="26" applyFont="1" applyFill="1" applyBorder="1" applyAlignment="1">
      <alignment horizontal="center"/>
    </xf>
    <xf numFmtId="0" fontId="42" fillId="0" borderId="178" xfId="9" applyFont="1" applyFill="1" applyBorder="1" applyAlignment="1">
      <alignment horizontal="center"/>
    </xf>
    <xf numFmtId="0" fontId="44" fillId="0" borderId="182" xfId="9" applyFont="1" applyFill="1" applyBorder="1" applyAlignment="1">
      <alignment horizontal="center"/>
    </xf>
    <xf numFmtId="0" fontId="63" fillId="0" borderId="171" xfId="9" applyFont="1" applyFill="1" applyBorder="1" applyAlignment="1">
      <alignment horizontal="right"/>
    </xf>
    <xf numFmtId="0" fontId="23" fillId="6" borderId="171" xfId="9" applyFont="1" applyFill="1" applyBorder="1" applyAlignment="1">
      <alignment horizontal="right"/>
    </xf>
    <xf numFmtId="0" fontId="14" fillId="0" borderId="171" xfId="15" applyFont="1" applyFill="1" applyBorder="1" applyAlignment="1"/>
    <xf numFmtId="0" fontId="49" fillId="0" borderId="171" xfId="17" applyFont="1" applyFill="1" applyBorder="1" applyAlignment="1">
      <alignment horizontal="center"/>
    </xf>
    <xf numFmtId="0" fontId="14" fillId="9" borderId="171" xfId="17" applyFont="1" applyFill="1" applyBorder="1" applyAlignment="1">
      <alignment horizontal="center"/>
    </xf>
    <xf numFmtId="0" fontId="23" fillId="6" borderId="171" xfId="9" applyNumberFormat="1" applyFont="1" applyFill="1" applyBorder="1" applyAlignment="1">
      <alignment horizontal="center"/>
    </xf>
    <xf numFmtId="0" fontId="27" fillId="0" borderId="171" xfId="17" applyFont="1" applyFill="1" applyBorder="1" applyAlignment="1">
      <alignment horizontal="center"/>
    </xf>
    <xf numFmtId="0" fontId="14" fillId="0" borderId="171" xfId="26" applyFont="1" applyFill="1" applyBorder="1" applyAlignment="1">
      <alignment horizontal="center"/>
    </xf>
    <xf numFmtId="0" fontId="42" fillId="0" borderId="171" xfId="9" applyFont="1" applyFill="1" applyBorder="1" applyAlignment="1">
      <alignment horizontal="center"/>
    </xf>
    <xf numFmtId="0" fontId="14" fillId="0" borderId="171" xfId="9" applyFont="1" applyFill="1" applyBorder="1" applyAlignment="1"/>
    <xf numFmtId="0" fontId="15" fillId="9" borderId="31" xfId="1" applyFill="1" applyBorder="1"/>
    <xf numFmtId="0" fontId="49" fillId="0" borderId="185" xfId="17" applyFont="1" applyFill="1" applyBorder="1" applyAlignment="1">
      <alignment horizontal="center"/>
    </xf>
    <xf numFmtId="0" fontId="54" fillId="0" borderId="185" xfId="17" applyFont="1" applyFill="1" applyBorder="1" applyAlignment="1">
      <alignment horizontal="center"/>
    </xf>
    <xf numFmtId="0" fontId="14" fillId="9" borderId="185" xfId="17" applyFont="1" applyFill="1" applyBorder="1" applyAlignment="1">
      <alignment horizontal="center"/>
    </xf>
    <xf numFmtId="0" fontId="23" fillId="6" borderId="185" xfId="9" applyNumberFormat="1" applyFont="1" applyFill="1" applyBorder="1" applyAlignment="1">
      <alignment horizontal="center"/>
    </xf>
    <xf numFmtId="0" fontId="27" fillId="0" borderId="185" xfId="17" applyFont="1" applyFill="1" applyBorder="1" applyAlignment="1">
      <alignment horizontal="center"/>
    </xf>
    <xf numFmtId="0" fontId="14" fillId="0" borderId="185" xfId="26" applyFont="1" applyFill="1" applyBorder="1" applyAlignment="1">
      <alignment horizontal="center"/>
    </xf>
    <xf numFmtId="0" fontId="42" fillId="0" borderId="185" xfId="9" applyFont="1" applyFill="1" applyBorder="1" applyAlignment="1">
      <alignment horizontal="center"/>
    </xf>
    <xf numFmtId="0" fontId="44" fillId="0" borderId="186" xfId="9" applyFont="1" applyFill="1" applyBorder="1" applyAlignment="1">
      <alignment horizontal="center"/>
    </xf>
    <xf numFmtId="169" fontId="49" fillId="0" borderId="187" xfId="9" applyNumberFormat="1" applyFont="1" applyFill="1" applyBorder="1" applyAlignment="1">
      <alignment horizontal="center"/>
    </xf>
    <xf numFmtId="166" fontId="14" fillId="0" borderId="12" xfId="9" applyNumberFormat="1" applyFont="1" applyFill="1" applyBorder="1" applyAlignment="1">
      <alignment horizontal="center"/>
    </xf>
    <xf numFmtId="0" fontId="14" fillId="0" borderId="179" xfId="15" applyFont="1" applyBorder="1"/>
    <xf numFmtId="0" fontId="49" fillId="0" borderId="179" xfId="17" applyFont="1" applyFill="1" applyBorder="1" applyAlignment="1">
      <alignment horizontal="center"/>
    </xf>
    <xf numFmtId="0" fontId="54" fillId="0" borderId="179" xfId="17" applyFont="1" applyFill="1" applyBorder="1" applyAlignment="1">
      <alignment horizontal="center"/>
    </xf>
    <xf numFmtId="0" fontId="14" fillId="9" borderId="179" xfId="17" applyFont="1" applyFill="1" applyBorder="1" applyAlignment="1">
      <alignment horizontal="center"/>
    </xf>
    <xf numFmtId="0" fontId="23" fillId="6" borderId="179" xfId="9" applyNumberFormat="1" applyFont="1" applyFill="1" applyBorder="1" applyAlignment="1">
      <alignment horizontal="center"/>
    </xf>
    <xf numFmtId="0" fontId="27" fillId="0" borderId="179" xfId="17" applyFont="1" applyFill="1" applyBorder="1" applyAlignment="1">
      <alignment horizontal="center"/>
    </xf>
    <xf numFmtId="0" fontId="14" fillId="0" borderId="179" xfId="26" applyFont="1" applyFill="1" applyBorder="1" applyAlignment="1">
      <alignment horizontal="center"/>
    </xf>
    <xf numFmtId="0" fontId="42" fillId="0" borderId="179" xfId="9" applyFont="1" applyFill="1" applyBorder="1" applyAlignment="1">
      <alignment horizontal="center"/>
    </xf>
    <xf numFmtId="0" fontId="44" fillId="0" borderId="188" xfId="9" applyFont="1" applyFill="1" applyBorder="1" applyAlignment="1">
      <alignment horizontal="center"/>
    </xf>
    <xf numFmtId="166" fontId="14" fillId="0" borderId="6" xfId="9" applyNumberFormat="1" applyFont="1" applyFill="1" applyBorder="1" applyAlignment="1">
      <alignment horizontal="center"/>
    </xf>
    <xf numFmtId="0" fontId="0" fillId="0" borderId="0" xfId="23" quotePrefix="1" applyFont="1" applyFill="1" applyAlignment="1">
      <alignment horizontal="right"/>
    </xf>
    <xf numFmtId="0" fontId="14" fillId="8" borderId="28" xfId="15" applyFont="1" applyFill="1" applyBorder="1" applyAlignment="1"/>
    <xf numFmtId="0" fontId="14" fillId="6" borderId="28" xfId="15" applyFont="1" applyFill="1" applyBorder="1" applyAlignment="1"/>
    <xf numFmtId="0" fontId="14" fillId="5" borderId="28" xfId="13" applyFont="1" applyFill="1" applyBorder="1" applyAlignment="1"/>
    <xf numFmtId="0" fontId="0" fillId="18" borderId="0" xfId="6" applyFont="1" applyFill="1"/>
    <xf numFmtId="0" fontId="0" fillId="28" borderId="0" xfId="6" applyFont="1" applyFill="1"/>
    <xf numFmtId="169" fontId="49" fillId="0" borderId="191" xfId="9" applyNumberFormat="1" applyFont="1" applyFill="1" applyBorder="1" applyAlignment="1">
      <alignment horizontal="center"/>
    </xf>
    <xf numFmtId="169" fontId="49" fillId="0" borderId="190" xfId="9" applyNumberFormat="1" applyFont="1" applyFill="1" applyBorder="1" applyAlignment="1">
      <alignment horizontal="center"/>
    </xf>
    <xf numFmtId="169" fontId="49" fillId="0" borderId="192" xfId="9" applyNumberFormat="1" applyFont="1" applyFill="1" applyBorder="1" applyAlignment="1">
      <alignment horizontal="center"/>
    </xf>
    <xf numFmtId="0" fontId="58" fillId="0" borderId="189" xfId="1" applyFont="1" applyFill="1" applyBorder="1"/>
    <xf numFmtId="0" fontId="0" fillId="30" borderId="189" xfId="22" quotePrefix="1" applyNumberFormat="1" applyFont="1" applyFill="1" applyBorder="1" applyAlignment="1">
      <alignment horizontal="left" vertical="center"/>
    </xf>
    <xf numFmtId="49" fontId="14" fillId="30" borderId="189" xfId="6" applyNumberFormat="1" applyFont="1" applyFill="1" applyBorder="1" applyAlignment="1"/>
    <xf numFmtId="166" fontId="14" fillId="30" borderId="189" xfId="22" applyNumberFormat="1" applyFont="1" applyFill="1" applyBorder="1" applyAlignment="1">
      <alignment horizontal="center" vertical="center"/>
    </xf>
    <xf numFmtId="0" fontId="33" fillId="26" borderId="17" xfId="1" applyFont="1" applyFill="1" applyBorder="1" applyAlignment="1"/>
    <xf numFmtId="0" fontId="14" fillId="26" borderId="17" xfId="7" applyFont="1" applyFill="1" applyBorder="1" applyAlignment="1">
      <alignment horizontal="left" vertical="top"/>
    </xf>
    <xf numFmtId="49" fontId="14" fillId="26" borderId="17" xfId="22" applyNumberFormat="1" applyFont="1" applyFill="1" applyBorder="1" applyAlignment="1">
      <alignment horizontal="center"/>
    </xf>
    <xf numFmtId="166" fontId="14" fillId="26" borderId="17" xfId="22" applyNumberFormat="1" applyFont="1" applyFill="1" applyBorder="1" applyAlignment="1">
      <alignment horizontal="center"/>
    </xf>
    <xf numFmtId="0" fontId="14" fillId="14" borderId="127" xfId="7" applyFont="1" applyFill="1" applyBorder="1" applyAlignment="1">
      <alignment horizontal="left" vertical="center"/>
    </xf>
    <xf numFmtId="168" fontId="14" fillId="14" borderId="127" xfId="22" applyNumberFormat="1" applyFont="1" applyFill="1" applyBorder="1" applyAlignment="1">
      <alignment horizontal="center" vertical="center"/>
    </xf>
    <xf numFmtId="166" fontId="14" fillId="14" borderId="127" xfId="22" applyNumberFormat="1" applyFont="1" applyFill="1" applyBorder="1" applyAlignment="1">
      <alignment horizontal="center" vertical="center"/>
    </xf>
    <xf numFmtId="0" fontId="33" fillId="9" borderId="88" xfId="1" applyFont="1" applyFill="1" applyBorder="1" applyAlignment="1"/>
    <xf numFmtId="0" fontId="14" fillId="30" borderId="132" xfId="1" applyFont="1" applyFill="1" applyBorder="1" applyAlignment="1"/>
    <xf numFmtId="0" fontId="14" fillId="30" borderId="88" xfId="22" applyFont="1" applyFill="1" applyBorder="1" applyAlignment="1">
      <alignment vertical="center"/>
    </xf>
    <xf numFmtId="164" fontId="14" fillId="30" borderId="88" xfId="22" applyNumberFormat="1" applyFont="1" applyFill="1" applyBorder="1" applyAlignment="1">
      <alignment horizontal="center" vertical="center"/>
    </xf>
    <xf numFmtId="166" fontId="14" fillId="30" borderId="88" xfId="22" applyNumberFormat="1" applyFont="1" applyFill="1" applyBorder="1" applyAlignment="1">
      <alignment horizontal="center" vertical="center"/>
    </xf>
    <xf numFmtId="0" fontId="33" fillId="9" borderId="135" xfId="1" applyFont="1" applyFill="1" applyBorder="1" applyAlignment="1"/>
    <xf numFmtId="0" fontId="14" fillId="9" borderId="134" xfId="7" applyFont="1" applyFill="1" applyBorder="1" applyAlignment="1">
      <alignment horizontal="left" vertical="top"/>
    </xf>
    <xf numFmtId="167" fontId="14" fillId="9" borderId="134" xfId="22" applyNumberFormat="1" applyFont="1" applyFill="1" applyBorder="1" applyAlignment="1">
      <alignment horizontal="center"/>
    </xf>
    <xf numFmtId="166" fontId="14" fillId="9" borderId="134" xfId="22" applyNumberFormat="1" applyFont="1" applyFill="1" applyBorder="1" applyAlignment="1">
      <alignment horizontal="center"/>
    </xf>
    <xf numFmtId="0" fontId="23" fillId="0" borderId="134" xfId="7" applyFont="1" applyFill="1" applyBorder="1" applyAlignment="1">
      <alignment horizontal="left"/>
    </xf>
    <xf numFmtId="164" fontId="23" fillId="0" borderId="134" xfId="22" applyNumberFormat="1" applyFont="1" applyFill="1" applyBorder="1" applyAlignment="1">
      <alignment horizontal="center"/>
    </xf>
    <xf numFmtId="166" fontId="14" fillId="0" borderId="134" xfId="22" applyNumberFormat="1" applyFont="1" applyFill="1" applyBorder="1" applyAlignment="1">
      <alignment horizontal="center" vertical="center"/>
    </xf>
    <xf numFmtId="0" fontId="33" fillId="9" borderId="161" xfId="1" applyFont="1" applyFill="1" applyBorder="1" applyAlignment="1"/>
    <xf numFmtId="0" fontId="33" fillId="30" borderId="135" xfId="1" applyFont="1" applyFill="1" applyBorder="1" applyAlignment="1"/>
    <xf numFmtId="0" fontId="14" fillId="30" borderId="134" xfId="22" applyFont="1" applyFill="1" applyBorder="1" applyAlignment="1">
      <alignment vertical="center"/>
    </xf>
    <xf numFmtId="164" fontId="14" fillId="30" borderId="134" xfId="22" applyNumberFormat="1" applyFont="1" applyFill="1" applyBorder="1" applyAlignment="1">
      <alignment horizontal="center" vertical="center"/>
    </xf>
    <xf numFmtId="166" fontId="14" fillId="30" borderId="134" xfId="22" applyNumberFormat="1" applyFont="1" applyFill="1" applyBorder="1" applyAlignment="1">
      <alignment horizontal="center" vertical="center"/>
    </xf>
    <xf numFmtId="0" fontId="33" fillId="14" borderId="31" xfId="1" applyFont="1" applyFill="1" applyBorder="1" applyAlignment="1"/>
    <xf numFmtId="0" fontId="14" fillId="14" borderId="31" xfId="22" applyFont="1" applyFill="1" applyBorder="1" applyAlignment="1"/>
    <xf numFmtId="164" fontId="14" fillId="14" borderId="31" xfId="22" applyNumberFormat="1" applyFont="1" applyFill="1" applyBorder="1" applyAlignment="1">
      <alignment horizontal="center"/>
    </xf>
    <xf numFmtId="0" fontId="33" fillId="14" borderId="31" xfId="1" applyFont="1" applyFill="1" applyBorder="1" applyAlignment="1">
      <alignment vertical="top"/>
    </xf>
    <xf numFmtId="0" fontId="23" fillId="0" borderId="134" xfId="7" applyFont="1" applyFill="1" applyBorder="1" applyAlignment="1">
      <alignment horizontal="left" vertical="top"/>
    </xf>
    <xf numFmtId="0" fontId="33" fillId="9" borderId="183" xfId="1" applyFont="1" applyFill="1" applyBorder="1" applyAlignment="1"/>
    <xf numFmtId="0" fontId="14" fillId="9" borderId="184" xfId="7" applyFont="1" applyFill="1" applyBorder="1" applyAlignment="1">
      <alignment horizontal="left" vertical="top"/>
    </xf>
    <xf numFmtId="167" fontId="14" fillId="9" borderId="184" xfId="22" applyNumberFormat="1" applyFont="1" applyFill="1" applyBorder="1" applyAlignment="1">
      <alignment horizontal="center"/>
    </xf>
    <xf numFmtId="166" fontId="14" fillId="9" borderId="184" xfId="22" applyNumberFormat="1" applyFont="1" applyFill="1" applyBorder="1" applyAlignment="1">
      <alignment horizontal="center"/>
    </xf>
    <xf numFmtId="0" fontId="23" fillId="0" borderId="189" xfId="22" applyFont="1" applyFill="1" applyBorder="1" applyAlignment="1"/>
    <xf numFmtId="0" fontId="23" fillId="0" borderId="189" xfId="7" applyFont="1" applyFill="1" applyBorder="1" applyAlignment="1">
      <alignment horizontal="left" vertical="top"/>
    </xf>
    <xf numFmtId="164" fontId="23" fillId="0" borderId="189" xfId="22" applyNumberFormat="1" applyFont="1" applyFill="1" applyBorder="1" applyAlignment="1">
      <alignment horizontal="center"/>
    </xf>
    <xf numFmtId="166" fontId="14" fillId="0" borderId="189" xfId="22" applyNumberFormat="1" applyFont="1" applyFill="1" applyBorder="1" applyAlignment="1">
      <alignment horizontal="center" vertical="center"/>
    </xf>
    <xf numFmtId="0" fontId="14" fillId="30" borderId="189" xfId="22" applyFont="1" applyFill="1" applyBorder="1" applyAlignment="1">
      <alignment vertical="center"/>
    </xf>
    <xf numFmtId="164" fontId="14" fillId="30" borderId="189" xfId="22" applyNumberFormat="1" applyFont="1" applyFill="1" applyBorder="1" applyAlignment="1">
      <alignment horizontal="center" vertical="center"/>
    </xf>
    <xf numFmtId="0" fontId="14" fillId="22" borderId="17" xfId="22" applyFont="1" applyFill="1" applyBorder="1"/>
    <xf numFmtId="0" fontId="14" fillId="26" borderId="17" xfId="22" applyFont="1" applyFill="1" applyBorder="1" applyAlignment="1"/>
    <xf numFmtId="0" fontId="14" fillId="14" borderId="127" xfId="22" applyFont="1" applyFill="1" applyBorder="1" applyAlignment="1"/>
    <xf numFmtId="0" fontId="14" fillId="14" borderId="127" xfId="22" applyFont="1" applyFill="1" applyBorder="1" applyAlignment="1">
      <alignment vertical="center"/>
    </xf>
    <xf numFmtId="0" fontId="14" fillId="9" borderId="134" xfId="22" applyFont="1" applyFill="1" applyBorder="1" applyAlignment="1"/>
    <xf numFmtId="0" fontId="23" fillId="0" borderId="134" xfId="22" applyFont="1" applyFill="1" applyBorder="1" applyAlignment="1"/>
    <xf numFmtId="0" fontId="14" fillId="9" borderId="134" xfId="22" applyFont="1" applyFill="1" applyBorder="1"/>
    <xf numFmtId="0" fontId="33" fillId="14" borderId="31" xfId="1" applyFont="1" applyFill="1" applyBorder="1"/>
    <xf numFmtId="0" fontId="23" fillId="0" borderId="134" xfId="22" applyFont="1" applyFill="1" applyBorder="1"/>
    <xf numFmtId="0" fontId="14" fillId="9" borderId="31" xfId="22" applyFont="1" applyFill="1" applyBorder="1"/>
    <xf numFmtId="0" fontId="14" fillId="9" borderId="31" xfId="22" applyFont="1" applyFill="1" applyBorder="1" applyAlignment="1"/>
    <xf numFmtId="0" fontId="23" fillId="0" borderId="189" xfId="22" applyFont="1" applyFill="1" applyBorder="1"/>
    <xf numFmtId="0" fontId="14" fillId="26" borderId="17" xfId="22" applyNumberFormat="1" applyFont="1" applyFill="1" applyBorder="1" applyAlignment="1">
      <alignment horizontal="left"/>
    </xf>
    <xf numFmtId="0" fontId="14" fillId="14" borderId="127" xfId="22" applyNumberFormat="1" applyFont="1" applyFill="1" applyBorder="1" applyAlignment="1">
      <alignment horizontal="left" vertical="center"/>
    </xf>
    <xf numFmtId="0" fontId="14" fillId="30" borderId="88" xfId="22" quotePrefix="1" applyNumberFormat="1" applyFont="1" applyFill="1" applyBorder="1" applyAlignment="1">
      <alignment horizontal="left" vertical="center"/>
    </xf>
    <xf numFmtId="0" fontId="14" fillId="9" borderId="134" xfId="22" applyNumberFormat="1" applyFont="1" applyFill="1" applyBorder="1" applyAlignment="1">
      <alignment horizontal="left"/>
    </xf>
    <xf numFmtId="0" fontId="23" fillId="0" borderId="134" xfId="22" applyNumberFormat="1" applyFont="1" applyFill="1" applyBorder="1" applyAlignment="1">
      <alignment horizontal="left"/>
    </xf>
    <xf numFmtId="0" fontId="14" fillId="30" borderId="134" xfId="22" quotePrefix="1" applyNumberFormat="1" applyFont="1" applyFill="1" applyBorder="1" applyAlignment="1">
      <alignment horizontal="left" vertical="center"/>
    </xf>
    <xf numFmtId="0" fontId="14" fillId="14" borderId="31" xfId="22" applyNumberFormat="1" applyFont="1" applyFill="1" applyBorder="1" applyAlignment="1">
      <alignment horizontal="left"/>
    </xf>
    <xf numFmtId="0" fontId="14" fillId="9" borderId="31" xfId="22" applyNumberFormat="1" applyFont="1" applyFill="1" applyBorder="1" applyAlignment="1">
      <alignment horizontal="left"/>
    </xf>
    <xf numFmtId="0" fontId="23" fillId="0" borderId="189" xfId="22" applyNumberFormat="1" applyFont="1" applyFill="1" applyBorder="1" applyAlignment="1">
      <alignment horizontal="left"/>
    </xf>
    <xf numFmtId="49" fontId="14" fillId="14" borderId="127" xfId="6" applyNumberFormat="1" applyFont="1" applyFill="1" applyBorder="1" applyAlignment="1">
      <alignment vertical="center"/>
    </xf>
    <xf numFmtId="49" fontId="14" fillId="9" borderId="88" xfId="6" applyNumberFormat="1" applyFont="1" applyFill="1" applyBorder="1" applyAlignment="1"/>
    <xf numFmtId="20" fontId="14" fillId="30" borderId="88" xfId="22" applyNumberFormat="1" applyFont="1" applyFill="1" applyBorder="1" applyAlignment="1">
      <alignment horizontal="left" vertical="center"/>
    </xf>
    <xf numFmtId="49" fontId="14" fillId="9" borderId="134" xfId="6" applyNumberFormat="1" applyFont="1" applyFill="1" applyBorder="1" applyAlignment="1"/>
    <xf numFmtId="49" fontId="23" fillId="0" borderId="134" xfId="6" applyNumberFormat="1" applyFont="1" applyFill="1" applyBorder="1" applyAlignment="1"/>
    <xf numFmtId="49" fontId="14" fillId="9" borderId="134" xfId="6" applyNumberFormat="1" applyFont="1" applyFill="1" applyBorder="1"/>
    <xf numFmtId="49" fontId="14" fillId="30" borderId="134" xfId="6" applyNumberFormat="1" applyFont="1" applyFill="1" applyBorder="1" applyAlignment="1"/>
    <xf numFmtId="49" fontId="14" fillId="14" borderId="31" xfId="6" applyNumberFormat="1" applyFont="1" applyFill="1" applyBorder="1"/>
    <xf numFmtId="49" fontId="23" fillId="0" borderId="134" xfId="6" applyNumberFormat="1" applyFont="1" applyFill="1" applyBorder="1"/>
    <xf numFmtId="49" fontId="14" fillId="9" borderId="31" xfId="6" applyNumberFormat="1" applyFont="1" applyFill="1" applyBorder="1"/>
    <xf numFmtId="49" fontId="23" fillId="0" borderId="189" xfId="6" applyNumberFormat="1" applyFont="1" applyFill="1" applyBorder="1"/>
    <xf numFmtId="0" fontId="33" fillId="0" borderId="12" xfId="1" applyFont="1" applyBorder="1" applyAlignment="1"/>
    <xf numFmtId="0" fontId="33" fillId="0" borderId="6" xfId="1" applyFont="1" applyBorder="1" applyAlignment="1"/>
    <xf numFmtId="0" fontId="33" fillId="14" borderId="13" xfId="1" applyFont="1" applyFill="1" applyBorder="1" applyAlignment="1"/>
    <xf numFmtId="0" fontId="14" fillId="14" borderId="9" xfId="23" applyFont="1" applyFill="1" applyBorder="1" applyAlignment="1">
      <alignment vertical="top"/>
    </xf>
    <xf numFmtId="0" fontId="33" fillId="0" borderId="58" xfId="1" applyFont="1" applyBorder="1" applyAlignment="1"/>
    <xf numFmtId="166" fontId="14" fillId="0" borderId="114" xfId="9" applyNumberFormat="1" applyFont="1" applyFill="1" applyBorder="1" applyAlignment="1">
      <alignment horizontal="center"/>
    </xf>
    <xf numFmtId="166" fontId="14" fillId="0" borderId="86" xfId="9" applyNumberFormat="1" applyFont="1" applyFill="1" applyBorder="1" applyAlignment="1">
      <alignment horizontal="center"/>
    </xf>
    <xf numFmtId="166" fontId="14" fillId="0" borderId="8" xfId="9" applyNumberFormat="1" applyFont="1" applyFill="1" applyBorder="1" applyAlignment="1">
      <alignment horizontal="center"/>
    </xf>
    <xf numFmtId="0" fontId="23" fillId="8" borderId="16" xfId="9" applyFont="1" applyFill="1" applyBorder="1" applyAlignment="1"/>
    <xf numFmtId="0" fontId="14" fillId="6" borderId="16" xfId="9" applyFont="1" applyFill="1" applyBorder="1" applyAlignment="1"/>
    <xf numFmtId="0" fontId="14" fillId="5" borderId="16" xfId="9" applyFont="1" applyFill="1" applyBorder="1" applyAlignment="1"/>
    <xf numFmtId="170" fontId="14" fillId="0" borderId="0" xfId="13" applyNumberFormat="1" applyFont="1" applyFill="1" applyAlignment="1">
      <alignment horizontal="center"/>
    </xf>
    <xf numFmtId="0" fontId="0" fillId="0" borderId="0" xfId="13" applyFont="1" applyFill="1" applyAlignment="1">
      <alignment horizontal="right"/>
    </xf>
    <xf numFmtId="170" fontId="14" fillId="0" borderId="23" xfId="13" applyNumberFormat="1" applyFont="1" applyFill="1" applyBorder="1" applyAlignment="1"/>
    <xf numFmtId="0" fontId="14" fillId="0" borderId="23" xfId="13" applyFont="1" applyFill="1" applyBorder="1" applyAlignment="1"/>
    <xf numFmtId="0" fontId="23" fillId="0" borderId="23" xfId="13" applyFont="1" applyFill="1" applyBorder="1" applyAlignment="1">
      <alignment horizontal="center"/>
    </xf>
    <xf numFmtId="0" fontId="33" fillId="32" borderId="8" xfId="1" applyFont="1" applyFill="1" applyBorder="1" applyAlignment="1">
      <alignment vertical="top"/>
    </xf>
    <xf numFmtId="0" fontId="33" fillId="32" borderId="5" xfId="1" applyFont="1" applyFill="1" applyBorder="1" applyAlignment="1">
      <alignment vertical="top"/>
    </xf>
    <xf numFmtId="0" fontId="0" fillId="0" borderId="127" xfId="15" applyFont="1" applyFill="1" applyBorder="1" applyAlignment="1"/>
    <xf numFmtId="0" fontId="0" fillId="0" borderId="127" xfId="9" applyFont="1" applyFill="1" applyBorder="1" applyAlignment="1"/>
    <xf numFmtId="0" fontId="0" fillId="0" borderId="180" xfId="15" applyFont="1" applyFill="1" applyBorder="1" applyAlignment="1"/>
    <xf numFmtId="0" fontId="0" fillId="0" borderId="185" xfId="9" applyFont="1" applyFill="1" applyBorder="1" applyAlignment="1"/>
    <xf numFmtId="0" fontId="0" fillId="0" borderId="171" xfId="15" applyFont="1" applyFill="1" applyBorder="1" applyAlignment="1"/>
    <xf numFmtId="0" fontId="0" fillId="0" borderId="171" xfId="9" applyFont="1" applyFill="1" applyBorder="1" applyAlignment="1"/>
    <xf numFmtId="0" fontId="15" fillId="30" borderId="134" xfId="1" applyFill="1" applyBorder="1" applyAlignment="1">
      <alignment vertical="center"/>
    </xf>
    <xf numFmtId="0" fontId="23" fillId="0" borderId="189" xfId="15" applyFont="1" applyBorder="1"/>
    <xf numFmtId="0" fontId="0" fillId="0" borderId="189" xfId="6" applyFont="1" applyBorder="1"/>
    <xf numFmtId="0" fontId="0" fillId="0" borderId="189" xfId="0" applyFill="1" applyBorder="1"/>
    <xf numFmtId="0" fontId="0" fillId="0" borderId="189" xfId="0" applyBorder="1"/>
    <xf numFmtId="0" fontId="23" fillId="17" borderId="23" xfId="15" applyFont="1" applyFill="1" applyBorder="1" applyAlignment="1">
      <alignment horizontal="center"/>
    </xf>
    <xf numFmtId="0" fontId="23" fillId="29" borderId="23" xfId="15" applyFont="1" applyFill="1" applyBorder="1" applyAlignment="1">
      <alignment horizontal="center"/>
    </xf>
    <xf numFmtId="0" fontId="23" fillId="0" borderId="23" xfId="15" applyFont="1" applyFill="1" applyBorder="1" applyAlignment="1">
      <alignment horizontal="center"/>
    </xf>
    <xf numFmtId="0" fontId="28" fillId="30" borderId="16" xfId="7" quotePrefix="1" applyFont="1" applyFill="1" applyBorder="1" applyAlignment="1">
      <alignment horizontal="center"/>
    </xf>
    <xf numFmtId="0" fontId="0" fillId="8" borderId="189" xfId="6" applyFont="1" applyFill="1" applyBorder="1"/>
    <xf numFmtId="0" fontId="0" fillId="6" borderId="189" xfId="0" applyFill="1" applyBorder="1"/>
    <xf numFmtId="0" fontId="0" fillId="5" borderId="189" xfId="0" applyFill="1" applyBorder="1"/>
    <xf numFmtId="0" fontId="0" fillId="30" borderId="16" xfId="0" applyFill="1" applyBorder="1" applyAlignment="1">
      <alignment horizontal="center" vertical="center"/>
    </xf>
    <xf numFmtId="0" fontId="15" fillId="30" borderId="16" xfId="1" applyFill="1" applyBorder="1" applyAlignment="1">
      <alignment horizontal="center"/>
    </xf>
    <xf numFmtId="0" fontId="0" fillId="9" borderId="17" xfId="22" applyFont="1" applyFill="1" applyBorder="1"/>
    <xf numFmtId="0" fontId="23" fillId="0" borderId="115" xfId="23" applyFont="1" applyFill="1" applyBorder="1" applyAlignment="1">
      <alignment vertical="top"/>
    </xf>
    <xf numFmtId="0" fontId="23" fillId="0" borderId="114" xfId="23" applyFont="1" applyFill="1" applyBorder="1" applyAlignment="1">
      <alignment vertical="top"/>
    </xf>
    <xf numFmtId="0" fontId="33" fillId="9" borderId="193" xfId="1" applyFont="1" applyFill="1" applyBorder="1" applyAlignment="1"/>
    <xf numFmtId="0" fontId="14" fillId="9" borderId="154" xfId="23" applyFont="1" applyFill="1" applyBorder="1" applyAlignment="1">
      <alignment vertical="top"/>
    </xf>
    <xf numFmtId="0" fontId="33" fillId="0" borderId="158" xfId="1" applyFont="1" applyBorder="1" applyAlignment="1">
      <alignment vertical="top"/>
    </xf>
    <xf numFmtId="0" fontId="14" fillId="0" borderId="159" xfId="23" applyFont="1" applyBorder="1" applyAlignment="1">
      <alignment vertical="top"/>
    </xf>
    <xf numFmtId="0" fontId="23" fillId="0" borderId="114" xfId="1" applyFont="1" applyFill="1" applyBorder="1" applyAlignment="1"/>
    <xf numFmtId="170" fontId="23" fillId="0" borderId="0" xfId="13" applyNumberFormat="1" applyFont="1" applyFill="1" applyAlignment="1"/>
    <xf numFmtId="0" fontId="31" fillId="7" borderId="168" xfId="1" applyFont="1" applyFill="1" applyBorder="1" applyAlignment="1">
      <alignment horizontal="left"/>
    </xf>
    <xf numFmtId="0" fontId="31" fillId="7" borderId="0" xfId="15" applyFont="1" applyFill="1" applyBorder="1" applyAlignment="1"/>
    <xf numFmtId="0" fontId="33" fillId="14" borderId="152" xfId="1" applyFont="1" applyFill="1" applyBorder="1" applyAlignment="1">
      <alignment horizontal="left"/>
    </xf>
    <xf numFmtId="0" fontId="31" fillId="6" borderId="152" xfId="1" applyFont="1" applyFill="1" applyBorder="1" applyAlignment="1">
      <alignment horizontal="left"/>
    </xf>
    <xf numFmtId="0" fontId="31" fillId="6" borderId="114" xfId="1" applyFont="1" applyFill="1" applyBorder="1" applyAlignment="1">
      <alignment horizontal="left"/>
    </xf>
    <xf numFmtId="0" fontId="33" fillId="14" borderId="168" xfId="1" applyFont="1" applyFill="1" applyBorder="1" applyAlignment="1">
      <alignment horizontal="left"/>
    </xf>
    <xf numFmtId="0" fontId="31" fillId="0" borderId="17" xfId="1" applyFont="1" applyFill="1" applyBorder="1" applyAlignment="1">
      <alignment horizontal="left"/>
    </xf>
    <xf numFmtId="0" fontId="33" fillId="14" borderId="17" xfId="1" applyFont="1" applyFill="1" applyBorder="1" applyAlignment="1">
      <alignment horizontal="left"/>
    </xf>
    <xf numFmtId="0" fontId="33" fillId="8" borderId="17" xfId="1" applyFont="1" applyFill="1" applyBorder="1" applyAlignment="1">
      <alignment horizontal="left"/>
    </xf>
    <xf numFmtId="0" fontId="33" fillId="7" borderId="17" xfId="1" applyFont="1" applyFill="1" applyBorder="1" applyAlignment="1">
      <alignment horizontal="left"/>
    </xf>
    <xf numFmtId="0" fontId="31" fillId="0" borderId="170" xfId="1" applyFont="1" applyFill="1" applyBorder="1" applyAlignment="1">
      <alignment horizontal="left"/>
    </xf>
    <xf numFmtId="0" fontId="31" fillId="0" borderId="114" xfId="1" applyFont="1" applyBorder="1" applyAlignment="1"/>
    <xf numFmtId="0" fontId="14" fillId="9" borderId="88" xfId="22" applyNumberFormat="1" applyFont="1" applyFill="1" applyBorder="1" applyAlignment="1">
      <alignment horizontal="left" vertical="center"/>
    </xf>
    <xf numFmtId="0" fontId="14" fillId="23" borderId="88" xfId="0" applyNumberFormat="1" applyFont="1" applyFill="1" applyBorder="1" applyAlignment="1">
      <alignment horizontal="center" vertical="center"/>
    </xf>
    <xf numFmtId="0" fontId="12" fillId="6" borderId="1" xfId="23" applyFont="1" applyFill="1" applyBorder="1" applyAlignment="1">
      <alignment vertical="top"/>
    </xf>
    <xf numFmtId="0" fontId="12" fillId="6" borderId="2" xfId="23" applyFont="1" applyFill="1" applyBorder="1" applyAlignment="1">
      <alignment vertical="top"/>
    </xf>
    <xf numFmtId="0" fontId="0" fillId="0" borderId="0" xfId="13" applyFont="1" applyFill="1" applyAlignment="1">
      <alignment horizontal="center" textRotation="90"/>
    </xf>
    <xf numFmtId="0" fontId="14" fillId="0" borderId="0" xfId="13" applyFont="1" applyFill="1" applyBorder="1" applyAlignment="1">
      <alignment textRotation="90"/>
    </xf>
    <xf numFmtId="0" fontId="14" fillId="0" borderId="0" xfId="13" applyFont="1" applyFill="1" applyAlignment="1">
      <alignment textRotation="90"/>
    </xf>
    <xf numFmtId="0" fontId="0" fillId="0" borderId="23" xfId="13" applyFont="1" applyFill="1" applyBorder="1" applyAlignment="1">
      <alignment horizontal="center" textRotation="90" wrapText="1"/>
    </xf>
    <xf numFmtId="0" fontId="14" fillId="0" borderId="23" xfId="13" applyFont="1" applyFill="1" applyBorder="1" applyAlignment="1">
      <alignment horizontal="center" textRotation="90" wrapText="1"/>
    </xf>
    <xf numFmtId="0" fontId="23" fillId="0" borderId="31" xfId="23" applyFont="1" applyBorder="1" applyAlignment="1">
      <alignment vertical="center"/>
    </xf>
    <xf numFmtId="0" fontId="23" fillId="0" borderId="30" xfId="23" applyFont="1" applyBorder="1" applyAlignment="1">
      <alignment vertical="center"/>
    </xf>
    <xf numFmtId="0" fontId="14" fillId="0" borderId="31" xfId="23" applyFont="1" applyBorder="1" applyAlignment="1">
      <alignment vertical="center"/>
    </xf>
    <xf numFmtId="0" fontId="14" fillId="0" borderId="30" xfId="23" applyFont="1" applyBorder="1" applyAlignment="1">
      <alignment vertical="center"/>
    </xf>
    <xf numFmtId="0" fontId="14" fillId="13" borderId="31" xfId="23" applyFont="1" applyFill="1" applyBorder="1" applyAlignment="1">
      <alignment horizontal="center"/>
    </xf>
    <xf numFmtId="0" fontId="14" fillId="13" borderId="30" xfId="23" applyFont="1" applyFill="1" applyBorder="1" applyAlignment="1">
      <alignment horizontal="center"/>
    </xf>
    <xf numFmtId="49" fontId="14" fillId="0" borderId="31" xfId="15" applyNumberFormat="1" applyFont="1" applyBorder="1" applyAlignment="1">
      <alignment horizontal="center" vertical="center"/>
    </xf>
    <xf numFmtId="49" fontId="14" fillId="0" borderId="30" xfId="15" applyNumberFormat="1" applyFont="1" applyBorder="1" applyAlignment="1">
      <alignment horizontal="center" vertical="center"/>
    </xf>
    <xf numFmtId="0" fontId="14" fillId="0" borderId="31" xfId="15" applyFont="1" applyBorder="1" applyAlignment="1">
      <alignment horizontal="center" vertical="center"/>
    </xf>
    <xf numFmtId="0" fontId="14" fillId="0" borderId="30" xfId="15" applyFont="1" applyBorder="1" applyAlignment="1">
      <alignment horizontal="center" vertical="center"/>
    </xf>
    <xf numFmtId="0" fontId="0" fillId="0" borderId="31" xfId="23" applyFont="1" applyBorder="1" applyAlignment="1">
      <alignment vertical="center"/>
    </xf>
    <xf numFmtId="49" fontId="0" fillId="0" borderId="31" xfId="15" applyNumberFormat="1" applyFont="1" applyBorder="1" applyAlignment="1">
      <alignment horizontal="center" vertical="center"/>
    </xf>
    <xf numFmtId="0" fontId="0" fillId="0" borderId="31" xfId="15" applyFont="1" applyBorder="1" applyAlignment="1">
      <alignment horizontal="center" vertical="center"/>
    </xf>
    <xf numFmtId="0" fontId="14" fillId="0" borderId="0" xfId="9" applyFont="1" applyFill="1" applyBorder="1" applyAlignment="1">
      <alignment textRotation="90"/>
    </xf>
    <xf numFmtId="0" fontId="14" fillId="0" borderId="0" xfId="9" applyFont="1" applyFill="1" applyAlignment="1">
      <alignment textRotation="90"/>
    </xf>
    <xf numFmtId="0" fontId="62" fillId="0" borderId="172" xfId="9" applyFont="1" applyBorder="1" applyAlignment="1">
      <alignment vertical="top" wrapText="1"/>
    </xf>
    <xf numFmtId="0" fontId="62" fillId="0" borderId="173" xfId="9" applyFont="1" applyBorder="1" applyAlignment="1">
      <alignment vertical="top" wrapText="1"/>
    </xf>
    <xf numFmtId="0" fontId="62" fillId="0" borderId="174" xfId="9" applyFont="1" applyBorder="1" applyAlignment="1">
      <alignment vertical="top" wrapText="1"/>
    </xf>
  </cellXfs>
  <cellStyles count="33">
    <cellStyle name="Hyperlink" xfId="1" builtinId="8"/>
    <cellStyle name="Hyperlink 2" xfId="2"/>
    <cellStyle name="Hyperlink 2 2" xfId="3"/>
    <cellStyle name="Hyperlink 3" xfId="4"/>
    <cellStyle name="Hyperlink 3 2" xfId="5"/>
    <cellStyle name="Normal" xfId="0" builtinId="0"/>
    <cellStyle name="Normal 2" xfId="6"/>
    <cellStyle name="Normal 2 2" xfId="7"/>
    <cellStyle name="Normal 2 2 2" xfId="8"/>
    <cellStyle name="Normal 2 2 2 2" xfId="9"/>
    <cellStyle name="Normal 2 2 3" xfId="10"/>
    <cellStyle name="Normal 2 2 4" xfId="11"/>
    <cellStyle name="Normal 2 3" xfId="12"/>
    <cellStyle name="Normal 2 3 2" xfId="13"/>
    <cellStyle name="Normal 2 4" xfId="14"/>
    <cellStyle name="Normal 2 5" xfId="15"/>
    <cellStyle name="Normal 3" xfId="16"/>
    <cellStyle name="Normal 3 2" xfId="17"/>
    <cellStyle name="Normal 3 3" xfId="18"/>
    <cellStyle name="Normal 3 4" xfId="19"/>
    <cellStyle name="Normal 4" xfId="20"/>
    <cellStyle name="Normal 4 2" xfId="21"/>
    <cellStyle name="Normal 4 3" xfId="22"/>
    <cellStyle name="Normal 5" xfId="23"/>
    <cellStyle name="Normal 6" xfId="24"/>
    <cellStyle name="Normal 6 2" xfId="25"/>
    <cellStyle name="Normal 6 2 2" xfId="26"/>
    <cellStyle name="Normal 6 3" xfId="27"/>
    <cellStyle name="Normal 6 4" xfId="28"/>
    <cellStyle name="Normal 7" xfId="29"/>
    <cellStyle name="Normal 8" xfId="30"/>
    <cellStyle name="Normal 9" xfId="31"/>
    <cellStyle name="WinCalendar_BlankCells_35" xfId="32"/>
  </cellStyles>
  <dxfs count="2213"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none">
          <bgColor auto="1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color rgb="FFFF0000"/>
      </font>
    </dxf>
    <dxf>
      <font>
        <color rgb="FF00B050"/>
      </font>
    </dxf>
    <dxf>
      <font>
        <b/>
        <i val="0"/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color rgb="FFFF0000"/>
      </font>
    </dxf>
    <dxf>
      <font>
        <color rgb="FF00B050"/>
      </font>
    </dxf>
    <dxf>
      <font>
        <b/>
        <i val="0"/>
        <color rgb="FFFF000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color rgb="FFFF0000"/>
      </font>
    </dxf>
    <dxf>
      <font>
        <color rgb="FF00B050"/>
      </font>
    </dxf>
    <dxf>
      <font>
        <b/>
        <i val="0"/>
        <color rgb="FFFF000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color theme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color rgb="FFFF0000"/>
      </font>
    </dxf>
    <dxf>
      <font>
        <color rgb="FF00B050"/>
      </font>
    </dxf>
    <dxf>
      <font>
        <b/>
        <i val="0"/>
        <color rgb="FFFF000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color rgb="FFFF0000"/>
      </font>
    </dxf>
    <dxf>
      <font>
        <color rgb="FF00B050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none">
          <bgColor auto="1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color rgb="FFFF0000"/>
      </font>
    </dxf>
    <dxf>
      <font>
        <color rgb="FF00B050"/>
      </font>
    </dxf>
    <dxf>
      <font>
        <b/>
        <i val="0"/>
        <color rgb="FFFF000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none">
          <bgColor auto="1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color rgb="FFFF0000"/>
      </font>
    </dxf>
    <dxf>
      <font>
        <color rgb="FF00B050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none">
          <bgColor auto="1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color rgb="FFFF0000"/>
      </font>
    </dxf>
    <dxf>
      <font>
        <color rgb="FF00B050"/>
      </font>
    </dxf>
    <dxf>
      <font>
        <b/>
        <i val="0"/>
        <color rgb="FFFF000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color rgb="FFFF0000"/>
      </font>
    </dxf>
    <dxf>
      <font>
        <color rgb="FF00B050"/>
      </font>
    </dxf>
    <dxf>
      <font>
        <b/>
        <i val="0"/>
        <color rgb="FFFF000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none">
          <bgColor auto="1"/>
        </patternFill>
      </fill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none">
          <bgColor auto="1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color rgb="FFFF0000"/>
      </font>
    </dxf>
    <dxf>
      <font>
        <color rgb="FF00B050"/>
      </font>
    </dxf>
    <dxf>
      <font>
        <b/>
        <i val="0"/>
        <color rgb="FFFF0000"/>
      </font>
    </dxf>
    <dxf>
      <font>
        <color theme="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color rgb="FFFF0000"/>
      </font>
    </dxf>
    <dxf>
      <font>
        <color rgb="FF00B050"/>
      </font>
    </dxf>
    <dxf>
      <font>
        <b/>
        <i val="0"/>
        <color rgb="FFFF000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color rgb="FFFF0000"/>
      </font>
    </dxf>
    <dxf>
      <font>
        <color rgb="FF00B050"/>
      </font>
    </dxf>
    <dxf>
      <font>
        <b/>
        <i val="0"/>
        <color rgb="FFFF000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rgb="FF00B050"/>
      </font>
    </dxf>
    <dxf>
      <font>
        <b/>
        <i val="0"/>
        <color rgb="FFFF000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none">
          <bgColor auto="1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rgb="FFFFCC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rgb="FFFFCC99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rgb="FFFFCC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rgb="FFFFCC99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rgb="FFFFCC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rgb="FFFFCC99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ill>
        <patternFill>
          <bgColor rgb="FFCCFFCC"/>
        </patternFill>
      </fill>
    </dxf>
    <dxf>
      <font>
        <color rgb="FFCC0000"/>
      </font>
    </dxf>
    <dxf>
      <font>
        <b/>
        <i val="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rgb="FFFFCC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rgb="FFFFCC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rgb="FFFFCC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rgb="FFFFCC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rgb="FFFFCC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rgb="FFFFCC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rgb="FFFFCC99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rgb="FFFFCC99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theme="5" tint="0.39994506668294322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lor theme="9" tint="0.39994506668294322"/>
      </font>
    </dxf>
    <dxf>
      <font>
        <b/>
        <i val="0"/>
      </font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CCFFCC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theme="9" tint="0.39994506668294322"/>
      </font>
    </dxf>
    <dxf>
      <fill>
        <patternFill>
          <bgColor rgb="FFCC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 val="0"/>
      </font>
      <fill>
        <patternFill>
          <bgColor rgb="FFCCFFCC"/>
        </patternFill>
      </fill>
    </dxf>
    <dxf>
      <font>
        <b val="0"/>
        <i val="0"/>
      </font>
      <fill>
        <patternFill>
          <bgColor rgb="FFCCFFCC"/>
        </patternFill>
      </fill>
    </dxf>
    <dxf>
      <font>
        <b val="0"/>
        <i val="0"/>
      </font>
      <fill>
        <patternFill>
          <bgColor rgb="FFCCFFCC"/>
        </patternFill>
      </fill>
    </dxf>
    <dxf>
      <font>
        <b val="0"/>
        <i val="0"/>
      </font>
      <fill>
        <patternFill>
          <bgColor rgb="FFCCFFCC"/>
        </patternFill>
      </fill>
    </dxf>
    <dxf>
      <font>
        <b/>
        <i val="0"/>
      </font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ont>
        <b/>
        <i val="0"/>
      </font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ont>
        <b/>
        <i val="0"/>
      </font>
    </dxf>
    <dxf>
      <font>
        <b val="0"/>
        <i val="0"/>
      </font>
      <fill>
        <patternFill>
          <bgColor rgb="FFCCFFCC"/>
        </patternFill>
      </fill>
    </dxf>
    <dxf>
      <font>
        <b val="0"/>
        <i val="0"/>
      </font>
      <fill>
        <patternFill>
          <bgColor rgb="FFCCFFCC"/>
        </patternFill>
      </fill>
    </dxf>
    <dxf>
      <font>
        <b val="0"/>
        <i val="0"/>
      </font>
      <fill>
        <patternFill>
          <bgColor rgb="FFCCFFCC"/>
        </patternFill>
      </fill>
    </dxf>
    <dxf>
      <font>
        <b val="0"/>
        <i val="0"/>
      </font>
      <fill>
        <patternFill>
          <bgColor rgb="FFCCFFCC"/>
        </patternFill>
      </fill>
    </dxf>
    <dxf>
      <font>
        <b/>
        <i val="0"/>
      </font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ont>
        <b/>
        <i val="0"/>
      </font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theme="0" tint="-0.14996795556505021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theme="0" tint="-0.14996795556505021"/>
      </font>
    </dxf>
    <dxf>
      <font>
        <b/>
        <i val="0"/>
      </font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00B050"/>
      </font>
    </dxf>
    <dxf>
      <font>
        <b/>
        <i val="0"/>
      </font>
    </dxf>
    <dxf>
      <font>
        <b val="0"/>
        <i val="0"/>
      </font>
      <fill>
        <patternFill>
          <bgColor rgb="FFCCFFCC"/>
        </patternFill>
      </fill>
    </dxf>
    <dxf>
      <font>
        <b val="0"/>
        <i val="0"/>
      </font>
      <fill>
        <patternFill>
          <bgColor rgb="FFCCFFCC"/>
        </patternFill>
      </fill>
    </dxf>
    <dxf>
      <font>
        <b val="0"/>
        <i val="0"/>
      </font>
      <fill>
        <patternFill>
          <bgColor rgb="FFCCFFCC"/>
        </patternFill>
      </fill>
    </dxf>
    <dxf>
      <font>
        <b val="0"/>
        <i val="0"/>
      </font>
      <fill>
        <patternFill>
          <bgColor rgb="FFCCFFCC"/>
        </patternFill>
      </fill>
    </dxf>
    <dxf>
      <font>
        <b/>
        <i val="0"/>
      </font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ont>
        <b/>
        <i val="0"/>
      </font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ont>
        <b/>
        <i val="0"/>
      </font>
    </dxf>
    <dxf>
      <font>
        <b val="0"/>
        <i val="0"/>
      </font>
      <fill>
        <patternFill>
          <bgColor rgb="FFCCFFCC"/>
        </patternFill>
      </fill>
    </dxf>
    <dxf>
      <font>
        <b val="0"/>
        <i val="0"/>
      </font>
      <fill>
        <patternFill>
          <bgColor rgb="FFCCFFCC"/>
        </patternFill>
      </fill>
    </dxf>
    <dxf>
      <font>
        <b val="0"/>
        <i val="0"/>
      </font>
      <fill>
        <patternFill>
          <bgColor rgb="FFCCFFCC"/>
        </patternFill>
      </fill>
    </dxf>
    <dxf>
      <font>
        <b val="0"/>
        <i val="0"/>
      </font>
      <fill>
        <patternFill>
          <bgColor rgb="FFCCFFCC"/>
        </patternFill>
      </fill>
    </dxf>
    <dxf>
      <font>
        <b/>
        <i val="0"/>
      </font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ont>
        <b/>
        <i val="0"/>
      </font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theme="0" tint="-0.14996795556505021"/>
      </font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b val="0"/>
        <i val="0"/>
      </font>
      <fill>
        <patternFill>
          <bgColor rgb="FFCCFFCC"/>
        </patternFill>
      </fill>
    </dxf>
    <dxf>
      <font>
        <b val="0"/>
        <i val="0"/>
      </font>
      <fill>
        <patternFill>
          <bgColor rgb="FFCCFFCC"/>
        </patternFill>
      </fill>
    </dxf>
    <dxf>
      <font>
        <b val="0"/>
        <i val="0"/>
      </font>
      <fill>
        <patternFill>
          <bgColor rgb="FFCCFFCC"/>
        </patternFill>
      </fill>
    </dxf>
    <dxf>
      <font>
        <b val="0"/>
        <i val="0"/>
      </font>
      <fill>
        <patternFill>
          <bgColor rgb="FFCCFFCC"/>
        </patternFill>
      </fill>
    </dxf>
    <dxf>
      <font>
        <b/>
        <i val="0"/>
      </font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ont>
        <b/>
        <i val="0"/>
      </font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ont>
        <b/>
        <i val="0"/>
      </font>
    </dxf>
    <dxf>
      <font>
        <b val="0"/>
        <i val="0"/>
      </font>
      <fill>
        <patternFill>
          <bgColor rgb="FFCCFFCC"/>
        </patternFill>
      </fill>
    </dxf>
    <dxf>
      <font>
        <b val="0"/>
        <i val="0"/>
      </font>
      <fill>
        <patternFill>
          <bgColor rgb="FFCCFFCC"/>
        </patternFill>
      </fill>
    </dxf>
    <dxf>
      <font>
        <b val="0"/>
        <i val="0"/>
      </font>
      <fill>
        <patternFill>
          <bgColor rgb="FFCCFFCC"/>
        </patternFill>
      </fill>
    </dxf>
    <dxf>
      <font>
        <b val="0"/>
        <i val="0"/>
      </font>
      <fill>
        <patternFill>
          <bgColor rgb="FFCCFFCC"/>
        </patternFill>
      </fill>
    </dxf>
    <dxf>
      <font>
        <b/>
        <i val="0"/>
      </font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ont>
        <b/>
        <i val="0"/>
      </font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ont>
        <b/>
        <i val="0"/>
      </font>
    </dxf>
    <dxf>
      <font>
        <b val="0"/>
        <i val="0"/>
      </font>
      <fill>
        <patternFill>
          <bgColor rgb="FFCCFFCC"/>
        </patternFill>
      </fill>
    </dxf>
    <dxf>
      <font>
        <b val="0"/>
        <i val="0"/>
      </font>
      <fill>
        <patternFill>
          <bgColor rgb="FFCCFFCC"/>
        </patternFill>
      </fill>
    </dxf>
    <dxf>
      <font>
        <b val="0"/>
        <i val="0"/>
      </font>
      <fill>
        <patternFill>
          <bgColor rgb="FFCCFFCC"/>
        </patternFill>
      </fill>
    </dxf>
    <dxf>
      <font>
        <b val="0"/>
        <i val="0"/>
      </font>
      <fill>
        <patternFill>
          <bgColor rgb="FFCCFFCC"/>
        </patternFill>
      </fill>
    </dxf>
    <dxf>
      <font>
        <b/>
        <i val="0"/>
      </font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ont>
        <b/>
        <i val="0"/>
      </font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theme="0" tint="-0.14996795556505021"/>
      </font>
    </dxf>
    <dxf>
      <font>
        <b/>
        <i val="0"/>
      </font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font>
        <b/>
        <i val="0"/>
      </font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font>
        <b/>
        <i val="0"/>
      </font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b val="0"/>
        <i val="0"/>
      </font>
      <fill>
        <patternFill>
          <bgColor rgb="FFCCFFCC"/>
        </patternFill>
      </fill>
    </dxf>
    <dxf>
      <font>
        <b val="0"/>
        <i val="0"/>
      </font>
      <fill>
        <patternFill>
          <bgColor rgb="FFCCFFCC"/>
        </patternFill>
      </fill>
    </dxf>
    <dxf>
      <font>
        <b val="0"/>
        <i val="0"/>
      </font>
      <fill>
        <patternFill>
          <bgColor rgb="FFCCFFCC"/>
        </patternFill>
      </fill>
    </dxf>
    <dxf>
      <font>
        <b val="0"/>
        <i val="0"/>
      </font>
      <fill>
        <patternFill>
          <bgColor rgb="FFCCFFCC"/>
        </patternFill>
      </fill>
    </dxf>
    <dxf>
      <font>
        <b/>
        <i val="0"/>
      </font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ont>
        <b/>
        <i val="0"/>
      </font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ont>
        <b/>
        <i val="0"/>
      </font>
    </dxf>
    <dxf>
      <font>
        <b val="0"/>
        <i val="0"/>
      </font>
      <fill>
        <patternFill>
          <bgColor rgb="FFCCFFCC"/>
        </patternFill>
      </fill>
    </dxf>
    <dxf>
      <font>
        <b val="0"/>
        <i val="0"/>
      </font>
      <fill>
        <patternFill>
          <bgColor rgb="FFCCFFCC"/>
        </patternFill>
      </fill>
    </dxf>
    <dxf>
      <font>
        <b val="0"/>
        <i val="0"/>
      </font>
      <fill>
        <patternFill>
          <bgColor rgb="FFCCFFCC"/>
        </patternFill>
      </fill>
    </dxf>
    <dxf>
      <font>
        <b val="0"/>
        <i val="0"/>
      </font>
      <fill>
        <patternFill>
          <bgColor rgb="FFCCFFCC"/>
        </patternFill>
      </fill>
    </dxf>
    <dxf>
      <font>
        <b/>
        <i val="0"/>
      </font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ont>
        <b/>
        <i val="0"/>
      </font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theme="0" tint="-0.14996795556505021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theme="0" tint="-0.14996795556505021"/>
      </font>
    </dxf>
    <dxf>
      <font>
        <b/>
        <i val="0"/>
      </font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CCFF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0.39994506668294322"/>
      </font>
    </dxf>
    <dxf>
      <font>
        <color theme="9" tint="0.39994506668294322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strike/>
        <color rgb="FF00B0F0"/>
      </font>
    </dxf>
    <dxf>
      <font>
        <strike/>
        <color rgb="FF00B0F0"/>
      </font>
    </dxf>
    <dxf>
      <font>
        <color rgb="FFCC0000"/>
      </font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CC99"/>
      <color rgb="FFFFFF99"/>
      <color rgb="FFCCFFCC"/>
      <color rgb="FFCCECFF"/>
      <color rgb="FF99FF99"/>
      <color rgb="FFCC0000"/>
      <color rgb="FFE5FFE5"/>
      <color rgb="FFCC0066"/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png"/><Relationship Id="rId3" Type="http://schemas.openxmlformats.org/officeDocument/2006/relationships/image" Target="../media/image7.png"/><Relationship Id="rId7" Type="http://schemas.openxmlformats.org/officeDocument/2006/relationships/image" Target="../media/image10.gif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6" Type="http://schemas.openxmlformats.org/officeDocument/2006/relationships/image" Target="../media/image1.png"/><Relationship Id="rId5" Type="http://schemas.openxmlformats.org/officeDocument/2006/relationships/image" Target="../media/image9.png"/><Relationship Id="rId4" Type="http://schemas.openxmlformats.org/officeDocument/2006/relationships/image" Target="../media/image8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png"/><Relationship Id="rId1" Type="http://schemas.openxmlformats.org/officeDocument/2006/relationships/image" Target="../media/image17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1924050</xdr:colOff>
      <xdr:row>30</xdr:row>
      <xdr:rowOff>142875</xdr:rowOff>
    </xdr:from>
    <xdr:to>
      <xdr:col>2</xdr:col>
      <xdr:colOff>2091217</xdr:colOff>
      <xdr:row>32</xdr:row>
      <xdr:rowOff>34671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33725" y="4838700"/>
          <a:ext cx="167167" cy="215646"/>
        </a:xfrm>
        <a:prstGeom prst="rect">
          <a:avLst/>
        </a:prstGeom>
      </xdr:spPr>
    </xdr:pic>
    <xdr:clientData/>
  </xdr:twoCellAnchor>
  <xdr:twoCellAnchor editAs="oneCell">
    <xdr:from>
      <xdr:col>2</xdr:col>
      <xdr:colOff>1895476</xdr:colOff>
      <xdr:row>33</xdr:row>
      <xdr:rowOff>114300</xdr:rowOff>
    </xdr:from>
    <xdr:to>
      <xdr:col>3</xdr:col>
      <xdr:colOff>28576</xdr:colOff>
      <xdr:row>36</xdr:row>
      <xdr:rowOff>38100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05151" y="5295900"/>
          <a:ext cx="247650" cy="247650"/>
        </a:xfrm>
        <a:prstGeom prst="rect">
          <a:avLst/>
        </a:prstGeom>
      </xdr:spPr>
    </xdr:pic>
    <xdr:clientData/>
  </xdr:twoCellAnchor>
  <xdr:twoCellAnchor editAs="oneCell">
    <xdr:from>
      <xdr:col>2</xdr:col>
      <xdr:colOff>1456096</xdr:colOff>
      <xdr:row>40</xdr:row>
      <xdr:rowOff>133350</xdr:rowOff>
    </xdr:from>
    <xdr:to>
      <xdr:col>2</xdr:col>
      <xdr:colOff>1800226</xdr:colOff>
      <xdr:row>42</xdr:row>
      <xdr:rowOff>38101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5771" y="6286500"/>
          <a:ext cx="344130" cy="228601"/>
        </a:xfrm>
        <a:prstGeom prst="rect">
          <a:avLst/>
        </a:prstGeom>
      </xdr:spPr>
    </xdr:pic>
    <xdr:clientData/>
  </xdr:twoCellAnchor>
  <xdr:twoCellAnchor editAs="oneCell">
    <xdr:from>
      <xdr:col>2</xdr:col>
      <xdr:colOff>1390649</xdr:colOff>
      <xdr:row>15</xdr:row>
      <xdr:rowOff>9526</xdr:rowOff>
    </xdr:from>
    <xdr:to>
      <xdr:col>2</xdr:col>
      <xdr:colOff>1622489</xdr:colOff>
      <xdr:row>16</xdr:row>
      <xdr:rowOff>96001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0324" y="2438401"/>
          <a:ext cx="231840" cy="248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981075</xdr:colOff>
      <xdr:row>17</xdr:row>
      <xdr:rowOff>47625</xdr:rowOff>
    </xdr:from>
    <xdr:to>
      <xdr:col>10</xdr:col>
      <xdr:colOff>1237043</xdr:colOff>
      <xdr:row>18</xdr:row>
      <xdr:rowOff>66676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2175" y="3038475"/>
          <a:ext cx="255968" cy="171451"/>
        </a:xfrm>
        <a:prstGeom prst="rect">
          <a:avLst/>
        </a:prstGeom>
      </xdr:spPr>
    </xdr:pic>
    <xdr:clientData/>
  </xdr:twoCellAnchor>
  <xdr:oneCellAnchor>
    <xdr:from>
      <xdr:col>12</xdr:col>
      <xdr:colOff>981075</xdr:colOff>
      <xdr:row>30</xdr:row>
      <xdr:rowOff>47625</xdr:rowOff>
    </xdr:from>
    <xdr:ext cx="255968" cy="180976"/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6275" y="2886075"/>
          <a:ext cx="255968" cy="180976"/>
        </a:xfrm>
        <a:prstGeom prst="rect">
          <a:avLst/>
        </a:prstGeom>
      </xdr:spPr>
    </xdr:pic>
    <xdr:clientData/>
  </xdr:oneCellAnchor>
  <xdr:twoCellAnchor editAs="oneCell">
    <xdr:from>
      <xdr:col>10</xdr:col>
      <xdr:colOff>985764</xdr:colOff>
      <xdr:row>46</xdr:row>
      <xdr:rowOff>47625</xdr:rowOff>
    </xdr:from>
    <xdr:to>
      <xdr:col>10</xdr:col>
      <xdr:colOff>1241732</xdr:colOff>
      <xdr:row>47</xdr:row>
      <xdr:rowOff>57151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0964" y="12944475"/>
          <a:ext cx="255968" cy="171451"/>
        </a:xfrm>
        <a:prstGeom prst="rect">
          <a:avLst/>
        </a:prstGeom>
      </xdr:spPr>
    </xdr:pic>
    <xdr:clientData/>
  </xdr:twoCellAnchor>
  <xdr:oneCellAnchor>
    <xdr:from>
      <xdr:col>12</xdr:col>
      <xdr:colOff>981075</xdr:colOff>
      <xdr:row>71</xdr:row>
      <xdr:rowOff>47625</xdr:rowOff>
    </xdr:from>
    <xdr:ext cx="255968" cy="180976"/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6275" y="2886075"/>
          <a:ext cx="255968" cy="180976"/>
        </a:xfrm>
        <a:prstGeom prst="rect">
          <a:avLst/>
        </a:prstGeom>
      </xdr:spPr>
    </xdr:pic>
    <xdr:clientData/>
  </xdr:oneCellAnchor>
  <xdr:twoCellAnchor editAs="oneCell">
    <xdr:from>
      <xdr:col>12</xdr:col>
      <xdr:colOff>981074</xdr:colOff>
      <xdr:row>94</xdr:row>
      <xdr:rowOff>93501</xdr:rowOff>
    </xdr:from>
    <xdr:to>
      <xdr:col>12</xdr:col>
      <xdr:colOff>1257299</xdr:colOff>
      <xdr:row>96</xdr:row>
      <xdr:rowOff>77624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6899" y="15323976"/>
          <a:ext cx="276225" cy="317498"/>
        </a:xfrm>
        <a:prstGeom prst="rect">
          <a:avLst/>
        </a:prstGeom>
      </xdr:spPr>
    </xdr:pic>
    <xdr:clientData/>
  </xdr:twoCellAnchor>
  <xdr:twoCellAnchor editAs="oneCell">
    <xdr:from>
      <xdr:col>8</xdr:col>
      <xdr:colOff>19050</xdr:colOff>
      <xdr:row>28</xdr:row>
      <xdr:rowOff>0</xdr:rowOff>
    </xdr:from>
    <xdr:to>
      <xdr:col>9</xdr:col>
      <xdr:colOff>152475</xdr:colOff>
      <xdr:row>29</xdr:row>
      <xdr:rowOff>7275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86100" y="4638675"/>
          <a:ext cx="352500" cy="169200"/>
        </a:xfrm>
        <a:prstGeom prst="rect">
          <a:avLst/>
        </a:prstGeom>
      </xdr:spPr>
    </xdr:pic>
    <xdr:clientData/>
  </xdr:twoCellAnchor>
  <xdr:oneCellAnchor>
    <xdr:from>
      <xdr:col>12</xdr:col>
      <xdr:colOff>981075</xdr:colOff>
      <xdr:row>78</xdr:row>
      <xdr:rowOff>47625</xdr:rowOff>
    </xdr:from>
    <xdr:ext cx="255968" cy="180976"/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2175" y="11972925"/>
          <a:ext cx="255968" cy="180976"/>
        </a:xfrm>
        <a:prstGeom prst="rect">
          <a:avLst/>
        </a:prstGeom>
      </xdr:spPr>
    </xdr:pic>
    <xdr:clientData/>
  </xdr:oneCellAnchor>
  <xdr:twoCellAnchor editAs="oneCell">
    <xdr:from>
      <xdr:col>10</xdr:col>
      <xdr:colOff>1076325</xdr:colOff>
      <xdr:row>38</xdr:row>
      <xdr:rowOff>28575</xdr:rowOff>
    </xdr:from>
    <xdr:to>
      <xdr:col>10</xdr:col>
      <xdr:colOff>1381665</xdr:colOff>
      <xdr:row>40</xdr:row>
      <xdr:rowOff>31875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0" y="6324600"/>
          <a:ext cx="305340" cy="327150"/>
        </a:xfrm>
        <a:prstGeom prst="rect">
          <a:avLst/>
        </a:prstGeom>
      </xdr:spPr>
    </xdr:pic>
    <xdr:clientData/>
  </xdr:twoCellAnchor>
  <xdr:twoCellAnchor editAs="oneCell">
    <xdr:from>
      <xdr:col>12</xdr:col>
      <xdr:colOff>1037918</xdr:colOff>
      <xdr:row>74</xdr:row>
      <xdr:rowOff>152400</xdr:rowOff>
    </xdr:from>
    <xdr:to>
      <xdr:col>13</xdr:col>
      <xdr:colOff>10961</xdr:colOff>
      <xdr:row>76</xdr:row>
      <xdr:rowOff>152401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3293" y="11906250"/>
          <a:ext cx="487518" cy="323851"/>
        </a:xfrm>
        <a:prstGeom prst="rect">
          <a:avLst/>
        </a:prstGeom>
      </xdr:spPr>
    </xdr:pic>
    <xdr:clientData/>
  </xdr:twoCellAnchor>
  <xdr:twoCellAnchor editAs="oneCell">
    <xdr:from>
      <xdr:col>12</xdr:col>
      <xdr:colOff>1038225</xdr:colOff>
      <xdr:row>24</xdr:row>
      <xdr:rowOff>152400</xdr:rowOff>
    </xdr:from>
    <xdr:to>
      <xdr:col>13</xdr:col>
      <xdr:colOff>11268</xdr:colOff>
      <xdr:row>26</xdr:row>
      <xdr:rowOff>152401</xdr:rowOff>
    </xdr:to>
    <xdr:pic>
      <xdr:nvPicPr>
        <xdr:cNvPr id="17" name="Picture 16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3600" y="4143375"/>
          <a:ext cx="487518" cy="323851"/>
        </a:xfrm>
        <a:prstGeom prst="rect">
          <a:avLst/>
        </a:prstGeom>
      </xdr:spPr>
    </xdr:pic>
    <xdr:clientData/>
  </xdr:twoCellAnchor>
  <xdr:twoCellAnchor editAs="oneCell">
    <xdr:from>
      <xdr:col>10</xdr:col>
      <xdr:colOff>933450</xdr:colOff>
      <xdr:row>100</xdr:row>
      <xdr:rowOff>114300</xdr:rowOff>
    </xdr:from>
    <xdr:to>
      <xdr:col>10</xdr:col>
      <xdr:colOff>1420968</xdr:colOff>
      <xdr:row>102</xdr:row>
      <xdr:rowOff>114301</xdr:rowOff>
    </xdr:to>
    <xdr:pic>
      <xdr:nvPicPr>
        <xdr:cNvPr id="18" name="Picture 17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0525" y="16182975"/>
          <a:ext cx="487518" cy="323851"/>
        </a:xfrm>
        <a:prstGeom prst="rect">
          <a:avLst/>
        </a:prstGeom>
      </xdr:spPr>
    </xdr:pic>
    <xdr:clientData/>
  </xdr:twoCellAnchor>
  <xdr:twoCellAnchor editAs="oneCell">
    <xdr:from>
      <xdr:col>10</xdr:col>
      <xdr:colOff>1027222</xdr:colOff>
      <xdr:row>74</xdr:row>
      <xdr:rowOff>70390</xdr:rowOff>
    </xdr:from>
    <xdr:to>
      <xdr:col>10</xdr:col>
      <xdr:colOff>1304924</xdr:colOff>
      <xdr:row>76</xdr:row>
      <xdr:rowOff>104775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1897" y="11824240"/>
          <a:ext cx="277702" cy="358235"/>
        </a:xfrm>
        <a:prstGeom prst="rect">
          <a:avLst/>
        </a:prstGeom>
      </xdr:spPr>
    </xdr:pic>
    <xdr:clientData/>
  </xdr:twoCellAnchor>
  <xdr:twoCellAnchor editAs="oneCell">
    <xdr:from>
      <xdr:col>10</xdr:col>
      <xdr:colOff>952500</xdr:colOff>
      <xdr:row>106</xdr:row>
      <xdr:rowOff>75799</xdr:rowOff>
    </xdr:from>
    <xdr:to>
      <xdr:col>10</xdr:col>
      <xdr:colOff>1318478</xdr:colOff>
      <xdr:row>108</xdr:row>
      <xdr:rowOff>135156</xdr:rowOff>
    </xdr:to>
    <xdr:pic>
      <xdr:nvPicPr>
        <xdr:cNvPr id="21" name="Picture 20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9575" y="17135074"/>
          <a:ext cx="365978" cy="383207"/>
        </a:xfrm>
        <a:prstGeom prst="rect">
          <a:avLst/>
        </a:prstGeom>
      </xdr:spPr>
    </xdr:pic>
    <xdr:clientData/>
  </xdr:twoCellAnchor>
  <xdr:twoCellAnchor editAs="oneCell">
    <xdr:from>
      <xdr:col>10</xdr:col>
      <xdr:colOff>1400175</xdr:colOff>
      <xdr:row>84</xdr:row>
      <xdr:rowOff>28576</xdr:rowOff>
    </xdr:from>
    <xdr:to>
      <xdr:col>11</xdr:col>
      <xdr:colOff>180975</xdr:colOff>
      <xdr:row>85</xdr:row>
      <xdr:rowOff>133351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0" y="13439776"/>
          <a:ext cx="266700" cy="2667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28575</xdr:rowOff>
    </xdr:from>
    <xdr:to>
      <xdr:col>1</xdr:col>
      <xdr:colOff>161925</xdr:colOff>
      <xdr:row>2</xdr:row>
      <xdr:rowOff>147772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" y="28575"/>
          <a:ext cx="352424" cy="44304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2924175</xdr:colOff>
      <xdr:row>0</xdr:row>
      <xdr:rowOff>9525</xdr:rowOff>
    </xdr:from>
    <xdr:to>
      <xdr:col>2</xdr:col>
      <xdr:colOff>66675</xdr:colOff>
      <xdr:row>2</xdr:row>
      <xdr:rowOff>2041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0" y="9525"/>
          <a:ext cx="476250" cy="31636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2905125</xdr:colOff>
      <xdr:row>0</xdr:row>
      <xdr:rowOff>9525</xdr:rowOff>
    </xdr:from>
    <xdr:to>
      <xdr:col>1</xdr:col>
      <xdr:colOff>3381375</xdr:colOff>
      <xdr:row>2</xdr:row>
      <xdr:rowOff>2041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0" y="9525"/>
          <a:ext cx="476250" cy="31636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2800350</xdr:colOff>
      <xdr:row>0</xdr:row>
      <xdr:rowOff>9525</xdr:rowOff>
    </xdr:from>
    <xdr:to>
      <xdr:col>1</xdr:col>
      <xdr:colOff>3276600</xdr:colOff>
      <xdr:row>2</xdr:row>
      <xdr:rowOff>2041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0" y="9525"/>
          <a:ext cx="476250" cy="31636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9526</xdr:colOff>
      <xdr:row>0</xdr:row>
      <xdr:rowOff>9525</xdr:rowOff>
    </xdr:from>
    <xdr:to>
      <xdr:col>3</xdr:col>
      <xdr:colOff>162561</xdr:colOff>
      <xdr:row>1</xdr:row>
      <xdr:rowOff>152400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1" y="9525"/>
          <a:ext cx="467360" cy="3048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3</xdr:col>
      <xdr:colOff>0</xdr:colOff>
      <xdr:row>3</xdr:row>
      <xdr:rowOff>7620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9300" y="19050"/>
          <a:ext cx="400050" cy="44577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2876549</xdr:colOff>
      <xdr:row>0</xdr:row>
      <xdr:rowOff>19051</xdr:rowOff>
    </xdr:from>
    <xdr:to>
      <xdr:col>2</xdr:col>
      <xdr:colOff>32073</xdr:colOff>
      <xdr:row>2</xdr:row>
      <xdr:rowOff>5111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8024" y="19051"/>
          <a:ext cx="289249" cy="30991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2514599</xdr:colOff>
      <xdr:row>0</xdr:row>
      <xdr:rowOff>19051</xdr:rowOff>
    </xdr:from>
    <xdr:to>
      <xdr:col>2</xdr:col>
      <xdr:colOff>3498</xdr:colOff>
      <xdr:row>2</xdr:row>
      <xdr:rowOff>5111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6074" y="19051"/>
          <a:ext cx="289249" cy="309910"/>
        </a:xfrm>
        <a:prstGeom prst="rect">
          <a:avLst/>
        </a:prstGeom>
      </xdr:spPr>
    </xdr:pic>
    <xdr:clientData/>
  </xdr:twoCellAnchor>
  <xdr:twoCellAnchor editAs="oneCell">
    <xdr:from>
      <xdr:col>3</xdr:col>
      <xdr:colOff>390525</xdr:colOff>
      <xdr:row>0</xdr:row>
      <xdr:rowOff>19050</xdr:rowOff>
    </xdr:from>
    <xdr:to>
      <xdr:col>4</xdr:col>
      <xdr:colOff>213049</xdr:colOff>
      <xdr:row>2</xdr:row>
      <xdr:rowOff>5110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8025" y="19050"/>
          <a:ext cx="289249" cy="30991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352425</xdr:colOff>
      <xdr:row>0</xdr:row>
      <xdr:rowOff>19051</xdr:rowOff>
    </xdr:from>
    <xdr:to>
      <xdr:col>4</xdr:col>
      <xdr:colOff>95250</xdr:colOff>
      <xdr:row>2</xdr:row>
      <xdr:rowOff>319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9525" y="19051"/>
          <a:ext cx="295275" cy="3051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onedrive.live.com/?authkey=%21AG1i7G26nzJGUWc&amp;id=953C385171B32C29%213802&amp;cid=953C385171B32C29" TargetMode="External"/><Relationship Id="rId1" Type="http://schemas.openxmlformats.org/officeDocument/2006/relationships/hyperlink" Target="https://onedrive.live.com/?cid=953c385171b32c29&amp;id=953C385171B32C29%214048&amp;ithint=folder,&amp;authkey=!AOYh1FIv715g0AE" TargetMode="External"/><Relationship Id="rId6" Type="http://schemas.openxmlformats.org/officeDocument/2006/relationships/comments" Target="../comments2.xm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6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7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8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9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5.bin"/><Relationship Id="rId4" Type="http://schemas.openxmlformats.org/officeDocument/2006/relationships/comments" Target="../comments10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1.bin"/><Relationship Id="rId4" Type="http://schemas.openxmlformats.org/officeDocument/2006/relationships/comments" Target="../comments14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35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36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37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38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39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54"/>
  <sheetViews>
    <sheetView showGridLines="0" showRowColHeaders="0" zoomScaleNormal="100" workbookViewId="0">
      <pane ySplit="3" topLeftCell="A4" activePane="bottomLeft" state="frozen"/>
      <selection activeCell="D8" sqref="D8"/>
      <selection pane="bottomLeft" activeCell="I1" sqref="I1"/>
    </sheetView>
  </sheetViews>
  <sheetFormatPr defaultRowHeight="12.75" x14ac:dyDescent="0.2"/>
  <cols>
    <col min="1" max="1" width="12.5703125" style="82" customWidth="1"/>
    <col min="2" max="2" width="5.5703125" style="83" customWidth="1"/>
    <col min="3" max="3" width="31.7109375" style="68" customWidth="1"/>
    <col min="4" max="4" width="8.7109375" style="67" customWidth="1"/>
    <col min="5" max="5" width="7.140625" style="84" customWidth="1"/>
    <col min="6" max="6" width="14.28515625" style="67" customWidth="1"/>
    <col min="7" max="7" width="10" style="68" customWidth="1"/>
    <col min="8" max="8" width="4.5703125" style="85" bestFit="1" customWidth="1"/>
    <col min="9" max="9" width="4.7109375" style="68" customWidth="1"/>
    <col min="10" max="16384" width="9.140625" style="68"/>
  </cols>
  <sheetData>
    <row r="1" spans="1:10" x14ac:dyDescent="0.2">
      <c r="A1" s="62" t="s">
        <v>620</v>
      </c>
      <c r="B1" s="63"/>
      <c r="C1" s="64"/>
      <c r="D1" s="66"/>
      <c r="F1" s="265" t="s">
        <v>543</v>
      </c>
      <c r="G1" s="717" t="str">
        <f>HYPERLINK("","")</f>
        <v/>
      </c>
    </row>
    <row r="2" spans="1:10" x14ac:dyDescent="0.2">
      <c r="A2" s="69"/>
      <c r="B2" s="70"/>
      <c r="C2" s="64"/>
      <c r="D2" s="66"/>
      <c r="E2" s="65"/>
      <c r="F2" s="66"/>
      <c r="G2" s="64"/>
      <c r="H2" s="71"/>
      <c r="I2" s="64"/>
      <c r="J2" s="64"/>
    </row>
    <row r="3" spans="1:10" x14ac:dyDescent="0.2">
      <c r="A3" s="1019" t="s">
        <v>26</v>
      </c>
      <c r="B3" s="1020" t="s">
        <v>27</v>
      </c>
      <c r="C3" s="977" t="s">
        <v>28</v>
      </c>
      <c r="D3" s="975" t="s">
        <v>30</v>
      </c>
      <c r="E3" s="72" t="s">
        <v>29</v>
      </c>
      <c r="F3" s="975" t="s">
        <v>31</v>
      </c>
      <c r="G3" s="975" t="s">
        <v>32</v>
      </c>
      <c r="H3" s="976" t="s">
        <v>33</v>
      </c>
      <c r="I3" s="977" t="s">
        <v>527</v>
      </c>
    </row>
    <row r="4" spans="1:10" s="74" customFormat="1" x14ac:dyDescent="0.2">
      <c r="A4" s="531" t="s">
        <v>143</v>
      </c>
      <c r="B4" s="532"/>
      <c r="C4" s="75"/>
      <c r="D4" s="75"/>
      <c r="E4" s="73"/>
      <c r="F4" s="75"/>
      <c r="G4" s="75"/>
      <c r="H4" s="978"/>
      <c r="I4" s="979"/>
      <c r="J4" s="73"/>
    </row>
    <row r="5" spans="1:10" s="74" customFormat="1" x14ac:dyDescent="0.2">
      <c r="A5" s="1021" t="s">
        <v>157</v>
      </c>
      <c r="B5" s="1022" t="s">
        <v>88</v>
      </c>
      <c r="C5" s="1023" t="s">
        <v>596</v>
      </c>
      <c r="D5" s="1024" t="s">
        <v>36</v>
      </c>
      <c r="E5" s="304" t="str">
        <f>HYPERLINK("#V1!I1","V1")</f>
        <v>V1</v>
      </c>
      <c r="F5" s="980" t="str">
        <f>HYPERLINK("https://kaart.delfi.ee/?bookmark=236e0f8de3f3d8e7138807663f9b5d14","Voka petangihall")</f>
        <v>Voka petangihall</v>
      </c>
      <c r="G5" s="981" t="s">
        <v>83</v>
      </c>
      <c r="H5" s="982">
        <v>2</v>
      </c>
      <c r="I5" s="983">
        <f>V!W63</f>
        <v>21</v>
      </c>
      <c r="J5" s="73"/>
    </row>
    <row r="6" spans="1:10" s="74" customFormat="1" x14ac:dyDescent="0.2">
      <c r="A6" s="531" t="s">
        <v>146</v>
      </c>
      <c r="B6" s="532"/>
      <c r="C6" s="75"/>
      <c r="D6" s="75"/>
      <c r="E6" s="73"/>
      <c r="F6" s="75"/>
      <c r="G6" s="75"/>
      <c r="H6" s="978"/>
      <c r="I6" s="979"/>
      <c r="J6" s="73"/>
    </row>
    <row r="7" spans="1:10" s="74" customFormat="1" x14ac:dyDescent="0.2">
      <c r="A7" s="1021" t="s">
        <v>158</v>
      </c>
      <c r="B7" s="1022" t="s">
        <v>88</v>
      </c>
      <c r="C7" s="1023" t="s">
        <v>597</v>
      </c>
      <c r="D7" s="1024" t="s">
        <v>36</v>
      </c>
      <c r="E7" s="304" t="str">
        <f>HYPERLINK("#V2!J1","V2")</f>
        <v>V2</v>
      </c>
      <c r="F7" s="980" t="str">
        <f>HYPERLINK("https://kaart.delfi.ee/?bookmark=236e0f8de3f3d8e7138807663f9b5d14","Voka petangihall")</f>
        <v>Voka petangihall</v>
      </c>
      <c r="G7" s="981" t="s">
        <v>83</v>
      </c>
      <c r="H7" s="982">
        <v>2</v>
      </c>
      <c r="I7" s="983">
        <f>V!X63</f>
        <v>21</v>
      </c>
      <c r="J7" s="73"/>
    </row>
    <row r="8" spans="1:10" s="74" customFormat="1" x14ac:dyDescent="0.2">
      <c r="A8" s="1021" t="s">
        <v>159</v>
      </c>
      <c r="B8" s="1022" t="s">
        <v>88</v>
      </c>
      <c r="C8" s="1023" t="s">
        <v>598</v>
      </c>
      <c r="D8" s="1024" t="s">
        <v>36</v>
      </c>
      <c r="E8" s="304" t="str">
        <f>HYPERLINK("#V3!H1","V3")</f>
        <v>V3</v>
      </c>
      <c r="F8" s="980" t="str">
        <f>HYPERLINK("https://kaart.delfi.ee/?bookmark=236e0f8de3f3d8e7138807663f9b5d14","Voka petangihall")</f>
        <v>Voka petangihall</v>
      </c>
      <c r="G8" s="981" t="s">
        <v>83</v>
      </c>
      <c r="H8" s="982">
        <v>2</v>
      </c>
      <c r="I8" s="983">
        <f>V!Y63</f>
        <v>25</v>
      </c>
      <c r="J8" s="73"/>
    </row>
    <row r="9" spans="1:10" s="84" customFormat="1" x14ac:dyDescent="0.2">
      <c r="A9" s="1025" t="s">
        <v>150</v>
      </c>
      <c r="B9" s="1026" t="s">
        <v>88</v>
      </c>
      <c r="C9" s="1027" t="s">
        <v>63</v>
      </c>
      <c r="D9" s="1028" t="s">
        <v>37</v>
      </c>
      <c r="E9" s="781" t="str">
        <f>HYPERLINK("#1!I1","1")</f>
        <v>1</v>
      </c>
      <c r="F9" s="1436" t="str">
        <f>HYPERLINK("https://kaart.delfi.ee/?bookmark=225e5f274dc79e88e106035de3e50b2d","K-Järve petangihall")</f>
        <v>K-Järve petangihall</v>
      </c>
      <c r="G9" s="984" t="s">
        <v>34</v>
      </c>
      <c r="H9" s="985">
        <v>2</v>
      </c>
      <c r="I9" s="986">
        <f>Reit!N35</f>
        <v>24</v>
      </c>
      <c r="J9" s="65"/>
    </row>
    <row r="10" spans="1:10" s="74" customFormat="1" x14ac:dyDescent="0.2">
      <c r="A10" s="1029" t="s">
        <v>161</v>
      </c>
      <c r="B10" s="1030" t="s">
        <v>88</v>
      </c>
      <c r="C10" s="1031" t="s">
        <v>160</v>
      </c>
      <c r="D10" s="1032" t="s">
        <v>37</v>
      </c>
      <c r="E10" s="562" t="str">
        <f>HYPERLINK("#V!I1","V")</f>
        <v>V</v>
      </c>
      <c r="F10" s="987" t="str">
        <f>HYPERLINK("https://kaart.delfi.ee/?bookmark=236e0f8de3f3d8e7138807663f9b5d14","Voka petangihall")</f>
        <v>Voka petangihall</v>
      </c>
      <c r="G10" s="988" t="s">
        <v>83</v>
      </c>
      <c r="H10" s="989">
        <v>2</v>
      </c>
      <c r="I10" s="990"/>
      <c r="J10" s="73"/>
    </row>
    <row r="11" spans="1:10" s="74" customFormat="1" x14ac:dyDescent="0.2">
      <c r="A11" s="531" t="s">
        <v>147</v>
      </c>
      <c r="B11" s="533"/>
      <c r="C11" s="75"/>
      <c r="D11" s="75"/>
      <c r="E11" s="76"/>
      <c r="F11" s="75"/>
      <c r="G11" s="75"/>
      <c r="H11" s="77"/>
      <c r="I11" s="78"/>
      <c r="J11" s="73"/>
    </row>
    <row r="12" spans="1:10" s="74" customFormat="1" x14ac:dyDescent="0.2">
      <c r="A12" s="1033" t="s">
        <v>254</v>
      </c>
      <c r="B12" s="1034" t="s">
        <v>88</v>
      </c>
      <c r="C12" s="1035" t="s">
        <v>599</v>
      </c>
      <c r="D12" s="1036" t="s">
        <v>36</v>
      </c>
      <c r="E12" s="346" t="str">
        <f>HYPERLINK("#V4!L1","V4")</f>
        <v>V4</v>
      </c>
      <c r="F12" s="991" t="str">
        <f>HYPERLINK("https://kaart.delfi.ee/?bookmark=236e0f8de3f3d8e7138807663f9b5d14","Voka petangihall")</f>
        <v>Voka petangihall</v>
      </c>
      <c r="G12" s="992" t="s">
        <v>83</v>
      </c>
      <c r="H12" s="993">
        <v>2</v>
      </c>
      <c r="I12" s="994">
        <f>V!Z63</f>
        <v>18</v>
      </c>
      <c r="J12" s="73"/>
    </row>
    <row r="13" spans="1:10" s="74" customFormat="1" x14ac:dyDescent="0.2">
      <c r="A13" s="1037" t="s">
        <v>149</v>
      </c>
      <c r="B13" s="1038" t="s">
        <v>88</v>
      </c>
      <c r="C13" s="1039" t="str">
        <f>HYPERLINK("http://www.petanque.ee/index.php?id=103589&amp;cid=495","Regioonide karika 1. etapp")</f>
        <v>Regioonide karika 1. etapp</v>
      </c>
      <c r="D13" s="1040" t="s">
        <v>37</v>
      </c>
      <c r="E13" s="347" t="str">
        <f>HYPERLINK("#'R-1'!l1","R-1")</f>
        <v>R-1</v>
      </c>
      <c r="F13" s="1437" t="str">
        <f>HYPERLINK("https://kaart.delfi.ee/?bookmark=225e5f274dc79e88e106035de3e50b2d","K-Järve petangihall")</f>
        <v>K-Järve petangihall</v>
      </c>
      <c r="G13" s="995" t="s">
        <v>34</v>
      </c>
      <c r="H13" s="996">
        <v>0</v>
      </c>
      <c r="I13" s="997"/>
      <c r="J13" s="73"/>
    </row>
    <row r="14" spans="1:10" s="74" customFormat="1" x14ac:dyDescent="0.2">
      <c r="A14" s="1033" t="s">
        <v>255</v>
      </c>
      <c r="B14" s="1034" t="s">
        <v>88</v>
      </c>
      <c r="C14" s="1035" t="s">
        <v>600</v>
      </c>
      <c r="D14" s="1036" t="s">
        <v>36</v>
      </c>
      <c r="E14" s="346" t="str">
        <f>HYPERLINK("#V5!H1","V5")</f>
        <v>V5</v>
      </c>
      <c r="F14" s="998" t="str">
        <f>HYPERLINK("https://kaart.delfi.ee/?bookmark=236e0f8de3f3d8e7138807663f9b5d14","Voka petangihall")</f>
        <v>Voka petangihall</v>
      </c>
      <c r="G14" s="992" t="s">
        <v>83</v>
      </c>
      <c r="H14" s="993">
        <v>2</v>
      </c>
      <c r="I14" s="994">
        <f>V!AA63</f>
        <v>23</v>
      </c>
      <c r="J14" s="73"/>
    </row>
    <row r="15" spans="1:10" s="84" customFormat="1" x14ac:dyDescent="0.2">
      <c r="A15" s="718" t="s">
        <v>151</v>
      </c>
      <c r="B15" s="1041" t="s">
        <v>88</v>
      </c>
      <c r="C15" s="1042" t="s">
        <v>35</v>
      </c>
      <c r="D15" s="703" t="s">
        <v>36</v>
      </c>
      <c r="E15" s="782" t="str">
        <f>HYPERLINK("#2!J1","2")</f>
        <v>2</v>
      </c>
      <c r="F15" s="1436" t="str">
        <f>HYPERLINK("https://kaart.delfi.ee/?bookmark=225e5f274dc79e88e106035de3e50b2d","K-Järve petangihall")</f>
        <v>K-Järve petangihall</v>
      </c>
      <c r="G15" s="999" t="s">
        <v>34</v>
      </c>
      <c r="H15" s="704">
        <v>2</v>
      </c>
      <c r="I15" s="701">
        <f>Reit!O35</f>
        <v>20</v>
      </c>
      <c r="J15" s="65"/>
    </row>
    <row r="16" spans="1:10" x14ac:dyDescent="0.2">
      <c r="A16" s="1443" t="s">
        <v>256</v>
      </c>
      <c r="B16" s="1043" t="s">
        <v>88</v>
      </c>
      <c r="C16" s="1044" t="s">
        <v>321</v>
      </c>
      <c r="D16" s="1045" t="s">
        <v>36</v>
      </c>
      <c r="E16" s="561" t="str">
        <f>HYPERLINK("#'V-jh'!H1","V-jh")</f>
        <v>V-jh</v>
      </c>
      <c r="F16" s="1000" t="str">
        <f>HYPERLINK("https://kaart.delfi.ee/?bookmark=236e0f8de3f3d8e7138807663f9b5d14","Voka petangihall")</f>
        <v>Voka petangihall</v>
      </c>
      <c r="G16" s="1001" t="s">
        <v>83</v>
      </c>
      <c r="H16" s="1002">
        <v>0</v>
      </c>
      <c r="I16" s="1003">
        <v>19</v>
      </c>
    </row>
    <row r="17" spans="1:10" x14ac:dyDescent="0.2">
      <c r="A17" s="1443"/>
      <c r="B17" s="1043" t="s">
        <v>446</v>
      </c>
      <c r="C17" s="1044" t="s">
        <v>447</v>
      </c>
      <c r="D17" s="1045" t="s">
        <v>445</v>
      </c>
      <c r="E17" s="561" t="str">
        <f>HYPERLINK("#'V-jh2'!J1","V-jh2")</f>
        <v>V-jh2</v>
      </c>
      <c r="F17" s="1000" t="str">
        <f>HYPERLINK("https://kaart.delfi.ee/?bookmark=236e0f8de3f3d8e7138807663f9b5d14","Voka petangihall")</f>
        <v>Voka petangihall</v>
      </c>
      <c r="G17" s="1001" t="s">
        <v>83</v>
      </c>
      <c r="H17" s="1002">
        <v>0</v>
      </c>
      <c r="I17" s="1003">
        <v>12</v>
      </c>
    </row>
    <row r="18" spans="1:10" s="74" customFormat="1" x14ac:dyDescent="0.2">
      <c r="A18" s="1442" t="s">
        <v>257</v>
      </c>
      <c r="B18" s="1034" t="s">
        <v>88</v>
      </c>
      <c r="C18" s="1035" t="s">
        <v>601</v>
      </c>
      <c r="D18" s="1036" t="s">
        <v>36</v>
      </c>
      <c r="E18" s="346" t="str">
        <f>HYPERLINK("#V6!H1","V6")</f>
        <v>V6</v>
      </c>
      <c r="F18" s="998" t="str">
        <f>HYPERLINK("https://kaart.delfi.ee/?bookmark=236e0f8de3f3d8e7138807663f9b5d14","Voka petangihall")</f>
        <v>Voka petangihall</v>
      </c>
      <c r="G18" s="992" t="s">
        <v>83</v>
      </c>
      <c r="H18" s="993">
        <v>2</v>
      </c>
      <c r="I18" s="994">
        <f>V!AB63</f>
        <v>28</v>
      </c>
      <c r="J18" s="73"/>
    </row>
    <row r="19" spans="1:10" s="74" customFormat="1" hidden="1" x14ac:dyDescent="0.2">
      <c r="A19" s="1442"/>
      <c r="B19" s="1043"/>
      <c r="C19" s="1044" t="s">
        <v>258</v>
      </c>
      <c r="D19" s="1045"/>
      <c r="E19" s="561"/>
      <c r="F19" s="1004" t="str">
        <f>HYPERLINK("https://kaart.delfi.ee/?bookmark=236e0f8de3f3d8e7138807663f9b5d14","Voka petangihall")</f>
        <v>Voka petangihall</v>
      </c>
      <c r="G19" s="1001" t="s">
        <v>83</v>
      </c>
      <c r="H19" s="1005"/>
      <c r="I19" s="1003"/>
      <c r="J19" s="73"/>
    </row>
    <row r="20" spans="1:10" s="74" customFormat="1" x14ac:dyDescent="0.2">
      <c r="A20" s="730" t="s">
        <v>142</v>
      </c>
      <c r="B20" s="533"/>
      <c r="C20" s="75"/>
      <c r="D20" s="75"/>
      <c r="E20" s="76"/>
      <c r="F20" s="75"/>
      <c r="G20" s="75"/>
      <c r="H20" s="77"/>
      <c r="I20" s="78"/>
      <c r="J20" s="73"/>
    </row>
    <row r="21" spans="1:10" x14ac:dyDescent="0.2">
      <c r="A21" s="1046" t="s">
        <v>388</v>
      </c>
      <c r="B21" s="1047" t="s">
        <v>123</v>
      </c>
      <c r="C21" s="1048" t="str">
        <f>HYPERLINK("http://www.petanque.ee/index.php?id=103768&amp;cid=535","Eesti sise-MV")</f>
        <v>Eesti sise-MV</v>
      </c>
      <c r="D21" s="1049" t="s">
        <v>36</v>
      </c>
      <c r="E21" s="210" t="str">
        <f>HYPERLINK("http://www.petanque.ee/index.php?id=103589&amp;cid=535","e8")</f>
        <v>e8</v>
      </c>
      <c r="F21" s="1438" t="str">
        <f>HYPERLINK("https://kaart.delfi.ee/?bookmark=225e5f274dc79e88e106035de3e50b2d","K-Järve petangihall")</f>
        <v>K-Järve petangihall</v>
      </c>
      <c r="G21" s="1006" t="s">
        <v>132</v>
      </c>
      <c r="H21" s="1007">
        <v>8</v>
      </c>
      <c r="I21" s="1008">
        <v>38</v>
      </c>
      <c r="J21" s="73"/>
    </row>
    <row r="22" spans="1:10" x14ac:dyDescent="0.2">
      <c r="A22" s="1050" t="s">
        <v>388</v>
      </c>
      <c r="B22" s="1051" t="s">
        <v>391</v>
      </c>
      <c r="C22" s="1052" t="s">
        <v>390</v>
      </c>
      <c r="D22" s="1053" t="s">
        <v>36</v>
      </c>
      <c r="E22" s="706" t="str">
        <f>HYPERLINK("#'V-se'!M1","V-se")</f>
        <v>V-se</v>
      </c>
      <c r="F22" s="987" t="str">
        <f>HYPERLINK("https://kaart.delfi.ee/?bookmark=236e0f8de3f3d8e7138807663f9b5d14","Voka petangihall")</f>
        <v>Voka petangihall</v>
      </c>
      <c r="G22" s="1009" t="s">
        <v>83</v>
      </c>
      <c r="H22" s="1010">
        <v>2</v>
      </c>
      <c r="I22" s="1011"/>
      <c r="J22" s="73"/>
    </row>
    <row r="23" spans="1:10" x14ac:dyDescent="0.2">
      <c r="A23" s="1046" t="s">
        <v>389</v>
      </c>
      <c r="B23" s="1047" t="s">
        <v>123</v>
      </c>
      <c r="C23" s="1054" t="str">
        <f>HYPERLINK("http://www.petanque.ee/index.php?id=103768&amp;cid=536","Eesti reiting")</f>
        <v>Eesti reiting</v>
      </c>
      <c r="D23" s="1049" t="s">
        <v>37</v>
      </c>
      <c r="E23" s="210" t="str">
        <f>HYPERLINK("http://www.petanque.ee/index.php?id=103589&amp;cid=536","e9")</f>
        <v>e9</v>
      </c>
      <c r="F23" s="1438" t="str">
        <f>HYPERLINK("https://kaart.delfi.ee/?bookmark=225e5f274dc79e88e106035de3e50b2d","K-Järve petangihall")</f>
        <v>K-Järve petangihall</v>
      </c>
      <c r="G23" s="1006" t="s">
        <v>132</v>
      </c>
      <c r="H23" s="1007">
        <v>8</v>
      </c>
      <c r="I23" s="1008">
        <v>39</v>
      </c>
      <c r="J23" s="73"/>
    </row>
    <row r="24" spans="1:10" x14ac:dyDescent="0.2">
      <c r="A24" s="1055" t="s">
        <v>427</v>
      </c>
      <c r="B24" s="1056" t="s">
        <v>88</v>
      </c>
      <c r="C24" s="1057" t="s">
        <v>602</v>
      </c>
      <c r="D24" s="1058" t="s">
        <v>36</v>
      </c>
      <c r="E24" s="707" t="str">
        <f>HYPERLINK("#V7!H1","V7")</f>
        <v>V7</v>
      </c>
      <c r="F24" s="980" t="str">
        <f>HYPERLINK("https://kaart.delfi.ee/?bookmark=236e0f8de3f3d8e7138807663f9b5d14","Voka petangihall")</f>
        <v>Voka petangihall</v>
      </c>
      <c r="G24" s="1012" t="s">
        <v>83</v>
      </c>
      <c r="H24" s="1013">
        <v>2</v>
      </c>
      <c r="I24" s="1014">
        <f>V!AC63</f>
        <v>20</v>
      </c>
      <c r="J24" s="73"/>
    </row>
    <row r="25" spans="1:10" x14ac:dyDescent="0.2">
      <c r="A25" s="1059" t="s">
        <v>152</v>
      </c>
      <c r="B25" s="1060" t="s">
        <v>88</v>
      </c>
      <c r="C25" s="1061" t="s">
        <v>38</v>
      </c>
      <c r="D25" s="1062" t="s">
        <v>37</v>
      </c>
      <c r="E25" s="783" t="str">
        <f>HYPERLINK("#3!J1","3")</f>
        <v>3</v>
      </c>
      <c r="F25" s="1436" t="str">
        <f>HYPERLINK("https://kaart.delfi.ee/?bookmark=225e5f274dc79e88e106035de3e50b2d","K-Järve petangihall")</f>
        <v>K-Järve petangihall</v>
      </c>
      <c r="G25" s="1015" t="s">
        <v>34</v>
      </c>
      <c r="H25" s="1016">
        <v>2</v>
      </c>
      <c r="I25" s="1017">
        <f>Reit!P35</f>
        <v>21</v>
      </c>
      <c r="J25" s="73"/>
    </row>
    <row r="26" spans="1:10" x14ac:dyDescent="0.2">
      <c r="A26" s="1055" t="s">
        <v>428</v>
      </c>
      <c r="B26" s="1056" t="s">
        <v>88</v>
      </c>
      <c r="C26" s="1057" t="s">
        <v>603</v>
      </c>
      <c r="D26" s="1058" t="s">
        <v>36</v>
      </c>
      <c r="E26" s="707" t="str">
        <f>HYPERLINK("#V8!H1","V8")</f>
        <v>V8</v>
      </c>
      <c r="F26" s="980" t="str">
        <f>HYPERLINK("https://kaart.delfi.ee/?bookmark=236e0f8de3f3d8e7138807663f9b5d14","Voka petangihall")</f>
        <v>Voka petangihall</v>
      </c>
      <c r="G26" s="1012" t="s">
        <v>83</v>
      </c>
      <c r="H26" s="1013">
        <v>2</v>
      </c>
      <c r="I26" s="1014">
        <f>V!AD63</f>
        <v>26</v>
      </c>
      <c r="J26" s="73"/>
    </row>
    <row r="27" spans="1:10" s="74" customFormat="1" x14ac:dyDescent="0.2">
      <c r="A27" s="633" t="s">
        <v>141</v>
      </c>
      <c r="B27" s="634"/>
      <c r="C27" s="635"/>
      <c r="D27" s="635"/>
      <c r="E27" s="636"/>
      <c r="F27" s="635"/>
      <c r="G27" s="635"/>
      <c r="H27" s="637"/>
      <c r="I27" s="638"/>
      <c r="J27" s="73"/>
    </row>
    <row r="28" spans="1:10" s="74" customFormat="1" x14ac:dyDescent="0.2">
      <c r="A28" s="1021" t="s">
        <v>459</v>
      </c>
      <c r="B28" s="1022" t="s">
        <v>88</v>
      </c>
      <c r="C28" s="1421" t="s">
        <v>604</v>
      </c>
      <c r="D28" s="1024" t="s">
        <v>36</v>
      </c>
      <c r="E28" s="304" t="str">
        <f>HYPERLINK("#V9!H1","V9")</f>
        <v>V9</v>
      </c>
      <c r="F28" s="980" t="str">
        <f>HYPERLINK("https://kaart.delfi.ee/?bookmark=236e0f8de3f3d8e7138807663f9b5d14","Voka petangihall")</f>
        <v>Voka petangihall</v>
      </c>
      <c r="G28" s="981" t="s">
        <v>83</v>
      </c>
      <c r="H28" s="982">
        <v>2</v>
      </c>
      <c r="I28" s="983">
        <f>V!AE63</f>
        <v>22</v>
      </c>
      <c r="J28" s="73"/>
    </row>
    <row r="29" spans="1:10" s="74" customFormat="1" x14ac:dyDescent="0.2">
      <c r="A29" s="1021" t="s">
        <v>460</v>
      </c>
      <c r="B29" s="1022" t="s">
        <v>88</v>
      </c>
      <c r="C29" s="1023" t="s">
        <v>605</v>
      </c>
      <c r="D29" s="1024" t="s">
        <v>36</v>
      </c>
      <c r="E29" s="304" t="str">
        <f>HYPERLINK("#V10!H1","V10")</f>
        <v>V10</v>
      </c>
      <c r="F29" s="980" t="str">
        <f>HYPERLINK("https://kaart.delfi.ee/?bookmark=236e0f8de3f3d8e7138807663f9b5d14","Voka petangihall")</f>
        <v>Voka petangihall</v>
      </c>
      <c r="G29" s="981" t="s">
        <v>83</v>
      </c>
      <c r="H29" s="982">
        <v>2</v>
      </c>
      <c r="I29" s="983">
        <f>V!AF63</f>
        <v>22</v>
      </c>
      <c r="J29" s="73"/>
    </row>
    <row r="30" spans="1:10" x14ac:dyDescent="0.2">
      <c r="A30" s="1025" t="s">
        <v>153</v>
      </c>
      <c r="B30" s="1063" t="s">
        <v>88</v>
      </c>
      <c r="C30" s="1064" t="s">
        <v>40</v>
      </c>
      <c r="D30" s="1028" t="s">
        <v>36</v>
      </c>
      <c r="E30" s="784" t="str">
        <f>HYPERLINK("#4!L1","4")</f>
        <v>4</v>
      </c>
      <c r="F30" s="1436" t="str">
        <f>HYPERLINK("https://kaart.delfi.ee/?bookmark=225e5f274dc79e88e106035de3e50b2d","K-Järve petangihall")</f>
        <v>K-Järve petangihall</v>
      </c>
      <c r="G30" s="1018" t="s">
        <v>34</v>
      </c>
      <c r="H30" s="985">
        <v>2</v>
      </c>
      <c r="I30" s="986">
        <f>Reit!Q35</f>
        <v>16</v>
      </c>
    </row>
    <row r="31" spans="1:10" x14ac:dyDescent="0.2">
      <c r="A31" s="1187" t="s">
        <v>576</v>
      </c>
      <c r="B31" s="731"/>
      <c r="C31" s="736" t="s">
        <v>511</v>
      </c>
      <c r="D31" s="732" t="s">
        <v>39</v>
      </c>
      <c r="E31" s="733" t="str">
        <f>HYPERLINK("#Sõ!H1","Sõ")</f>
        <v>Sõ</v>
      </c>
      <c r="F31" s="1439" t="str">
        <f>HYPERLINK("https://kaart.delfi.ee/?bookmark=225e5f274dc79e88e106035de3e50b2d","K-Järve petangihall")</f>
        <v>K-Järve petangihall</v>
      </c>
      <c r="G31" s="737" t="s">
        <v>34</v>
      </c>
      <c r="H31" s="734">
        <v>0</v>
      </c>
      <c r="I31" s="735"/>
    </row>
    <row r="32" spans="1:10" x14ac:dyDescent="0.2">
      <c r="A32" s="1363" t="s">
        <v>156</v>
      </c>
      <c r="B32" s="722" t="s">
        <v>88</v>
      </c>
      <c r="C32" s="1351" t="s">
        <v>528</v>
      </c>
      <c r="D32" s="1352" t="s">
        <v>36</v>
      </c>
      <c r="E32" s="724" t="str">
        <f>HYPERLINK("#'EV100'!M1","EV100")</f>
        <v>EV100</v>
      </c>
      <c r="F32" s="1312" t="str">
        <f>HYPERLINK("https://kaart.delfi.ee/?bookmark=236e0f8de3f3d8e7138807663f9b5d14","Voka petangihall")</f>
        <v>Voka petangihall</v>
      </c>
      <c r="G32" s="1313" t="s">
        <v>83</v>
      </c>
      <c r="H32" s="1314" t="s">
        <v>494</v>
      </c>
      <c r="I32" s="1315">
        <v>31</v>
      </c>
    </row>
    <row r="33" spans="1:10" s="74" customFormat="1" x14ac:dyDescent="0.2">
      <c r="A33" s="1364" t="s">
        <v>148</v>
      </c>
      <c r="B33" s="1372" t="s">
        <v>88</v>
      </c>
      <c r="C33" s="1353" t="s">
        <v>64</v>
      </c>
      <c r="D33" s="1354" t="s">
        <v>37</v>
      </c>
      <c r="E33" s="721" t="str">
        <f>HYPERLINK("#'R-2'!l1","R-2")</f>
        <v>R-2</v>
      </c>
      <c r="F33" s="1437" t="str">
        <f>HYPERLINK("https://kaart.delfi.ee/?bookmark=225e5f274dc79e88e106035de3e50b2d","K-Järve petangihall")</f>
        <v>K-Järve petangihall</v>
      </c>
      <c r="G33" s="1316" t="s">
        <v>34</v>
      </c>
      <c r="H33" s="1317">
        <v>0</v>
      </c>
      <c r="I33" s="1318"/>
      <c r="J33" s="73"/>
    </row>
    <row r="34" spans="1:10" s="74" customFormat="1" x14ac:dyDescent="0.2">
      <c r="A34" s="531" t="s">
        <v>140</v>
      </c>
      <c r="B34" s="533"/>
      <c r="C34" s="75"/>
      <c r="D34" s="75"/>
      <c r="E34" s="76"/>
      <c r="F34" s="75"/>
      <c r="G34" s="75"/>
      <c r="H34" s="77"/>
      <c r="I34" s="78"/>
      <c r="J34" s="68"/>
    </row>
    <row r="35" spans="1:10" s="74" customFormat="1" x14ac:dyDescent="0.2">
      <c r="A35" s="1033" t="s">
        <v>492</v>
      </c>
      <c r="B35" s="1373" t="s">
        <v>88</v>
      </c>
      <c r="C35" s="1036" t="s">
        <v>606</v>
      </c>
      <c r="D35" s="1036" t="s">
        <v>36</v>
      </c>
      <c r="E35" s="702" t="str">
        <f>HYPERLINK("#V11!I1","V11")</f>
        <v>V11</v>
      </c>
      <c r="F35" s="1319" t="str">
        <f>HYPERLINK("https://kaart.delfi.ee/?bookmark=236e0f8de3f3d8e7138807663f9b5d14","Voka petangihall")</f>
        <v>Voka petangihall</v>
      </c>
      <c r="G35" s="992" t="s">
        <v>83</v>
      </c>
      <c r="H35" s="993">
        <v>2</v>
      </c>
      <c r="I35" s="994">
        <f>V!AG63</f>
        <v>25</v>
      </c>
      <c r="J35" s="68"/>
    </row>
    <row r="36" spans="1:10" s="74" customFormat="1" ht="12.75" hidden="1" customHeight="1" x14ac:dyDescent="0.2">
      <c r="A36" s="1365" t="s">
        <v>484</v>
      </c>
      <c r="B36" s="1374">
        <v>0.45833333333333331</v>
      </c>
      <c r="C36" s="1321" t="s">
        <v>485</v>
      </c>
      <c r="D36" s="1321" t="s">
        <v>486</v>
      </c>
      <c r="E36" s="725"/>
      <c r="F36" s="1320" t="s">
        <v>425</v>
      </c>
      <c r="G36" s="1321" t="s">
        <v>488</v>
      </c>
      <c r="H36" s="1322">
        <v>20</v>
      </c>
      <c r="I36" s="1323"/>
      <c r="J36" s="68"/>
    </row>
    <row r="37" spans="1:10" s="74" customFormat="1" x14ac:dyDescent="0.2">
      <c r="A37" s="1366" t="s">
        <v>493</v>
      </c>
      <c r="B37" s="1375" t="s">
        <v>88</v>
      </c>
      <c r="C37" s="1355" t="s">
        <v>607</v>
      </c>
      <c r="D37" s="1355" t="s">
        <v>36</v>
      </c>
      <c r="E37" s="773" t="str">
        <f>HYPERLINK("#V12!M1","V12")</f>
        <v>V12</v>
      </c>
      <c r="F37" s="1324" t="str">
        <f>HYPERLINK("https://kaart.delfi.ee/?bookmark=236e0f8de3f3d8e7138807663f9b5d14","Voka petangihall")</f>
        <v>Voka petangihall</v>
      </c>
      <c r="G37" s="1325" t="s">
        <v>83</v>
      </c>
      <c r="H37" s="1326">
        <v>2</v>
      </c>
      <c r="I37" s="1327">
        <f>V!AH63</f>
        <v>32</v>
      </c>
      <c r="J37" s="68"/>
    </row>
    <row r="38" spans="1:10" s="84" customFormat="1" x14ac:dyDescent="0.2">
      <c r="A38" s="1367" t="s">
        <v>154</v>
      </c>
      <c r="B38" s="1376" t="s">
        <v>88</v>
      </c>
      <c r="C38" s="1356" t="s">
        <v>65</v>
      </c>
      <c r="D38" s="1356" t="s">
        <v>37</v>
      </c>
      <c r="E38" s="935" t="str">
        <f>HYPERLINK("#5!I1","5")</f>
        <v>5</v>
      </c>
      <c r="F38" s="1436" t="str">
        <f>HYPERLINK("https://kaart.delfi.ee/?bookmark=225e5f274dc79e88e106035de3e50b2d","K-Järve petangihall")</f>
        <v>K-Järve petangihall</v>
      </c>
      <c r="G38" s="1328" t="s">
        <v>34</v>
      </c>
      <c r="H38" s="1329">
        <v>2</v>
      </c>
      <c r="I38" s="1330">
        <f>Reit!R35</f>
        <v>18</v>
      </c>
      <c r="J38" s="68"/>
    </row>
    <row r="39" spans="1:10" s="74" customFormat="1" x14ac:dyDescent="0.2">
      <c r="A39" s="633" t="s">
        <v>139</v>
      </c>
      <c r="B39" s="634"/>
      <c r="C39" s="635"/>
      <c r="D39" s="635"/>
      <c r="E39" s="636"/>
      <c r="F39" s="635"/>
      <c r="G39" s="635"/>
      <c r="H39" s="637"/>
      <c r="I39" s="638"/>
    </row>
    <row r="40" spans="1:10" s="74" customFormat="1" x14ac:dyDescent="0.2">
      <c r="A40" s="1366" t="s">
        <v>490</v>
      </c>
      <c r="B40" s="1377" t="s">
        <v>88</v>
      </c>
      <c r="C40" s="1357" t="s">
        <v>608</v>
      </c>
      <c r="D40" s="1355" t="s">
        <v>36</v>
      </c>
      <c r="E40" s="936" t="str">
        <f>HYPERLINK("#V13!M1","V13")</f>
        <v>V13</v>
      </c>
      <c r="F40" s="1331" t="str">
        <f>HYPERLINK("https://kaart.delfi.ee/?bookmark=236e0f8de3f3d8e7138807663f9b5d14","Voka petangihall")</f>
        <v>Voka petangihall</v>
      </c>
      <c r="G40" s="1325" t="s">
        <v>83</v>
      </c>
      <c r="H40" s="1326">
        <v>2</v>
      </c>
      <c r="I40" s="1327">
        <f>V!AI63</f>
        <v>31</v>
      </c>
      <c r="J40" s="73"/>
    </row>
    <row r="41" spans="1:10" s="74" customFormat="1" ht="12.75" customHeight="1" x14ac:dyDescent="0.2">
      <c r="A41" s="1368" t="s">
        <v>487</v>
      </c>
      <c r="B41" s="1378" t="s">
        <v>544</v>
      </c>
      <c r="C41" s="1333" t="s">
        <v>545</v>
      </c>
      <c r="D41" s="1333" t="s">
        <v>541</v>
      </c>
      <c r="E41" s="1407" t="str">
        <f>HYPERLINK("#K1!J1","K1")</f>
        <v>K1</v>
      </c>
      <c r="F41" s="1332" t="str">
        <f>HYPERLINK("https://kaart.delfi.ee/?bookmark=236e0f8de3f3d8e7138807663f9b5d14","Voka petangihall")</f>
        <v>Voka petangihall</v>
      </c>
      <c r="G41" s="1333" t="s">
        <v>488</v>
      </c>
      <c r="H41" s="1334">
        <v>20</v>
      </c>
      <c r="I41" s="1335"/>
    </row>
    <row r="42" spans="1:10" x14ac:dyDescent="0.2">
      <c r="A42" s="1369" t="s">
        <v>145</v>
      </c>
      <c r="B42" s="1379" t="s">
        <v>88</v>
      </c>
      <c r="C42" s="1358" t="str">
        <f>HYPERLINK("http://www.petanque.ee/index.php?id=103768&amp;cid=548","Regioonide karika finaal")</f>
        <v>Regioonide karika finaal</v>
      </c>
      <c r="D42" s="1337" t="s">
        <v>37</v>
      </c>
      <c r="E42" s="973" t="str">
        <f>HYPERLINK("#'Reg-F'!I1","Reg-F")</f>
        <v>Reg-F</v>
      </c>
      <c r="F42" s="1336" t="str">
        <f>HYPERLINK("https://kaart.delfi.ee/?bookmark=0807568cf7d8a03cedbb545921254497","Tallinn, Algi 38")</f>
        <v>Tallinn, Algi 38</v>
      </c>
      <c r="G42" s="1337" t="s">
        <v>128</v>
      </c>
      <c r="H42" s="1338">
        <v>30</v>
      </c>
      <c r="I42" s="1339" t="str">
        <f>HYPERLINK("http://www.petanque.ee/juhendid/regioonide-karikas-2016-2017/","Juh")</f>
        <v>Juh</v>
      </c>
      <c r="J42" s="64"/>
    </row>
    <row r="43" spans="1:10" x14ac:dyDescent="0.2">
      <c r="A43" s="1367" t="s">
        <v>155</v>
      </c>
      <c r="B43" s="1380" t="s">
        <v>88</v>
      </c>
      <c r="C43" s="1359" t="s">
        <v>41</v>
      </c>
      <c r="D43" s="1356" t="s">
        <v>36</v>
      </c>
      <c r="E43" s="1191" t="str">
        <f>HYPERLINK("#6!I1","6")</f>
        <v>6</v>
      </c>
      <c r="F43" s="1440" t="str">
        <f>HYPERLINK("https://kaart.delfi.ee/?bookmark=225e5f274dc79e88e106035de3e50b2d","K-Järve petangihall")</f>
        <v>K-Järve petangihall</v>
      </c>
      <c r="G43" s="1340" t="s">
        <v>34</v>
      </c>
      <c r="H43" s="1329">
        <v>2</v>
      </c>
      <c r="I43" s="1330">
        <f>Reit!S35</f>
        <v>10</v>
      </c>
    </row>
    <row r="44" spans="1:10" s="74" customFormat="1" x14ac:dyDescent="0.2">
      <c r="A44" s="1370" t="s">
        <v>491</v>
      </c>
      <c r="B44" s="1381" t="s">
        <v>88</v>
      </c>
      <c r="C44" s="1360" t="s">
        <v>609</v>
      </c>
      <c r="D44" s="1361" t="s">
        <v>561</v>
      </c>
      <c r="E44" s="1278" t="str">
        <f>HYPERLINK("#V-Fin!I1","V-Fin")</f>
        <v>V-Fin</v>
      </c>
      <c r="F44" s="1341" t="str">
        <f>HYPERLINK("https://kaart.delfi.ee/?bookmark=236e0f8de3f3d8e7138807663f9b5d14","Voka petangihall")</f>
        <v>Voka petangihall</v>
      </c>
      <c r="G44" s="1342" t="s">
        <v>83</v>
      </c>
      <c r="H44" s="1343">
        <v>2</v>
      </c>
      <c r="I44" s="1344">
        <f>V!AM63</f>
        <v>25</v>
      </c>
      <c r="J44" s="73"/>
    </row>
    <row r="45" spans="1:10" x14ac:dyDescent="0.2">
      <c r="A45" s="1371" t="s">
        <v>162</v>
      </c>
      <c r="B45" s="1382" t="s">
        <v>88</v>
      </c>
      <c r="C45" s="1362" t="s">
        <v>539</v>
      </c>
      <c r="D45" s="1345" t="s">
        <v>163</v>
      </c>
      <c r="E45" s="1308" t="str">
        <f>HYPERLINK("#7!I1","7")</f>
        <v>7</v>
      </c>
      <c r="F45" s="1345" t="s">
        <v>135</v>
      </c>
      <c r="G45" s="1346" t="s">
        <v>34</v>
      </c>
      <c r="H45" s="1347">
        <v>2</v>
      </c>
      <c r="I45" s="1348">
        <f>Reit!T35</f>
        <v>8</v>
      </c>
      <c r="J45" s="64"/>
    </row>
    <row r="46" spans="1:10" s="74" customFormat="1" ht="12.75" customHeight="1" x14ac:dyDescent="0.2">
      <c r="A46" s="1309" t="s">
        <v>489</v>
      </c>
      <c r="B46" s="1310" t="s">
        <v>88</v>
      </c>
      <c r="C46" s="1349" t="s">
        <v>546</v>
      </c>
      <c r="D46" s="1349" t="s">
        <v>542</v>
      </c>
      <c r="E46" s="1407" t="str">
        <f>HYPERLINK("#K2!J1","K2")</f>
        <v>K2</v>
      </c>
      <c r="F46" s="1332" t="str">
        <f>HYPERLINK("https://kaart.delfi.ee/?bookmark=521b80d6ceeefbe3e5d227267242b576","K-Järve Spordihoone")</f>
        <v>K-Järve Spordihoone</v>
      </c>
      <c r="G46" s="1349" t="s">
        <v>488</v>
      </c>
      <c r="H46" s="1350" t="s">
        <v>15</v>
      </c>
      <c r="I46" s="1311"/>
    </row>
    <row r="47" spans="1:10" x14ac:dyDescent="0.2">
      <c r="A47" s="719"/>
      <c r="B47" s="70"/>
      <c r="C47" s="64"/>
      <c r="D47" s="66"/>
      <c r="E47" s="65"/>
      <c r="F47" s="66"/>
      <c r="G47" s="64"/>
      <c r="H47" s="71"/>
      <c r="I47" s="64"/>
      <c r="J47" s="64"/>
    </row>
    <row r="48" spans="1:10" s="32" customFormat="1" hidden="1" x14ac:dyDescent="0.2">
      <c r="A48" s="32" t="s">
        <v>12</v>
      </c>
      <c r="D48" s="6"/>
      <c r="F48" s="6"/>
      <c r="I48" s="7" t="str">
        <f>HYPERLINK("https://kaart.delfi.ee/?bookmark=521b80d6ceeefbe3e5d227267242b576","K-Järve petangihall Delfi kaardil")</f>
        <v>K-Järve petangihall Delfi kaardil</v>
      </c>
      <c r="J48" s="6"/>
    </row>
    <row r="49" spans="1:10" s="32" customFormat="1" x14ac:dyDescent="0.2">
      <c r="A49" s="79" t="s">
        <v>532</v>
      </c>
      <c r="B49" s="80"/>
      <c r="C49" s="80"/>
      <c r="D49" s="80"/>
      <c r="E49" s="80"/>
      <c r="F49" s="80"/>
      <c r="G49" s="80"/>
      <c r="H49" s="80"/>
      <c r="I49" s="80"/>
      <c r="J49" s="80"/>
    </row>
    <row r="50" spans="1:10" s="32" customFormat="1" x14ac:dyDescent="0.2">
      <c r="A50" s="49" t="s">
        <v>531</v>
      </c>
      <c r="B50" s="80"/>
      <c r="C50" s="80"/>
      <c r="D50" s="80"/>
      <c r="E50" s="80"/>
      <c r="F50" s="80"/>
      <c r="G50" s="80"/>
      <c r="H50" s="80"/>
      <c r="I50" s="80"/>
      <c r="J50" s="80"/>
    </row>
    <row r="51" spans="1:10" s="32" customFormat="1" x14ac:dyDescent="0.2">
      <c r="A51" s="180" t="s">
        <v>529</v>
      </c>
      <c r="B51" s="180"/>
      <c r="C51" s="180"/>
      <c r="D51" s="80"/>
      <c r="E51" s="8"/>
      <c r="F51" s="80"/>
      <c r="G51" s="80"/>
      <c r="H51" s="80"/>
      <c r="I51" s="80"/>
      <c r="J51" s="80"/>
    </row>
    <row r="52" spans="1:10" s="32" customFormat="1" x14ac:dyDescent="0.2">
      <c r="A52" s="306" t="s">
        <v>530</v>
      </c>
      <c r="B52" s="306"/>
      <c r="C52" s="306"/>
      <c r="D52" s="306"/>
      <c r="E52" s="306"/>
      <c r="J52" s="80"/>
    </row>
    <row r="53" spans="1:10" s="32" customFormat="1" x14ac:dyDescent="0.2">
      <c r="A53" s="287" t="s">
        <v>582</v>
      </c>
      <c r="B53" s="287"/>
      <c r="C53" s="287"/>
      <c r="D53" s="305"/>
      <c r="E53" s="287"/>
    </row>
    <row r="54" spans="1:10" x14ac:dyDescent="0.2">
      <c r="A54" s="81" t="s">
        <v>14</v>
      </c>
      <c r="B54" s="32"/>
      <c r="C54" s="32"/>
      <c r="D54" s="32"/>
      <c r="E54" s="32"/>
      <c r="F54" s="32"/>
      <c r="G54" s="32"/>
      <c r="H54" s="32"/>
      <c r="I54" s="32"/>
    </row>
  </sheetData>
  <sheetProtection selectLockedCells="1" selectUnlockedCells="1"/>
  <mergeCells count="2">
    <mergeCell ref="A18:A19"/>
    <mergeCell ref="A16:A17"/>
  </mergeCells>
  <conditionalFormatting sqref="I43:I45 I40 I35:I38 I28:I32 I24:I26 I22 I14:I18 I12 I7:I10 I5">
    <cfRule type="top10" dxfId="2212" priority="3" rank="1"/>
  </conditionalFormatting>
  <conditionalFormatting sqref="A31">
    <cfRule type="top10" dxfId="2211" priority="1" rank="1"/>
  </conditionalFormatting>
  <printOptions horizontalCentered="1"/>
  <pageMargins left="0.31496062992125984" right="0.31496062992125984" top="0.78740157480314965" bottom="0.39370078740157483" header="0.59055118110236227" footer="0"/>
  <pageSetup paperSize="9" firstPageNumber="0" fitToHeight="0" orientation="portrait" verticalDpi="300" r:id="rId1"/>
  <headerFooter alignWithMargins="0">
    <oddHeader>&amp;R&amp;"Arial,Regular"&amp;9Page &amp;P of &amp;N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127"/>
  <sheetViews>
    <sheetView showGridLines="0" showRowColHeaders="0" tabSelected="1" zoomScaleNormal="100" workbookViewId="0">
      <pane ySplit="3" topLeftCell="A4" activePane="bottomLeft" state="frozen"/>
      <selection activeCell="D8" sqref="D8"/>
      <selection pane="bottomLeft" activeCell="K18" sqref="K18"/>
    </sheetView>
  </sheetViews>
  <sheetFormatPr defaultRowHeight="12.75" x14ac:dyDescent="0.2"/>
  <cols>
    <col min="1" max="1" width="7.7109375" style="3" customWidth="1"/>
    <col min="2" max="2" width="3" style="3" bestFit="1" customWidth="1"/>
    <col min="3" max="3" width="6.7109375" style="3" customWidth="1"/>
    <col min="4" max="4" width="3" style="3" bestFit="1" customWidth="1"/>
    <col min="5" max="5" width="7.7109375" style="1" customWidth="1"/>
    <col min="6" max="6" width="3" style="1" bestFit="1" customWidth="1"/>
    <col min="7" max="7" width="7.5703125" style="3" customWidth="1"/>
    <col min="8" max="8" width="3" style="3" bestFit="1" customWidth="1"/>
    <col min="9" max="9" width="3.28515625" style="3" customWidth="1"/>
    <col min="10" max="10" width="3" style="3" bestFit="1" customWidth="1"/>
    <col min="11" max="11" width="22.28515625" style="3" customWidth="1"/>
    <col min="12" max="12" width="3" style="3" bestFit="1" customWidth="1"/>
    <col min="13" max="13" width="22.7109375" style="3" customWidth="1"/>
    <col min="14" max="14" width="3" style="1" bestFit="1" customWidth="1"/>
    <col min="15" max="15" width="1" style="3" bestFit="1" customWidth="1"/>
    <col min="16" max="16" width="9.140625" style="3" customWidth="1"/>
    <col min="17" max="16384" width="9.140625" style="3"/>
  </cols>
  <sheetData>
    <row r="1" spans="1:17" x14ac:dyDescent="0.2">
      <c r="A1" s="50" t="s">
        <v>619</v>
      </c>
      <c r="B1" s="1"/>
      <c r="L1" s="717" t="str">
        <f>HYPERLINK("","")</f>
        <v/>
      </c>
      <c r="M1" s="265" t="s">
        <v>543</v>
      </c>
      <c r="N1" s="872"/>
    </row>
    <row r="2" spans="1:17" ht="13.5" thickBot="1" x14ac:dyDescent="0.25">
      <c r="A2" s="125"/>
    </row>
    <row r="3" spans="1:17" ht="13.5" thickBot="1" x14ac:dyDescent="0.25">
      <c r="A3" s="810" t="s">
        <v>0</v>
      </c>
      <c r="B3" s="811"/>
      <c r="C3" s="170" t="s">
        <v>1</v>
      </c>
      <c r="D3" s="811"/>
      <c r="E3" s="810" t="s">
        <v>2</v>
      </c>
      <c r="F3" s="811"/>
      <c r="G3" s="810" t="s">
        <v>3</v>
      </c>
      <c r="H3" s="811"/>
      <c r="I3" s="1444" t="s">
        <v>4</v>
      </c>
      <c r="J3" s="1445"/>
      <c r="K3" s="810" t="s">
        <v>5</v>
      </c>
      <c r="L3" s="811"/>
      <c r="M3" s="810" t="s">
        <v>6</v>
      </c>
      <c r="N3" s="811"/>
    </row>
    <row r="4" spans="1:17" s="46" customFormat="1" ht="13.5" thickBot="1" x14ac:dyDescent="0.25">
      <c r="A4" s="247" t="s">
        <v>143</v>
      </c>
      <c r="B4" s="245"/>
      <c r="C4" s="246"/>
      <c r="D4" s="44"/>
      <c r="E4" s="45"/>
      <c r="F4" s="44"/>
      <c r="G4" s="45"/>
      <c r="H4" s="44"/>
      <c r="I4" s="44"/>
      <c r="J4" s="44"/>
      <c r="K4" s="45"/>
      <c r="L4" s="44"/>
      <c r="M4" s="45"/>
      <c r="N4" s="44"/>
    </row>
    <row r="5" spans="1:17" s="47" customFormat="1" x14ac:dyDescent="0.2">
      <c r="A5" s="288"/>
      <c r="B5" s="177">
        <v>23</v>
      </c>
      <c r="C5" s="278"/>
      <c r="D5" s="177">
        <v>24</v>
      </c>
      <c r="E5" s="278"/>
      <c r="F5" s="177">
        <v>25</v>
      </c>
      <c r="G5" s="278"/>
      <c r="H5" s="177">
        <v>26</v>
      </c>
      <c r="I5" s="289"/>
      <c r="J5" s="177">
        <v>27</v>
      </c>
      <c r="K5" s="1067" t="str">
        <f>HYPERLINK("#V1!I1","Voka 1. sise-KV 1. etapp, ")</f>
        <v xml:space="preserve">Voka 1. sise-KV 1. etapp, </v>
      </c>
      <c r="L5" s="1066">
        <v>28</v>
      </c>
      <c r="M5" s="1068" t="str">
        <f>HYPERLINK("http://www.petanque.ee/index.php?id=103589&amp;cid=549","Eesti reiting, ")</f>
        <v xml:space="preserve">Eesti reiting, </v>
      </c>
      <c r="N5" s="1069">
        <v>29</v>
      </c>
      <c r="O5" s="256"/>
    </row>
    <row r="6" spans="1:17" s="47" customFormat="1" x14ac:dyDescent="0.2">
      <c r="A6" s="290"/>
      <c r="B6" s="253"/>
      <c r="C6" s="45"/>
      <c r="D6" s="248"/>
      <c r="E6" s="45"/>
      <c r="F6" s="253"/>
      <c r="G6" s="45"/>
      <c r="H6" s="248"/>
      <c r="I6" s="252"/>
      <c r="J6" s="248"/>
      <c r="K6" s="1070" t="s">
        <v>8</v>
      </c>
      <c r="L6" s="271"/>
      <c r="M6" s="1071" t="s">
        <v>9</v>
      </c>
      <c r="N6" s="280"/>
    </row>
    <row r="7" spans="1:17" s="47" customFormat="1" ht="13.5" thickBot="1" x14ac:dyDescent="0.25">
      <c r="A7" s="291"/>
      <c r="B7" s="292"/>
      <c r="C7" s="293"/>
      <c r="D7" s="294"/>
      <c r="E7" s="293"/>
      <c r="F7" s="292"/>
      <c r="G7" s="293"/>
      <c r="H7" s="294"/>
      <c r="I7" s="295"/>
      <c r="J7" s="294"/>
      <c r="K7" s="1072" t="str">
        <f>HYPERLINK("https://kaart.delfi.ee/?bookmark=236e0f8de3f3d8e7138807663f9b5d14","Voka petangihall")</f>
        <v>Voka petangihall</v>
      </c>
      <c r="L7" s="296"/>
      <c r="M7" s="1073" t="str">
        <f>HYPERLINK("https://kaart.delfi.ee/?bookmark=0807568cf7d8a03cedbb545921254497","Tallinn, Algi 38")</f>
        <v>Tallinn, Algi 38</v>
      </c>
      <c r="N7" s="297"/>
    </row>
    <row r="8" spans="1:17" s="4" customFormat="1" ht="13.5" thickBot="1" x14ac:dyDescent="0.25">
      <c r="A8" s="850" t="s">
        <v>146</v>
      </c>
      <c r="B8" s="873"/>
      <c r="C8" s="874"/>
      <c r="D8" s="5"/>
      <c r="E8" s="875"/>
      <c r="F8" s="875"/>
      <c r="G8" s="5"/>
      <c r="H8" s="5"/>
      <c r="I8" s="5"/>
      <c r="K8" s="94"/>
      <c r="L8" s="94"/>
      <c r="M8" s="188"/>
      <c r="N8" s="95"/>
    </row>
    <row r="9" spans="1:17" s="47" customFormat="1" x14ac:dyDescent="0.2">
      <c r="A9" s="274"/>
      <c r="B9" s="275">
        <v>30</v>
      </c>
      <c r="C9" s="276"/>
      <c r="D9" s="277">
        <v>31</v>
      </c>
      <c r="E9" s="278"/>
      <c r="F9" s="275">
        <v>1</v>
      </c>
      <c r="G9" s="278"/>
      <c r="H9" s="275">
        <v>2</v>
      </c>
      <c r="I9" s="278"/>
      <c r="J9" s="275">
        <v>3</v>
      </c>
      <c r="K9" s="1067" t="str">
        <f>HYPERLINK("#V2!J1","Voka 1. sise-KV 2. etapp, ")</f>
        <v xml:space="preserve">Voka 1. sise-KV 2. etapp, </v>
      </c>
      <c r="L9" s="1074">
        <v>4</v>
      </c>
      <c r="M9" s="278"/>
      <c r="N9" s="1075">
        <v>5</v>
      </c>
    </row>
    <row r="10" spans="1:17" s="47" customFormat="1" x14ac:dyDescent="0.2">
      <c r="A10" s="279"/>
      <c r="B10" s="253"/>
      <c r="C10" s="45"/>
      <c r="D10" s="267"/>
      <c r="E10" s="45"/>
      <c r="F10" s="253"/>
      <c r="G10" s="45"/>
      <c r="H10" s="248"/>
      <c r="I10" s="252"/>
      <c r="J10" s="248"/>
      <c r="K10" s="1070" t="s">
        <v>8</v>
      </c>
      <c r="L10" s="271"/>
      <c r="M10" s="45"/>
      <c r="N10" s="280"/>
    </row>
    <row r="11" spans="1:17" s="47" customFormat="1" ht="13.5" thickBot="1" x14ac:dyDescent="0.25">
      <c r="A11" s="281"/>
      <c r="B11" s="269"/>
      <c r="C11" s="268"/>
      <c r="D11" s="270"/>
      <c r="E11" s="251"/>
      <c r="F11" s="255"/>
      <c r="G11" s="251"/>
      <c r="H11" s="249"/>
      <c r="I11" s="254"/>
      <c r="J11" s="249"/>
      <c r="K11" s="1072" t="str">
        <f>HYPERLINK("https://kaart.delfi.ee/?bookmark=236e0f8de3f3d8e7138807663f9b5d14","Voka petangihall")</f>
        <v>Voka petangihall</v>
      </c>
      <c r="L11" s="301"/>
      <c r="M11" s="251"/>
      <c r="N11" s="282"/>
    </row>
    <row r="12" spans="1:17" s="1" customFormat="1" ht="13.5" thickTop="1" x14ac:dyDescent="0.2">
      <c r="A12" s="876"/>
      <c r="B12" s="877">
        <v>6</v>
      </c>
      <c r="C12" s="847"/>
      <c r="D12" s="877">
        <v>7</v>
      </c>
      <c r="E12" s="878"/>
      <c r="F12" s="879">
        <v>8</v>
      </c>
      <c r="G12" s="880"/>
      <c r="H12" s="879">
        <v>9</v>
      </c>
      <c r="I12" s="250"/>
      <c r="J12" s="175">
        <v>10</v>
      </c>
      <c r="K12" s="1067" t="str">
        <f>HYPERLINK("#V3!H1","Voka 1. sise-KV 3. etapp, ")</f>
        <v xml:space="preserve">Voka 1. sise-KV 3. etapp, </v>
      </c>
      <c r="L12" s="1066">
        <v>11</v>
      </c>
      <c r="M12" s="250"/>
      <c r="N12" s="1076">
        <v>12</v>
      </c>
      <c r="P12" s="4"/>
      <c r="Q12" s="4"/>
    </row>
    <row r="13" spans="1:17" s="1" customFormat="1" x14ac:dyDescent="0.2">
      <c r="A13" s="876"/>
      <c r="B13" s="836"/>
      <c r="C13" s="847"/>
      <c r="D13" s="836"/>
      <c r="E13" s="881"/>
      <c r="F13" s="882"/>
      <c r="G13" s="883"/>
      <c r="H13" s="882"/>
      <c r="I13" s="45"/>
      <c r="J13" s="31"/>
      <c r="K13" s="1070" t="s">
        <v>8</v>
      </c>
      <c r="L13" s="302"/>
      <c r="M13" s="45"/>
      <c r="N13" s="283"/>
      <c r="P13" s="4"/>
      <c r="Q13" s="4"/>
    </row>
    <row r="14" spans="1:17" ht="13.5" thickBot="1" x14ac:dyDescent="0.25">
      <c r="A14" s="876"/>
      <c r="B14" s="836"/>
      <c r="C14" s="847"/>
      <c r="D14" s="836"/>
      <c r="E14" s="881"/>
      <c r="F14" s="882"/>
      <c r="G14" s="883"/>
      <c r="H14" s="882"/>
      <c r="I14" s="251"/>
      <c r="J14" s="30"/>
      <c r="K14" s="1072" t="str">
        <f>HYPERLINK("https://kaart.delfi.ee/?bookmark=236e0f8de3f3d8e7138807663f9b5d14","Voka petangihall")</f>
        <v>Voka petangihall</v>
      </c>
      <c r="L14" s="303"/>
      <c r="M14" s="251"/>
      <c r="N14" s="282"/>
      <c r="P14" s="4"/>
      <c r="Q14" s="4"/>
    </row>
    <row r="15" spans="1:17" s="1" customFormat="1" x14ac:dyDescent="0.2">
      <c r="A15" s="884"/>
      <c r="B15" s="879">
        <v>13</v>
      </c>
      <c r="C15" s="832"/>
      <c r="D15" s="879">
        <v>14</v>
      </c>
      <c r="E15" s="878"/>
      <c r="F15" s="879">
        <v>15</v>
      </c>
      <c r="G15" s="880"/>
      <c r="H15" s="879">
        <v>16</v>
      </c>
      <c r="I15" s="880"/>
      <c r="J15" s="879">
        <v>17</v>
      </c>
      <c r="K15" s="798"/>
      <c r="L15" s="902">
        <v>18</v>
      </c>
      <c r="M15" s="1077" t="str">
        <f>HYPERLINK("#1!I1","SHK KV 1. etapp, ")</f>
        <v xml:space="preserve">SHK KV 1. etapp, </v>
      </c>
      <c r="N15" s="1078">
        <v>19</v>
      </c>
      <c r="P15" s="4"/>
      <c r="Q15" s="4"/>
    </row>
    <row r="16" spans="1:17" s="1" customFormat="1" x14ac:dyDescent="0.2">
      <c r="A16" s="876"/>
      <c r="B16" s="836"/>
      <c r="C16" s="847"/>
      <c r="D16" s="882"/>
      <c r="E16" s="881"/>
      <c r="F16" s="882"/>
      <c r="G16" s="883"/>
      <c r="H16" s="882"/>
      <c r="I16" s="883"/>
      <c r="J16" s="882"/>
      <c r="K16" s="799"/>
      <c r="L16" s="1079"/>
      <c r="M16" s="1431" t="s">
        <v>9</v>
      </c>
      <c r="N16" s="284"/>
      <c r="P16" s="4"/>
      <c r="Q16" s="4"/>
    </row>
    <row r="17" spans="1:17" ht="13.5" thickBot="1" x14ac:dyDescent="0.25">
      <c r="A17" s="886"/>
      <c r="B17" s="827"/>
      <c r="C17" s="887"/>
      <c r="D17" s="827"/>
      <c r="E17" s="888"/>
      <c r="F17" s="889"/>
      <c r="G17" s="890"/>
      <c r="H17" s="889"/>
      <c r="I17" s="890"/>
      <c r="J17" s="889"/>
      <c r="K17" s="814"/>
      <c r="L17" s="1080"/>
      <c r="M17" s="1430" t="str">
        <f>HYPERLINK("https://kaart.delfi.ee/?bookmark=225e5f274dc79e88e106035de3e50b2d","K-Järve petangihall")</f>
        <v>K-Järve petangihall</v>
      </c>
      <c r="N17" s="285"/>
      <c r="P17" s="4"/>
      <c r="Q17" s="4"/>
    </row>
    <row r="18" spans="1:17" s="1" customFormat="1" x14ac:dyDescent="0.2">
      <c r="A18" s="884"/>
      <c r="B18" s="879">
        <v>20</v>
      </c>
      <c r="C18" s="832"/>
      <c r="D18" s="879">
        <v>21</v>
      </c>
      <c r="E18" s="878"/>
      <c r="F18" s="879">
        <v>22</v>
      </c>
      <c r="G18" s="878"/>
      <c r="H18" s="879">
        <v>23</v>
      </c>
      <c r="I18" s="880"/>
      <c r="J18" s="174">
        <v>24</v>
      </c>
      <c r="K18" s="1081" t="str">
        <f>HYPERLINK("http://www.petanque.ee/index.php?id=103589&amp;cid=532","Eesti sise-MV, ")</f>
        <v xml:space="preserve">Eesti sise-MV, </v>
      </c>
      <c r="L18" s="1082">
        <v>25</v>
      </c>
      <c r="M18" s="1068" t="str">
        <f>HYPERLINK("http://www.petanque.ee/index.php?id=103589&amp;cid=533","Eesti reiting, ")</f>
        <v xml:space="preserve">Eesti reiting, </v>
      </c>
      <c r="N18" s="1076">
        <v>26</v>
      </c>
      <c r="P18" s="4"/>
      <c r="Q18" s="4"/>
    </row>
    <row r="19" spans="1:17" s="1" customFormat="1" x14ac:dyDescent="0.2">
      <c r="A19" s="876"/>
      <c r="B19" s="836"/>
      <c r="C19" s="847"/>
      <c r="D19" s="836"/>
      <c r="E19" s="881"/>
      <c r="F19" s="882"/>
      <c r="G19" s="883"/>
      <c r="H19" s="882"/>
      <c r="I19" s="883"/>
      <c r="J19" s="882"/>
      <c r="K19" s="1083" t="s">
        <v>11</v>
      </c>
      <c r="L19" s="1079"/>
      <c r="M19" s="1071" t="s">
        <v>8</v>
      </c>
      <c r="N19" s="1084"/>
    </row>
    <row r="20" spans="1:17" s="1" customFormat="1" x14ac:dyDescent="0.2">
      <c r="A20" s="876"/>
      <c r="B20" s="891"/>
      <c r="C20" s="847"/>
      <c r="D20" s="891"/>
      <c r="E20" s="892"/>
      <c r="F20" s="893"/>
      <c r="G20" s="894"/>
      <c r="H20" s="893"/>
      <c r="I20" s="894"/>
      <c r="J20" s="893"/>
      <c r="K20" s="1085" t="str">
        <f>HYPERLINK("https://kaart.delfi.ee/?bookmark=0807568cf7d8a03cedbb545921254497","Tallinn, Algi 38")</f>
        <v>Tallinn, Algi 38</v>
      </c>
      <c r="L20" s="1086"/>
      <c r="M20" s="1441" t="str">
        <f>HYPERLINK("https://kaart.delfi.ee/?bookmark=0807568cf7d8a03cedbb545921254497","Tallinn, Algi 38")</f>
        <v>Tallinn, Algi 38</v>
      </c>
      <c r="N20" s="1422"/>
    </row>
    <row r="21" spans="1:17" s="1" customFormat="1" x14ac:dyDescent="0.2">
      <c r="A21" s="876"/>
      <c r="B21" s="891"/>
      <c r="C21" s="847"/>
      <c r="D21" s="891"/>
      <c r="E21" s="892"/>
      <c r="F21" s="893"/>
      <c r="G21" s="894"/>
      <c r="H21" s="893"/>
      <c r="I21" s="894"/>
      <c r="J21" s="893"/>
      <c r="K21" s="1087" t="str">
        <f>HYPERLINK("","Voka lahtine võistlus, ")</f>
        <v xml:space="preserve">Voka lahtine võistlus, </v>
      </c>
      <c r="L21" s="1088"/>
      <c r="M21" s="1423"/>
      <c r="N21" s="1422"/>
    </row>
    <row r="22" spans="1:17" s="1" customFormat="1" x14ac:dyDescent="0.2">
      <c r="A22" s="876"/>
      <c r="B22" s="891"/>
      <c r="C22" s="847"/>
      <c r="D22" s="891"/>
      <c r="E22" s="892"/>
      <c r="F22" s="893"/>
      <c r="G22" s="894"/>
      <c r="H22" s="893"/>
      <c r="I22" s="894"/>
      <c r="J22" s="893"/>
      <c r="K22" s="1089" t="s">
        <v>9</v>
      </c>
      <c r="L22" s="1090"/>
      <c r="M22" s="1091"/>
      <c r="N22" s="1084"/>
    </row>
    <row r="23" spans="1:17" ht="13.5" thickBot="1" x14ac:dyDescent="0.25">
      <c r="A23" s="895"/>
      <c r="B23" s="896"/>
      <c r="C23" s="897"/>
      <c r="D23" s="896"/>
      <c r="E23" s="898"/>
      <c r="F23" s="899"/>
      <c r="G23" s="900"/>
      <c r="H23" s="899"/>
      <c r="I23" s="900"/>
      <c r="J23" s="899"/>
      <c r="K23" s="1092" t="str">
        <f>HYPERLINK("https://kaart.delfi.ee/?bookmark=236e0f8de3f3d8e7138807663f9b5d14","Voka petangihall")</f>
        <v>Voka petangihall</v>
      </c>
      <c r="L23" s="1093"/>
      <c r="M23" s="1094"/>
      <c r="N23" s="1095"/>
    </row>
    <row r="24" spans="1:17" ht="13.5" thickBot="1" x14ac:dyDescent="0.25">
      <c r="A24" s="850" t="s">
        <v>147</v>
      </c>
      <c r="B24" s="873"/>
      <c r="C24" s="874"/>
      <c r="D24" s="14"/>
      <c r="E24" s="16"/>
      <c r="F24" s="14"/>
      <c r="G24" s="16"/>
      <c r="H24" s="13"/>
      <c r="I24" s="14"/>
      <c r="J24" s="13"/>
      <c r="K24" s="45"/>
      <c r="L24" s="44"/>
      <c r="M24" s="1096"/>
      <c r="N24" s="44"/>
    </row>
    <row r="25" spans="1:17" s="1" customFormat="1" x14ac:dyDescent="0.2">
      <c r="A25" s="820"/>
      <c r="B25" s="879">
        <v>27</v>
      </c>
      <c r="C25" s="819"/>
      <c r="D25" s="879">
        <v>28</v>
      </c>
      <c r="E25" s="820"/>
      <c r="F25" s="879">
        <v>29</v>
      </c>
      <c r="G25" s="818"/>
      <c r="H25" s="901">
        <v>30</v>
      </c>
      <c r="I25" s="834"/>
      <c r="J25" s="174">
        <v>1</v>
      </c>
      <c r="K25" s="1067" t="str">
        <f>HYPERLINK("#V4!L1","Voka 1. sise-KV 4. etapp, ")</f>
        <v xml:space="preserve">Voka 1. sise-KV 4. etapp, </v>
      </c>
      <c r="L25" s="902">
        <v>2</v>
      </c>
      <c r="M25" s="854" t="str">
        <f>HYPERLINK("#'R-1'!l1","Regioonide karika 1.etapp, ")</f>
        <v xml:space="preserve">Regioonide karika 1.etapp, </v>
      </c>
      <c r="N25" s="902">
        <v>3</v>
      </c>
    </row>
    <row r="26" spans="1:17" s="1" customFormat="1" x14ac:dyDescent="0.2">
      <c r="A26" s="823"/>
      <c r="B26" s="836"/>
      <c r="C26" s="847"/>
      <c r="D26" s="836"/>
      <c r="E26" s="823"/>
      <c r="F26" s="882"/>
      <c r="G26" s="883"/>
      <c r="H26" s="835"/>
      <c r="I26" s="903"/>
      <c r="J26" s="891"/>
      <c r="K26" s="1070" t="s">
        <v>8</v>
      </c>
      <c r="L26" s="1097"/>
      <c r="M26" s="1098" t="s">
        <v>9</v>
      </c>
      <c r="N26" s="298"/>
    </row>
    <row r="27" spans="1:17" x14ac:dyDescent="0.2">
      <c r="A27" s="904"/>
      <c r="B27" s="891"/>
      <c r="C27" s="847"/>
      <c r="D27" s="893"/>
      <c r="E27" s="904"/>
      <c r="F27" s="891"/>
      <c r="G27" s="894"/>
      <c r="H27" s="905"/>
      <c r="I27" s="906"/>
      <c r="J27" s="907"/>
      <c r="K27" s="1099" t="str">
        <f>HYPERLINK("https://kaart.delfi.ee/?bookmark=236e0f8de3f3d8e7138807663f9b5d14","Voka petangihall")</f>
        <v>Voka petangihall</v>
      </c>
      <c r="L27" s="1100"/>
      <c r="M27" s="1432" t="str">
        <f>HYPERLINK("https://kaart.delfi.ee/?bookmark=225e5f274dc79e88e106035de3e50b2d","K-Järve petangihall")</f>
        <v>K-Järve petangihall</v>
      </c>
      <c r="N27" s="800"/>
    </row>
    <row r="28" spans="1:17" x14ac:dyDescent="0.2">
      <c r="A28" s="904"/>
      <c r="B28" s="891"/>
      <c r="C28" s="847"/>
      <c r="D28" s="893"/>
      <c r="E28" s="904"/>
      <c r="F28" s="891"/>
      <c r="G28" s="894"/>
      <c r="H28" s="905"/>
      <c r="I28" s="801"/>
      <c r="J28" s="908"/>
      <c r="K28" s="909"/>
      <c r="L28" s="802" t="s">
        <v>269</v>
      </c>
      <c r="M28" s="1065"/>
      <c r="N28" s="910"/>
    </row>
    <row r="29" spans="1:17" x14ac:dyDescent="0.2">
      <c r="A29" s="904"/>
      <c r="B29" s="891"/>
      <c r="C29" s="847"/>
      <c r="D29" s="893"/>
      <c r="E29" s="904"/>
      <c r="F29" s="891"/>
      <c r="G29" s="894"/>
      <c r="H29" s="905"/>
      <c r="I29" s="387"/>
      <c r="J29" s="389"/>
      <c r="K29" s="384"/>
      <c r="L29" s="391"/>
      <c r="M29" s="385" t="s">
        <v>270</v>
      </c>
      <c r="N29" s="390"/>
    </row>
    <row r="30" spans="1:17" ht="13.5" thickBot="1" x14ac:dyDescent="0.25">
      <c r="A30" s="911"/>
      <c r="B30" s="912"/>
      <c r="C30" s="913"/>
      <c r="D30" s="914"/>
      <c r="E30" s="911"/>
      <c r="F30" s="912"/>
      <c r="G30" s="915"/>
      <c r="H30" s="916"/>
      <c r="I30" s="388"/>
      <c r="J30" s="392"/>
      <c r="L30" s="394" t="str">
        <f>HYPERLINK("https://www.google.de/maps/place/Krugh%C3%BCtter+Str.+92,+66128+Saarbr%C3%BCcken/@49.2319484,6.9212727,17z/data=!4m5!3m4!1s0x4795b22ef8d59c0f:0xeb918348bf4761cb!8m2!3d49.2318744!4d6.9230738","Gersweiler (Saksamaa)")</f>
        <v>Gersweiler (Saksamaa)</v>
      </c>
      <c r="M30" s="393"/>
      <c r="N30" s="386"/>
    </row>
    <row r="31" spans="1:17" ht="13.5" thickTop="1" x14ac:dyDescent="0.2">
      <c r="A31" s="380"/>
      <c r="B31" s="381">
        <v>4</v>
      </c>
      <c r="C31" s="382"/>
      <c r="D31" s="381">
        <v>5</v>
      </c>
      <c r="E31" s="380"/>
      <c r="F31" s="381">
        <v>6</v>
      </c>
      <c r="G31" s="383"/>
      <c r="H31" s="381">
        <v>7</v>
      </c>
      <c r="I31" s="917"/>
      <c r="J31" s="175">
        <v>8</v>
      </c>
      <c r="K31" s="1101" t="str">
        <f>HYPERLINK("#V5!H1","Voka 1. sise-KV 5. etapp, ")</f>
        <v xml:space="preserve">Voka 1. sise-KV 5. etapp, </v>
      </c>
      <c r="L31" s="1076">
        <v>9</v>
      </c>
      <c r="M31" s="1102" t="str">
        <f>HYPERLINK("http://www.petanque.ee/index.php?id=103589&amp;cid=534","Eesti sise-MV, ")</f>
        <v xml:space="preserve">Eesti sise-MV, </v>
      </c>
      <c r="N31" s="1082">
        <v>10</v>
      </c>
    </row>
    <row r="32" spans="1:17" x14ac:dyDescent="0.2">
      <c r="A32" s="22"/>
      <c r="B32" s="18"/>
      <c r="C32" s="16"/>
      <c r="D32" s="18"/>
      <c r="E32" s="22"/>
      <c r="F32" s="18"/>
      <c r="G32" s="17"/>
      <c r="H32" s="18"/>
      <c r="I32" s="823"/>
      <c r="J32" s="918"/>
      <c r="K32" s="1103" t="s">
        <v>8</v>
      </c>
      <c r="L32" s="1104"/>
      <c r="M32" s="1105" t="s">
        <v>10</v>
      </c>
      <c r="N32" s="135"/>
    </row>
    <row r="33" spans="1:14" x14ac:dyDescent="0.2">
      <c r="A33" s="320"/>
      <c r="B33" s="321"/>
      <c r="C33" s="16"/>
      <c r="D33" s="321"/>
      <c r="E33" s="320"/>
      <c r="F33" s="321"/>
      <c r="G33" s="322"/>
      <c r="H33" s="321"/>
      <c r="I33" s="904"/>
      <c r="J33" s="918"/>
      <c r="K33" s="1424" t="str">
        <f>HYPERLINK("https://kaart.delfi.ee/?bookmark=236e0f8de3f3d8e7138807663f9b5d14","Voka petangihall")</f>
        <v>Voka petangihall</v>
      </c>
      <c r="L33" s="1425"/>
      <c r="M33" s="1106" t="str">
        <f>HYPERLINK("https://kaart.delfi.ee/?bookmark=0807568cf7d8a03cedbb545921254497","Tallinn, Algi 38")</f>
        <v>Tallinn, Algi 38</v>
      </c>
      <c r="N33" s="795"/>
    </row>
    <row r="34" spans="1:14" x14ac:dyDescent="0.2">
      <c r="A34" s="320"/>
      <c r="B34" s="321"/>
      <c r="C34" s="16"/>
      <c r="D34" s="321"/>
      <c r="E34" s="320"/>
      <c r="F34" s="321"/>
      <c r="G34" s="322"/>
      <c r="H34" s="321"/>
      <c r="I34" s="904"/>
      <c r="J34" s="918"/>
      <c r="K34" s="1426" t="str">
        <f>HYPERLINK("http://www.petanque.ee/index.php?id=&amp;news_id=1114","Välishooaja lõpetamine")</f>
        <v>Välishooaja lõpetamine</v>
      </c>
      <c r="L34" s="1427"/>
      <c r="M34" s="1105"/>
      <c r="N34" s="795"/>
    </row>
    <row r="35" spans="1:14" ht="13.5" thickBot="1" x14ac:dyDescent="0.25">
      <c r="A35" s="23"/>
      <c r="B35" s="323"/>
      <c r="C35" s="15"/>
      <c r="D35" s="323"/>
      <c r="E35" s="23"/>
      <c r="F35" s="323"/>
      <c r="G35" s="324"/>
      <c r="H35" s="323"/>
      <c r="I35" s="829"/>
      <c r="J35" s="919"/>
      <c r="K35" s="1107" t="str">
        <f>HYPERLINK("https://kaart.delfi.ee/?bookmark=94c90c5b207693c11a52e327300358ae","Tallinn, Laki 11a")</f>
        <v>Tallinn, Laki 11a</v>
      </c>
      <c r="L35" s="1108"/>
      <c r="M35" s="1109"/>
      <c r="N35" s="1110"/>
    </row>
    <row r="36" spans="1:14" x14ac:dyDescent="0.2">
      <c r="A36" s="325"/>
      <c r="B36" s="174">
        <v>11</v>
      </c>
      <c r="C36" s="21"/>
      <c r="D36" s="174">
        <v>12</v>
      </c>
      <c r="E36" s="325"/>
      <c r="F36" s="174">
        <v>13</v>
      </c>
      <c r="G36" s="325"/>
      <c r="H36" s="174">
        <v>14</v>
      </c>
      <c r="I36" s="326"/>
      <c r="J36" s="174">
        <v>15</v>
      </c>
      <c r="K36" s="1111" t="str">
        <f>HYPERLINK("","Kristiini ja Joana")</f>
        <v>Kristiini ja Joana</v>
      </c>
      <c r="L36" s="1082">
        <v>16</v>
      </c>
      <c r="M36" s="1077" t="str">
        <f>HYPERLINK("#2!J1","SHK KV 2. etapp, ")</f>
        <v xml:space="preserve">SHK KV 2. etapp, </v>
      </c>
      <c r="N36" s="1082">
        <v>17</v>
      </c>
    </row>
    <row r="37" spans="1:14" x14ac:dyDescent="0.2">
      <c r="A37" s="22"/>
      <c r="B37" s="18"/>
      <c r="C37" s="16"/>
      <c r="D37" s="18"/>
      <c r="E37" s="16"/>
      <c r="F37" s="18"/>
      <c r="G37" s="22"/>
      <c r="H37" s="18"/>
      <c r="I37" s="14"/>
      <c r="J37" s="18"/>
      <c r="K37" s="1112" t="s">
        <v>220</v>
      </c>
      <c r="L37" s="1113"/>
      <c r="M37" s="272" t="s">
        <v>8</v>
      </c>
      <c r="N37" s="1114"/>
    </row>
    <row r="38" spans="1:14" ht="13.5" thickBot="1" x14ac:dyDescent="0.25">
      <c r="A38" s="22"/>
      <c r="B38" s="18"/>
      <c r="C38" s="16"/>
      <c r="D38" s="18"/>
      <c r="E38" s="22"/>
      <c r="F38" s="18"/>
      <c r="G38" s="33"/>
      <c r="H38" s="135"/>
      <c r="I38" s="299"/>
      <c r="J38" s="300"/>
      <c r="K38" s="1092" t="str">
        <f>HYPERLINK("https://kaart.delfi.ee/?bookmark=236e0f8de3f3d8e7138807663f9b5d14","Voka petangihall")</f>
        <v>Voka petangihall</v>
      </c>
      <c r="L38" s="560"/>
      <c r="M38" s="1430" t="str">
        <f>HYPERLINK("https://kaart.delfi.ee/?bookmark=225e5f274dc79e88e106035de3e50b2d","K-Järve petangihall")</f>
        <v>K-Järve petangihall</v>
      </c>
      <c r="N38" s="1115"/>
    </row>
    <row r="39" spans="1:14" x14ac:dyDescent="0.2">
      <c r="A39" s="20"/>
      <c r="B39" s="176">
        <v>18</v>
      </c>
      <c r="C39" s="20"/>
      <c r="D39" s="174">
        <v>19</v>
      </c>
      <c r="E39" s="20"/>
      <c r="F39" s="176">
        <v>20</v>
      </c>
      <c r="G39" s="20"/>
      <c r="H39" s="174">
        <v>21</v>
      </c>
      <c r="I39" s="20"/>
      <c r="J39" s="174">
        <v>22</v>
      </c>
      <c r="K39" s="1116" t="str">
        <f>HYPERLINK("#'V-jh'!H1","''Jõuluhane'' turniir, ")</f>
        <v xml:space="preserve">''Jõuluhane'' turniir, </v>
      </c>
      <c r="L39" s="1117">
        <v>23</v>
      </c>
      <c r="M39" s="798"/>
      <c r="N39" s="179">
        <v>24</v>
      </c>
    </row>
    <row r="40" spans="1:14" x14ac:dyDescent="0.2">
      <c r="A40" s="22"/>
      <c r="B40" s="14"/>
      <c r="C40" s="22"/>
      <c r="D40" s="18"/>
      <c r="E40" s="22"/>
      <c r="F40" s="14"/>
      <c r="G40" s="22"/>
      <c r="H40" s="18"/>
      <c r="I40" s="22"/>
      <c r="J40" s="321"/>
      <c r="K40" s="1089" t="s">
        <v>8</v>
      </c>
      <c r="L40" s="1113"/>
      <c r="M40" s="799"/>
      <c r="N40" s="1079"/>
    </row>
    <row r="41" spans="1:14" x14ac:dyDescent="0.2">
      <c r="A41" s="617"/>
      <c r="B41" s="14"/>
      <c r="C41" s="617"/>
      <c r="D41" s="321"/>
      <c r="E41" s="617"/>
      <c r="F41" s="14"/>
      <c r="G41" s="617"/>
      <c r="H41" s="321"/>
      <c r="I41" s="617"/>
      <c r="J41" s="321"/>
      <c r="K41" s="1118" t="str">
        <f>HYPERLINK("#'V-jh2'!J1","''18:00 jätkuturniir, DUO")</f>
        <v>''18:00 jätkuturniir, DUO</v>
      </c>
      <c r="L41" s="1119"/>
      <c r="M41" s="1120"/>
      <c r="N41" s="1141"/>
    </row>
    <row r="42" spans="1:14" ht="13.5" thickBot="1" x14ac:dyDescent="0.25">
      <c r="A42" s="23"/>
      <c r="B42" s="15"/>
      <c r="C42" s="23"/>
      <c r="D42" s="19"/>
      <c r="E42" s="27"/>
      <c r="F42" s="19"/>
      <c r="G42" s="23"/>
      <c r="H42" s="19"/>
      <c r="I42" s="23"/>
      <c r="J42" s="323"/>
      <c r="K42" s="1092" t="str">
        <f>HYPERLINK("https://kaart.delfi.ee/?bookmark=236e0f8de3f3d8e7138807663f9b5d14","Voka petangihall")</f>
        <v>Voka petangihall</v>
      </c>
      <c r="L42" s="1121"/>
      <c r="M42" s="814"/>
      <c r="N42" s="1080"/>
    </row>
    <row r="43" spans="1:14" x14ac:dyDescent="0.2">
      <c r="A43" s="20"/>
      <c r="B43" s="179">
        <v>25</v>
      </c>
      <c r="C43" s="21"/>
      <c r="D43" s="179">
        <v>26</v>
      </c>
      <c r="E43" s="20"/>
      <c r="F43" s="174">
        <v>27</v>
      </c>
      <c r="G43" s="820"/>
      <c r="H43" s="174">
        <v>28</v>
      </c>
      <c r="I43" s="26"/>
      <c r="J43" s="174">
        <v>29</v>
      </c>
      <c r="K43" s="1067" t="str">
        <f>HYPERLINK("#V6!H1","Voka 1. sise-KV 6. etapp, ")</f>
        <v xml:space="preserve">Voka 1. sise-KV 6. etapp, </v>
      </c>
      <c r="L43" s="1082">
        <v>30</v>
      </c>
      <c r="M43" s="1122"/>
      <c r="N43" s="1082">
        <v>31</v>
      </c>
    </row>
    <row r="44" spans="1:14" x14ac:dyDescent="0.2">
      <c r="A44" s="22"/>
      <c r="B44" s="14"/>
      <c r="C44" s="22"/>
      <c r="D44" s="18"/>
      <c r="E44" s="22"/>
      <c r="F44" s="18"/>
      <c r="G44" s="823"/>
      <c r="H44" s="18"/>
      <c r="I44" s="22"/>
      <c r="J44" s="18"/>
      <c r="K44" s="1070" t="s">
        <v>451</v>
      </c>
      <c r="L44" s="1123"/>
      <c r="M44" s="1124"/>
      <c r="N44" s="135"/>
    </row>
    <row r="45" spans="1:14" ht="13.5" thickBot="1" x14ac:dyDescent="0.25">
      <c r="A45" s="23"/>
      <c r="B45" s="15"/>
      <c r="C45" s="23"/>
      <c r="D45" s="19"/>
      <c r="E45" s="23"/>
      <c r="F45" s="19"/>
      <c r="G45" s="829"/>
      <c r="H45" s="19"/>
      <c r="I45" s="25"/>
      <c r="J45" s="19"/>
      <c r="K45" s="1072" t="str">
        <f>HYPERLINK("https://kaart.delfi.ee/?bookmark=236e0f8de3f3d8e7138807663f9b5d14","Voka petangihall")</f>
        <v>Voka petangihall</v>
      </c>
      <c r="L45" s="1125"/>
      <c r="M45" s="1126"/>
      <c r="N45" s="1142"/>
    </row>
    <row r="46" spans="1:14" ht="13.5" thickBot="1" x14ac:dyDescent="0.25">
      <c r="A46" s="850" t="s">
        <v>142</v>
      </c>
      <c r="B46" s="873"/>
      <c r="C46" s="874"/>
      <c r="D46" s="920"/>
      <c r="E46" s="847"/>
      <c r="F46" s="835"/>
      <c r="G46" s="887"/>
      <c r="H46" s="920"/>
      <c r="I46" s="835"/>
      <c r="J46" s="1"/>
      <c r="K46" s="1127"/>
      <c r="L46" s="1091"/>
      <c r="M46" s="1128"/>
      <c r="N46" s="1091"/>
    </row>
    <row r="47" spans="1:14" x14ac:dyDescent="0.2">
      <c r="A47" s="20"/>
      <c r="B47" s="179">
        <v>1</v>
      </c>
      <c r="C47" s="820"/>
      <c r="D47" s="174">
        <v>2</v>
      </c>
      <c r="E47" s="20"/>
      <c r="F47" s="174">
        <v>3</v>
      </c>
      <c r="G47" s="820"/>
      <c r="H47" s="174">
        <v>4</v>
      </c>
      <c r="I47" s="29"/>
      <c r="J47" s="174">
        <v>5</v>
      </c>
      <c r="K47" s="1129" t="str">
        <f>HYPERLINK("http://www.petanque.ee/index.php?id=103589&amp;cid=535","Eesti sise-MV, ")</f>
        <v xml:space="preserve">Eesti sise-MV, </v>
      </c>
      <c r="L47" s="286">
        <v>6</v>
      </c>
      <c r="M47" s="1130" t="str">
        <f>HYPERLINK("http://www.petanque.ee/index.php?id=103589&amp;cid=536","Eesti reiting, ")</f>
        <v xml:space="preserve">Eesti reiting, </v>
      </c>
      <c r="N47" s="286">
        <v>7</v>
      </c>
    </row>
    <row r="48" spans="1:14" x14ac:dyDescent="0.2">
      <c r="A48" s="22"/>
      <c r="B48" s="18"/>
      <c r="C48" s="823"/>
      <c r="D48" s="18"/>
      <c r="E48" s="22"/>
      <c r="F48" s="18"/>
      <c r="G48" s="823"/>
      <c r="H48" s="14"/>
      <c r="I48" s="28"/>
      <c r="J48" s="18"/>
      <c r="K48" s="1083" t="s">
        <v>8</v>
      </c>
      <c r="L48" s="135"/>
      <c r="M48" s="1071" t="s">
        <v>9</v>
      </c>
      <c r="N48" s="135"/>
    </row>
    <row r="49" spans="1:14" x14ac:dyDescent="0.2">
      <c r="A49" s="617"/>
      <c r="B49" s="321"/>
      <c r="C49" s="860"/>
      <c r="D49" s="321"/>
      <c r="E49" s="617"/>
      <c r="F49" s="518"/>
      <c r="G49" s="860"/>
      <c r="H49" s="618"/>
      <c r="I49" s="619"/>
      <c r="J49" s="618"/>
      <c r="K49" s="1433" t="str">
        <f>HYPERLINK("https://kaart.delfi.ee/?bookmark=225e5f274dc79e88e106035de3e50b2d","K-Järve petangihall")</f>
        <v>K-Järve petangihall</v>
      </c>
      <c r="L49" s="1170"/>
      <c r="M49" s="1434" t="str">
        <f>HYPERLINK("https://kaart.delfi.ee/?bookmark=225e5f274dc79e88e106035de3e50b2d","K-Järve petangihall")</f>
        <v>K-Järve petangihall</v>
      </c>
      <c r="N49" s="795"/>
    </row>
    <row r="50" spans="1:14" x14ac:dyDescent="0.2">
      <c r="A50" s="617"/>
      <c r="B50" s="321"/>
      <c r="C50" s="847"/>
      <c r="D50" s="321"/>
      <c r="E50" s="617"/>
      <c r="F50" s="518"/>
      <c r="G50" s="860"/>
      <c r="H50" s="14"/>
      <c r="I50" s="619"/>
      <c r="J50" s="321"/>
      <c r="K50" s="1087" t="str">
        <f>HYPERLINK("#'V-se'!M1","Seeneturniir (kell 15:30), ")</f>
        <v xml:space="preserve">Seeneturniir (kell 15:30), </v>
      </c>
      <c r="L50" s="1131"/>
      <c r="M50" s="1428"/>
      <c r="N50" s="795"/>
    </row>
    <row r="51" spans="1:14" x14ac:dyDescent="0.2">
      <c r="A51" s="22"/>
      <c r="B51" s="321"/>
      <c r="C51" s="847"/>
      <c r="D51" s="321"/>
      <c r="E51" s="22"/>
      <c r="F51" s="518"/>
      <c r="G51" s="823"/>
      <c r="H51" s="14"/>
      <c r="I51" s="519"/>
      <c r="J51" s="321"/>
      <c r="K51" s="1089" t="s">
        <v>8</v>
      </c>
      <c r="L51" s="1119"/>
      <c r="M51" s="1428"/>
      <c r="N51" s="795"/>
    </row>
    <row r="52" spans="1:14" ht="13.5" thickBot="1" x14ac:dyDescent="0.25">
      <c r="A52" s="22"/>
      <c r="B52" s="321"/>
      <c r="C52" s="847"/>
      <c r="D52" s="321"/>
      <c r="E52" s="22"/>
      <c r="F52" s="518"/>
      <c r="G52" s="823"/>
      <c r="H52" s="14"/>
      <c r="I52" s="28"/>
      <c r="J52" s="321"/>
      <c r="K52" s="1092" t="str">
        <f>HYPERLINK("https://kaart.delfi.ee/?bookmark=236e0f8de3f3d8e7138807663f9b5d14","Voka petangihall")</f>
        <v>Voka petangihall</v>
      </c>
      <c r="L52" s="1119"/>
      <c r="M52" s="1428"/>
      <c r="N52" s="795"/>
    </row>
    <row r="53" spans="1:14" x14ac:dyDescent="0.2">
      <c r="A53" s="921"/>
      <c r="B53" s="879">
        <v>8</v>
      </c>
      <c r="C53" s="922"/>
      <c r="D53" s="879">
        <v>9</v>
      </c>
      <c r="E53" s="921"/>
      <c r="F53" s="879">
        <v>10</v>
      </c>
      <c r="G53" s="923"/>
      <c r="H53" s="879">
        <v>11</v>
      </c>
      <c r="I53" s="924"/>
      <c r="J53" s="879">
        <v>12</v>
      </c>
      <c r="K53" s="1067" t="str">
        <f>HYPERLINK("#V7!H1","Voka 1. sise-KV 7. etapp, ")</f>
        <v xml:space="preserve">Voka 1. sise-KV 7. etapp, </v>
      </c>
      <c r="L53" s="902">
        <v>13</v>
      </c>
      <c r="M53" s="1077" t="str">
        <f>HYPERLINK("#3!H1","SHK KV 3. etapp, ")</f>
        <v xml:space="preserve">SHK KV 3. etapp, </v>
      </c>
      <c r="N53" s="902">
        <v>14</v>
      </c>
    </row>
    <row r="54" spans="1:14" x14ac:dyDescent="0.2">
      <c r="A54" s="823"/>
      <c r="B54" s="836"/>
      <c r="C54" s="847"/>
      <c r="D54" s="882"/>
      <c r="E54" s="847"/>
      <c r="F54" s="920"/>
      <c r="G54" s="883"/>
      <c r="H54" s="882"/>
      <c r="I54" s="920"/>
      <c r="J54" s="925"/>
      <c r="K54" s="1132" t="s">
        <v>8</v>
      </c>
      <c r="L54" s="1133"/>
      <c r="M54" s="272" t="s">
        <v>9</v>
      </c>
      <c r="N54" s="1143"/>
    </row>
    <row r="55" spans="1:14" ht="13.5" thickBot="1" x14ac:dyDescent="0.25">
      <c r="A55" s="823"/>
      <c r="B55" s="836"/>
      <c r="C55" s="847"/>
      <c r="D55" s="882"/>
      <c r="E55" s="823"/>
      <c r="F55" s="836"/>
      <c r="G55" s="883"/>
      <c r="H55" s="882"/>
      <c r="I55" s="926"/>
      <c r="J55" s="925"/>
      <c r="K55" s="1072" t="str">
        <f>HYPERLINK("https://kaart.delfi.ee/?bookmark=236e0f8de3f3d8e7138807663f9b5d14","Voka petangihall")</f>
        <v>Voka petangihall</v>
      </c>
      <c r="L55" s="1134"/>
      <c r="M55" s="1430" t="str">
        <f>HYPERLINK("https://kaart.delfi.ee/?bookmark=225e5f274dc79e88e106035de3e50b2d","K-Järve petangihall")</f>
        <v>K-Järve petangihall</v>
      </c>
      <c r="N55" s="1143"/>
    </row>
    <row r="56" spans="1:14" x14ac:dyDescent="0.2">
      <c r="A56" s="820"/>
      <c r="B56" s="879">
        <v>15</v>
      </c>
      <c r="C56" s="832"/>
      <c r="D56" s="879">
        <v>16</v>
      </c>
      <c r="E56" s="878"/>
      <c r="F56" s="879">
        <v>17</v>
      </c>
      <c r="G56" s="880"/>
      <c r="H56" s="879">
        <v>18</v>
      </c>
      <c r="I56" s="927"/>
      <c r="J56" s="885">
        <v>19</v>
      </c>
      <c r="K56" s="1135" t="str">
        <f>HYPERLINK("http://www.petanque.ee/index.php?id=103589&amp;cid=537","1. Klubide sari, ")</f>
        <v xml:space="preserve">1. Klubide sari, </v>
      </c>
      <c r="L56" s="902">
        <v>20</v>
      </c>
      <c r="M56" s="854" t="str">
        <f>HYPERLINK("http://www.petanque.ee/index.php?id=103589&amp;cid=538","1. Klubide sari, ")</f>
        <v xml:space="preserve">1. Klubide sari, </v>
      </c>
      <c r="N56" s="902">
        <v>21</v>
      </c>
    </row>
    <row r="57" spans="1:14" x14ac:dyDescent="0.2">
      <c r="A57" s="823"/>
      <c r="B57" s="836"/>
      <c r="C57" s="847"/>
      <c r="D57" s="836"/>
      <c r="E57" s="881"/>
      <c r="F57" s="882"/>
      <c r="G57" s="883"/>
      <c r="H57" s="882"/>
      <c r="I57" s="920"/>
      <c r="J57" s="925"/>
      <c r="K57" s="1136" t="s">
        <v>214</v>
      </c>
      <c r="L57" s="1079"/>
      <c r="M57" s="799" t="s">
        <v>214</v>
      </c>
      <c r="N57" s="1144"/>
    </row>
    <row r="58" spans="1:14" ht="13.5" thickBot="1" x14ac:dyDescent="0.25">
      <c r="A58" s="823"/>
      <c r="B58" s="836"/>
      <c r="C58" s="847"/>
      <c r="D58" s="836"/>
      <c r="E58" s="881"/>
      <c r="F58" s="882"/>
      <c r="G58" s="883"/>
      <c r="H58" s="882"/>
      <c r="I58" s="883"/>
      <c r="J58" s="925"/>
      <c r="K58" s="1137" t="str">
        <f>HYPERLINK("https://kaart.delfi.ee/?bookmark=0807568cf7d8a03cedbb545921254497","Tallinn, Algi 38")</f>
        <v>Tallinn, Algi 38</v>
      </c>
      <c r="L58" s="1079"/>
      <c r="M58" s="1137" t="str">
        <f>HYPERLINK("https://kaart.delfi.ee/?bookmark=0807568cf7d8a03cedbb545921254497","Tallinn, Algi 38")</f>
        <v>Tallinn, Algi 38</v>
      </c>
      <c r="N58" s="1080"/>
    </row>
    <row r="59" spans="1:14" x14ac:dyDescent="0.2">
      <c r="A59" s="820"/>
      <c r="B59" s="879">
        <v>22</v>
      </c>
      <c r="C59" s="832"/>
      <c r="D59" s="879">
        <v>23</v>
      </c>
      <c r="E59" s="878"/>
      <c r="F59" s="879">
        <v>24</v>
      </c>
      <c r="G59" s="880"/>
      <c r="H59" s="879">
        <v>25</v>
      </c>
      <c r="I59" s="26"/>
      <c r="J59" s="885">
        <v>26</v>
      </c>
      <c r="K59" s="1138" t="str">
        <f>HYPERLINK("#V8!M1","Voka 1. sise-KV 8. etapp, ")</f>
        <v xml:space="preserve">Voka 1. sise-KV 8. etapp, </v>
      </c>
      <c r="L59" s="902">
        <v>27</v>
      </c>
      <c r="M59" s="798"/>
      <c r="N59" s="902">
        <v>28</v>
      </c>
    </row>
    <row r="60" spans="1:14" x14ac:dyDescent="0.2">
      <c r="A60" s="823"/>
      <c r="B60" s="836"/>
      <c r="C60" s="847"/>
      <c r="D60" s="836"/>
      <c r="E60" s="881"/>
      <c r="F60" s="882"/>
      <c r="G60" s="883"/>
      <c r="H60" s="882"/>
      <c r="I60" s="22"/>
      <c r="J60" s="520"/>
      <c r="K60" s="1132" t="s">
        <v>8</v>
      </c>
      <c r="L60" s="1139"/>
      <c r="M60" s="799"/>
      <c r="N60" s="1079"/>
    </row>
    <row r="61" spans="1:14" ht="13.5" thickBot="1" x14ac:dyDescent="0.25">
      <c r="A61" s="829"/>
      <c r="B61" s="827"/>
      <c r="C61" s="840"/>
      <c r="D61" s="827"/>
      <c r="E61" s="888"/>
      <c r="F61" s="889"/>
      <c r="G61" s="890"/>
      <c r="H61" s="889"/>
      <c r="I61" s="25"/>
      <c r="J61" s="889"/>
      <c r="K61" s="1072" t="str">
        <f>HYPERLINK("https://kaart.delfi.ee/?bookmark=236e0f8de3f3d8e7138807663f9b5d14","Voka petangihall")</f>
        <v>Voka petangihall</v>
      </c>
      <c r="L61" s="1140"/>
      <c r="M61" s="814"/>
      <c r="N61" s="827"/>
    </row>
    <row r="62" spans="1:14" ht="13.5" thickBot="1" x14ac:dyDescent="0.25">
      <c r="A62" s="850" t="s">
        <v>141</v>
      </c>
      <c r="B62" s="873"/>
      <c r="C62" s="874"/>
      <c r="D62" s="14"/>
      <c r="E62" s="16"/>
      <c r="F62" s="16"/>
      <c r="G62" s="14"/>
      <c r="H62" s="14"/>
      <c r="I62" s="14"/>
      <c r="J62" s="14"/>
      <c r="K62" s="14"/>
      <c r="L62" s="14"/>
      <c r="M62" s="24"/>
      <c r="N62" s="14"/>
    </row>
    <row r="63" spans="1:14" x14ac:dyDescent="0.2">
      <c r="A63" s="465"/>
      <c r="B63" s="178">
        <v>29</v>
      </c>
      <c r="C63" s="465"/>
      <c r="D63" s="178">
        <v>30</v>
      </c>
      <c r="E63" s="465"/>
      <c r="F63" s="273">
        <v>31</v>
      </c>
      <c r="G63" s="470"/>
      <c r="H63" s="178">
        <v>1</v>
      </c>
      <c r="I63" s="36"/>
      <c r="J63" s="178">
        <v>2</v>
      </c>
      <c r="K63" s="1138" t="str">
        <f>HYPERLINK("#V9!H1","Voka 1. sise-KV 9. etapp, ")</f>
        <v xml:space="preserve">Voka 1. sise-KV 9. etapp, </v>
      </c>
      <c r="L63" s="286">
        <v>3</v>
      </c>
      <c r="M63" s="1145" t="str">
        <f>HYPERLINK("http://www.petanque.ee/index.php?id=103589&amp;cid=540","Eesti reiting, ")</f>
        <v xml:space="preserve">Eesti reiting, </v>
      </c>
      <c r="N63" s="286">
        <v>4</v>
      </c>
    </row>
    <row r="64" spans="1:14" x14ac:dyDescent="0.2">
      <c r="A64" s="459"/>
      <c r="B64" s="460"/>
      <c r="C64" s="459"/>
      <c r="D64" s="460"/>
      <c r="E64" s="459"/>
      <c r="F64" s="466"/>
      <c r="G64" s="266"/>
      <c r="H64" s="38"/>
      <c r="I64" s="39"/>
      <c r="J64" s="40"/>
      <c r="K64" s="1132" t="s">
        <v>8</v>
      </c>
      <c r="L64" s="1146"/>
      <c r="M64" s="1071" t="s">
        <v>9</v>
      </c>
      <c r="N64" s="1147"/>
    </row>
    <row r="65" spans="1:14" ht="13.5" thickBot="1" x14ac:dyDescent="0.25">
      <c r="A65" s="467"/>
      <c r="B65" s="468"/>
      <c r="C65" s="467"/>
      <c r="D65" s="468"/>
      <c r="E65" s="467"/>
      <c r="F65" s="469"/>
      <c r="G65" s="471"/>
      <c r="H65" s="42"/>
      <c r="I65" s="43"/>
      <c r="J65" s="42"/>
      <c r="K65" s="1072" t="str">
        <f>HYPERLINK("https://kaart.delfi.ee/?bookmark=236e0f8de3f3d8e7138807663f9b5d14","Voka petangihall")</f>
        <v>Voka petangihall</v>
      </c>
      <c r="L65" s="1148"/>
      <c r="M65" s="1149" t="str">
        <f>HYPERLINK("https://kaart.delfi.ee/?bookmark=0807568cf7d8a03cedbb545921254497","Tallinn, Algi 38")</f>
        <v>Tallinn, Algi 38</v>
      </c>
      <c r="N65" s="1150"/>
    </row>
    <row r="66" spans="1:14" ht="13.5" thickTop="1" x14ac:dyDescent="0.2">
      <c r="A66" s="459"/>
      <c r="B66" s="464">
        <v>5</v>
      </c>
      <c r="C66" s="459"/>
      <c r="D66" s="464">
        <v>6</v>
      </c>
      <c r="E66" s="459"/>
      <c r="F66" s="464">
        <v>7</v>
      </c>
      <c r="G66" s="36"/>
      <c r="H66" s="178">
        <v>8</v>
      </c>
      <c r="I66" s="36"/>
      <c r="J66" s="178">
        <v>9</v>
      </c>
      <c r="K66" s="1138" t="str">
        <f>HYPERLINK("#V10!M1","Voka 1. sise-KV 10. etapp, ")</f>
        <v xml:space="preserve">Voka 1. sise-KV 10. etapp, </v>
      </c>
      <c r="L66" s="286">
        <v>10</v>
      </c>
      <c r="M66" s="1077" t="str">
        <f>HYPERLINK("#4!H1","SHK KV 4. etapp, ")</f>
        <v xml:space="preserve">SHK KV 4. etapp, </v>
      </c>
      <c r="N66" s="286">
        <v>11</v>
      </c>
    </row>
    <row r="67" spans="1:14" x14ac:dyDescent="0.2">
      <c r="A67" s="37"/>
      <c r="B67" s="38"/>
      <c r="C67" s="37"/>
      <c r="D67" s="887"/>
      <c r="E67" s="37"/>
      <c r="F67" s="38"/>
      <c r="G67" s="39"/>
      <c r="H67" s="38"/>
      <c r="I67" s="39"/>
      <c r="J67" s="774" t="s">
        <v>468</v>
      </c>
      <c r="K67" s="1132" t="s">
        <v>8</v>
      </c>
      <c r="L67" s="1146"/>
      <c r="M67" s="272" t="s">
        <v>8</v>
      </c>
      <c r="N67" s="1151"/>
    </row>
    <row r="68" spans="1:14" ht="13.5" thickBot="1" x14ac:dyDescent="0.25">
      <c r="A68" s="644"/>
      <c r="B68" s="460"/>
      <c r="C68" s="644"/>
      <c r="D68" s="887"/>
      <c r="E68" s="644"/>
      <c r="F68" s="460"/>
      <c r="G68" s="645"/>
      <c r="H68" s="460"/>
      <c r="I68" s="645"/>
      <c r="J68" s="646"/>
      <c r="K68" s="1152" t="str">
        <f>HYPERLINK("https://kaart.delfi.ee/?bookmark=236e0f8de3f3d8e7138807663f9b5d14","Voka petangihall")</f>
        <v>Voka petangihall</v>
      </c>
      <c r="L68" s="1153"/>
      <c r="M68" s="1430" t="str">
        <f>HYPERLINK("https://kaart.delfi.ee/?bookmark=225e5f274dc79e88e106035de3e50b2d","K-Järve petangihall")</f>
        <v>K-Järve petangihall</v>
      </c>
      <c r="N68" s="1154"/>
    </row>
    <row r="69" spans="1:14" hidden="1" x14ac:dyDescent="0.2">
      <c r="A69" s="644"/>
      <c r="B69" s="460"/>
      <c r="C69" s="644"/>
      <c r="D69" s="887"/>
      <c r="E69" s="644"/>
      <c r="F69" s="460"/>
      <c r="G69" s="645"/>
      <c r="H69" s="460"/>
      <c r="I69" s="645"/>
      <c r="J69" s="646"/>
      <c r="K69" s="1155" t="str">
        <f>HYPERLINK("http://www.petanque.ee/index.php?id=103681&amp;cid=562","Läänemaa lahtine MV, ")</f>
        <v xml:space="preserve">Läänemaa lahtine MV, </v>
      </c>
      <c r="L69" s="1156"/>
      <c r="M69" s="1157"/>
      <c r="N69" s="1154"/>
    </row>
    <row r="70" spans="1:14" hidden="1" x14ac:dyDescent="0.2">
      <c r="A70" s="644"/>
      <c r="B70" s="460"/>
      <c r="C70" s="644"/>
      <c r="D70" s="887"/>
      <c r="E70" s="644"/>
      <c r="F70" s="460"/>
      <c r="G70" s="645"/>
      <c r="H70" s="460"/>
      <c r="I70" s="645"/>
      <c r="J70" s="646"/>
      <c r="K70" s="1120" t="s">
        <v>8</v>
      </c>
      <c r="L70" s="1158" t="str">
        <f>HYPERLINK("http://www.laanesport.ee/wp-content/uploads/2015/03/L%C3%A4%C3%A4nemaa-MV-SegaDuppel-25.02.2018.xlsx","tul")</f>
        <v>tul</v>
      </c>
      <c r="M70" s="1157"/>
      <c r="N70" s="1154"/>
    </row>
    <row r="71" spans="1:14" ht="13.5" hidden="1" thickBot="1" x14ac:dyDescent="0.25">
      <c r="A71" s="41"/>
      <c r="B71" s="42"/>
      <c r="C71" s="41"/>
      <c r="D71" s="42"/>
      <c r="E71" s="41"/>
      <c r="F71" s="42"/>
      <c r="G71" s="43"/>
      <c r="H71" s="42"/>
      <c r="I71" s="43"/>
      <c r="J71" s="557"/>
      <c r="K71" s="1107" t="str">
        <f>HYPERLINK("https://kaart.delfi.ee/?bookmark=0807568cf7d8a03cedbb545921254497","Tallinn")</f>
        <v>Tallinn</v>
      </c>
      <c r="L71" s="1159"/>
      <c r="M71" s="1160"/>
      <c r="N71" s="1161"/>
    </row>
    <row r="72" spans="1:14" x14ac:dyDescent="0.2">
      <c r="A72" s="35"/>
      <c r="B72" s="178">
        <v>12</v>
      </c>
      <c r="C72" s="35"/>
      <c r="D72" s="178">
        <v>13</v>
      </c>
      <c r="E72" s="35"/>
      <c r="F72" s="178">
        <v>14</v>
      </c>
      <c r="G72" s="36"/>
      <c r="H72" s="178">
        <v>15</v>
      </c>
      <c r="I72" s="647"/>
      <c r="J72" s="178">
        <v>16</v>
      </c>
      <c r="K72" s="1102" t="str">
        <f>HYPERLINK("http://www.petanque.ee/index.php?id=103589&amp;cid=541","Eesti reiting, ")</f>
        <v xml:space="preserve">Eesti reiting, </v>
      </c>
      <c r="L72" s="902">
        <v>17</v>
      </c>
      <c r="M72" s="1162" t="str">
        <f>HYPERLINK("http://www.petanque.ee/index.php?id=103589&amp;cid=542","Eesti sise-MV, ")</f>
        <v xml:space="preserve">Eesti sise-MV, </v>
      </c>
      <c r="N72" s="902">
        <v>18</v>
      </c>
    </row>
    <row r="73" spans="1:14" x14ac:dyDescent="0.2">
      <c r="A73" s="37"/>
      <c r="B73" s="38"/>
      <c r="C73" s="37"/>
      <c r="D73" s="38"/>
      <c r="E73" s="37"/>
      <c r="F73" s="38"/>
      <c r="G73" s="39"/>
      <c r="H73" s="38"/>
      <c r="I73" s="39"/>
      <c r="J73" s="38"/>
      <c r="K73" s="1071" t="s">
        <v>8</v>
      </c>
      <c r="L73" s="1147"/>
      <c r="M73" s="1083" t="s">
        <v>136</v>
      </c>
      <c r="N73" s="1079"/>
    </row>
    <row r="74" spans="1:14" ht="13.5" thickBot="1" x14ac:dyDescent="0.25">
      <c r="A74" s="41"/>
      <c r="B74" s="42"/>
      <c r="C74" s="41"/>
      <c r="D74" s="42"/>
      <c r="E74" s="41"/>
      <c r="F74" s="42"/>
      <c r="G74" s="43"/>
      <c r="H74" s="42"/>
      <c r="I74" s="39"/>
      <c r="J74" s="42"/>
      <c r="K74" s="1149" t="str">
        <f>HYPERLINK("https://kaart.delfi.ee/?bookmark=0807568cf7d8a03cedbb545921254497","Tallinn, Algi 38")</f>
        <v>Tallinn, Algi 38</v>
      </c>
      <c r="L74" s="1150"/>
      <c r="M74" s="1149" t="str">
        <f>HYPERLINK("https://kaart.delfi.ee/?bookmark=0807568cf7d8a03cedbb545921254497","Tallinn, Algi 38")</f>
        <v>Tallinn, Algi 38</v>
      </c>
      <c r="N74" s="1080"/>
    </row>
    <row r="75" spans="1:14" ht="12.75" customHeight="1" x14ac:dyDescent="0.2">
      <c r="A75" s="35"/>
      <c r="B75" s="178">
        <v>19</v>
      </c>
      <c r="C75" s="35"/>
      <c r="D75" s="178">
        <v>20</v>
      </c>
      <c r="E75" s="35"/>
      <c r="F75" s="178">
        <v>21</v>
      </c>
      <c r="G75" s="36"/>
      <c r="H75" s="178">
        <v>22</v>
      </c>
      <c r="I75" s="134"/>
      <c r="J75" s="902">
        <v>23</v>
      </c>
      <c r="K75" s="1163" t="str">
        <f>HYPERLINK("#'EV100'!M1","EV 100 turniir, ")</f>
        <v xml:space="preserve">EV 100 turniir, </v>
      </c>
      <c r="L75" s="1164">
        <v>24</v>
      </c>
      <c r="M75" s="1190" t="str">
        <f>HYPERLINK("#'R-2'!l1","Regioonide karika 2.etapp, ")</f>
        <v xml:space="preserve">Regioonide karika 2.etapp, </v>
      </c>
      <c r="N75" s="902">
        <v>25</v>
      </c>
    </row>
    <row r="76" spans="1:14" x14ac:dyDescent="0.2">
      <c r="A76" s="37"/>
      <c r="B76" s="38"/>
      <c r="C76" s="37"/>
      <c r="D76" s="38"/>
      <c r="E76" s="37"/>
      <c r="F76" s="38"/>
      <c r="G76" s="39"/>
      <c r="H76" s="38"/>
      <c r="I76" s="223"/>
      <c r="J76" s="38"/>
      <c r="K76" s="1169" t="s">
        <v>8</v>
      </c>
      <c r="L76" s="1168"/>
      <c r="M76" s="1165" t="s">
        <v>9</v>
      </c>
      <c r="N76" s="1079"/>
    </row>
    <row r="77" spans="1:14" ht="13.5" thickBot="1" x14ac:dyDescent="0.25">
      <c r="A77" s="41"/>
      <c r="B77" s="42"/>
      <c r="C77" s="41"/>
      <c r="D77" s="42"/>
      <c r="E77" s="41"/>
      <c r="F77" s="42"/>
      <c r="G77" s="43"/>
      <c r="H77" s="42"/>
      <c r="I77" s="224"/>
      <c r="J77" s="42"/>
      <c r="K77" s="1166" t="str">
        <f>HYPERLINK("https://kaart.delfi.ee/?bookmark=236e0f8de3f3d8e7138807663f9b5d14","Voka petangihall")</f>
        <v>Voka petangihall</v>
      </c>
      <c r="L77" s="1167"/>
      <c r="M77" s="1435" t="str">
        <f>HYPERLINK("https://kaart.delfi.ee/?bookmark=225e5f274dc79e88e106035de3e50b2d","K-Järve petangihall")</f>
        <v>K-Järve petangihall</v>
      </c>
      <c r="N77" s="1080"/>
    </row>
    <row r="78" spans="1:14" ht="13.5" thickBot="1" x14ac:dyDescent="0.25">
      <c r="A78" s="850" t="s">
        <v>140</v>
      </c>
      <c r="B78" s="873"/>
      <c r="C78" s="874"/>
      <c r="D78" s="835"/>
      <c r="E78" s="847"/>
      <c r="F78" s="835"/>
      <c r="G78" s="887"/>
      <c r="H78" s="920"/>
      <c r="I78" s="920"/>
      <c r="J78" s="920"/>
      <c r="K78" s="847"/>
      <c r="L78" s="835"/>
      <c r="M78" s="928"/>
      <c r="N78" s="835"/>
    </row>
    <row r="79" spans="1:14" x14ac:dyDescent="0.2">
      <c r="A79" s="465"/>
      <c r="B79" s="178">
        <v>26</v>
      </c>
      <c r="C79" s="465"/>
      <c r="D79" s="178">
        <v>27</v>
      </c>
      <c r="E79" s="465"/>
      <c r="F79" s="273">
        <v>28</v>
      </c>
      <c r="G79" s="462"/>
      <c r="H79" s="178">
        <v>1</v>
      </c>
      <c r="I79" s="35"/>
      <c r="J79" s="178">
        <v>2</v>
      </c>
      <c r="K79" s="1145" t="str">
        <f>HYPERLINK("http://www.petanque.ee/index.php?id=103589&amp;cid=543","Eesti reiting, ")</f>
        <v xml:space="preserve">Eesti reiting, </v>
      </c>
      <c r="L79" s="286">
        <v>3</v>
      </c>
      <c r="M79" s="1162" t="str">
        <f>HYPERLINK("http://www.petanque.ee/index.php?id=103589&amp;cid=544","Eesti sise-MV, ")</f>
        <v xml:space="preserve">Eesti sise-MV, </v>
      </c>
      <c r="N79" s="286">
        <v>4</v>
      </c>
    </row>
    <row r="80" spans="1:14" x14ac:dyDescent="0.2">
      <c r="A80" s="459"/>
      <c r="B80" s="460"/>
      <c r="C80" s="459"/>
      <c r="D80" s="460"/>
      <c r="E80" s="459"/>
      <c r="F80" s="466"/>
      <c r="G80" s="266"/>
      <c r="H80" s="38"/>
      <c r="I80" s="37"/>
      <c r="J80" s="38"/>
      <c r="K80" s="1071" t="s">
        <v>8</v>
      </c>
      <c r="L80" s="1147"/>
      <c r="M80" s="1083" t="s">
        <v>9</v>
      </c>
      <c r="N80" s="1079"/>
    </row>
    <row r="81" spans="1:14" x14ac:dyDescent="0.2">
      <c r="A81" s="644"/>
      <c r="B81" s="460"/>
      <c r="C81" s="644"/>
      <c r="D81" s="460"/>
      <c r="E81" s="644"/>
      <c r="F81" s="466"/>
      <c r="G81" s="266"/>
      <c r="H81" s="460"/>
      <c r="I81" s="644"/>
      <c r="J81" s="460"/>
      <c r="K81" s="1085" t="str">
        <f>HYPERLINK("https://kaart.delfi.ee/?bookmark=0807568cf7d8a03cedbb545921254497","Tallinn, Algi 38")</f>
        <v>Tallinn, Algi 38</v>
      </c>
      <c r="L81" s="1170"/>
      <c r="M81" s="1085" t="str">
        <f>HYPERLINK("https://kaart.delfi.ee/?bookmark=0807568cf7d8a03cedbb545921254497","Tallinn, Algi 38")</f>
        <v>Tallinn, Algi 38</v>
      </c>
      <c r="N81" s="1086"/>
    </row>
    <row r="82" spans="1:14" x14ac:dyDescent="0.2">
      <c r="A82" s="644"/>
      <c r="B82" s="460"/>
      <c r="C82" s="644"/>
      <c r="D82" s="460"/>
      <c r="E82" s="644"/>
      <c r="F82" s="466"/>
      <c r="G82" s="266"/>
      <c r="H82" s="460"/>
      <c r="I82" s="644"/>
      <c r="J82" s="460"/>
      <c r="K82" s="803" t="str">
        <f>HYPERLINK("https://www.facebook.com/events/165933694139431/","4. Lucky Stone, TRIO")</f>
        <v>4. Lucky Stone, TRIO</v>
      </c>
      <c r="L82" s="804" t="s">
        <v>506</v>
      </c>
      <c r="M82" s="805" t="s">
        <v>322</v>
      </c>
      <c r="N82" s="804" t="s">
        <v>506</v>
      </c>
    </row>
    <row r="83" spans="1:14" ht="13.5" customHeight="1" thickBot="1" x14ac:dyDescent="0.25">
      <c r="A83" s="467"/>
      <c r="B83" s="468"/>
      <c r="C83" s="467"/>
      <c r="D83" s="468"/>
      <c r="E83" s="467"/>
      <c r="F83" s="469"/>
      <c r="G83" s="463"/>
      <c r="H83" s="42"/>
      <c r="I83" s="41"/>
      <c r="J83" s="42"/>
      <c r="K83" s="461" t="str">
        <f>HYPERLINK("https://www.google.com/maps/dir/60.1955816,24.9359298/60.1948296,24.9330223/@60.1958625,24.9317434,401m/am=t/data=!3m2!1e3!4b1!4m2!4m1!3e0?hl=en","Helsingi (Soome)")</f>
        <v>Helsingi (Soome)</v>
      </c>
      <c r="L83" s="18"/>
      <c r="M83" s="461" t="str">
        <f>HYPERLINK("https://www.google.com/maps/dir/60.1955816,24.9359298/60.1948296,24.9330223/@60.1958625,24.9317434,401m/am=t/data=!3m2!1e3!4b1!4m2!4m1!3e0?hl=en","Helsingi (Soome)")</f>
        <v>Helsingi (Soome)</v>
      </c>
      <c r="N83" s="929" t="str">
        <f>HYPERLINK("https://www.facebook.com/groups/388827167904/","inf")</f>
        <v>inf</v>
      </c>
    </row>
    <row r="84" spans="1:14" ht="13.5" thickTop="1" x14ac:dyDescent="0.2">
      <c r="A84" s="20"/>
      <c r="B84" s="178">
        <v>5</v>
      </c>
      <c r="C84" s="20"/>
      <c r="D84" s="178">
        <v>6</v>
      </c>
      <c r="E84" s="20"/>
      <c r="F84" s="178">
        <v>7</v>
      </c>
      <c r="G84" s="20"/>
      <c r="H84" s="178">
        <v>8</v>
      </c>
      <c r="I84" s="20"/>
      <c r="J84" s="178">
        <v>9</v>
      </c>
      <c r="K84" s="1138" t="str">
        <f>HYPERLINK("#V11!I1","Voka 1. sise-KV 11. etapp, ")</f>
        <v xml:space="preserve">Voka 1. sise-KV 11. etapp, </v>
      </c>
      <c r="L84" s="286">
        <v>10</v>
      </c>
      <c r="M84" s="1177" t="str">
        <f>HYPERLINK("http://www.valgapetank.ee/moodul.php?moodul=CMS&amp;Komponent=NewsFront&amp;f=viewNews&amp;id=265","Valga lahtised MV, ")</f>
        <v xml:space="preserve">Valga lahtised MV, </v>
      </c>
      <c r="N84" s="286">
        <v>11</v>
      </c>
    </row>
    <row r="85" spans="1:14" x14ac:dyDescent="0.2">
      <c r="A85" s="617"/>
      <c r="B85" s="321"/>
      <c r="C85" s="617"/>
      <c r="D85" s="321"/>
      <c r="E85" s="617"/>
      <c r="F85" s="321"/>
      <c r="G85" s="617"/>
      <c r="H85" s="321"/>
      <c r="I85" s="617"/>
      <c r="J85" s="321"/>
      <c r="K85" s="720" t="s">
        <v>573</v>
      </c>
      <c r="L85" s="705"/>
      <c r="M85" s="1120" t="s">
        <v>9</v>
      </c>
      <c r="N85" s="795"/>
    </row>
    <row r="86" spans="1:14" ht="13.5" thickBot="1" x14ac:dyDescent="0.25">
      <c r="A86" s="23"/>
      <c r="B86" s="19"/>
      <c r="C86" s="23"/>
      <c r="D86" s="19"/>
      <c r="E86" s="23"/>
      <c r="F86" s="19"/>
      <c r="G86" s="23"/>
      <c r="H86" s="19"/>
      <c r="I86" s="23"/>
      <c r="J86" s="19"/>
      <c r="K86" s="1072" t="str">
        <f>HYPERLINK("https://kaart.delfi.ee/?bookmark=236e0f8de3f3d8e7138807663f9b5d14","Voka petangihall")</f>
        <v>Voka petangihall</v>
      </c>
      <c r="L86" s="1171"/>
      <c r="M86" s="814" t="s">
        <v>456</v>
      </c>
      <c r="N86" s="1110"/>
    </row>
    <row r="87" spans="1:14" x14ac:dyDescent="0.2">
      <c r="A87" s="20"/>
      <c r="B87" s="178">
        <v>12</v>
      </c>
      <c r="C87" s="20"/>
      <c r="D87" s="178">
        <v>13</v>
      </c>
      <c r="E87" s="20"/>
      <c r="F87" s="178">
        <v>14</v>
      </c>
      <c r="G87" s="20"/>
      <c r="H87" s="178">
        <v>15</v>
      </c>
      <c r="I87" s="20"/>
      <c r="J87" s="178">
        <v>16</v>
      </c>
      <c r="K87" s="798"/>
      <c r="L87" s="286">
        <v>17</v>
      </c>
      <c r="M87" s="798"/>
      <c r="N87" s="286">
        <v>18</v>
      </c>
    </row>
    <row r="88" spans="1:14" x14ac:dyDescent="0.2">
      <c r="A88" s="22"/>
      <c r="B88" s="18"/>
      <c r="C88" s="22"/>
      <c r="D88" s="18"/>
      <c r="E88" s="22"/>
      <c r="F88" s="18"/>
      <c r="G88" s="22"/>
      <c r="H88" s="18"/>
      <c r="I88" s="22"/>
      <c r="J88" s="18"/>
      <c r="K88" s="799"/>
      <c r="L88" s="135"/>
      <c r="M88" s="799"/>
      <c r="N88" s="135"/>
    </row>
    <row r="89" spans="1:14" ht="13.5" thickBot="1" x14ac:dyDescent="0.25">
      <c r="A89" s="22"/>
      <c r="B89" s="18"/>
      <c r="C89" s="22"/>
      <c r="D89" s="18"/>
      <c r="E89" s="22"/>
      <c r="F89" s="18"/>
      <c r="G89" s="22"/>
      <c r="H89" s="18"/>
      <c r="I89" s="22"/>
      <c r="J89" s="18"/>
      <c r="K89" s="814"/>
      <c r="L89" s="135"/>
      <c r="M89" s="814"/>
      <c r="N89" s="135"/>
    </row>
    <row r="90" spans="1:14" x14ac:dyDescent="0.2">
      <c r="A90" s="20"/>
      <c r="B90" s="178">
        <v>19</v>
      </c>
      <c r="C90" s="20"/>
      <c r="D90" s="178">
        <v>20</v>
      </c>
      <c r="E90" s="20"/>
      <c r="F90" s="178">
        <v>21</v>
      </c>
      <c r="G90" s="20"/>
      <c r="H90" s="178">
        <v>22</v>
      </c>
      <c r="I90" s="20"/>
      <c r="J90" s="178">
        <v>23</v>
      </c>
      <c r="K90" s="1138" t="str">
        <f>HYPERLINK("#V12!M1","Voka 1. sise-KV 12 .etapp, ")</f>
        <v xml:space="preserve">Voka 1. sise-KV 12 .etapp, </v>
      </c>
      <c r="L90" s="286">
        <v>24</v>
      </c>
      <c r="M90" s="1172" t="str">
        <f>HYPERLINK("#5!H1","SHK KV 5. etapp, ")</f>
        <v xml:space="preserve">SHK KV 5. etapp, </v>
      </c>
      <c r="N90" s="286">
        <v>25</v>
      </c>
    </row>
    <row r="91" spans="1:14" x14ac:dyDescent="0.2">
      <c r="A91" s="22"/>
      <c r="B91" s="18"/>
      <c r="C91" s="22"/>
      <c r="D91" s="774" t="s">
        <v>468</v>
      </c>
      <c r="E91" s="22"/>
      <c r="F91" s="18"/>
      <c r="G91" s="22"/>
      <c r="H91" s="18"/>
      <c r="I91" s="22"/>
      <c r="J91" s="18"/>
      <c r="K91" s="1132" t="s">
        <v>8</v>
      </c>
      <c r="L91" s="1123"/>
      <c r="M91" s="272" t="s">
        <v>9</v>
      </c>
      <c r="N91" s="1114"/>
    </row>
    <row r="92" spans="1:14" ht="13.5" thickBot="1" x14ac:dyDescent="0.25">
      <c r="A92" s="23"/>
      <c r="B92" s="34"/>
      <c r="C92" s="23"/>
      <c r="D92" s="34"/>
      <c r="E92" s="23"/>
      <c r="F92" s="19"/>
      <c r="G92" s="23"/>
      <c r="H92" s="34"/>
      <c r="I92" s="23"/>
      <c r="J92" s="34"/>
      <c r="K92" s="1072" t="str">
        <f>HYPERLINK("https://kaart.delfi.ee/?bookmark=236e0f8de3f3d8e7138807663f9b5d14","Voka petangihall")</f>
        <v>Voka petangihall</v>
      </c>
      <c r="L92" s="1171"/>
      <c r="M92" s="1430" t="str">
        <f>HYPERLINK("https://kaart.delfi.ee/?bookmark=225e5f274dc79e88e106035de3e50b2d","K-Järve petangihall")</f>
        <v>K-Järve petangihall</v>
      </c>
      <c r="N92" s="1173"/>
    </row>
    <row r="93" spans="1:14" x14ac:dyDescent="0.2">
      <c r="A93" s="820"/>
      <c r="B93" s="178">
        <v>26</v>
      </c>
      <c r="C93" s="832"/>
      <c r="D93" s="178">
        <v>27</v>
      </c>
      <c r="E93" s="820"/>
      <c r="F93" s="178">
        <v>28</v>
      </c>
      <c r="G93" s="833"/>
      <c r="H93" s="178">
        <v>29</v>
      </c>
      <c r="I93" s="834"/>
      <c r="J93" s="181">
        <v>30</v>
      </c>
      <c r="K93" s="798"/>
      <c r="L93" s="1174">
        <v>31</v>
      </c>
      <c r="M93" s="1175"/>
      <c r="N93" s="1175"/>
    </row>
    <row r="94" spans="1:14" ht="13.5" thickBot="1" x14ac:dyDescent="0.25">
      <c r="A94" s="823"/>
      <c r="B94" s="836"/>
      <c r="C94" s="847"/>
      <c r="D94" s="836"/>
      <c r="E94" s="823"/>
      <c r="F94" s="836"/>
      <c r="G94" s="823"/>
      <c r="H94" s="836"/>
      <c r="I94" s="823"/>
      <c r="J94" s="836"/>
      <c r="K94" s="799"/>
      <c r="L94" s="1176"/>
      <c r="M94" s="1175"/>
      <c r="N94" s="1175"/>
    </row>
    <row r="95" spans="1:14" s="5" customFormat="1" ht="13.5" thickBot="1" x14ac:dyDescent="0.25">
      <c r="A95" s="829"/>
      <c r="B95" s="827"/>
      <c r="C95" s="840"/>
      <c r="D95" s="827"/>
      <c r="E95" s="829"/>
      <c r="F95" s="827"/>
      <c r="G95" s="841"/>
      <c r="H95" s="827"/>
      <c r="I95" s="839"/>
      <c r="J95" s="827"/>
      <c r="K95" s="814"/>
      <c r="L95" s="930"/>
      <c r="M95" s="1383" t="str">
        <f>HYPERLINK("http://www.petanque.ee/index.php?id=103589&amp;cid=547","Naljaturniir, ")</f>
        <v xml:space="preserve">Naljaturniir, </v>
      </c>
      <c r="N95" s="181">
        <v>1</v>
      </c>
    </row>
    <row r="96" spans="1:14" s="266" customFormat="1" x14ac:dyDescent="0.2">
      <c r="A96" s="850" t="s">
        <v>139</v>
      </c>
      <c r="B96" s="851"/>
      <c r="C96" s="931"/>
      <c r="D96" s="932"/>
      <c r="F96" s="932"/>
      <c r="H96" s="932"/>
      <c r="I96" s="932"/>
      <c r="J96" s="932"/>
      <c r="K96" s="410"/>
      <c r="L96" s="466"/>
      <c r="M96" s="410" t="s">
        <v>519</v>
      </c>
      <c r="N96" s="836"/>
    </row>
    <row r="97" spans="1:18" s="266" customFormat="1" ht="13.5" thickBot="1" x14ac:dyDescent="0.25">
      <c r="A97" s="933"/>
      <c r="B97" s="932"/>
      <c r="D97" s="932"/>
      <c r="F97" s="932"/>
      <c r="H97" s="932"/>
      <c r="I97" s="932"/>
      <c r="J97" s="932"/>
      <c r="K97" s="410"/>
      <c r="L97" s="934"/>
      <c r="M97" s="1384" t="str">
        <f>HYPERLINK("https://kaart.delfi.ee/?bookmark=0807568cf7d8a03cedbb545921254497","Tallinn, Algi 38")</f>
        <v>Tallinn, Algi 38</v>
      </c>
      <c r="N97" s="827"/>
      <c r="P97" s="3"/>
      <c r="Q97" s="3"/>
      <c r="R97" s="3"/>
    </row>
    <row r="98" spans="1:18" x14ac:dyDescent="0.2">
      <c r="A98" s="820"/>
      <c r="B98" s="178">
        <v>2</v>
      </c>
      <c r="C98" s="832"/>
      <c r="D98" s="178">
        <v>3</v>
      </c>
      <c r="E98" s="820"/>
      <c r="F98" s="178">
        <v>4</v>
      </c>
      <c r="G98" s="833"/>
      <c r="H98" s="178">
        <v>5</v>
      </c>
      <c r="I98" s="834"/>
      <c r="J98" s="178">
        <v>6</v>
      </c>
      <c r="K98" s="1138" t="str">
        <f>HYPERLINK("#V13!M1","Voka 1. sise-KV 13 .etapp, ")</f>
        <v xml:space="preserve">Voka 1. sise-KV 13 .etapp, </v>
      </c>
      <c r="L98" s="178">
        <v>7</v>
      </c>
      <c r="M98" s="1400" t="str">
        <f>HYPERLINK("https://www.facebook.com/ivpetanque","Korbi karikas 1. etapp, ")</f>
        <v xml:space="preserve">Korbi karikas 1. etapp, </v>
      </c>
      <c r="N98" s="178">
        <v>8</v>
      </c>
    </row>
    <row r="99" spans="1:18" x14ac:dyDescent="0.2">
      <c r="A99" s="823"/>
      <c r="B99" s="836"/>
      <c r="C99" s="847"/>
      <c r="D99" s="836"/>
      <c r="E99" s="823"/>
      <c r="F99" s="836"/>
      <c r="G99" s="823"/>
      <c r="H99" s="836"/>
      <c r="I99" s="835"/>
      <c r="J99" s="835"/>
      <c r="K99" s="1132" t="s">
        <v>8</v>
      </c>
      <c r="L99" s="848"/>
      <c r="M99" s="815" t="s">
        <v>483</v>
      </c>
      <c r="N99" s="816" t="str">
        <f>HYPERLINK("https://webzone.ee/petank/juhendid/korbi-kv-juhend.pdf","juh")</f>
        <v>juh</v>
      </c>
    </row>
    <row r="100" spans="1:18" ht="13.5" thickBot="1" x14ac:dyDescent="0.25">
      <c r="A100" s="829"/>
      <c r="B100" s="827"/>
      <c r="C100" s="840"/>
      <c r="D100" s="827"/>
      <c r="E100" s="829"/>
      <c r="F100" s="827"/>
      <c r="G100" s="841"/>
      <c r="H100" s="827"/>
      <c r="I100" s="839"/>
      <c r="J100" s="842"/>
      <c r="K100" s="723" t="str">
        <f>HYPERLINK("https://kaart.delfi.ee/?bookmark=236e0f8de3f3d8e7138807663f9b5d14","Voka petangihall")</f>
        <v>Voka petangihall</v>
      </c>
      <c r="L100" s="849"/>
      <c r="M100" s="723" t="str">
        <f>HYPERLINK("https://kaart.delfi.ee/?bookmark=236e0f8de3f3d8e7138807663f9b5d14","Voka petangihall")</f>
        <v>Voka petangihall</v>
      </c>
      <c r="N100" s="817"/>
    </row>
    <row r="101" spans="1:18" x14ac:dyDescent="0.2">
      <c r="A101" s="818"/>
      <c r="B101" s="178">
        <v>9</v>
      </c>
      <c r="C101" s="819"/>
      <c r="D101" s="178">
        <v>10</v>
      </c>
      <c r="E101" s="818"/>
      <c r="F101" s="178">
        <v>11</v>
      </c>
      <c r="G101" s="820"/>
      <c r="H101" s="257">
        <v>12</v>
      </c>
      <c r="I101" s="820"/>
      <c r="J101" s="178">
        <v>13</v>
      </c>
      <c r="K101" s="1385" t="str">
        <f>HYPERLINK("#'Reg-Fin'!I1","Regioonide karika ")</f>
        <v xml:space="preserve">Regioonide karika </v>
      </c>
      <c r="L101" s="178">
        <v>14</v>
      </c>
      <c r="M101" s="1172" t="str">
        <f>HYPERLINK("https://www.facebook.com/ivpetanque/","SHK KV 6. etapp, ")</f>
        <v xml:space="preserve">SHK KV 6. etapp, </v>
      </c>
      <c r="N101" s="178">
        <v>15</v>
      </c>
    </row>
    <row r="102" spans="1:18" s="928" customFormat="1" x14ac:dyDescent="0.2">
      <c r="A102" s="821"/>
      <c r="B102" s="38"/>
      <c r="C102" s="822"/>
      <c r="D102" s="38"/>
      <c r="E102" s="821"/>
      <c r="F102" s="38"/>
      <c r="G102" s="823"/>
      <c r="H102" s="824"/>
      <c r="I102" s="823"/>
      <c r="J102" s="824"/>
      <c r="K102" s="1386" t="s">
        <v>137</v>
      </c>
      <c r="L102" s="824"/>
      <c r="M102" s="272" t="s">
        <v>8</v>
      </c>
      <c r="N102" s="825"/>
      <c r="O102" s="3"/>
      <c r="P102" s="3"/>
      <c r="Q102" s="3"/>
      <c r="R102" s="3"/>
    </row>
    <row r="103" spans="1:18" ht="13.5" thickBot="1" x14ac:dyDescent="0.25">
      <c r="A103" s="826"/>
      <c r="B103" s="827"/>
      <c r="C103" s="828"/>
      <c r="D103" s="827"/>
      <c r="E103" s="826"/>
      <c r="F103" s="827"/>
      <c r="G103" s="829"/>
      <c r="H103" s="830"/>
      <c r="I103" s="829"/>
      <c r="J103" s="830"/>
      <c r="K103" s="1387" t="str">
        <f>HYPERLINK("https://kaart.delfi.ee/?bookmark=0807568cf7d8a03cedbb545921254497","Tallinn, Algi 38")</f>
        <v>Tallinn, Algi 38</v>
      </c>
      <c r="L103" s="830"/>
      <c r="M103" s="1430" t="str">
        <f>HYPERLINK("https://kaart.delfi.ee/?bookmark=225e5f274dc79e88e106035de3e50b2d","K-Järve petangihall")</f>
        <v>K-Järve petangihall</v>
      </c>
      <c r="N103" s="831"/>
    </row>
    <row r="104" spans="1:18" x14ac:dyDescent="0.2">
      <c r="A104" s="820"/>
      <c r="B104" s="178">
        <v>16</v>
      </c>
      <c r="C104" s="820"/>
      <c r="D104" s="178">
        <v>17</v>
      </c>
      <c r="E104" s="832"/>
      <c r="F104" s="178">
        <v>18</v>
      </c>
      <c r="G104" s="833"/>
      <c r="H104" s="178">
        <v>19</v>
      </c>
      <c r="I104" s="834"/>
      <c r="J104" s="178">
        <v>20</v>
      </c>
      <c r="K104" s="1138" t="str">
        <f>HYPERLINK("#V14!M1","Voka 1. sise-KV finaal, ")</f>
        <v xml:space="preserve">Voka 1. sise-KV finaal, </v>
      </c>
      <c r="L104" s="178">
        <v>21</v>
      </c>
      <c r="M104" s="1172" t="str">
        <f>HYPERLINK("#74!H1","SHK KV 7. etapp, ")</f>
        <v xml:space="preserve">SHK KV 7. etapp, </v>
      </c>
      <c r="N104" s="178">
        <v>22</v>
      </c>
    </row>
    <row r="105" spans="1:18" x14ac:dyDescent="0.2">
      <c r="A105" s="823"/>
      <c r="B105" s="835"/>
      <c r="C105" s="823"/>
      <c r="D105" s="836"/>
      <c r="E105" s="823"/>
      <c r="F105" s="835"/>
      <c r="G105" s="837"/>
      <c r="H105" s="836"/>
      <c r="I105" s="835"/>
      <c r="J105" s="835"/>
      <c r="K105" s="1132" t="s">
        <v>562</v>
      </c>
      <c r="L105" s="838"/>
      <c r="M105" s="272" t="s">
        <v>540</v>
      </c>
      <c r="N105" s="825"/>
    </row>
    <row r="106" spans="1:18" ht="13.5" thickBot="1" x14ac:dyDescent="0.25">
      <c r="A106" s="829"/>
      <c r="B106" s="839"/>
      <c r="C106" s="829"/>
      <c r="D106" s="827"/>
      <c r="E106" s="840"/>
      <c r="F106" s="839"/>
      <c r="G106" s="841"/>
      <c r="H106" s="827"/>
      <c r="I106" s="839"/>
      <c r="J106" s="842"/>
      <c r="K106" s="723" t="str">
        <f>HYPERLINK("https://kaart.delfi.ee/?bookmark=236e0f8de3f3d8e7138807663f9b5d14","Voka petangihall")</f>
        <v>Voka petangihall</v>
      </c>
      <c r="L106" s="843"/>
      <c r="M106" s="1430" t="str">
        <f>HYPERLINK("https://kaart.delfi.ee/?bookmark=225e5f274dc79e88e106035de3e50b2d","K-Järve petangihall")</f>
        <v>K-Järve petangihall</v>
      </c>
      <c r="N106" s="831"/>
    </row>
    <row r="107" spans="1:18" x14ac:dyDescent="0.2">
      <c r="A107" s="820"/>
      <c r="B107" s="257">
        <v>23</v>
      </c>
      <c r="C107" s="820"/>
      <c r="D107" s="178">
        <v>24</v>
      </c>
      <c r="E107" s="832"/>
      <c r="F107" s="178">
        <v>25</v>
      </c>
      <c r="G107" s="833"/>
      <c r="H107" s="178">
        <v>26</v>
      </c>
      <c r="I107" s="834"/>
      <c r="J107" s="178">
        <v>27</v>
      </c>
      <c r="K107" s="558" t="str">
        <f>HYPERLINK("http://www.petanque.ee/index.php?id=103589&amp;cid=559","14. Tartu Vaim, ")</f>
        <v xml:space="preserve">14. Tartu Vaim, </v>
      </c>
      <c r="L107" s="178">
        <v>28</v>
      </c>
      <c r="M107" s="1400" t="str">
        <f>HYPERLINK("https://www.facebook.com/ivpetanque","Korbi karikas 2. etapp, ")</f>
        <v xml:space="preserve">Korbi karikas 2. etapp, </v>
      </c>
      <c r="N107" s="178">
        <v>29</v>
      </c>
    </row>
    <row r="108" spans="1:18" x14ac:dyDescent="0.2">
      <c r="A108" s="823"/>
      <c r="B108" s="835"/>
      <c r="C108" s="823"/>
      <c r="D108" s="844"/>
      <c r="E108" s="823"/>
      <c r="F108" s="836"/>
      <c r="G108" s="837"/>
      <c r="H108" s="836"/>
      <c r="I108" s="835"/>
      <c r="J108" s="835"/>
      <c r="K108" s="845" t="s">
        <v>426</v>
      </c>
      <c r="L108" s="738" t="str">
        <f>HYPERLINK("https://sites.google.com/site/tartupetank/tartu-vaim","inf")</f>
        <v>inf</v>
      </c>
      <c r="M108" s="815" t="s">
        <v>482</v>
      </c>
      <c r="N108" s="846"/>
    </row>
    <row r="109" spans="1:18" ht="13.5" thickBot="1" x14ac:dyDescent="0.25">
      <c r="A109" s="829"/>
      <c r="B109" s="839"/>
      <c r="C109" s="826"/>
      <c r="D109" s="827"/>
      <c r="E109" s="826"/>
      <c r="F109" s="827"/>
      <c r="G109" s="841"/>
      <c r="H109" s="827"/>
      <c r="I109" s="839"/>
      <c r="J109" s="839"/>
      <c r="K109" s="559" t="str">
        <f>HYPERLINK("https://kaart.delfi.ee/?bookmark=d9da63566809feae32e6ca75683e42cd","Tartu, Lossi 25")</f>
        <v>Tartu, Lossi 25</v>
      </c>
      <c r="L109" s="812" t="str">
        <f>HYPERLINK("http://www.petanque.ee/pcalendar/3a0772443a0739141292a5429b952fe6/99e5af987dbcfb3a04e44e170eed6815.docx","juh")</f>
        <v>juh</v>
      </c>
      <c r="M109" s="1399" t="str">
        <f>HYPERLINK("https://kaart.delfi.ee/?bookmark=521b80d6ceeefbe3e5d227267242b576","K-Järve Spordihoone")</f>
        <v>K-Järve Spordihoone</v>
      </c>
      <c r="N109" s="817"/>
    </row>
    <row r="110" spans="1:18" x14ac:dyDescent="0.2">
      <c r="A110" s="917"/>
      <c r="B110" s="178">
        <v>30</v>
      </c>
      <c r="C110" s="822"/>
      <c r="D110" s="835"/>
      <c r="E110" s="822"/>
      <c r="F110" s="835"/>
      <c r="G110" s="835"/>
      <c r="H110" s="835"/>
      <c r="N110" s="3"/>
    </row>
    <row r="111" spans="1:18" x14ac:dyDescent="0.2">
      <c r="A111" s="860"/>
      <c r="B111" s="891"/>
      <c r="C111" s="822"/>
      <c r="D111" s="835"/>
      <c r="E111" s="822"/>
      <c r="F111" s="835"/>
      <c r="G111" s="835"/>
      <c r="H111" s="835"/>
      <c r="N111" s="3"/>
    </row>
    <row r="112" spans="1:18" ht="13.5" thickBot="1" x14ac:dyDescent="0.25">
      <c r="A112" s="829"/>
      <c r="B112" s="1208"/>
      <c r="C112" s="822"/>
      <c r="D112" s="835"/>
      <c r="E112" s="822"/>
      <c r="F112" s="835"/>
      <c r="G112" s="835"/>
      <c r="H112" s="835"/>
      <c r="N112" s="3"/>
    </row>
    <row r="113" spans="1:18" hidden="1" x14ac:dyDescent="0.2">
      <c r="A113" s="850" t="s">
        <v>138</v>
      </c>
      <c r="B113" s="851"/>
      <c r="C113" s="852"/>
      <c r="D113" s="835"/>
      <c r="E113" s="822"/>
      <c r="F113" s="835"/>
      <c r="G113" s="835"/>
      <c r="H113" s="835"/>
      <c r="N113" s="3"/>
    </row>
    <row r="114" spans="1:18" s="5" customFormat="1" hidden="1" x14ac:dyDescent="0.2">
      <c r="A114" s="853"/>
      <c r="B114" s="273">
        <v>30</v>
      </c>
      <c r="C114" s="787"/>
      <c r="D114" s="788">
        <v>1</v>
      </c>
      <c r="E114" s="820"/>
      <c r="F114" s="257">
        <v>2</v>
      </c>
      <c r="G114" s="777" t="s">
        <v>534</v>
      </c>
      <c r="H114" s="778">
        <v>3</v>
      </c>
      <c r="I114" s="834"/>
      <c r="J114" s="178">
        <v>4</v>
      </c>
      <c r="K114" s="854" t="str">
        <f>HYPERLINK("http://www.petanque.ee/index.php?id=103589&amp;cid=551","14. Klubide karikas, ")</f>
        <v xml:space="preserve">14. Klubide karikas, </v>
      </c>
      <c r="L114" s="178">
        <v>5</v>
      </c>
      <c r="M114" s="854" t="str">
        <f>HYPERLINK("http://www.petanque.ee/index.php?id=103589&amp;cid=551","14. Klubide karikas, ")</f>
        <v xml:space="preserve">14. Klubide karikas, </v>
      </c>
      <c r="N114" s="178">
        <v>6</v>
      </c>
      <c r="P114" s="3"/>
      <c r="Q114" s="3"/>
      <c r="R114" s="3"/>
    </row>
    <row r="115" spans="1:18" s="266" customFormat="1" hidden="1" x14ac:dyDescent="0.2">
      <c r="A115" s="855"/>
      <c r="B115" s="856"/>
      <c r="C115" s="797" t="s">
        <v>538</v>
      </c>
      <c r="D115" s="785"/>
      <c r="E115" s="823"/>
      <c r="F115" s="835"/>
      <c r="G115" s="779" t="s">
        <v>535</v>
      </c>
      <c r="H115" s="272"/>
      <c r="I115" s="857"/>
      <c r="J115" s="858"/>
      <c r="K115" s="789" t="s">
        <v>536</v>
      </c>
      <c r="L115" s="859"/>
      <c r="M115" s="790" t="s">
        <v>536</v>
      </c>
      <c r="N115" s="858"/>
      <c r="P115" s="3"/>
      <c r="Q115" s="3"/>
      <c r="R115" s="3"/>
    </row>
    <row r="116" spans="1:18" s="266" customFormat="1" hidden="1" x14ac:dyDescent="0.2">
      <c r="A116" s="855"/>
      <c r="B116" s="856"/>
      <c r="C116" s="786" t="s">
        <v>7</v>
      </c>
      <c r="D116" s="785"/>
      <c r="E116" s="860"/>
      <c r="F116" s="835"/>
      <c r="G116" s="780" t="s">
        <v>533</v>
      </c>
      <c r="H116" s="272"/>
      <c r="I116" s="857"/>
      <c r="J116" s="858"/>
      <c r="K116" s="790" t="s">
        <v>537</v>
      </c>
      <c r="L116" s="858"/>
      <c r="M116" s="790" t="s">
        <v>537</v>
      </c>
      <c r="N116" s="858"/>
      <c r="P116" s="3"/>
      <c r="Q116" s="3"/>
      <c r="R116" s="3"/>
    </row>
    <row r="117" spans="1:18" s="266" customFormat="1" hidden="1" x14ac:dyDescent="0.2">
      <c r="A117" s="855"/>
      <c r="B117" s="856"/>
      <c r="C117" s="813" t="str">
        <f>HYPERLINK("https://kaart.delfi.ee/?bookmark=ebd616e171f4882941c876d5ba118858","Voka")</f>
        <v>Voka</v>
      </c>
      <c r="D117" s="785"/>
      <c r="E117" s="860"/>
      <c r="F117" s="835"/>
      <c r="G117" s="779" t="s">
        <v>9</v>
      </c>
      <c r="H117" s="272"/>
      <c r="I117" s="857"/>
      <c r="J117" s="858"/>
      <c r="K117" s="806" t="str">
        <f>HYPERLINK("https://kaart.delfi.ee/?bookmark=ebd616e171f4882941c876d5ba118858","Voka staadion")</f>
        <v>Voka staadion</v>
      </c>
      <c r="L117" s="947" t="str">
        <f>HYPERLINK("http://www.petanque.ee/juhendid/klubide-karikas-2018/","juh")</f>
        <v>juh</v>
      </c>
      <c r="M117" s="808" t="str">
        <f>HYPERLINK("https://kaart.delfi.ee/?bookmark=ebd616e171f4882941c876d5ba118858","Voka staadion")</f>
        <v>Voka staadion</v>
      </c>
      <c r="N117" s="807"/>
      <c r="P117" s="3"/>
      <c r="Q117" s="3"/>
      <c r="R117" s="3"/>
    </row>
    <row r="118" spans="1:18" s="624" customFormat="1" hidden="1" x14ac:dyDescent="0.2">
      <c r="A118" s="627"/>
      <c r="B118" s="620"/>
      <c r="C118" s="939" t="str">
        <f>HYPERLINK("http://www.petanque.ee/index.php?id=103768&amp;cid=620","Kohtunike koolitus")</f>
        <v>Kohtunike koolitus</v>
      </c>
      <c r="D118" s="937"/>
      <c r="E118" s="621"/>
      <c r="F118" s="795"/>
      <c r="G118" s="794" t="str">
        <f>HYPERLINK("https://kaart.delfi.ee/?bookmark=521b80d6ceeefbe3e5d227267242b576","K-Järve")</f>
        <v>K-Järve</v>
      </c>
      <c r="H118" s="775"/>
      <c r="I118" s="776" t="s">
        <v>452</v>
      </c>
      <c r="J118" s="622"/>
      <c r="K118" s="861" t="s">
        <v>453</v>
      </c>
      <c r="L118" s="809"/>
      <c r="M118" s="862" t="s">
        <v>454</v>
      </c>
      <c r="N118" s="974" t="str">
        <f>HYPERLINK("https://www.facebook.com/events/346487295841419/","inf")</f>
        <v>inf</v>
      </c>
      <c r="O118" s="623"/>
      <c r="P118" s="3"/>
      <c r="Q118" s="3"/>
      <c r="R118" s="3"/>
    </row>
    <row r="119" spans="1:18" s="47" customFormat="1" ht="13.5" hidden="1" customHeight="1" thickBot="1" x14ac:dyDescent="0.25">
      <c r="A119" s="628"/>
      <c r="B119" s="629"/>
      <c r="C119" s="938" t="str">
        <f>HYPERLINK("https://kaart.delfi.ee/?bookmark=0807568cf7d8a03cedbb545921254497","Tallinn")</f>
        <v>Tallinn</v>
      </c>
      <c r="D119" s="386"/>
      <c r="E119" s="791"/>
      <c r="F119" s="796"/>
      <c r="G119" s="793"/>
      <c r="H119" s="792"/>
      <c r="I119" s="863" t="s">
        <v>455</v>
      </c>
      <c r="J119" s="386"/>
      <c r="K119" s="864" t="s">
        <v>455</v>
      </c>
      <c r="L119" s="386"/>
      <c r="M119" s="864" t="s">
        <v>455</v>
      </c>
      <c r="N119" s="625" t="str">
        <f>HYPERLINK("http://petanque.org.ua/services/calendar/","kal")</f>
        <v>kal</v>
      </c>
      <c r="O119" s="626"/>
      <c r="P119" s="3"/>
      <c r="Q119" s="3"/>
      <c r="R119" s="3"/>
    </row>
    <row r="120" spans="1:18" hidden="1" x14ac:dyDescent="0.2"/>
    <row r="121" spans="1:18" s="866" customFormat="1" hidden="1" x14ac:dyDescent="0.2">
      <c r="A121" s="865" t="s">
        <v>12</v>
      </c>
      <c r="B121" s="488"/>
      <c r="C121" s="488"/>
      <c r="D121" s="488"/>
      <c r="N121" s="7" t="str">
        <f>HYPERLINK("https://kaart.delfi.ee/?bookmark=521b80d6ceeefbe3e5d227267242b576","Link Delfi kaardile")</f>
        <v>Link Delfi kaardile</v>
      </c>
      <c r="P121" s="3"/>
      <c r="Q121" s="3"/>
      <c r="R121" s="3"/>
    </row>
    <row r="122" spans="1:18" s="866" customFormat="1" x14ac:dyDescent="0.2">
      <c r="A122" s="867" t="s">
        <v>13</v>
      </c>
      <c r="B122" s="868"/>
      <c r="C122" s="868"/>
      <c r="D122" s="868"/>
      <c r="E122" s="868"/>
      <c r="F122" s="868"/>
      <c r="G122" s="868"/>
      <c r="H122" s="868"/>
      <c r="I122" s="868"/>
      <c r="J122" s="868"/>
      <c r="K122" s="868"/>
      <c r="L122" s="869"/>
      <c r="M122" s="869"/>
      <c r="N122" s="869"/>
      <c r="P122" s="3"/>
      <c r="Q122" s="3"/>
      <c r="R122" s="3"/>
    </row>
    <row r="123" spans="1:18" s="866" customFormat="1" x14ac:dyDescent="0.2">
      <c r="A123" s="48" t="s">
        <v>362</v>
      </c>
      <c r="B123" s="868"/>
      <c r="C123" s="868"/>
      <c r="D123" s="868"/>
      <c r="E123" s="868"/>
      <c r="F123" s="868"/>
      <c r="G123" s="868"/>
      <c r="H123" s="868"/>
      <c r="I123" s="868"/>
      <c r="J123" s="868"/>
      <c r="K123" s="868"/>
      <c r="L123" s="868"/>
      <c r="M123" s="868"/>
      <c r="N123" s="868"/>
    </row>
    <row r="124" spans="1:18" s="869" customFormat="1" x14ac:dyDescent="0.2">
      <c r="A124" s="49" t="s">
        <v>144</v>
      </c>
    </row>
    <row r="125" spans="1:18" s="866" customFormat="1" x14ac:dyDescent="0.2">
      <c r="A125" s="287" t="s">
        <v>582</v>
      </c>
      <c r="B125" s="870"/>
      <c r="C125" s="870"/>
      <c r="D125" s="870"/>
      <c r="E125" s="870"/>
      <c r="F125" s="870"/>
      <c r="G125" s="870"/>
      <c r="H125" s="870"/>
      <c r="I125" s="870"/>
      <c r="J125" s="870"/>
      <c r="K125" s="870"/>
      <c r="L125" s="870"/>
      <c r="M125" s="870"/>
      <c r="N125" s="870"/>
    </row>
    <row r="126" spans="1:18" s="866" customFormat="1" x14ac:dyDescent="0.2">
      <c r="A126" s="871" t="s">
        <v>14</v>
      </c>
      <c r="N126" s="240" t="s">
        <v>62</v>
      </c>
    </row>
    <row r="127" spans="1:18" s="11" customFormat="1" x14ac:dyDescent="0.2">
      <c r="A127" s="9"/>
      <c r="B127" s="10"/>
      <c r="E127" s="12"/>
      <c r="F127" s="12"/>
      <c r="H127" s="2"/>
    </row>
  </sheetData>
  <mergeCells count="1">
    <mergeCell ref="I3:J3"/>
  </mergeCells>
  <hyperlinks>
    <hyperlink ref="N82" r:id="rId1"/>
    <hyperlink ref="L82" r:id="rId2"/>
  </hyperlinks>
  <printOptions horizontalCentered="1"/>
  <pageMargins left="0.31496062992125984" right="0.31496062992125984" top="0.51181102362204722" bottom="0.31496062992125984" header="0.31496062992125984" footer="0"/>
  <pageSetup paperSize="9" fitToHeight="0" orientation="portrait" r:id="rId3"/>
  <headerFooter>
    <oddHeader>&amp;R&amp;"Arial,Regular"&amp;9Page &amp;P of &amp;N</oddHeader>
  </headerFooter>
  <rowBreaks count="1" manualBreakCount="1">
    <brk id="61" max="16383" man="1"/>
  </rowBreaks>
  <drawing r:id="rId4"/>
  <legacy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CC00"/>
    <pageSetUpPr fitToPage="1"/>
  </sheetPr>
  <dimension ref="A1:X37"/>
  <sheetViews>
    <sheetView showGridLines="0" showRowColHeaders="0" zoomScaleNormal="100" workbookViewId="0">
      <pane ySplit="6" topLeftCell="A7" activePane="bottomLeft" state="frozen"/>
      <selection activeCell="X1" sqref="X1"/>
      <selection pane="bottomLeft" activeCell="Y1" sqref="Y1"/>
    </sheetView>
  </sheetViews>
  <sheetFormatPr defaultRowHeight="12.75" x14ac:dyDescent="0.2"/>
  <cols>
    <col min="1" max="2" width="3.28515625" style="195" customWidth="1"/>
    <col min="3" max="3" width="17.85546875" style="195" customWidth="1"/>
    <col min="4" max="4" width="2.28515625" style="203" hidden="1" customWidth="1"/>
    <col min="5" max="5" width="1.85546875" style="203" hidden="1" customWidth="1"/>
    <col min="6" max="7" width="4" style="203" customWidth="1"/>
    <col min="8" max="8" width="21.140625" style="203" hidden="1" customWidth="1"/>
    <col min="9" max="9" width="26.5703125" style="203" hidden="1" customWidth="1"/>
    <col min="10" max="10" width="9.140625" style="203" hidden="1" customWidth="1"/>
    <col min="11" max="11" width="7.5703125" style="203" hidden="1" customWidth="1"/>
    <col min="12" max="12" width="30.28515625" style="203" hidden="1" customWidth="1"/>
    <col min="13" max="13" width="14.28515625" style="203" hidden="1" customWidth="1"/>
    <col min="14" max="20" width="6.7109375" style="196" customWidth="1"/>
    <col min="21" max="23" width="3.28515625" style="195" bestFit="1" customWidth="1"/>
    <col min="24" max="24" width="7.140625" style="195" bestFit="1" customWidth="1"/>
    <col min="25" max="16384" width="9.140625" style="195"/>
  </cols>
  <sheetData>
    <row r="1" spans="1:24" x14ac:dyDescent="0.2">
      <c r="B1" s="32"/>
      <c r="C1" s="193" t="s">
        <v>618</v>
      </c>
      <c r="D1" s="498"/>
      <c r="E1" s="498"/>
      <c r="G1" s="32"/>
      <c r="H1" s="498"/>
      <c r="I1" s="498"/>
      <c r="J1" s="498"/>
      <c r="K1" s="498"/>
      <c r="L1" s="499" t="s">
        <v>379</v>
      </c>
      <c r="M1" s="498"/>
      <c r="N1" s="32"/>
      <c r="O1" s="32"/>
      <c r="T1" s="52" t="s">
        <v>114</v>
      </c>
      <c r="W1" s="307" t="str">
        <f>HYPERLINK("#'Kal E'!N1","Kalender")</f>
        <v>Kalender</v>
      </c>
    </row>
    <row r="2" spans="1:24" x14ac:dyDescent="0.2">
      <c r="B2" s="32"/>
      <c r="C2" s="194" t="s">
        <v>571</v>
      </c>
      <c r="D2" s="32"/>
      <c r="E2" s="32"/>
      <c r="G2" s="32"/>
      <c r="H2" s="32"/>
      <c r="I2" s="32"/>
      <c r="K2" s="32"/>
      <c r="L2" s="32"/>
      <c r="M2" s="32"/>
      <c r="N2" s="32"/>
      <c r="O2" s="32"/>
      <c r="P2" s="32"/>
      <c r="Q2" s="32"/>
      <c r="R2" s="32"/>
      <c r="T2" s="32"/>
      <c r="W2" s="32"/>
    </row>
    <row r="3" spans="1:24" ht="12.75" customHeight="1" x14ac:dyDescent="0.2">
      <c r="B3" s="197"/>
      <c r="C3" s="258" t="s">
        <v>572</v>
      </c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447" t="s">
        <v>16</v>
      </c>
      <c r="V3" s="1446" t="s">
        <v>17</v>
      </c>
      <c r="W3" s="1448" t="s">
        <v>18</v>
      </c>
      <c r="X3" s="1449" t="s">
        <v>594</v>
      </c>
    </row>
    <row r="4" spans="1:24" ht="31.5" customHeight="1" x14ac:dyDescent="0.2">
      <c r="A4" s="479" t="s">
        <v>15</v>
      </c>
      <c r="B4" s="479" t="s">
        <v>15</v>
      </c>
      <c r="C4" s="480" t="s">
        <v>15</v>
      </c>
      <c r="D4" s="478"/>
      <c r="E4" s="478"/>
      <c r="F4" s="481" t="s">
        <v>15</v>
      </c>
      <c r="G4" s="478"/>
      <c r="H4" s="478" t="s">
        <v>345</v>
      </c>
      <c r="I4" s="478"/>
      <c r="J4" s="491" t="s">
        <v>350</v>
      </c>
      <c r="K4" s="478" t="s">
        <v>344</v>
      </c>
      <c r="L4" s="478" t="s">
        <v>348</v>
      </c>
      <c r="M4" s="493" t="s">
        <v>396</v>
      </c>
      <c r="N4" s="185" t="str">
        <f>MID(Kalend!A9,4,5)</f>
        <v>19.11</v>
      </c>
      <c r="O4" s="185" t="str">
        <f>MID(Kalend!A15,4,5)</f>
        <v>17.12</v>
      </c>
      <c r="P4" s="185" t="str">
        <f>MID(Kalend!A25,4,5)</f>
        <v>14.01</v>
      </c>
      <c r="Q4" s="185" t="str">
        <f>MID(Kalend!A30,4,5)</f>
        <v>11.02</v>
      </c>
      <c r="R4" s="185" t="str">
        <f>MID(Kalend!A38,4,5)</f>
        <v>25.03</v>
      </c>
      <c r="S4" s="185" t="str">
        <f>MID(Kalend!A43,4,5)</f>
        <v>15.04</v>
      </c>
      <c r="T4" s="552" t="str">
        <f>MID(Kalend!A45,4,5)</f>
        <v>22.04</v>
      </c>
      <c r="U4" s="1447"/>
      <c r="V4" s="1446"/>
      <c r="W4" s="1448"/>
      <c r="X4" s="1450"/>
    </row>
    <row r="5" spans="1:24" x14ac:dyDescent="0.2">
      <c r="A5" s="554"/>
      <c r="B5" s="556" t="s">
        <v>225</v>
      </c>
      <c r="C5" s="480" t="s">
        <v>15</v>
      </c>
      <c r="D5" s="486" t="s">
        <v>331</v>
      </c>
      <c r="E5" s="487" t="s">
        <v>328</v>
      </c>
      <c r="F5" s="554" t="s">
        <v>226</v>
      </c>
      <c r="G5" s="555"/>
      <c r="H5" s="481"/>
      <c r="I5" s="481"/>
      <c r="J5" s="492" t="s">
        <v>349</v>
      </c>
      <c r="K5" s="481"/>
      <c r="L5" s="481"/>
      <c r="M5" s="494" t="s">
        <v>397</v>
      </c>
      <c r="N5" s="259" t="s">
        <v>23</v>
      </c>
      <c r="O5" s="259" t="s">
        <v>22</v>
      </c>
      <c r="P5" s="260" t="s">
        <v>23</v>
      </c>
      <c r="Q5" s="260" t="s">
        <v>22</v>
      </c>
      <c r="R5" s="260" t="s">
        <v>23</v>
      </c>
      <c r="S5" s="260" t="s">
        <v>22</v>
      </c>
      <c r="T5" s="260" t="s">
        <v>164</v>
      </c>
      <c r="U5" s="1447"/>
      <c r="V5" s="1446"/>
      <c r="W5" s="1448"/>
      <c r="X5" s="1450"/>
    </row>
    <row r="6" spans="1:24" x14ac:dyDescent="0.2">
      <c r="A6" s="565" t="s">
        <v>19</v>
      </c>
      <c r="B6" s="454" t="s">
        <v>15</v>
      </c>
      <c r="C6" s="241" t="s">
        <v>20</v>
      </c>
      <c r="D6" s="495" t="s">
        <v>15</v>
      </c>
      <c r="E6" s="522" t="s">
        <v>15</v>
      </c>
      <c r="F6" s="451" t="s">
        <v>21</v>
      </c>
      <c r="G6" s="563" t="s">
        <v>346</v>
      </c>
      <c r="H6" s="57" t="s">
        <v>347</v>
      </c>
      <c r="I6" s="57" t="s">
        <v>342</v>
      </c>
      <c r="J6" s="57" t="s">
        <v>377</v>
      </c>
      <c r="K6" s="477" t="s">
        <v>361</v>
      </c>
      <c r="L6" s="57" t="s">
        <v>343</v>
      </c>
      <c r="M6" s="58" t="s">
        <v>378</v>
      </c>
      <c r="N6" s="450" t="str">
        <f>HYPERLINK("#'1'!L1","  1  ")</f>
        <v xml:space="preserve">  1  </v>
      </c>
      <c r="O6" s="450" t="str">
        <f>HYPERLINK("#'2'!J1","  2  ")</f>
        <v xml:space="preserve">  2  </v>
      </c>
      <c r="P6" s="450" t="str">
        <f>HYPERLINK("#'3'!J1","  3  ")</f>
        <v xml:space="preserve">  3  </v>
      </c>
      <c r="Q6" s="450" t="str">
        <f>HYPERLINK("#'4'!L1","  4  ")</f>
        <v xml:space="preserve">  4  </v>
      </c>
      <c r="R6" s="450" t="str">
        <f>HYPERLINK("#'5'!J1","  5  ")</f>
        <v xml:space="preserve">  5  </v>
      </c>
      <c r="S6" s="450" t="str">
        <f>HYPERLINK("#'6'!I1","  6  ")</f>
        <v xml:space="preserve">  6  </v>
      </c>
      <c r="T6" s="553" t="str">
        <f>HYPERLINK("#'7'!I1","  7  ")</f>
        <v xml:space="preserve">  7  </v>
      </c>
      <c r="U6" s="199"/>
      <c r="V6" s="200"/>
      <c r="W6" s="472"/>
      <c r="X6" s="1397"/>
    </row>
    <row r="7" spans="1:24" x14ac:dyDescent="0.2">
      <c r="A7" s="566">
        <f t="shared" ref="A7:A34" si="0">IF(G7&gt;0,RANK(J7,J$7:J$34,1),"")</f>
        <v>1</v>
      </c>
      <c r="B7" s="455">
        <v>1</v>
      </c>
      <c r="C7" s="1300" t="s">
        <v>200</v>
      </c>
      <c r="D7" s="496"/>
      <c r="E7" s="497"/>
      <c r="F7" s="452">
        <v>172</v>
      </c>
      <c r="G7" s="564">
        <f t="array" ref="G7">(IF(COUNT(N7,P7,R7)&lt;2,SUM(N7,P7,R7),SUM(LARGE((N7,P7,R7),{1;2}))))+(IF(COUNT(O7,Q7,S7)&lt;2,SUM(O7,Q7,S7),SUM(LARGE((O7,Q7,S7),{1;2}))))+T7</f>
        <v>172</v>
      </c>
      <c r="H7" s="475" t="str">
        <f>INDEX(ETAPP!B$1:B$31,MATCH(COUNTIF(N7:T7,PIV!A$1),ETAPP!A$1:A$32,0))&amp;INDEX(ETAPP!B$1:B$31,MATCH(COUNTIF(N7:T7,PIV!A$2),ETAPP!A$1:A$32,0))&amp;INDEX(ETAPP!B$1:B$31,MATCH(COUNTIF(N7:T7,PIV!A$3),ETAPP!A$1:A$32,0))&amp;INDEX(ETAPP!B$1:B$31,MATCH(COUNTIF(N7:T7,PIV!A$4),ETAPP!A$1:A$32,0))&amp;INDEX(ETAPP!B$1:B$31,MATCH(COUNTIF(N7:T7,PIV!A$5),ETAPP!A$1:A$32,0))&amp;INDEX(ETAPP!B$1:B$31,MATCH(COUNTIF(N7:T7,PIV!A$6),ETAPP!A$1:A$32,0))&amp;INDEX(ETAPP!B$1:B$31,MATCH(COUNTIF(N7:T7,PIV!A$7),ETAPP!A$1:A$32,0))&amp;INDEX(ETAPP!B$1:B$31,MATCH(COUNTIF(N7:T7,PIV!A$8),ETAPP!A$1:A$32,0))&amp;INDEX(ETAPP!B$1:B$31,MATCH(COUNTIF(N7:T7,PIV!A$9),ETAPP!A$1:A$32,0))&amp;INDEX(ETAPP!B$1:B$31,MATCH(COUNTIF(N7:T7,PIV!A$10),ETAPP!A$1:A$32,0))&amp;INDEX(ETAPP!B$1:B$31,MATCH(COUNTIF(N7:T7,PIV!A$11),ETAPP!A$1:A$32,0))&amp;INDEX(ETAPP!B$1:B$31,MATCH(COUNTIF(N7:T7,PIV!A$12),ETAPP!A$1:A$32,0))&amp;INDEX(ETAPP!B$1:B$31,MATCH(COUNTIF(N7:T7,PIV!A$13),ETAPP!A$1:A$32,0))&amp;INDEX(ETAPP!B$1:B$31,MATCH(COUNTIF(N7:T7,PIV!A$14),ETAPP!A$1:A$32,0))&amp;INDEX(ETAPP!B$1:B$31,MATCH(COUNTIF(N7:T7,PIV!A$15),ETAPP!A$1:A$32,0))&amp;INDEX(ETAPP!B$1:B$31,MATCH(COUNTIF(N7:T7,PIV!A$16),ETAPP!A$1:A$32,0))&amp;INDEX(ETAPP!B$1:B$31,MATCH(COUNTIF(N7:T7,PIV!A$17),ETAPP!A$1:A$32,0))&amp;INDEX(ETAPP!B$1:B$31,MATCH(COUNTIF(N7:T7,PIV!A$18),ETAPP!A$1:A$32,0))&amp;INDEX(ETAPP!B$1:B$31,MATCH(COUNTIF(N7:T7,PIV!A$19),ETAPP!A$1:A$32,0))</f>
        <v>BB0AA0A000000000000</v>
      </c>
      <c r="I7" s="474" t="str">
        <f t="shared" ref="I7:I34" si="1">TEXT(G7,"000,0")&amp;"-"&amp;H7</f>
        <v>172,0-BB0AA0A000000000000</v>
      </c>
      <c r="J7" s="476">
        <f t="shared" ref="J7:J34" si="2">COUNTIF(I$7:I$34,"&gt;="&amp;I7)</f>
        <v>1</v>
      </c>
      <c r="K7" s="476">
        <f t="shared" ref="K7:K34" si="3">COUNTIF(C$7:C$34,"&gt;="&amp;C7)</f>
        <v>21</v>
      </c>
      <c r="L7" s="474" t="str">
        <f t="shared" ref="L7:L34" si="4">TEXT(G7,"000,0")&amp;"-"&amp;H7&amp;"-"&amp;TEXT(K7,"000")</f>
        <v>172,0-BB0AA0A000000000000-021</v>
      </c>
      <c r="M7" s="476">
        <f t="shared" ref="M7:M34" si="5">COUNTIF(L$7:L$34,"&lt;="&amp;L7)</f>
        <v>28</v>
      </c>
      <c r="N7" s="457">
        <f>IFERROR(INDEX('1'!C$300:C$400,MATCH("*"&amp;C7&amp;"*",'1'!B$300:B$400,0)),"  ")</f>
        <v>26</v>
      </c>
      <c r="O7" s="458">
        <f>IFERROR(INDEX('2'!C$300:C$400,MATCH("*"&amp;C7&amp;"*",'2'!B$300:B$400,0)),"  ")</f>
        <v>20</v>
      </c>
      <c r="P7" s="457">
        <f>IFERROR(INDEX('3'!C$300:C$400,MATCH("*"&amp;C7&amp;"*",'3'!B$300:B$400,0)),"  ")</f>
        <v>40</v>
      </c>
      <c r="Q7" s="457">
        <f>IFERROR(INDEX('4'!C$300:C$400,MATCH("*"&amp;C7&amp;"*",'4'!B$300:B$400,0)),"  ")</f>
        <v>34</v>
      </c>
      <c r="R7" s="457">
        <f>IFERROR(INDEX('5'!C$300:C$400,MATCH("*"&amp;C7&amp;"*",'5'!B$300:B$400,0)),"  ")</f>
        <v>34</v>
      </c>
      <c r="S7" s="457">
        <f>IFERROR(INDEX('6'!C$300:C$400,MATCH("*"&amp;C7&amp;"*",'6'!B$300:B$400,0)),"  ")</f>
        <v>24</v>
      </c>
      <c r="T7" s="772">
        <f>IFERROR(INDEX('7'!C$300:C$400,MATCH("*"&amp;C7&amp;"*",'7'!B$300:B$400,0)),0)</f>
        <v>40</v>
      </c>
      <c r="U7" s="202">
        <f t="shared" ref="U7:U34" si="6">COUNTIF(N7:T7,"&gt;0")</f>
        <v>7</v>
      </c>
      <c r="V7" s="202">
        <f t="shared" ref="V7:V34" si="7">COUNTIF(N7:T7,"&gt;=30")</f>
        <v>4</v>
      </c>
      <c r="W7" s="202">
        <f t="shared" ref="W7:W34" si="8">COUNTIF(N7:T7,"=40")</f>
        <v>2</v>
      </c>
      <c r="X7" s="1396">
        <f>P37+T37</f>
        <v>19.600000000000001</v>
      </c>
    </row>
    <row r="8" spans="1:24" x14ac:dyDescent="0.2">
      <c r="A8" s="566">
        <f t="shared" si="0"/>
        <v>2</v>
      </c>
      <c r="B8" s="456">
        <v>2</v>
      </c>
      <c r="C8" s="1301" t="s">
        <v>204</v>
      </c>
      <c r="D8" s="496"/>
      <c r="E8" s="497"/>
      <c r="F8" s="452">
        <v>164</v>
      </c>
      <c r="G8" s="564">
        <f t="array" ref="G8">(IF(COUNT(N8,P8,R8)&lt;2,SUM(N8,P8,R8),SUM(LARGE((N8,P8,R8),{1;2}))))+(IF(COUNT(O8,Q8,S8)&lt;2,SUM(O8,Q8,S8),SUM(LARGE((O8,Q8,S8),{1;2}))))+T8</f>
        <v>164</v>
      </c>
      <c r="H8" s="475" t="str">
        <f>INDEX(ETAPP!B$1:B$31,MATCH(COUNTIF(N8:T8,PIV!A$1),ETAPP!A$1:A$32,0))&amp;INDEX(ETAPP!B$1:B$31,MATCH(COUNTIF(N8:T8,PIV!A$2),ETAPP!A$1:A$32,0))&amp;INDEX(ETAPP!B$1:B$31,MATCH(COUNTIF(N8:T8,PIV!A$3),ETAPP!A$1:A$32,0))&amp;INDEX(ETAPP!B$1:B$31,MATCH(COUNTIF(N8:T8,PIV!A$4),ETAPP!A$1:A$32,0))&amp;INDEX(ETAPP!B$1:B$31,MATCH(COUNTIF(N8:T8,PIV!A$5),ETAPP!A$1:A$32,0))&amp;INDEX(ETAPP!B$1:B$31,MATCH(COUNTIF(N8:T8,PIV!A$6),ETAPP!A$1:A$32,0))&amp;INDEX(ETAPP!B$1:B$31,MATCH(COUNTIF(N8:T8,PIV!A$7),ETAPP!A$1:A$32,0))&amp;INDEX(ETAPP!B$1:B$31,MATCH(COUNTIF(N8:T8,PIV!A$8),ETAPP!A$1:A$32,0))&amp;INDEX(ETAPP!B$1:B$31,MATCH(COUNTIF(N8:T8,PIV!A$9),ETAPP!A$1:A$32,0))&amp;INDEX(ETAPP!B$1:B$31,MATCH(COUNTIF(N8:T8,PIV!A$10),ETAPP!A$1:A$32,0))&amp;INDEX(ETAPP!B$1:B$31,MATCH(COUNTIF(N8:T8,PIV!A$11),ETAPP!A$1:A$32,0))&amp;INDEX(ETAPP!B$1:B$31,MATCH(COUNTIF(N8:T8,PIV!A$12),ETAPP!A$1:A$32,0))&amp;INDEX(ETAPP!B$1:B$31,MATCH(COUNTIF(N8:T8,PIV!A$13),ETAPP!A$1:A$32,0))&amp;INDEX(ETAPP!B$1:B$31,MATCH(COUNTIF(N8:T8,PIV!A$14),ETAPP!A$1:A$32,0))&amp;INDEX(ETAPP!B$1:B$31,MATCH(COUNTIF(N8:T8,PIV!A$15),ETAPP!A$1:A$32,0))&amp;INDEX(ETAPP!B$1:B$31,MATCH(COUNTIF(N8:T8,PIV!A$16),ETAPP!A$1:A$32,0))&amp;INDEX(ETAPP!B$1:B$31,MATCH(COUNTIF(N8:T8,PIV!A$17),ETAPP!A$1:A$32,0))&amp;INDEX(ETAPP!B$1:B$31,MATCH(COUNTIF(N8:T8,PIV!A$18),ETAPP!A$1:A$32,0))&amp;INDEX(ETAPP!B$1:B$31,MATCH(COUNTIF(N8:T8,PIV!A$19),ETAPP!A$1:A$32,0))</f>
        <v>BA0ABA0000000000000</v>
      </c>
      <c r="I8" s="474" t="str">
        <f t="shared" si="1"/>
        <v>164,0-BA0ABA0000000000000</v>
      </c>
      <c r="J8" s="476">
        <f t="shared" si="2"/>
        <v>2</v>
      </c>
      <c r="K8" s="476">
        <f t="shared" si="3"/>
        <v>11</v>
      </c>
      <c r="L8" s="474" t="str">
        <f t="shared" si="4"/>
        <v>164,0-BA0ABA0000000000000-011</v>
      </c>
      <c r="M8" s="476">
        <f t="shared" si="5"/>
        <v>27</v>
      </c>
      <c r="N8" s="457">
        <f>IFERROR(INDEX('1'!C$300:C$400,MATCH("*"&amp;C8&amp;"*",'1'!B$300:B$400,0)),"  ")</f>
        <v>24</v>
      </c>
      <c r="O8" s="458">
        <f>IFERROR(INDEX('2'!C$300:C$400,MATCH("*"&amp;C8&amp;"*",'2'!B$300:B$400,0)),"  ")</f>
        <v>22</v>
      </c>
      <c r="P8" s="457">
        <f>IFERROR(INDEX('3'!C$300:C$400,MATCH("*"&amp;C8&amp;"*",'3'!B$300:B$400,0)),"  ")</f>
        <v>24</v>
      </c>
      <c r="Q8" s="457">
        <f>IFERROR(INDEX('4'!C$300:C$400,MATCH("*"&amp;C8&amp;"*",'4'!B$300:B$400,0)),"  ")</f>
        <v>26</v>
      </c>
      <c r="R8" s="457">
        <f>IFERROR(INDEX('5'!C$300:C$400,MATCH("*"&amp;C8&amp;"*",'5'!B$300:B$400,0)),"  ")</f>
        <v>40</v>
      </c>
      <c r="S8" s="457">
        <f>IFERROR(INDEX('6'!C$300:C$400,MATCH("*"&amp;C8&amp;"*",'6'!B$300:B$400,0)),"  ")</f>
        <v>40</v>
      </c>
      <c r="T8" s="772">
        <f>IFERROR(INDEX('7'!C$300:C$400,MATCH("*"&amp;C8&amp;"*",'7'!B$300:B$400,0)),0)</f>
        <v>34</v>
      </c>
      <c r="U8" s="202">
        <f t="shared" si="6"/>
        <v>7</v>
      </c>
      <c r="V8" s="202">
        <f t="shared" si="7"/>
        <v>3</v>
      </c>
      <c r="W8" s="202">
        <f t="shared" si="8"/>
        <v>2</v>
      </c>
      <c r="X8" s="1396">
        <f>R37+S37</f>
        <v>14</v>
      </c>
    </row>
    <row r="9" spans="1:24" x14ac:dyDescent="0.2">
      <c r="A9" s="566">
        <f t="shared" si="0"/>
        <v>3</v>
      </c>
      <c r="B9" s="456">
        <v>3</v>
      </c>
      <c r="C9" s="1302" t="s">
        <v>198</v>
      </c>
      <c r="D9" s="496"/>
      <c r="E9" s="497"/>
      <c r="F9" s="453">
        <v>156</v>
      </c>
      <c r="G9" s="564">
        <f t="array" ref="G9">(IF(COUNT(N9,P9,R9)&lt;2,SUM(N9,P9,R9),SUM(LARGE((N9,P9,R9),{1;2}))))+(IF(COUNT(O9,Q9,S9)&lt;2,SUM(O9,Q9,S9),SUM(LARGE((O9,Q9,S9),{1;2}))))+T9</f>
        <v>156</v>
      </c>
      <c r="H9" s="475" t="str">
        <f>INDEX(ETAPP!B$1:B$31,MATCH(COUNTIF(N9:T9,PIV!A$1),ETAPP!A$1:A$32,0))&amp;INDEX(ETAPP!B$1:B$31,MATCH(COUNTIF(N9:T9,PIV!A$2),ETAPP!A$1:A$32,0))&amp;INDEX(ETAPP!B$1:B$31,MATCH(COUNTIF(N9:T9,PIV!A$3),ETAPP!A$1:A$32,0))&amp;INDEX(ETAPP!B$1:B$31,MATCH(COUNTIF(N9:T9,PIV!A$4),ETAPP!A$1:A$32,0))&amp;INDEX(ETAPP!B$1:B$31,MATCH(COUNTIF(N9:T9,PIV!A$5),ETAPP!A$1:A$32,0))&amp;INDEX(ETAPP!B$1:B$31,MATCH(COUNTIF(N9:T9,PIV!A$6),ETAPP!A$1:A$32,0))&amp;INDEX(ETAPP!B$1:B$31,MATCH(COUNTIF(N9:T9,PIV!A$7),ETAPP!A$1:A$32,0))&amp;INDEX(ETAPP!B$1:B$31,MATCH(COUNTIF(N9:T9,PIV!A$8),ETAPP!A$1:A$32,0))&amp;INDEX(ETAPP!B$1:B$31,MATCH(COUNTIF(N9:T9,PIV!A$9),ETAPP!A$1:A$32,0))&amp;INDEX(ETAPP!B$1:B$31,MATCH(COUNTIF(N9:T9,PIV!A$10),ETAPP!A$1:A$32,0))&amp;INDEX(ETAPP!B$1:B$31,MATCH(COUNTIF(N9:T9,PIV!A$11),ETAPP!A$1:A$32,0))&amp;INDEX(ETAPP!B$1:B$31,MATCH(COUNTIF(N9:T9,PIV!A$12),ETAPP!A$1:A$32,0))&amp;INDEX(ETAPP!B$1:B$31,MATCH(COUNTIF(N9:T9,PIV!A$13),ETAPP!A$1:A$32,0))&amp;INDEX(ETAPP!B$1:B$31,MATCH(COUNTIF(N9:T9,PIV!A$14),ETAPP!A$1:A$32,0))&amp;INDEX(ETAPP!B$1:B$31,MATCH(COUNTIF(N9:T9,PIV!A$15),ETAPP!A$1:A$32,0))&amp;INDEX(ETAPP!B$1:B$31,MATCH(COUNTIF(N9:T9,PIV!A$16),ETAPP!A$1:A$32,0))&amp;INDEX(ETAPP!B$1:B$31,MATCH(COUNTIF(N9:T9,PIV!A$17),ETAPP!A$1:A$32,0))&amp;INDEX(ETAPP!B$1:B$31,MATCH(COUNTIF(N9:T9,PIV!A$18),ETAPP!A$1:A$32,0))&amp;INDEX(ETAPP!B$1:B$31,MATCH(COUNTIF(N9:T9,PIV!A$19),ETAPP!A$1:A$32,0))</f>
        <v>A0CC000000000000000</v>
      </c>
      <c r="I9" s="474" t="str">
        <f t="shared" si="1"/>
        <v>156,0-A0CC000000000000000</v>
      </c>
      <c r="J9" s="476">
        <f t="shared" si="2"/>
        <v>3</v>
      </c>
      <c r="K9" s="476">
        <f t="shared" si="3"/>
        <v>22</v>
      </c>
      <c r="L9" s="474" t="str">
        <f t="shared" si="4"/>
        <v>156,0-A0CC000000000000000-022</v>
      </c>
      <c r="M9" s="476">
        <f t="shared" si="5"/>
        <v>26</v>
      </c>
      <c r="N9" s="457">
        <f>IFERROR(INDEX('1'!C$300:C$400,MATCH("*"&amp;C9&amp;"*",'1'!B$300:B$400,0)),"  ")</f>
        <v>30</v>
      </c>
      <c r="O9" s="458">
        <f>IFERROR(INDEX('2'!C$300:C$400,MATCH("*"&amp;C9&amp;"*",'2'!B$300:B$400,0)),"  ")</f>
        <v>30</v>
      </c>
      <c r="P9" s="457">
        <f>IFERROR(INDEX('3'!C$300:C$400,MATCH("*"&amp;C9&amp;"*",'3'!B$300:B$400,0)),"  ")</f>
        <v>30</v>
      </c>
      <c r="Q9" s="457">
        <f>IFERROR(INDEX('4'!C$300:C$400,MATCH("*"&amp;C9&amp;"*",'4'!B$300:B$400,0)),"  ")</f>
        <v>40</v>
      </c>
      <c r="R9" s="457">
        <f>IFERROR(INDEX('5'!C$300:C$400,MATCH("*"&amp;C9&amp;"*",'5'!B$300:B$400,0)),"  ")</f>
        <v>26</v>
      </c>
      <c r="S9" s="457">
        <f>IFERROR(INDEX('6'!C$300:C$400,MATCH("*"&amp;C9&amp;"*",'6'!B$300:B$400,0)),"  ")</f>
        <v>26</v>
      </c>
      <c r="T9" s="772">
        <f>IFERROR(INDEX('7'!C$300:C$400,MATCH("*"&amp;C9&amp;"*",'7'!B$300:B$400,0)),0)</f>
        <v>26</v>
      </c>
      <c r="U9" s="202">
        <f t="shared" si="6"/>
        <v>7</v>
      </c>
      <c r="V9" s="202">
        <f t="shared" si="7"/>
        <v>4</v>
      </c>
      <c r="W9" s="202">
        <f t="shared" si="8"/>
        <v>1</v>
      </c>
      <c r="X9" s="1396">
        <f>Q37</f>
        <v>10.5</v>
      </c>
    </row>
    <row r="10" spans="1:24" x14ac:dyDescent="0.2">
      <c r="A10" s="566">
        <f t="shared" si="0"/>
        <v>4</v>
      </c>
      <c r="B10" s="455">
        <v>4</v>
      </c>
      <c r="C10" s="242" t="s">
        <v>203</v>
      </c>
      <c r="D10" s="496"/>
      <c r="E10" s="497"/>
      <c r="F10" s="452">
        <v>152</v>
      </c>
      <c r="G10" s="564">
        <f t="array" ref="G10">(IF(COUNT(N10,P10,R10)&lt;2,SUM(N10,P10,R10),SUM(LARGE((N10,P10,R10),{1;2}))))+(IF(COUNT(O10,Q10,S10)&lt;2,SUM(O10,Q10,S10),SUM(LARGE((O10,Q10,S10),{1;2}))))+T10</f>
        <v>152</v>
      </c>
      <c r="H10" s="475" t="str">
        <f>INDEX(ETAPP!B$1:B$31,MATCH(COUNTIF(N10:T10,PIV!A$1),ETAPP!A$1:A$32,0))&amp;INDEX(ETAPP!B$1:B$31,MATCH(COUNTIF(N10:T10,PIV!A$2),ETAPP!A$1:A$32,0))&amp;INDEX(ETAPP!B$1:B$31,MATCH(COUNTIF(N10:T10,PIV!A$3),ETAPP!A$1:A$32,0))&amp;INDEX(ETAPP!B$1:B$31,MATCH(COUNTIF(N10:T10,PIV!A$4),ETAPP!A$1:A$32,0))&amp;INDEX(ETAPP!B$1:B$31,MATCH(COUNTIF(N10:T10,PIV!A$5),ETAPP!A$1:A$32,0))&amp;INDEX(ETAPP!B$1:B$31,MATCH(COUNTIF(N10:T10,PIV!A$6),ETAPP!A$1:A$32,0))&amp;INDEX(ETAPP!B$1:B$31,MATCH(COUNTIF(N10:T10,PIV!A$7),ETAPP!A$1:A$32,0))&amp;INDEX(ETAPP!B$1:B$31,MATCH(COUNTIF(N10:T10,PIV!A$8),ETAPP!A$1:A$32,0))&amp;INDEX(ETAPP!B$1:B$31,MATCH(COUNTIF(N10:T10,PIV!A$9),ETAPP!A$1:A$32,0))&amp;INDEX(ETAPP!B$1:B$31,MATCH(COUNTIF(N10:T10,PIV!A$10),ETAPP!A$1:A$32,0))&amp;INDEX(ETAPP!B$1:B$31,MATCH(COUNTIF(N10:T10,PIV!A$11),ETAPP!A$1:A$32,0))&amp;INDEX(ETAPP!B$1:B$31,MATCH(COUNTIF(N10:T10,PIV!A$12),ETAPP!A$1:A$32,0))&amp;INDEX(ETAPP!B$1:B$31,MATCH(COUNTIF(N10:T10,PIV!A$13),ETAPP!A$1:A$32,0))&amp;INDEX(ETAPP!B$1:B$31,MATCH(COUNTIF(N10:T10,PIV!A$14),ETAPP!A$1:A$32,0))&amp;INDEX(ETAPP!B$1:B$31,MATCH(COUNTIF(N10:T10,PIV!A$15),ETAPP!A$1:A$32,0))&amp;INDEX(ETAPP!B$1:B$31,MATCH(COUNTIF(N10:T10,PIV!A$16),ETAPP!A$1:A$32,0))&amp;INDEX(ETAPP!B$1:B$31,MATCH(COUNTIF(N10:T10,PIV!A$17),ETAPP!A$1:A$32,0))&amp;INDEX(ETAPP!B$1:B$31,MATCH(COUNTIF(N10:T10,PIV!A$18),ETAPP!A$1:A$32,0))&amp;INDEX(ETAPP!B$1:B$31,MATCH(COUNTIF(N10:T10,PIV!A$19),ETAPP!A$1:A$32,0))</f>
        <v>B00ABA00A0000000000</v>
      </c>
      <c r="I10" s="474" t="str">
        <f t="shared" si="1"/>
        <v>152,0-B00ABA00A0000000000</v>
      </c>
      <c r="J10" s="476">
        <f t="shared" si="2"/>
        <v>4</v>
      </c>
      <c r="K10" s="476">
        <f t="shared" si="3"/>
        <v>12</v>
      </c>
      <c r="L10" s="474" t="str">
        <f t="shared" si="4"/>
        <v>152,0-B00ABA00A0000000000-012</v>
      </c>
      <c r="M10" s="476">
        <f t="shared" si="5"/>
        <v>25</v>
      </c>
      <c r="N10" s="457">
        <f>IFERROR(INDEX('1'!C$300:C$400,MATCH("*"&amp;C10&amp;"*",'1'!B$300:B$400,0)),"  ")</f>
        <v>24</v>
      </c>
      <c r="O10" s="458">
        <f>IFERROR(INDEX('2'!C$300:C$400,MATCH("*"&amp;C10&amp;"*",'2'!B$300:B$400,0)),"  ")</f>
        <v>16</v>
      </c>
      <c r="P10" s="457">
        <f>IFERROR(INDEX('3'!C$300:C$400,MATCH("*"&amp;C10&amp;"*",'3'!B$300:B$400,0)),"  ")</f>
        <v>24</v>
      </c>
      <c r="Q10" s="457">
        <f>IFERROR(INDEX('4'!C$300:C$400,MATCH("*"&amp;C10&amp;"*",'4'!B$300:B$400,0)),"  ")</f>
        <v>26</v>
      </c>
      <c r="R10" s="457">
        <f>IFERROR(INDEX('5'!C$300:C$400,MATCH("*"&amp;C10&amp;"*",'5'!B$300:B$400,0)),"  ")</f>
        <v>40</v>
      </c>
      <c r="S10" s="457">
        <f>IFERROR(INDEX('6'!C$300:C$400,MATCH("*"&amp;C10&amp;"*",'6'!B$300:B$400,0)),"  ")</f>
        <v>40</v>
      </c>
      <c r="T10" s="772">
        <f>IFERROR(INDEX('7'!C$300:C$400,MATCH("*"&amp;C10&amp;"*",'7'!B$300:B$400,0)),0)</f>
        <v>22</v>
      </c>
      <c r="U10" s="202">
        <f t="shared" si="6"/>
        <v>7</v>
      </c>
      <c r="V10" s="202">
        <f t="shared" si="7"/>
        <v>2</v>
      </c>
      <c r="W10" s="202">
        <f t="shared" si="8"/>
        <v>2</v>
      </c>
      <c r="X10" s="1396">
        <f>R37+S37</f>
        <v>14</v>
      </c>
    </row>
    <row r="11" spans="1:24" x14ac:dyDescent="0.2">
      <c r="A11" s="566">
        <f t="shared" si="0"/>
        <v>5</v>
      </c>
      <c r="B11" s="455">
        <v>5</v>
      </c>
      <c r="C11" s="242" t="s">
        <v>190</v>
      </c>
      <c r="D11" s="496"/>
      <c r="E11" s="497"/>
      <c r="F11" s="452">
        <v>150</v>
      </c>
      <c r="G11" s="564">
        <f t="array" ref="G11">(IF(COUNT(N11,P11,R11)&lt;2,SUM(N11,P11,R11),SUM(LARGE((N11,P11,R11),{1;2}))))+(IF(COUNT(O11,Q11,S11)&lt;2,SUM(O11,Q11,S11),SUM(LARGE((O11,Q11,S11),{1;2}))))+T11</f>
        <v>150</v>
      </c>
      <c r="H11" s="475" t="str">
        <f>INDEX(ETAPP!B$1:B$31,MATCH(COUNTIF(N11:T11,PIV!A$1),ETAPP!A$1:A$32,0))&amp;INDEX(ETAPP!B$1:B$31,MATCH(COUNTIF(N11:T11,PIV!A$2),ETAPP!A$1:A$32,0))&amp;INDEX(ETAPP!B$1:B$31,MATCH(COUNTIF(N11:T11,PIV!A$3),ETAPP!A$1:A$32,0))&amp;INDEX(ETAPP!B$1:B$31,MATCH(COUNTIF(N11:T11,PIV!A$4),ETAPP!A$1:A$32,0))&amp;INDEX(ETAPP!B$1:B$31,MATCH(COUNTIF(N11:T11,PIV!A$5),ETAPP!A$1:A$32,0))&amp;INDEX(ETAPP!B$1:B$31,MATCH(COUNTIF(N11:T11,PIV!A$6),ETAPP!A$1:A$32,0))&amp;INDEX(ETAPP!B$1:B$31,MATCH(COUNTIF(N11:T11,PIV!A$7),ETAPP!A$1:A$32,0))&amp;INDEX(ETAPP!B$1:B$31,MATCH(COUNTIF(N11:T11,PIV!A$8),ETAPP!A$1:A$32,0))&amp;INDEX(ETAPP!B$1:B$31,MATCH(COUNTIF(N11:T11,PIV!A$9),ETAPP!A$1:A$32,0))&amp;INDEX(ETAPP!B$1:B$31,MATCH(COUNTIF(N11:T11,PIV!A$10),ETAPP!A$1:A$32,0))&amp;INDEX(ETAPP!B$1:B$31,MATCH(COUNTIF(N11:T11,PIV!A$11),ETAPP!A$1:A$32,0))&amp;INDEX(ETAPP!B$1:B$31,MATCH(COUNTIF(N11:T11,PIV!A$12),ETAPP!A$1:A$32,0))&amp;INDEX(ETAPP!B$1:B$31,MATCH(COUNTIF(N11:T11,PIV!A$13),ETAPP!A$1:A$32,0))&amp;INDEX(ETAPP!B$1:B$31,MATCH(COUNTIF(N11:T11,PIV!A$14),ETAPP!A$1:A$32,0))&amp;INDEX(ETAPP!B$1:B$31,MATCH(COUNTIF(N11:T11,PIV!A$15),ETAPP!A$1:A$32,0))&amp;INDEX(ETAPP!B$1:B$31,MATCH(COUNTIF(N11:T11,PIV!A$16),ETAPP!A$1:A$32,0))&amp;INDEX(ETAPP!B$1:B$31,MATCH(COUNTIF(N11:T11,PIV!A$17),ETAPP!A$1:A$32,0))&amp;INDEX(ETAPP!B$1:B$31,MATCH(COUNTIF(N11:T11,PIV!A$18),ETAPP!A$1:A$32,0))&amp;INDEX(ETAPP!B$1:B$31,MATCH(COUNTIF(N11:T11,PIV!A$19),ETAPP!A$1:A$32,0))</f>
        <v>AAB0AAA000000000000</v>
      </c>
      <c r="I11" s="474" t="str">
        <f t="shared" si="1"/>
        <v>150,0-AAB0AAA000000000000</v>
      </c>
      <c r="J11" s="476">
        <f t="shared" si="2"/>
        <v>5</v>
      </c>
      <c r="K11" s="476">
        <f t="shared" si="3"/>
        <v>19</v>
      </c>
      <c r="L11" s="474" t="str">
        <f t="shared" si="4"/>
        <v>150,0-AAB0AAA000000000000-019</v>
      </c>
      <c r="M11" s="476">
        <f t="shared" si="5"/>
        <v>24</v>
      </c>
      <c r="N11" s="457">
        <f>IFERROR(INDEX('1'!C$300:C$400,MATCH("*"&amp;C11&amp;"*",'1'!B$300:B$400,0)),"  ")</f>
        <v>40</v>
      </c>
      <c r="O11" s="458">
        <f>IFERROR(INDEX('2'!C$300:C$400,MATCH("*"&amp;C11&amp;"*",'2'!B$300:B$400,0)),"  ")</f>
        <v>34</v>
      </c>
      <c r="P11" s="457">
        <f>IFERROR(INDEX('3'!C$300:C$400,MATCH("*"&amp;C11&amp;"*",'3'!B$300:B$400,0)),"  ")</f>
        <v>20</v>
      </c>
      <c r="Q11" s="457">
        <f>IFERROR(INDEX('4'!C$300:C$400,MATCH("*"&amp;C11&amp;"*",'4'!B$300:B$400,0)),"  ")</f>
        <v>30</v>
      </c>
      <c r="R11" s="457">
        <f>IFERROR(INDEX('5'!C$300:C$400,MATCH("*"&amp;C11&amp;"*",'5'!B$300:B$400,0)),"  ")</f>
        <v>22</v>
      </c>
      <c r="S11" s="457">
        <f>IFERROR(INDEX('6'!C$300:C$400,MATCH("*"&amp;C11&amp;"*",'6'!B$300:B$400,0)),"  ")</f>
        <v>30</v>
      </c>
      <c r="T11" s="772">
        <f>IFERROR(INDEX('7'!C$300:C$400,MATCH("*"&amp;C11&amp;"*",'7'!B$300:B$400,0)),0)</f>
        <v>24</v>
      </c>
      <c r="U11" s="202">
        <f t="shared" si="6"/>
        <v>7</v>
      </c>
      <c r="V11" s="202">
        <f t="shared" si="7"/>
        <v>4</v>
      </c>
      <c r="W11" s="202">
        <f t="shared" si="8"/>
        <v>1</v>
      </c>
      <c r="X11" s="1396">
        <f>N37</f>
        <v>10.5</v>
      </c>
    </row>
    <row r="12" spans="1:24" x14ac:dyDescent="0.2">
      <c r="A12" s="566">
        <f t="shared" si="0"/>
        <v>6</v>
      </c>
      <c r="B12" s="455">
        <v>6</v>
      </c>
      <c r="C12" s="243" t="s">
        <v>197</v>
      </c>
      <c r="D12" s="496"/>
      <c r="E12" s="497"/>
      <c r="F12" s="452">
        <v>148</v>
      </c>
      <c r="G12" s="564">
        <f t="array" ref="G12">(IF(COUNT(N12,P12,R12)&lt;2,SUM(N12,P12,R12),SUM(LARGE((N12,P12,R12),{1;2}))))+(IF(COUNT(O12,Q12,S12)&lt;2,SUM(O12,Q12,S12),SUM(LARGE((O12,Q12,S12),{1;2}))))+T12</f>
        <v>148</v>
      </c>
      <c r="H12" s="475" t="str">
        <f>INDEX(ETAPP!B$1:B$31,MATCH(COUNTIF(N12:T12,PIV!A$1),ETAPP!A$1:A$32,0))&amp;INDEX(ETAPP!B$1:B$31,MATCH(COUNTIF(N12:T12,PIV!A$2),ETAPP!A$1:A$32,0))&amp;INDEX(ETAPP!B$1:B$31,MATCH(COUNTIF(N12:T12,PIV!A$3),ETAPP!A$1:A$32,0))&amp;INDEX(ETAPP!B$1:B$31,MATCH(COUNTIF(N12:T12,PIV!A$4),ETAPP!A$1:A$32,0))&amp;INDEX(ETAPP!B$1:B$31,MATCH(COUNTIF(N12:T12,PIV!A$5),ETAPP!A$1:A$32,0))&amp;INDEX(ETAPP!B$1:B$31,MATCH(COUNTIF(N12:T12,PIV!A$6),ETAPP!A$1:A$32,0))&amp;INDEX(ETAPP!B$1:B$31,MATCH(COUNTIF(N12:T12,PIV!A$7),ETAPP!A$1:A$32,0))&amp;INDEX(ETAPP!B$1:B$31,MATCH(COUNTIF(N12:T12,PIV!A$8),ETAPP!A$1:A$32,0))&amp;INDEX(ETAPP!B$1:B$31,MATCH(COUNTIF(N12:T12,PIV!A$9),ETAPP!A$1:A$32,0))&amp;INDEX(ETAPP!B$1:B$31,MATCH(COUNTIF(N12:T12,PIV!A$10),ETAPP!A$1:A$32,0))&amp;INDEX(ETAPP!B$1:B$31,MATCH(COUNTIF(N12:T12,PIV!A$11),ETAPP!A$1:A$32,0))&amp;INDEX(ETAPP!B$1:B$31,MATCH(COUNTIF(N12:T12,PIV!A$12),ETAPP!A$1:A$32,0))&amp;INDEX(ETAPP!B$1:B$31,MATCH(COUNTIF(N12:T12,PIV!A$13),ETAPP!A$1:A$32,0))&amp;INDEX(ETAPP!B$1:B$31,MATCH(COUNTIF(N12:T12,PIV!A$14),ETAPP!A$1:A$32,0))&amp;INDEX(ETAPP!B$1:B$31,MATCH(COUNTIF(N12:T12,PIV!A$15),ETAPP!A$1:A$32,0))&amp;INDEX(ETAPP!B$1:B$31,MATCH(COUNTIF(N12:T12,PIV!A$16),ETAPP!A$1:A$32,0))&amp;INDEX(ETAPP!B$1:B$31,MATCH(COUNTIF(N12:T12,PIV!A$17),ETAPP!A$1:A$32,0))&amp;INDEX(ETAPP!B$1:B$31,MATCH(COUNTIF(N12:T12,PIV!A$18),ETAPP!A$1:A$32,0))&amp;INDEX(ETAPP!B$1:B$31,MATCH(COUNTIF(N12:T12,PIV!A$19),ETAPP!A$1:A$32,0))</f>
        <v>A0CB000A00000000000</v>
      </c>
      <c r="I12" s="474" t="str">
        <f t="shared" si="1"/>
        <v>148,0-A0CB000A00000000000</v>
      </c>
      <c r="J12" s="476">
        <f t="shared" si="2"/>
        <v>6</v>
      </c>
      <c r="K12" s="476">
        <f t="shared" si="3"/>
        <v>23</v>
      </c>
      <c r="L12" s="474" t="str">
        <f t="shared" si="4"/>
        <v>148,0-A0CB000A00000000000-023</v>
      </c>
      <c r="M12" s="476">
        <f t="shared" si="5"/>
        <v>23</v>
      </c>
      <c r="N12" s="457">
        <f>IFERROR(INDEX('1'!C$300:C$400,MATCH("*"&amp;C12&amp;"*",'1'!B$300:B$400,0)),"  ")</f>
        <v>30</v>
      </c>
      <c r="O12" s="458">
        <f>IFERROR(INDEX('2'!C$300:C$400,MATCH("*"&amp;C12&amp;"*",'2'!B$300:B$400,0)),"  ")</f>
        <v>30</v>
      </c>
      <c r="P12" s="457">
        <f>IFERROR(INDEX('3'!C$300:C$400,MATCH("*"&amp;C12&amp;"*",'3'!B$300:B$400,0)),"  ")</f>
        <v>30</v>
      </c>
      <c r="Q12" s="457">
        <f>IFERROR(INDEX('4'!C$300:C$400,MATCH("*"&amp;C12&amp;"*",'4'!B$300:B$400,0)),"  ")</f>
        <v>40</v>
      </c>
      <c r="R12" s="457">
        <f>IFERROR(INDEX('5'!C$300:C$400,MATCH("*"&amp;C12&amp;"*",'5'!B$300:B$400,0)),"  ")</f>
        <v>26</v>
      </c>
      <c r="S12" s="457">
        <f>IFERROR(INDEX('6'!C$300:C$400,MATCH("*"&amp;C12&amp;"*",'6'!B$300:B$400,0)),"  ")</f>
        <v>26</v>
      </c>
      <c r="T12" s="772">
        <f>IFERROR(INDEX('7'!C$300:C$400,MATCH("*"&amp;C12&amp;"*",'7'!B$300:B$400,0)),0)</f>
        <v>18</v>
      </c>
      <c r="U12" s="202">
        <f t="shared" si="6"/>
        <v>7</v>
      </c>
      <c r="V12" s="202">
        <f t="shared" si="7"/>
        <v>4</v>
      </c>
      <c r="W12" s="202">
        <f t="shared" si="8"/>
        <v>1</v>
      </c>
      <c r="X12" s="1396">
        <f>Q37</f>
        <v>10.5</v>
      </c>
    </row>
    <row r="13" spans="1:24" x14ac:dyDescent="0.2">
      <c r="A13" s="566">
        <f t="shared" si="0"/>
        <v>7</v>
      </c>
      <c r="B13" s="455">
        <v>7</v>
      </c>
      <c r="C13" s="243" t="s">
        <v>192</v>
      </c>
      <c r="D13" s="496"/>
      <c r="E13" s="497" t="s">
        <v>360</v>
      </c>
      <c r="F13" s="452">
        <v>146</v>
      </c>
      <c r="G13" s="564">
        <f t="array" ref="G13">(IF(COUNT(N13,P13,R13)&lt;2,SUM(N13,P13,R13),SUM(LARGE((N13,P13,R13),{1;2}))))+(IF(COUNT(O13,Q13,S13)&lt;2,SUM(O13,Q13,S13),SUM(LARGE((O13,Q13,S13),{1;2}))))+T13</f>
        <v>146</v>
      </c>
      <c r="H13" s="475" t="str">
        <f>INDEX(ETAPP!B$1:B$31,MATCH(COUNTIF(N13:T13,PIV!A$1),ETAPP!A$1:A$32,0))&amp;INDEX(ETAPP!B$1:B$31,MATCH(COUNTIF(N13:T13,PIV!A$2),ETAPP!A$1:A$32,0))&amp;INDEX(ETAPP!B$1:B$31,MATCH(COUNTIF(N13:T13,PIV!A$3),ETAPP!A$1:A$32,0))&amp;INDEX(ETAPP!B$1:B$31,MATCH(COUNTIF(N13:T13,PIV!A$4),ETAPP!A$1:A$32,0))&amp;INDEX(ETAPP!B$1:B$31,MATCH(COUNTIF(N13:T13,PIV!A$5),ETAPP!A$1:A$32,0))&amp;INDEX(ETAPP!B$1:B$31,MATCH(COUNTIF(N13:T13,PIV!A$6),ETAPP!A$1:A$32,0))&amp;INDEX(ETAPP!B$1:B$31,MATCH(COUNTIF(N13:T13,PIV!A$7),ETAPP!A$1:A$32,0))&amp;INDEX(ETAPP!B$1:B$31,MATCH(COUNTIF(N13:T13,PIV!A$8),ETAPP!A$1:A$32,0))&amp;INDEX(ETAPP!B$1:B$31,MATCH(COUNTIF(N13:T13,PIV!A$9),ETAPP!A$1:A$32,0))&amp;INDEX(ETAPP!B$1:B$31,MATCH(COUNTIF(N13:T13,PIV!A$10),ETAPP!A$1:A$32,0))&amp;INDEX(ETAPP!B$1:B$31,MATCH(COUNTIF(N13:T13,PIV!A$11),ETAPP!A$1:A$32,0))&amp;INDEX(ETAPP!B$1:B$31,MATCH(COUNTIF(N13:T13,PIV!A$12),ETAPP!A$1:A$32,0))&amp;INDEX(ETAPP!B$1:B$31,MATCH(COUNTIF(N13:T13,PIV!A$13),ETAPP!A$1:A$32,0))&amp;INDEX(ETAPP!B$1:B$31,MATCH(COUNTIF(N13:T13,PIV!A$14),ETAPP!A$1:A$32,0))&amp;INDEX(ETAPP!B$1:B$31,MATCH(COUNTIF(N13:T13,PIV!A$15),ETAPP!A$1:A$32,0))&amp;INDEX(ETAPP!B$1:B$31,MATCH(COUNTIF(N13:T13,PIV!A$16),ETAPP!A$1:A$32,0))&amp;INDEX(ETAPP!B$1:B$31,MATCH(COUNTIF(N13:T13,PIV!A$17),ETAPP!A$1:A$32,0))&amp;INDEX(ETAPP!B$1:B$31,MATCH(COUNTIF(N13:T13,PIV!A$18),ETAPP!A$1:A$32,0))&amp;INDEX(ETAPP!B$1:B$31,MATCH(COUNTIF(N13:T13,PIV!A$19),ETAPP!A$1:A$32,0))</f>
        <v>AAB00AB000000000000</v>
      </c>
      <c r="I13" s="474" t="str">
        <f t="shared" si="1"/>
        <v>146,0-AAB00AB000000000000</v>
      </c>
      <c r="J13" s="476">
        <f t="shared" si="2"/>
        <v>7</v>
      </c>
      <c r="K13" s="476">
        <f t="shared" si="3"/>
        <v>8</v>
      </c>
      <c r="L13" s="474" t="str">
        <f t="shared" si="4"/>
        <v>146,0-AAB00AB000000000000-008</v>
      </c>
      <c r="M13" s="476">
        <f t="shared" si="5"/>
        <v>22</v>
      </c>
      <c r="N13" s="457">
        <f>IFERROR(INDEX('1'!C$300:C$400,MATCH("*"&amp;C13&amp;"*",'1'!B$300:B$400,0)),"  ")</f>
        <v>40</v>
      </c>
      <c r="O13" s="458">
        <f>IFERROR(INDEX('2'!C$300:C$400,MATCH("*"&amp;C13&amp;"*",'2'!B$300:B$400,0)),"  ")</f>
        <v>34</v>
      </c>
      <c r="P13" s="457">
        <f>IFERROR(INDEX('3'!C$300:C$400,MATCH("*"&amp;C13&amp;"*",'3'!B$300:B$400,0)),"  ")</f>
        <v>20</v>
      </c>
      <c r="Q13" s="457">
        <f>IFERROR(INDEX('4'!C$300:C$400,MATCH("*"&amp;C13&amp;"*",'4'!B$300:B$400,0)),"  ")</f>
        <v>30</v>
      </c>
      <c r="R13" s="457">
        <f>IFERROR(INDEX('5'!C$300:C$400,MATCH("*"&amp;C13&amp;"*",'5'!B$300:B$400,0)),"  ")</f>
        <v>22</v>
      </c>
      <c r="S13" s="457">
        <f>IFERROR(INDEX('6'!C$300:C$400,MATCH("*"&amp;C13&amp;"*",'6'!B$300:B$400,0)),"  ")</f>
        <v>30</v>
      </c>
      <c r="T13" s="772">
        <f>IFERROR(INDEX('7'!C$300:C$400,MATCH("*"&amp;C13&amp;"*",'7'!B$300:B$400,0)),0)</f>
        <v>20</v>
      </c>
      <c r="U13" s="202">
        <f t="shared" si="6"/>
        <v>7</v>
      </c>
      <c r="V13" s="202">
        <f t="shared" si="7"/>
        <v>4</v>
      </c>
      <c r="W13" s="202">
        <f t="shared" si="8"/>
        <v>1</v>
      </c>
      <c r="X13" s="1396">
        <f>N37</f>
        <v>10.5</v>
      </c>
    </row>
    <row r="14" spans="1:24" x14ac:dyDescent="0.2">
      <c r="A14" s="566">
        <f t="shared" si="0"/>
        <v>8</v>
      </c>
      <c r="B14" s="455">
        <v>8</v>
      </c>
      <c r="C14" s="242" t="s">
        <v>196</v>
      </c>
      <c r="D14" s="496"/>
      <c r="E14" s="497"/>
      <c r="F14" s="452">
        <v>146</v>
      </c>
      <c r="G14" s="564">
        <f t="array" ref="G14">(IF(COUNT(N14,P14,R14)&lt;2,SUM(N14,P14,R14),SUM(LARGE((N14,P14,R14),{1;2}))))+(IF(COUNT(O14,Q14,S14)&lt;2,SUM(O14,Q14,S14),SUM(LARGE((O14,Q14,S14),{1;2}))))+T14</f>
        <v>146</v>
      </c>
      <c r="H14" s="475" t="str">
        <f>INDEX(ETAPP!B$1:B$31,MATCH(COUNTIF(N14:T14,PIV!A$1),ETAPP!A$1:A$32,0))&amp;INDEX(ETAPP!B$1:B$31,MATCH(COUNTIF(N14:T14,PIV!A$2),ETAPP!A$1:A$32,0))&amp;INDEX(ETAPP!B$1:B$31,MATCH(COUNTIF(N14:T14,PIV!A$3),ETAPP!A$1:A$32,0))&amp;INDEX(ETAPP!B$1:B$31,MATCH(COUNTIF(N14:T14,PIV!A$4),ETAPP!A$1:A$32,0))&amp;INDEX(ETAPP!B$1:B$31,MATCH(COUNTIF(N14:T14,PIV!A$5),ETAPP!A$1:A$32,0))&amp;INDEX(ETAPP!B$1:B$31,MATCH(COUNTIF(N14:T14,PIV!A$6),ETAPP!A$1:A$32,0))&amp;INDEX(ETAPP!B$1:B$31,MATCH(COUNTIF(N14:T14,PIV!A$7),ETAPP!A$1:A$32,0))&amp;INDEX(ETAPP!B$1:B$31,MATCH(COUNTIF(N14:T14,PIV!A$8),ETAPP!A$1:A$32,0))&amp;INDEX(ETAPP!B$1:B$31,MATCH(COUNTIF(N14:T14,PIV!A$9),ETAPP!A$1:A$32,0))&amp;INDEX(ETAPP!B$1:B$31,MATCH(COUNTIF(N14:T14,PIV!A$10),ETAPP!A$1:A$32,0))&amp;INDEX(ETAPP!B$1:B$31,MATCH(COUNTIF(N14:T14,PIV!A$11),ETAPP!A$1:A$32,0))&amp;INDEX(ETAPP!B$1:B$31,MATCH(COUNTIF(N14:T14,PIV!A$12),ETAPP!A$1:A$32,0))&amp;INDEX(ETAPP!B$1:B$31,MATCH(COUNTIF(N14:T14,PIV!A$13),ETAPP!A$1:A$32,0))&amp;INDEX(ETAPP!B$1:B$31,MATCH(COUNTIF(N14:T14,PIV!A$14),ETAPP!A$1:A$32,0))&amp;INDEX(ETAPP!B$1:B$31,MATCH(COUNTIF(N14:T14,PIV!A$15),ETAPP!A$1:A$32,0))&amp;INDEX(ETAPP!B$1:B$31,MATCH(COUNTIF(N14:T14,PIV!A$16),ETAPP!A$1:A$32,0))&amp;INDEX(ETAPP!B$1:B$31,MATCH(COUNTIF(N14:T14,PIV!A$17),ETAPP!A$1:A$32,0))&amp;INDEX(ETAPP!B$1:B$31,MATCH(COUNTIF(N14:T14,PIV!A$18),ETAPP!A$1:A$32,0))&amp;INDEX(ETAPP!B$1:B$31,MATCH(COUNTIF(N14:T14,PIV!A$19),ETAPP!A$1:A$32,0))</f>
        <v>0ACA0A0A00000000000</v>
      </c>
      <c r="I14" s="474" t="str">
        <f t="shared" si="1"/>
        <v>146,0-0ACA0A0A00000000000</v>
      </c>
      <c r="J14" s="476">
        <f t="shared" si="2"/>
        <v>8</v>
      </c>
      <c r="K14" s="476">
        <f t="shared" si="3"/>
        <v>20</v>
      </c>
      <c r="L14" s="474" t="str">
        <f t="shared" si="4"/>
        <v>146,0-0ACA0A0A00000000000-020</v>
      </c>
      <c r="M14" s="476">
        <f t="shared" si="5"/>
        <v>21</v>
      </c>
      <c r="N14" s="457">
        <f>IFERROR(INDEX('1'!C$300:C$400,MATCH("*"&amp;C14&amp;"*",'1'!B$300:B$400,0)),"  ")</f>
        <v>30</v>
      </c>
      <c r="O14" s="458">
        <f>IFERROR(INDEX('2'!C$300:C$400,MATCH("*"&amp;C14&amp;"*",'2'!B$300:B$400,0)),"  ")</f>
        <v>22</v>
      </c>
      <c r="P14" s="457">
        <f>IFERROR(INDEX('3'!C$300:C$400,MATCH("*"&amp;C14&amp;"*",'3'!B$300:B$400,0)),"  ")</f>
        <v>30</v>
      </c>
      <c r="Q14" s="457">
        <f>IFERROR(INDEX('4'!C$300:C$400,MATCH("*"&amp;C14&amp;"*",'4'!B$300:B$400,0)),"  ")</f>
        <v>18</v>
      </c>
      <c r="R14" s="457">
        <f>IFERROR(INDEX('5'!C$300:C$400,MATCH("*"&amp;C14&amp;"*",'5'!B$300:B$400,0)),"  ")</f>
        <v>26</v>
      </c>
      <c r="S14" s="457">
        <f>IFERROR(INDEX('6'!C$300:C$400,MATCH("*"&amp;C14&amp;"*",'6'!B$300:B$400,0)),"  ")</f>
        <v>34</v>
      </c>
      <c r="T14" s="772">
        <f>IFERROR(INDEX('7'!C$300:C$400,MATCH("*"&amp;C14&amp;"*",'7'!B$300:B$400,0)),0)</f>
        <v>30</v>
      </c>
      <c r="U14" s="202">
        <f t="shared" si="6"/>
        <v>7</v>
      </c>
      <c r="V14" s="202">
        <f t="shared" si="7"/>
        <v>4</v>
      </c>
      <c r="W14" s="202">
        <f t="shared" si="8"/>
        <v>0</v>
      </c>
      <c r="X14" s="1397"/>
    </row>
    <row r="15" spans="1:24" x14ac:dyDescent="0.2">
      <c r="A15" s="566">
        <f t="shared" si="0"/>
        <v>9</v>
      </c>
      <c r="B15" s="455">
        <v>9</v>
      </c>
      <c r="C15" s="242" t="s">
        <v>199</v>
      </c>
      <c r="D15" s="496" t="s">
        <v>359</v>
      </c>
      <c r="E15" s="497"/>
      <c r="F15" s="452">
        <v>108</v>
      </c>
      <c r="G15" s="564">
        <f t="array" ref="G15">(IF(COUNT(N15,P15,R15)&lt;2,SUM(N15,P15,R15),SUM(LARGE((N15,P15,R15),{1;2}))))+(IF(COUNT(O15,Q15,S15)&lt;2,SUM(O15,Q15,S15),SUM(LARGE((O15,Q15,S15),{1;2}))))+T15</f>
        <v>108</v>
      </c>
      <c r="H15" s="475" t="str">
        <f>INDEX(ETAPP!B$1:B$31,MATCH(COUNTIF(N15:T15,PIV!A$1),ETAPP!A$1:A$32,0))&amp;INDEX(ETAPP!B$1:B$31,MATCH(COUNTIF(N15:T15,PIV!A$2),ETAPP!A$1:A$32,0))&amp;INDEX(ETAPP!B$1:B$31,MATCH(COUNTIF(N15:T15,PIV!A$3),ETAPP!A$1:A$32,0))&amp;INDEX(ETAPP!B$1:B$31,MATCH(COUNTIF(N15:T15,PIV!A$4),ETAPP!A$1:A$32,0))&amp;INDEX(ETAPP!B$1:B$31,MATCH(COUNTIF(N15:T15,PIV!A$5),ETAPP!A$1:A$32,0))&amp;INDEX(ETAPP!B$1:B$31,MATCH(COUNTIF(N15:T15,PIV!A$6),ETAPP!A$1:A$32,0))&amp;INDEX(ETAPP!B$1:B$31,MATCH(COUNTIF(N15:T15,PIV!A$7),ETAPP!A$1:A$32,0))&amp;INDEX(ETAPP!B$1:B$31,MATCH(COUNTIF(N15:T15,PIV!A$8),ETAPP!A$1:A$32,0))&amp;INDEX(ETAPP!B$1:B$31,MATCH(COUNTIF(N15:T15,PIV!A$9),ETAPP!A$1:A$32,0))&amp;INDEX(ETAPP!B$1:B$31,MATCH(COUNTIF(N15:T15,PIV!A$10),ETAPP!A$1:A$32,0))&amp;INDEX(ETAPP!B$1:B$31,MATCH(COUNTIF(N15:T15,PIV!A$11),ETAPP!A$1:A$32,0))&amp;INDEX(ETAPP!B$1:B$31,MATCH(COUNTIF(N15:T15,PIV!A$12),ETAPP!A$1:A$32,0))&amp;INDEX(ETAPP!B$1:B$31,MATCH(COUNTIF(N15:T15,PIV!A$13),ETAPP!A$1:A$32,0))&amp;INDEX(ETAPP!B$1:B$31,MATCH(COUNTIF(N15:T15,PIV!A$14),ETAPP!A$1:A$32,0))&amp;INDEX(ETAPP!B$1:B$31,MATCH(COUNTIF(N15:T15,PIV!A$15),ETAPP!A$1:A$32,0))&amp;INDEX(ETAPP!B$1:B$31,MATCH(COUNTIF(N15:T15,PIV!A$16),ETAPP!A$1:A$32,0))&amp;INDEX(ETAPP!B$1:B$31,MATCH(COUNTIF(N15:T15,PIV!A$17),ETAPP!A$1:A$32,0))&amp;INDEX(ETAPP!B$1:B$31,MATCH(COUNTIF(N15:T15,PIV!A$18),ETAPP!A$1:A$32,0))&amp;INDEX(ETAPP!B$1:B$31,MATCH(COUNTIF(N15:T15,PIV!A$19),ETAPP!A$1:A$32,0))</f>
        <v>AB0A0000000000000AB</v>
      </c>
      <c r="I15" s="474" t="str">
        <f t="shared" si="1"/>
        <v>108,0-AB0A0000000000000AB</v>
      </c>
      <c r="J15" s="476">
        <f t="shared" si="2"/>
        <v>9</v>
      </c>
      <c r="K15" s="476">
        <f t="shared" si="3"/>
        <v>7</v>
      </c>
      <c r="L15" s="474" t="str">
        <f t="shared" si="4"/>
        <v>108,0-AB0A0000000000000AB-007</v>
      </c>
      <c r="M15" s="476">
        <f t="shared" si="5"/>
        <v>20</v>
      </c>
      <c r="N15" s="457">
        <f>IFERROR(INDEX('1'!C$300:C$400,MATCH("*"&amp;C15&amp;"*",'1'!B$300:B$400,0)),"  ")</f>
        <v>26</v>
      </c>
      <c r="O15" s="458" t="str">
        <f>IFERROR(INDEX('2'!C$300:C$400,MATCH("*"&amp;C15&amp;"*",'2'!B$300:B$400,0)),"  ")</f>
        <v xml:space="preserve">  </v>
      </c>
      <c r="P15" s="457">
        <f>IFERROR(INDEX('3'!C$300:C$400,MATCH("*"&amp;C15&amp;"*",'3'!B$300:B$400,0)),"  ")</f>
        <v>40</v>
      </c>
      <c r="Q15" s="457">
        <f>IFERROR(INDEX('4'!C$300:C$400,MATCH("*"&amp;C15&amp;"*",'4'!B$300:B$400,0)),"  ")</f>
        <v>34</v>
      </c>
      <c r="R15" s="457">
        <f>IFERROR(INDEX('5'!C$300:C$400,MATCH("*"&amp;C15&amp;"*",'5'!B$300:B$400,0)),"  ")</f>
        <v>34</v>
      </c>
      <c r="S15" s="457" t="str">
        <f>IFERROR(INDEX('6'!C$300:C$400,MATCH("*"&amp;C15&amp;"*",'6'!B$300:B$400,0)),"  ")</f>
        <v xml:space="preserve">  </v>
      </c>
      <c r="T15" s="772">
        <f>IFERROR(INDEX('7'!C$300:C$400,MATCH("*"&amp;C15&amp;"*",'7'!B$300:B$400,0)),0)</f>
        <v>0</v>
      </c>
      <c r="U15" s="202">
        <f t="shared" si="6"/>
        <v>4</v>
      </c>
      <c r="V15" s="202">
        <f t="shared" si="7"/>
        <v>3</v>
      </c>
      <c r="W15" s="202">
        <f t="shared" si="8"/>
        <v>1</v>
      </c>
      <c r="X15" s="1396">
        <f>P37</f>
        <v>9.1</v>
      </c>
    </row>
    <row r="16" spans="1:24" x14ac:dyDescent="0.2">
      <c r="A16" s="566">
        <f t="shared" si="0"/>
        <v>10</v>
      </c>
      <c r="B16" s="455">
        <v>10</v>
      </c>
      <c r="C16" s="243" t="s">
        <v>210</v>
      </c>
      <c r="D16" s="496"/>
      <c r="E16" s="497"/>
      <c r="F16" s="452">
        <v>104</v>
      </c>
      <c r="G16" s="564">
        <f t="array" ref="G16">(IF(COUNT(N16,P16,R16)&lt;2,SUM(N16,P16,R16),SUM(LARGE((N16,P16,R16),{1;2}))))+(IF(COUNT(O16,Q16,S16)&lt;2,SUM(O16,Q16,S16),SUM(LARGE((O16,Q16,S16),{1;2}))))+T16</f>
        <v>104</v>
      </c>
      <c r="H16" s="475" t="str">
        <f>INDEX(ETAPP!B$1:B$31,MATCH(COUNTIF(N16:T16,PIV!A$1),ETAPP!A$1:A$32,0))&amp;INDEX(ETAPP!B$1:B$31,MATCH(COUNTIF(N16:T16,PIV!A$2),ETAPP!A$1:A$32,0))&amp;INDEX(ETAPP!B$1:B$31,MATCH(COUNTIF(N16:T16,PIV!A$3),ETAPP!A$1:A$32,0))&amp;INDEX(ETAPP!B$1:B$31,MATCH(COUNTIF(N16:T16,PIV!A$4),ETAPP!A$1:A$32,0))&amp;INDEX(ETAPP!B$1:B$31,MATCH(COUNTIF(N16:T16,PIV!A$5),ETAPP!A$1:A$32,0))&amp;INDEX(ETAPP!B$1:B$31,MATCH(COUNTIF(N16:T16,PIV!A$6),ETAPP!A$1:A$32,0))&amp;INDEX(ETAPP!B$1:B$31,MATCH(COUNTIF(N16:T16,PIV!A$7),ETAPP!A$1:A$32,0))&amp;INDEX(ETAPP!B$1:B$31,MATCH(COUNTIF(N16:T16,PIV!A$8),ETAPP!A$1:A$32,0))&amp;INDEX(ETAPP!B$1:B$31,MATCH(COUNTIF(N16:T16,PIV!A$9),ETAPP!A$1:A$32,0))&amp;INDEX(ETAPP!B$1:B$31,MATCH(COUNTIF(N16:T16,PIV!A$10),ETAPP!A$1:A$32,0))&amp;INDEX(ETAPP!B$1:B$31,MATCH(COUNTIF(N16:T16,PIV!A$11),ETAPP!A$1:A$32,0))&amp;INDEX(ETAPP!B$1:B$31,MATCH(COUNTIF(N16:T16,PIV!A$12),ETAPP!A$1:A$32,0))&amp;INDEX(ETAPP!B$1:B$31,MATCH(COUNTIF(N16:T16,PIV!A$13),ETAPP!A$1:A$32,0))&amp;INDEX(ETAPP!B$1:B$31,MATCH(COUNTIF(N16:T16,PIV!A$14),ETAPP!A$1:A$32,0))&amp;INDEX(ETAPP!B$1:B$31,MATCH(COUNTIF(N16:T16,PIV!A$15),ETAPP!A$1:A$32,0))&amp;INDEX(ETAPP!B$1:B$31,MATCH(COUNTIF(N16:T16,PIV!A$16),ETAPP!A$1:A$32,0))&amp;INDEX(ETAPP!B$1:B$31,MATCH(COUNTIF(N16:T16,PIV!A$17),ETAPP!A$1:A$32,0))&amp;INDEX(ETAPP!B$1:B$31,MATCH(COUNTIF(N16:T16,PIV!A$18),ETAPP!A$1:A$32,0))&amp;INDEX(ETAPP!B$1:B$31,MATCH(COUNTIF(N16:T16,PIV!A$19),ETAPP!A$1:A$32,0))</f>
        <v>0A0AA0AA000000000AA</v>
      </c>
      <c r="I16" s="474" t="str">
        <f t="shared" si="1"/>
        <v>104,0-0A0AA0AA000000000AA</v>
      </c>
      <c r="J16" s="476">
        <f t="shared" si="2"/>
        <v>10</v>
      </c>
      <c r="K16" s="476">
        <f t="shared" si="3"/>
        <v>4</v>
      </c>
      <c r="L16" s="474" t="str">
        <f t="shared" si="4"/>
        <v>104,0-0A0AA0AA000000000AA-004</v>
      </c>
      <c r="M16" s="476">
        <f t="shared" si="5"/>
        <v>19</v>
      </c>
      <c r="N16" s="457">
        <f>IFERROR(INDEX('1'!C$300:C$400,MATCH("*"&amp;C16&amp;"*",'1'!B$300:B$400,0)),"  ")</f>
        <v>20</v>
      </c>
      <c r="O16" s="458">
        <f>IFERROR(INDEX('2'!C$300:C$400,MATCH("*"&amp;C16&amp;"*",'2'!B$300:B$400,0)),"  ")</f>
        <v>18</v>
      </c>
      <c r="P16" s="457">
        <f>IFERROR(INDEX('3'!C$300:C$400,MATCH("*"&amp;C16&amp;"*",'3'!B$300:B$400,0)),"  ")</f>
        <v>26</v>
      </c>
      <c r="Q16" s="457">
        <f>IFERROR(INDEX('4'!C$300:C$400,MATCH("*"&amp;C16&amp;"*",'4'!B$300:B$400,0)),"  ")</f>
        <v>24</v>
      </c>
      <c r="R16" s="457" t="str">
        <f>IFERROR(INDEX('5'!C$300:C$400,MATCH("*"&amp;C16&amp;"*",'5'!B$300:B$400,0)),"  ")</f>
        <v xml:space="preserve">  </v>
      </c>
      <c r="S16" s="457">
        <f>IFERROR(INDEX('6'!C$300:C$400,MATCH("*"&amp;C16&amp;"*",'6'!B$300:B$400,0)),"  ")</f>
        <v>34</v>
      </c>
      <c r="T16" s="772">
        <f>IFERROR(INDEX('7'!C$300:C$400,MATCH("*"&amp;C16&amp;"*",'7'!B$300:B$400,0)),0)</f>
        <v>0</v>
      </c>
      <c r="U16" s="202">
        <f t="shared" si="6"/>
        <v>5</v>
      </c>
      <c r="V16" s="202">
        <f t="shared" si="7"/>
        <v>1</v>
      </c>
      <c r="W16" s="202">
        <f t="shared" si="8"/>
        <v>0</v>
      </c>
      <c r="X16" s="1397"/>
    </row>
    <row r="17" spans="1:24" x14ac:dyDescent="0.2">
      <c r="A17" s="566">
        <f t="shared" si="0"/>
        <v>11</v>
      </c>
      <c r="B17" s="455">
        <v>11</v>
      </c>
      <c r="C17" s="242" t="s">
        <v>205</v>
      </c>
      <c r="D17" s="496" t="s">
        <v>359</v>
      </c>
      <c r="E17" s="497"/>
      <c r="F17" s="452">
        <v>104</v>
      </c>
      <c r="G17" s="564">
        <f t="array" ref="G17">(IF(COUNT(N17,P17,R17)&lt;2,SUM(N17,P17,R17),SUM(LARGE((N17,P17,R17),{1;2}))))+(IF(COUNT(O17,Q17,S17)&lt;2,SUM(O17,Q17,S17),SUM(LARGE((O17,Q17,S17),{1;2}))))+T17</f>
        <v>104</v>
      </c>
      <c r="H17" s="475" t="str">
        <f>INDEX(ETAPP!B$1:B$31,MATCH(COUNTIF(N17:T17,PIV!A$1),ETAPP!A$1:A$32,0))&amp;INDEX(ETAPP!B$1:B$31,MATCH(COUNTIF(N17:T17,PIV!A$2),ETAPP!A$1:A$32,0))&amp;INDEX(ETAPP!B$1:B$31,MATCH(COUNTIF(N17:T17,PIV!A$3),ETAPP!A$1:A$32,0))&amp;INDEX(ETAPP!B$1:B$31,MATCH(COUNTIF(N17:T17,PIV!A$4),ETAPP!A$1:A$32,0))&amp;INDEX(ETAPP!B$1:B$31,MATCH(COUNTIF(N17:T17,PIV!A$5),ETAPP!A$1:A$32,0))&amp;INDEX(ETAPP!B$1:B$31,MATCH(COUNTIF(N17:T17,PIV!A$6),ETAPP!A$1:A$32,0))&amp;INDEX(ETAPP!B$1:B$31,MATCH(COUNTIF(N17:T17,PIV!A$7),ETAPP!A$1:A$32,0))&amp;INDEX(ETAPP!B$1:B$31,MATCH(COUNTIF(N17:T17,PIV!A$8),ETAPP!A$1:A$32,0))&amp;INDEX(ETAPP!B$1:B$31,MATCH(COUNTIF(N17:T17,PIV!A$9),ETAPP!A$1:A$32,0))&amp;INDEX(ETAPP!B$1:B$31,MATCH(COUNTIF(N17:T17,PIV!A$10),ETAPP!A$1:A$32,0))&amp;INDEX(ETAPP!B$1:B$31,MATCH(COUNTIF(N17:T17,PIV!A$11),ETAPP!A$1:A$32,0))&amp;INDEX(ETAPP!B$1:B$31,MATCH(COUNTIF(N17:T17,PIV!A$12),ETAPP!A$1:A$32,0))&amp;INDEX(ETAPP!B$1:B$31,MATCH(COUNTIF(N17:T17,PIV!A$13),ETAPP!A$1:A$32,0))&amp;INDEX(ETAPP!B$1:B$31,MATCH(COUNTIF(N17:T17,PIV!A$14),ETAPP!A$1:A$32,0))&amp;INDEX(ETAPP!B$1:B$31,MATCH(COUNTIF(N17:T17,PIV!A$15),ETAPP!A$1:A$32,0))&amp;INDEX(ETAPP!B$1:B$31,MATCH(COUNTIF(N17:T17,PIV!A$16),ETAPP!A$1:A$32,0))&amp;INDEX(ETAPP!B$1:B$31,MATCH(COUNTIF(N17:T17,PIV!A$17),ETAPP!A$1:A$32,0))&amp;INDEX(ETAPP!B$1:B$31,MATCH(COUNTIF(N17:T17,PIV!A$18),ETAPP!A$1:A$32,0))&amp;INDEX(ETAPP!B$1:B$31,MATCH(COUNTIF(N17:T17,PIV!A$19),ETAPP!A$1:A$32,0))</f>
        <v>0A0A0B00000000000AB</v>
      </c>
      <c r="I17" s="474" t="str">
        <f t="shared" si="1"/>
        <v>104,0-0A0A0B00000000000AB</v>
      </c>
      <c r="J17" s="476">
        <f t="shared" si="2"/>
        <v>11</v>
      </c>
      <c r="K17" s="476">
        <f t="shared" si="3"/>
        <v>6</v>
      </c>
      <c r="L17" s="474" t="str">
        <f t="shared" si="4"/>
        <v>104,0-0A0A0B00000000000AB-006</v>
      </c>
      <c r="M17" s="476">
        <f t="shared" si="5"/>
        <v>18</v>
      </c>
      <c r="N17" s="457">
        <f>IFERROR(INDEX('1'!C$300:C$400,MATCH("*"&amp;C17&amp;"*",'1'!B$300:B$400,0)),"  ")</f>
        <v>22</v>
      </c>
      <c r="O17" s="458">
        <f>IFERROR(INDEX('2'!C$300:C$400,MATCH("*"&amp;C17&amp;"*",'2'!B$300:B$400,0)),"  ")</f>
        <v>26</v>
      </c>
      <c r="P17" s="457">
        <f>IFERROR(INDEX('3'!C$300:C$400,MATCH("*"&amp;C17&amp;"*",'3'!B$300:B$400,0)),"  ")</f>
        <v>34</v>
      </c>
      <c r="Q17" s="457">
        <f>IFERROR(INDEX('4'!C$300:C$400,MATCH("*"&amp;C17&amp;"*",'4'!B$300:B$400,0)),"  ")</f>
        <v>22</v>
      </c>
      <c r="R17" s="457" t="str">
        <f>IFERROR(INDEX('5'!C$300:C$400,MATCH("*"&amp;C17&amp;"*",'5'!B$300:B$400,0)),"  ")</f>
        <v xml:space="preserve">  </v>
      </c>
      <c r="S17" s="457" t="str">
        <f>IFERROR(INDEX('6'!C$300:C$400,MATCH("*"&amp;C17&amp;"*",'6'!B$300:B$400,0)),"  ")</f>
        <v xml:space="preserve">  </v>
      </c>
      <c r="T17" s="772">
        <f>IFERROR(INDEX('7'!C$300:C$400,MATCH("*"&amp;C17&amp;"*",'7'!B$300:B$400,0)),0)</f>
        <v>0</v>
      </c>
      <c r="U17" s="202">
        <f t="shared" si="6"/>
        <v>4</v>
      </c>
      <c r="V17" s="202">
        <f t="shared" si="7"/>
        <v>1</v>
      </c>
      <c r="W17" s="202">
        <f t="shared" si="8"/>
        <v>0</v>
      </c>
      <c r="X17" s="1397"/>
    </row>
    <row r="18" spans="1:24" x14ac:dyDescent="0.2">
      <c r="A18" s="566">
        <f t="shared" si="0"/>
        <v>12</v>
      </c>
      <c r="B18" s="455">
        <v>12</v>
      </c>
      <c r="C18" s="242" t="s">
        <v>195</v>
      </c>
      <c r="D18" s="496" t="s">
        <v>359</v>
      </c>
      <c r="E18" s="497"/>
      <c r="F18" s="452">
        <v>102</v>
      </c>
      <c r="G18" s="564">
        <f t="array" ref="G18">(IF(COUNT(N18,P18,R18)&lt;2,SUM(N18,P18,R18),SUM(LARGE((N18,P18,R18),{1;2}))))+(IF(COUNT(O18,Q18,S18)&lt;2,SUM(O18,Q18,S18),SUM(LARGE((O18,Q18,S18),{1;2}))))+T18</f>
        <v>102</v>
      </c>
      <c r="H18" s="475" t="str">
        <f>INDEX(ETAPP!B$1:B$31,MATCH(COUNTIF(N18:T18,PIV!A$1),ETAPP!A$1:A$32,0))&amp;INDEX(ETAPP!B$1:B$31,MATCH(COUNTIF(N18:T18,PIV!A$2),ETAPP!A$1:A$32,0))&amp;INDEX(ETAPP!B$1:B$31,MATCH(COUNTIF(N18:T18,PIV!A$3),ETAPP!A$1:A$32,0))&amp;INDEX(ETAPP!B$1:B$31,MATCH(COUNTIF(N18:T18,PIV!A$4),ETAPP!A$1:A$32,0))&amp;INDEX(ETAPP!B$1:B$31,MATCH(COUNTIF(N18:T18,PIV!A$5),ETAPP!A$1:A$32,0))&amp;INDEX(ETAPP!B$1:B$31,MATCH(COUNTIF(N18:T18,PIV!A$6),ETAPP!A$1:A$32,0))&amp;INDEX(ETAPP!B$1:B$31,MATCH(COUNTIF(N18:T18,PIV!A$7),ETAPP!A$1:A$32,0))&amp;INDEX(ETAPP!B$1:B$31,MATCH(COUNTIF(N18:T18,PIV!A$8),ETAPP!A$1:A$32,0))&amp;INDEX(ETAPP!B$1:B$31,MATCH(COUNTIF(N18:T18,PIV!A$9),ETAPP!A$1:A$32,0))&amp;INDEX(ETAPP!B$1:B$31,MATCH(COUNTIF(N18:T18,PIV!A$10),ETAPP!A$1:A$32,0))&amp;INDEX(ETAPP!B$1:B$31,MATCH(COUNTIF(N18:T18,PIV!A$11),ETAPP!A$1:A$32,0))&amp;INDEX(ETAPP!B$1:B$31,MATCH(COUNTIF(N18:T18,PIV!A$12),ETAPP!A$1:A$32,0))&amp;INDEX(ETAPP!B$1:B$31,MATCH(COUNTIF(N18:T18,PIV!A$13),ETAPP!A$1:A$32,0))&amp;INDEX(ETAPP!B$1:B$31,MATCH(COUNTIF(N18:T18,PIV!A$14),ETAPP!A$1:A$32,0))&amp;INDEX(ETAPP!B$1:B$31,MATCH(COUNTIF(N18:T18,PIV!A$15),ETAPP!A$1:A$32,0))&amp;INDEX(ETAPP!B$1:B$31,MATCH(COUNTIF(N18:T18,PIV!A$16),ETAPP!A$1:A$32,0))&amp;INDEX(ETAPP!B$1:B$31,MATCH(COUNTIF(N18:T18,PIV!A$17),ETAPP!A$1:A$32,0))&amp;INDEX(ETAPP!B$1:B$31,MATCH(COUNTIF(N18:T18,PIV!A$18),ETAPP!A$1:A$32,0))&amp;INDEX(ETAPP!B$1:B$31,MATCH(COUNTIF(N18:T18,PIV!A$19),ETAPP!A$1:A$32,0))</f>
        <v>0A00BAA0000000000AA</v>
      </c>
      <c r="I18" s="474" t="str">
        <f t="shared" si="1"/>
        <v>102,0-0A00BAA0000000000AA</v>
      </c>
      <c r="J18" s="476">
        <f t="shared" si="2"/>
        <v>13</v>
      </c>
      <c r="K18" s="476">
        <f t="shared" si="3"/>
        <v>13</v>
      </c>
      <c r="L18" s="474" t="str">
        <f t="shared" si="4"/>
        <v>102,0-0A00BAA0000000000AA-013</v>
      </c>
      <c r="M18" s="476">
        <f t="shared" si="5"/>
        <v>17</v>
      </c>
      <c r="N18" s="457">
        <f>IFERROR(INDEX('1'!C$300:C$400,MATCH("*"&amp;C18&amp;"*",'1'!B$300:B$400,0)),"  ")</f>
        <v>34</v>
      </c>
      <c r="O18" s="458">
        <f>IFERROR(INDEX('2'!C$300:C$400,MATCH("*"&amp;C18&amp;"*",'2'!B$300:B$400,0)),"  ")</f>
        <v>24</v>
      </c>
      <c r="P18" s="457">
        <f>IFERROR(INDEX('3'!C$300:C$400,MATCH("*"&amp;C18&amp;"*",'3'!B$300:B$400,0)),"  ")</f>
        <v>22</v>
      </c>
      <c r="Q18" s="457">
        <f>IFERROR(INDEX('4'!C$300:C$400,MATCH("*"&amp;C18&amp;"*",'4'!B$300:B$400,0)),"  ")</f>
        <v>20</v>
      </c>
      <c r="R18" s="457">
        <f>IFERROR(INDEX('5'!C$300:C$400,MATCH("*"&amp;C18&amp;"*",'5'!B$300:B$400,0)),"  ")</f>
        <v>24</v>
      </c>
      <c r="S18" s="457" t="str">
        <f>IFERROR(INDEX('6'!C$300:C$400,MATCH("*"&amp;C18&amp;"*",'6'!B$300:B$400,0)),"  ")</f>
        <v xml:space="preserve">  </v>
      </c>
      <c r="T18" s="772">
        <f>IFERROR(INDEX('7'!C$300:C$400,MATCH("*"&amp;C18&amp;"*",'7'!B$300:B$400,0)),0)</f>
        <v>0</v>
      </c>
      <c r="U18" s="202">
        <f t="shared" si="6"/>
        <v>5</v>
      </c>
      <c r="V18" s="202">
        <f t="shared" si="7"/>
        <v>1</v>
      </c>
      <c r="W18" s="202">
        <f t="shared" si="8"/>
        <v>0</v>
      </c>
      <c r="X18" s="1397"/>
    </row>
    <row r="19" spans="1:24" x14ac:dyDescent="0.2">
      <c r="A19" s="566">
        <f t="shared" si="0"/>
        <v>12</v>
      </c>
      <c r="B19" s="455">
        <v>12</v>
      </c>
      <c r="C19" s="242" t="s">
        <v>193</v>
      </c>
      <c r="D19" s="496"/>
      <c r="E19" s="497"/>
      <c r="F19" s="452">
        <v>102</v>
      </c>
      <c r="G19" s="564">
        <f t="array" ref="G19">(IF(COUNT(N19,P19,R19)&lt;2,SUM(N19,P19,R19),SUM(LARGE((N19,P19,R19),{1;2}))))+(IF(COUNT(O19,Q19,S19)&lt;2,SUM(O19,Q19,S19),SUM(LARGE((O19,Q19,S19),{1;2}))))+T19</f>
        <v>102</v>
      </c>
      <c r="H19" s="475" t="str">
        <f>INDEX(ETAPP!B$1:B$31,MATCH(COUNTIF(N19:T19,PIV!A$1),ETAPP!A$1:A$32,0))&amp;INDEX(ETAPP!B$1:B$31,MATCH(COUNTIF(N19:T19,PIV!A$2),ETAPP!A$1:A$32,0))&amp;INDEX(ETAPP!B$1:B$31,MATCH(COUNTIF(N19:T19,PIV!A$3),ETAPP!A$1:A$32,0))&amp;INDEX(ETAPP!B$1:B$31,MATCH(COUNTIF(N19:T19,PIV!A$4),ETAPP!A$1:A$32,0))&amp;INDEX(ETAPP!B$1:B$31,MATCH(COUNTIF(N19:T19,PIV!A$5),ETAPP!A$1:A$32,0))&amp;INDEX(ETAPP!B$1:B$31,MATCH(COUNTIF(N19:T19,PIV!A$6),ETAPP!A$1:A$32,0))&amp;INDEX(ETAPP!B$1:B$31,MATCH(COUNTIF(N19:T19,PIV!A$7),ETAPP!A$1:A$32,0))&amp;INDEX(ETAPP!B$1:B$31,MATCH(COUNTIF(N19:T19,PIV!A$8),ETAPP!A$1:A$32,0))&amp;INDEX(ETAPP!B$1:B$31,MATCH(COUNTIF(N19:T19,PIV!A$9),ETAPP!A$1:A$32,0))&amp;INDEX(ETAPP!B$1:B$31,MATCH(COUNTIF(N19:T19,PIV!A$10),ETAPP!A$1:A$32,0))&amp;INDEX(ETAPP!B$1:B$31,MATCH(COUNTIF(N19:T19,PIV!A$11),ETAPP!A$1:A$32,0))&amp;INDEX(ETAPP!B$1:B$31,MATCH(COUNTIF(N19:T19,PIV!A$12),ETAPP!A$1:A$32,0))&amp;INDEX(ETAPP!B$1:B$31,MATCH(COUNTIF(N19:T19,PIV!A$13),ETAPP!A$1:A$32,0))&amp;INDEX(ETAPP!B$1:B$31,MATCH(COUNTIF(N19:T19,PIV!A$14),ETAPP!A$1:A$32,0))&amp;INDEX(ETAPP!B$1:B$31,MATCH(COUNTIF(N19:T19,PIV!A$15),ETAPP!A$1:A$32,0))&amp;INDEX(ETAPP!B$1:B$31,MATCH(COUNTIF(N19:T19,PIV!A$16),ETAPP!A$1:A$32,0))&amp;INDEX(ETAPP!B$1:B$31,MATCH(COUNTIF(N19:T19,PIV!A$17),ETAPP!A$1:A$32,0))&amp;INDEX(ETAPP!B$1:B$31,MATCH(COUNTIF(N19:T19,PIV!A$18),ETAPP!A$1:A$32,0))&amp;INDEX(ETAPP!B$1:B$31,MATCH(COUNTIF(N19:T19,PIV!A$19),ETAPP!A$1:A$32,0))</f>
        <v>0A00BAA0000000000AA</v>
      </c>
      <c r="I19" s="474" t="str">
        <f t="shared" si="1"/>
        <v>102,0-0A00BAA0000000000AA</v>
      </c>
      <c r="J19" s="476">
        <f t="shared" si="2"/>
        <v>13</v>
      </c>
      <c r="K19" s="476">
        <f t="shared" si="3"/>
        <v>3</v>
      </c>
      <c r="L19" s="474" t="str">
        <f t="shared" si="4"/>
        <v>102,0-0A00BAA0000000000AA-003</v>
      </c>
      <c r="M19" s="476">
        <f t="shared" si="5"/>
        <v>16</v>
      </c>
      <c r="N19" s="457">
        <f>IFERROR(INDEX('1'!C$300:C$400,MATCH("*"&amp;C19&amp;"*",'1'!B$300:B$400,0)),"  ")</f>
        <v>34</v>
      </c>
      <c r="O19" s="458">
        <f>IFERROR(INDEX('2'!C$300:C$400,MATCH("*"&amp;C19&amp;"*",'2'!B$300:B$400,0)),"  ")</f>
        <v>24</v>
      </c>
      <c r="P19" s="457">
        <f>IFERROR(INDEX('3'!C$300:C$400,MATCH("*"&amp;C19&amp;"*",'3'!B$300:B$400,0)),"  ")</f>
        <v>22</v>
      </c>
      <c r="Q19" s="457">
        <f>IFERROR(INDEX('4'!C$300:C$400,MATCH("*"&amp;C19&amp;"*",'4'!B$300:B$400,0)),"  ")</f>
        <v>20</v>
      </c>
      <c r="R19" s="457">
        <f>IFERROR(INDEX('5'!C$300:C$400,MATCH("*"&amp;C19&amp;"*",'5'!B$300:B$400,0)),"  ")</f>
        <v>24</v>
      </c>
      <c r="S19" s="457" t="str">
        <f>IFERROR(INDEX('6'!C$300:C$400,MATCH("*"&amp;C19&amp;"*",'6'!B$300:B$400,0)),"  ")</f>
        <v xml:space="preserve">  </v>
      </c>
      <c r="T19" s="772">
        <f>IFERROR(INDEX('7'!C$300:C$400,MATCH("*"&amp;C19&amp;"*",'7'!B$300:B$400,0)),0)</f>
        <v>0</v>
      </c>
      <c r="U19" s="202">
        <f t="shared" si="6"/>
        <v>5</v>
      </c>
      <c r="V19" s="202">
        <f t="shared" si="7"/>
        <v>1</v>
      </c>
      <c r="W19" s="202">
        <f t="shared" si="8"/>
        <v>0</v>
      </c>
      <c r="X19" s="1397"/>
    </row>
    <row r="20" spans="1:24" x14ac:dyDescent="0.2">
      <c r="A20" s="566">
        <f t="shared" si="0"/>
        <v>14</v>
      </c>
      <c r="B20" s="455">
        <v>14</v>
      </c>
      <c r="C20" s="242" t="s">
        <v>201</v>
      </c>
      <c r="D20" s="496"/>
      <c r="E20" s="497"/>
      <c r="F20" s="452">
        <v>98</v>
      </c>
      <c r="G20" s="564">
        <f t="array" ref="G20">(IF(COUNT(N20,P20,R20)&lt;2,SUM(N20,P20,R20),SUM(LARGE((N20,P20,R20),{1;2}))))+(IF(COUNT(O20,Q20,S20)&lt;2,SUM(O20,Q20,S20),SUM(LARGE((O20,Q20,S20),{1;2}))))+T20</f>
        <v>98</v>
      </c>
      <c r="H20" s="475" t="str">
        <f>INDEX(ETAPP!B$1:B$31,MATCH(COUNTIF(N20:T20,PIV!A$1),ETAPP!A$1:A$32,0))&amp;INDEX(ETAPP!B$1:B$31,MATCH(COUNTIF(N20:T20,PIV!A$2),ETAPP!A$1:A$32,0))&amp;INDEX(ETAPP!B$1:B$31,MATCH(COUNTIF(N20:T20,PIV!A$3),ETAPP!A$1:A$32,0))&amp;INDEX(ETAPP!B$1:B$31,MATCH(COUNTIF(N20:T20,PIV!A$4),ETAPP!A$1:A$32,0))&amp;INDEX(ETAPP!B$1:B$31,MATCH(COUNTIF(N20:T20,PIV!A$5),ETAPP!A$1:A$32,0))&amp;INDEX(ETAPP!B$1:B$31,MATCH(COUNTIF(N20:T20,PIV!A$6),ETAPP!A$1:A$32,0))&amp;INDEX(ETAPP!B$1:B$31,MATCH(COUNTIF(N20:T20,PIV!A$7),ETAPP!A$1:A$32,0))&amp;INDEX(ETAPP!B$1:B$31,MATCH(COUNTIF(N20:T20,PIV!A$8),ETAPP!A$1:A$32,0))&amp;INDEX(ETAPP!B$1:B$31,MATCH(COUNTIF(N20:T20,PIV!A$9),ETAPP!A$1:A$32,0))&amp;INDEX(ETAPP!B$1:B$31,MATCH(COUNTIF(N20:T20,PIV!A$10),ETAPP!A$1:A$32,0))&amp;INDEX(ETAPP!B$1:B$31,MATCH(COUNTIF(N20:T20,PIV!A$11),ETAPP!A$1:A$32,0))&amp;INDEX(ETAPP!B$1:B$31,MATCH(COUNTIF(N20:T20,PIV!A$12),ETAPP!A$1:A$32,0))&amp;INDEX(ETAPP!B$1:B$31,MATCH(COUNTIF(N20:T20,PIV!A$13),ETAPP!A$1:A$32,0))&amp;INDEX(ETAPP!B$1:B$31,MATCH(COUNTIF(N20:T20,PIV!A$14),ETAPP!A$1:A$32,0))&amp;INDEX(ETAPP!B$1:B$31,MATCH(COUNTIF(N20:T20,PIV!A$15),ETAPP!A$1:A$32,0))&amp;INDEX(ETAPP!B$1:B$31,MATCH(COUNTIF(N20:T20,PIV!A$16),ETAPP!A$1:A$32,0))&amp;INDEX(ETAPP!B$1:B$31,MATCH(COUNTIF(N20:T20,PIV!A$17),ETAPP!A$1:A$32,0))&amp;INDEX(ETAPP!B$1:B$31,MATCH(COUNTIF(N20:T20,PIV!A$18),ETAPP!A$1:A$32,0))&amp;INDEX(ETAPP!B$1:B$31,MATCH(COUNTIF(N20:T20,PIV!A$19),ETAPP!A$1:A$32,0))</f>
        <v>AA0AA000000000000AB</v>
      </c>
      <c r="I20" s="474" t="str">
        <f t="shared" si="1"/>
        <v>098,0-AA0AA000000000000AB</v>
      </c>
      <c r="J20" s="476">
        <f t="shared" si="2"/>
        <v>14</v>
      </c>
      <c r="K20" s="476">
        <f t="shared" si="3"/>
        <v>15</v>
      </c>
      <c r="L20" s="474" t="str">
        <f t="shared" si="4"/>
        <v>098,0-AA0AA000000000000AB-015</v>
      </c>
      <c r="M20" s="476">
        <f t="shared" si="5"/>
        <v>15</v>
      </c>
      <c r="N20" s="457">
        <f>IFERROR(INDEX('1'!C$300:C$400,MATCH("*"&amp;C20&amp;"*",'1'!B$300:B$400,0)),"  ")</f>
        <v>26</v>
      </c>
      <c r="O20" s="458" t="str">
        <f>IFERROR(INDEX('2'!C$300:C$400,MATCH("*"&amp;C20&amp;"*",'2'!B$300:B$400,0)),"  ")</f>
        <v xml:space="preserve">  </v>
      </c>
      <c r="P20" s="457">
        <f>IFERROR(INDEX('3'!C$300:C$400,MATCH("*"&amp;C20&amp;"*",'3'!B$300:B$400,0)),"  ")</f>
        <v>40</v>
      </c>
      <c r="Q20" s="457" t="str">
        <f>IFERROR(INDEX('4'!C$300:C$400,MATCH("*"&amp;C20&amp;"*",'4'!B$300:B$400,0)),"  ")</f>
        <v xml:space="preserve">  </v>
      </c>
      <c r="R20" s="457">
        <f>IFERROR(INDEX('5'!C$300:C$400,MATCH("*"&amp;C20&amp;"*",'5'!B$300:B$400,0)),"  ")</f>
        <v>34</v>
      </c>
      <c r="S20" s="457">
        <f>IFERROR(INDEX('6'!C$300:C$400,MATCH("*"&amp;C20&amp;"*",'6'!B$300:B$400,0)),"  ")</f>
        <v>24</v>
      </c>
      <c r="T20" s="772">
        <f>IFERROR(INDEX('7'!C$300:C$400,MATCH("*"&amp;C20&amp;"*",'7'!B$300:B$400,0)),0)</f>
        <v>0</v>
      </c>
      <c r="U20" s="202">
        <f t="shared" si="6"/>
        <v>4</v>
      </c>
      <c r="V20" s="202">
        <f t="shared" si="7"/>
        <v>2</v>
      </c>
      <c r="W20" s="202">
        <f t="shared" si="8"/>
        <v>1</v>
      </c>
      <c r="X20" s="1396">
        <f>P37</f>
        <v>9.1</v>
      </c>
    </row>
    <row r="21" spans="1:24" x14ac:dyDescent="0.2">
      <c r="A21" s="566">
        <f t="shared" si="0"/>
        <v>15</v>
      </c>
      <c r="B21" s="455">
        <v>15</v>
      </c>
      <c r="C21" s="242" t="s">
        <v>202</v>
      </c>
      <c r="D21" s="496"/>
      <c r="E21" s="546" t="s">
        <v>360</v>
      </c>
      <c r="F21" s="452">
        <v>98</v>
      </c>
      <c r="G21" s="564">
        <f t="array" ref="G21">(IF(COUNT(N21,P21,R21)&lt;2,SUM(N21,P21,R21),SUM(LARGE((N21,P21,R21),{1;2}))))+(IF(COUNT(O21,Q21,S21)&lt;2,SUM(O21,Q21,S21),SUM(LARGE((O21,Q21,S21),{1;2}))))+T21</f>
        <v>98</v>
      </c>
      <c r="H21" s="475" t="str">
        <f>INDEX(ETAPP!B$1:B$31,MATCH(COUNTIF(N21:T21,PIV!A$1),ETAPP!A$1:A$32,0))&amp;INDEX(ETAPP!B$1:B$31,MATCH(COUNTIF(N21:T21,PIV!A$2),ETAPP!A$1:A$32,0))&amp;INDEX(ETAPP!B$1:B$31,MATCH(COUNTIF(N21:T21,PIV!A$3),ETAPP!A$1:A$32,0))&amp;INDEX(ETAPP!B$1:B$31,MATCH(COUNTIF(N21:T21,PIV!A$4),ETAPP!A$1:A$32,0))&amp;INDEX(ETAPP!B$1:B$31,MATCH(COUNTIF(N21:T21,PIV!A$5),ETAPP!A$1:A$32,0))&amp;INDEX(ETAPP!B$1:B$31,MATCH(COUNTIF(N21:T21,PIV!A$6),ETAPP!A$1:A$32,0))&amp;INDEX(ETAPP!B$1:B$31,MATCH(COUNTIF(N21:T21,PIV!A$7),ETAPP!A$1:A$32,0))&amp;INDEX(ETAPP!B$1:B$31,MATCH(COUNTIF(N21:T21,PIV!A$8),ETAPP!A$1:A$32,0))&amp;INDEX(ETAPP!B$1:B$31,MATCH(COUNTIF(N21:T21,PIV!A$9),ETAPP!A$1:A$32,0))&amp;INDEX(ETAPP!B$1:B$31,MATCH(COUNTIF(N21:T21,PIV!A$10),ETAPP!A$1:A$32,0))&amp;INDEX(ETAPP!B$1:B$31,MATCH(COUNTIF(N21:T21,PIV!A$11),ETAPP!A$1:A$32,0))&amp;INDEX(ETAPP!B$1:B$31,MATCH(COUNTIF(N21:T21,PIV!A$12),ETAPP!A$1:A$32,0))&amp;INDEX(ETAPP!B$1:B$31,MATCH(COUNTIF(N21:T21,PIV!A$13),ETAPP!A$1:A$32,0))&amp;INDEX(ETAPP!B$1:B$31,MATCH(COUNTIF(N21:T21,PIV!A$14),ETAPP!A$1:A$32,0))&amp;INDEX(ETAPP!B$1:B$31,MATCH(COUNTIF(N21:T21,PIV!A$15),ETAPP!A$1:A$32,0))&amp;INDEX(ETAPP!B$1:B$31,MATCH(COUNTIF(N21:T21,PIV!A$16),ETAPP!A$1:A$32,0))&amp;INDEX(ETAPP!B$1:B$31,MATCH(COUNTIF(N21:T21,PIV!A$17),ETAPP!A$1:A$32,0))&amp;INDEX(ETAPP!B$1:B$31,MATCH(COUNTIF(N21:T21,PIV!A$18),ETAPP!A$1:A$32,0))&amp;INDEX(ETAPP!B$1:B$31,MATCH(COUNTIF(N21:T21,PIV!A$19),ETAPP!A$1:A$32,0))</f>
        <v>A000B00AA00000000AA</v>
      </c>
      <c r="I21" s="474" t="str">
        <f t="shared" si="1"/>
        <v>098,0-A000B00AA00000000AA</v>
      </c>
      <c r="J21" s="476">
        <f t="shared" si="2"/>
        <v>15</v>
      </c>
      <c r="K21" s="476">
        <f t="shared" si="3"/>
        <v>10</v>
      </c>
      <c r="L21" s="474" t="str">
        <f t="shared" si="4"/>
        <v>098,0-A000B00AA00000000AA-010</v>
      </c>
      <c r="M21" s="476">
        <f t="shared" si="5"/>
        <v>14</v>
      </c>
      <c r="N21" s="457">
        <f>IFERROR(INDEX('1'!C$300:C$400,MATCH("*"&amp;C21&amp;"*",'1'!B$300:B$400,0)),"  ")</f>
        <v>24</v>
      </c>
      <c r="O21" s="458">
        <f>IFERROR(INDEX('2'!C$300:C$400,MATCH("*"&amp;C21&amp;"*",'2'!B$300:B$400,0)),"  ")</f>
        <v>16</v>
      </c>
      <c r="P21" s="457">
        <f>IFERROR(INDEX('3'!C$300:C$400,MATCH("*"&amp;C21&amp;"*",'3'!B$300:B$400,0)),"  ")</f>
        <v>24</v>
      </c>
      <c r="Q21" s="457">
        <f>IFERROR(INDEX('4'!C$300:C$400,MATCH("*"&amp;C21&amp;"*",'4'!B$300:B$400,0)),"  ")</f>
        <v>18</v>
      </c>
      <c r="R21" s="457">
        <f>IFERROR(INDEX('5'!C$300:C$400,MATCH("*"&amp;C21&amp;"*",'5'!B$300:B$400,0)),"  ")</f>
        <v>40</v>
      </c>
      <c r="S21" s="457" t="str">
        <f>IFERROR(INDEX('6'!C$300:C$400,MATCH("*"&amp;C21&amp;"*",'6'!B$300:B$400,0)),"  ")</f>
        <v xml:space="preserve">  </v>
      </c>
      <c r="T21" s="772">
        <f>IFERROR(INDEX('7'!C$300:C$400,MATCH("*"&amp;C21&amp;"*",'7'!B$300:B$400,0)),0)</f>
        <v>0</v>
      </c>
      <c r="U21" s="202">
        <f t="shared" si="6"/>
        <v>5</v>
      </c>
      <c r="V21" s="202">
        <f t="shared" si="7"/>
        <v>1</v>
      </c>
      <c r="W21" s="202">
        <f t="shared" si="8"/>
        <v>1</v>
      </c>
      <c r="X21" s="1396">
        <f>R37</f>
        <v>7.6999999999999993</v>
      </c>
    </row>
    <row r="22" spans="1:24" x14ac:dyDescent="0.2">
      <c r="A22" s="566">
        <f t="shared" si="0"/>
        <v>16</v>
      </c>
      <c r="B22" s="456">
        <v>16</v>
      </c>
      <c r="C22" s="242" t="s">
        <v>208</v>
      </c>
      <c r="D22" s="496"/>
      <c r="E22" s="497"/>
      <c r="F22" s="452">
        <v>90</v>
      </c>
      <c r="G22" s="564">
        <f t="array" ref="G22">(IF(COUNT(N22,P22,R22)&lt;2,SUM(N22,P22,R22),SUM(LARGE((N22,P22,R22),{1;2}))))+(IF(COUNT(O22,Q22,S22)&lt;2,SUM(O22,Q22,S22),SUM(LARGE((O22,Q22,S22),{1;2}))))+T22</f>
        <v>90</v>
      </c>
      <c r="H22" s="475" t="str">
        <f>INDEX(ETAPP!B$1:B$31,MATCH(COUNTIF(N22:T22,PIV!A$1),ETAPP!A$1:A$32,0))&amp;INDEX(ETAPP!B$1:B$31,MATCH(COUNTIF(N22:T22,PIV!A$2),ETAPP!A$1:A$32,0))&amp;INDEX(ETAPP!B$1:B$31,MATCH(COUNTIF(N22:T22,PIV!A$3),ETAPP!A$1:A$32,0))&amp;INDEX(ETAPP!B$1:B$31,MATCH(COUNTIF(N22:T22,PIV!A$4),ETAPP!A$1:A$32,0))&amp;INDEX(ETAPP!B$1:B$31,MATCH(COUNTIF(N22:T22,PIV!A$5),ETAPP!A$1:A$32,0))&amp;INDEX(ETAPP!B$1:B$31,MATCH(COUNTIF(N22:T22,PIV!A$6),ETAPP!A$1:A$32,0))&amp;INDEX(ETAPP!B$1:B$31,MATCH(COUNTIF(N22:T22,PIV!A$7),ETAPP!A$1:A$32,0))&amp;INDEX(ETAPP!B$1:B$31,MATCH(COUNTIF(N22:T22,PIV!A$8),ETAPP!A$1:A$32,0))&amp;INDEX(ETAPP!B$1:B$31,MATCH(COUNTIF(N22:T22,PIV!A$9),ETAPP!A$1:A$32,0))&amp;INDEX(ETAPP!B$1:B$31,MATCH(COUNTIF(N22:T22,PIV!A$10),ETAPP!A$1:A$32,0))&amp;INDEX(ETAPP!B$1:B$31,MATCH(COUNTIF(N22:T22,PIV!A$11),ETAPP!A$1:A$32,0))&amp;INDEX(ETAPP!B$1:B$31,MATCH(COUNTIF(N22:T22,PIV!A$12),ETAPP!A$1:A$32,0))&amp;INDEX(ETAPP!B$1:B$31,MATCH(COUNTIF(N22:T22,PIV!A$13),ETAPP!A$1:A$32,0))&amp;INDEX(ETAPP!B$1:B$31,MATCH(COUNTIF(N22:T22,PIV!A$14),ETAPP!A$1:A$32,0))&amp;INDEX(ETAPP!B$1:B$31,MATCH(COUNTIF(N22:T22,PIV!A$15),ETAPP!A$1:A$32,0))&amp;INDEX(ETAPP!B$1:B$31,MATCH(COUNTIF(N22:T22,PIV!A$16),ETAPP!A$1:A$32,0))&amp;INDEX(ETAPP!B$1:B$31,MATCH(COUNTIF(N22:T22,PIV!A$17),ETAPP!A$1:A$32,0))&amp;INDEX(ETAPP!B$1:B$31,MATCH(COUNTIF(N22:T22,PIV!A$18),ETAPP!A$1:A$32,0))&amp;INDEX(ETAPP!B$1:B$31,MATCH(COUNTIF(N22:T22,PIV!A$19),ETAPP!A$1:A$32,0))</f>
        <v>A0A000A0000000000AC</v>
      </c>
      <c r="I22" s="474" t="str">
        <f t="shared" si="1"/>
        <v>090,0-A0A000A0000000000AC</v>
      </c>
      <c r="J22" s="476">
        <f t="shared" si="2"/>
        <v>16</v>
      </c>
      <c r="K22" s="476">
        <f t="shared" si="3"/>
        <v>1</v>
      </c>
      <c r="L22" s="474" t="str">
        <f t="shared" si="4"/>
        <v>090,0-A0A000A0000000000AC-001</v>
      </c>
      <c r="M22" s="476">
        <f t="shared" si="5"/>
        <v>13</v>
      </c>
      <c r="N22" s="457">
        <f>IFERROR(INDEX('1'!C$300:C$400,MATCH("*"&amp;C22&amp;"*",'1'!B$300:B$400,0)),"  ")</f>
        <v>20</v>
      </c>
      <c r="O22" s="458">
        <f>IFERROR(INDEX('2'!C$300:C$400,MATCH("*"&amp;C22&amp;"*",'2'!B$300:B$400,0)),"  ")</f>
        <v>40</v>
      </c>
      <c r="P22" s="457" t="str">
        <f>IFERROR(INDEX('3'!C$300:C$400,MATCH("*"&amp;C22&amp;"*",'3'!B$300:B$400,0)),"  ")</f>
        <v xml:space="preserve">  </v>
      </c>
      <c r="Q22" s="457" t="str">
        <f>IFERROR(INDEX('4'!C$300:C$400,MATCH("*"&amp;C22&amp;"*",'4'!B$300:B$400,0)),"  ")</f>
        <v xml:space="preserve">  </v>
      </c>
      <c r="R22" s="457">
        <f>IFERROR(INDEX('5'!C$300:C$400,MATCH("*"&amp;C22&amp;"*",'5'!B$300:B$400,0)),"  ")</f>
        <v>30</v>
      </c>
      <c r="S22" s="457" t="str">
        <f>IFERROR(INDEX('6'!C$300:C$400,MATCH("*"&amp;C22&amp;"*",'6'!B$300:B$400,0)),"  ")</f>
        <v xml:space="preserve">  </v>
      </c>
      <c r="T22" s="772">
        <f>IFERROR(INDEX('7'!C$300:C$400,MATCH("*"&amp;C22&amp;"*",'7'!B$300:B$400,0)),0)</f>
        <v>0</v>
      </c>
      <c r="U22" s="202">
        <f t="shared" si="6"/>
        <v>3</v>
      </c>
      <c r="V22" s="202">
        <f t="shared" si="7"/>
        <v>2</v>
      </c>
      <c r="W22" s="202">
        <f t="shared" si="8"/>
        <v>1</v>
      </c>
      <c r="X22" s="1396">
        <f>O37</f>
        <v>13.299999999999999</v>
      </c>
    </row>
    <row r="23" spans="1:24" x14ac:dyDescent="0.2">
      <c r="A23" s="566">
        <f t="shared" si="0"/>
        <v>17</v>
      </c>
      <c r="B23" s="455">
        <v>17</v>
      </c>
      <c r="C23" s="243" t="s">
        <v>207</v>
      </c>
      <c r="D23" s="496"/>
      <c r="E23" s="497"/>
      <c r="F23" s="452">
        <v>82</v>
      </c>
      <c r="G23" s="564">
        <f t="array" ref="G23">(IF(COUNT(N23,P23,R23)&lt;2,SUM(N23,P23,R23),SUM(LARGE((N23,P23,R23),{1;2}))))+(IF(COUNT(O23,Q23,S23)&lt;2,SUM(O23,Q23,S23),SUM(LARGE((O23,Q23,S23),{1;2}))))+T23</f>
        <v>82</v>
      </c>
      <c r="H23" s="475" t="str">
        <f>INDEX(ETAPP!B$1:B$31,MATCH(COUNTIF(N23:T23,PIV!A$1),ETAPP!A$1:A$32,0))&amp;INDEX(ETAPP!B$1:B$31,MATCH(COUNTIF(N23:T23,PIV!A$2),ETAPP!A$1:A$32,0))&amp;INDEX(ETAPP!B$1:B$31,MATCH(COUNTIF(N23:T23,PIV!A$3),ETAPP!A$1:A$32,0))&amp;INDEX(ETAPP!B$1:B$31,MATCH(COUNTIF(N23:T23,PIV!A$4),ETAPP!A$1:A$32,0))&amp;INDEX(ETAPP!B$1:B$31,MATCH(COUNTIF(N23:T23,PIV!A$5),ETAPP!A$1:A$32,0))&amp;INDEX(ETAPP!B$1:B$31,MATCH(COUNTIF(N23:T23,PIV!A$6),ETAPP!A$1:A$32,0))&amp;INDEX(ETAPP!B$1:B$31,MATCH(COUNTIF(N23:T23,PIV!A$7),ETAPP!A$1:A$32,0))&amp;INDEX(ETAPP!B$1:B$31,MATCH(COUNTIF(N23:T23,PIV!A$8),ETAPP!A$1:A$32,0))&amp;INDEX(ETAPP!B$1:B$31,MATCH(COUNTIF(N23:T23,PIV!A$9),ETAPP!A$1:A$32,0))&amp;INDEX(ETAPP!B$1:B$31,MATCH(COUNTIF(N23:T23,PIV!A$10),ETAPP!A$1:A$32,0))&amp;INDEX(ETAPP!B$1:B$31,MATCH(COUNTIF(N23:T23,PIV!A$11),ETAPP!A$1:A$32,0))&amp;INDEX(ETAPP!B$1:B$31,MATCH(COUNTIF(N23:T23,PIV!A$12),ETAPP!A$1:A$32,0))&amp;INDEX(ETAPP!B$1:B$31,MATCH(COUNTIF(N23:T23,PIV!A$13),ETAPP!A$1:A$32,0))&amp;INDEX(ETAPP!B$1:B$31,MATCH(COUNTIF(N23:T23,PIV!A$14),ETAPP!A$1:A$32,0))&amp;INDEX(ETAPP!B$1:B$31,MATCH(COUNTIF(N23:T23,PIV!A$15),ETAPP!A$1:A$32,0))&amp;INDEX(ETAPP!B$1:B$31,MATCH(COUNTIF(N23:T23,PIV!A$16),ETAPP!A$1:A$32,0))&amp;INDEX(ETAPP!B$1:B$31,MATCH(COUNTIF(N23:T23,PIV!A$17),ETAPP!A$1:A$32,0))&amp;INDEX(ETAPP!B$1:B$31,MATCH(COUNTIF(N23:T23,PIV!A$18),ETAPP!A$1:A$32,0))&amp;INDEX(ETAPP!B$1:B$31,MATCH(COUNTIF(N23:T23,PIV!A$19),ETAPP!A$1:A$32,0))</f>
        <v>0A0A0A00000000000AC</v>
      </c>
      <c r="I23" s="474" t="str">
        <f t="shared" si="1"/>
        <v>082,0-0A0A0A00000000000AC</v>
      </c>
      <c r="J23" s="476">
        <f t="shared" si="2"/>
        <v>17</v>
      </c>
      <c r="K23" s="476">
        <f t="shared" si="3"/>
        <v>25</v>
      </c>
      <c r="L23" s="474" t="str">
        <f t="shared" si="4"/>
        <v>082,0-0A0A0A00000000000AC-025</v>
      </c>
      <c r="M23" s="476">
        <f t="shared" si="5"/>
        <v>12</v>
      </c>
      <c r="N23" s="457">
        <f>IFERROR(INDEX('1'!C$300:C$400,MATCH("*"&amp;C23&amp;"*",'1'!B$300:B$400,0)),"  ")</f>
        <v>22</v>
      </c>
      <c r="O23" s="458">
        <f>IFERROR(INDEX('2'!C$300:C$400,MATCH("*"&amp;C23&amp;"*",'2'!B$300:B$400,0)),"  ")</f>
        <v>26</v>
      </c>
      <c r="P23" s="457">
        <f>IFERROR(INDEX('3'!C$300:C$400,MATCH("*"&amp;C23&amp;"*",'3'!B$300:B$400,0)),"  ")</f>
        <v>34</v>
      </c>
      <c r="Q23" s="457" t="str">
        <f>IFERROR(INDEX('4'!C$300:C$400,MATCH("*"&amp;C23&amp;"*",'4'!B$300:B$400,0)),"  ")</f>
        <v xml:space="preserve">  </v>
      </c>
      <c r="R23" s="457" t="str">
        <f>IFERROR(INDEX('5'!C$300:C$400,MATCH("*"&amp;C23&amp;"*",'5'!B$300:B$400,0)),"  ")</f>
        <v xml:space="preserve">  </v>
      </c>
      <c r="S23" s="457" t="str">
        <f>IFERROR(INDEX('6'!C$300:C$400,MATCH("*"&amp;C23&amp;"*",'6'!B$300:B$400,0)),"  ")</f>
        <v xml:space="preserve">  </v>
      </c>
      <c r="T23" s="772">
        <f>IFERROR(INDEX('7'!C$300:C$400,MATCH("*"&amp;C23&amp;"*",'7'!B$300:B$400,0)),0)</f>
        <v>0</v>
      </c>
      <c r="U23" s="202">
        <f t="shared" si="6"/>
        <v>3</v>
      </c>
      <c r="V23" s="202">
        <f t="shared" si="7"/>
        <v>1</v>
      </c>
      <c r="W23" s="202">
        <f t="shared" si="8"/>
        <v>0</v>
      </c>
      <c r="X23" s="1397"/>
    </row>
    <row r="24" spans="1:24" s="203" customFormat="1" x14ac:dyDescent="0.2">
      <c r="A24" s="566">
        <f t="shared" si="0"/>
        <v>18</v>
      </c>
      <c r="B24" s="456">
        <v>18</v>
      </c>
      <c r="C24" s="242" t="s">
        <v>194</v>
      </c>
      <c r="D24" s="496"/>
      <c r="E24" s="497"/>
      <c r="F24" s="452">
        <v>82</v>
      </c>
      <c r="G24" s="564">
        <f t="array" ref="G24">(IF(COUNT(N24,P24,R24)&lt;2,SUM(N24,P24,R24),SUM(LARGE((N24,P24,R24),{1;2}))))+(IF(COUNT(O24,Q24,S24)&lt;2,SUM(O24,Q24,S24),SUM(LARGE((O24,Q24,S24),{1;2}))))+T24</f>
        <v>82</v>
      </c>
      <c r="H24" s="475" t="str">
        <f>INDEX(ETAPP!B$1:B$31,MATCH(COUNTIF(N24:T24,PIV!A$1),ETAPP!A$1:A$32,0))&amp;INDEX(ETAPP!B$1:B$31,MATCH(COUNTIF(N24:T24,PIV!A$2),ETAPP!A$1:A$32,0))&amp;INDEX(ETAPP!B$1:B$31,MATCH(COUNTIF(N24:T24,PIV!A$3),ETAPP!A$1:A$32,0))&amp;INDEX(ETAPP!B$1:B$31,MATCH(COUNTIF(N24:T24,PIV!A$4),ETAPP!A$1:A$32,0))&amp;INDEX(ETAPP!B$1:B$31,MATCH(COUNTIF(N24:T24,PIV!A$5),ETAPP!A$1:A$32,0))&amp;INDEX(ETAPP!B$1:B$31,MATCH(COUNTIF(N24:T24,PIV!A$6),ETAPP!A$1:A$32,0))&amp;INDEX(ETAPP!B$1:B$31,MATCH(COUNTIF(N24:T24,PIV!A$7),ETAPP!A$1:A$32,0))&amp;INDEX(ETAPP!B$1:B$31,MATCH(COUNTIF(N24:T24,PIV!A$8),ETAPP!A$1:A$32,0))&amp;INDEX(ETAPP!B$1:B$31,MATCH(COUNTIF(N24:T24,PIV!A$9),ETAPP!A$1:A$32,0))&amp;INDEX(ETAPP!B$1:B$31,MATCH(COUNTIF(N24:T24,PIV!A$10),ETAPP!A$1:A$32,0))&amp;INDEX(ETAPP!B$1:B$31,MATCH(COUNTIF(N24:T24,PIV!A$11),ETAPP!A$1:A$32,0))&amp;INDEX(ETAPP!B$1:B$31,MATCH(COUNTIF(N24:T24,PIV!A$12),ETAPP!A$1:A$32,0))&amp;INDEX(ETAPP!B$1:B$31,MATCH(COUNTIF(N24:T24,PIV!A$13),ETAPP!A$1:A$32,0))&amp;INDEX(ETAPP!B$1:B$31,MATCH(COUNTIF(N24:T24,PIV!A$14),ETAPP!A$1:A$32,0))&amp;INDEX(ETAPP!B$1:B$31,MATCH(COUNTIF(N24:T24,PIV!A$15),ETAPP!A$1:A$32,0))&amp;INDEX(ETAPP!B$1:B$31,MATCH(COUNTIF(N24:T24,PIV!A$16),ETAPP!A$1:A$32,0))&amp;INDEX(ETAPP!B$1:B$31,MATCH(COUNTIF(N24:T24,PIV!A$17),ETAPP!A$1:A$32,0))&amp;INDEX(ETAPP!B$1:B$31,MATCH(COUNTIF(N24:T24,PIV!A$18),ETAPP!A$1:A$32,0))&amp;INDEX(ETAPP!B$1:B$31,MATCH(COUNTIF(N24:T24,PIV!A$19),ETAPP!A$1:A$32,0))</f>
        <v>0A00BA00000000000AB</v>
      </c>
      <c r="I24" s="474" t="str">
        <f t="shared" si="1"/>
        <v>082,0-0A00BA00000000000AB</v>
      </c>
      <c r="J24" s="476">
        <f t="shared" si="2"/>
        <v>18</v>
      </c>
      <c r="K24" s="476">
        <f t="shared" si="3"/>
        <v>24</v>
      </c>
      <c r="L24" s="474" t="str">
        <f t="shared" si="4"/>
        <v>082,0-0A00BA00000000000AB-024</v>
      </c>
      <c r="M24" s="476">
        <f t="shared" si="5"/>
        <v>11</v>
      </c>
      <c r="N24" s="457">
        <f>IFERROR(INDEX('1'!C$300:C$400,MATCH("*"&amp;C24&amp;"*",'1'!B$300:B$400,0)),"  ")</f>
        <v>34</v>
      </c>
      <c r="O24" s="458" t="str">
        <f>IFERROR(INDEX('2'!C$300:C$400,MATCH("*"&amp;C24&amp;"*",'2'!B$300:B$400,0)),"  ")</f>
        <v xml:space="preserve">  </v>
      </c>
      <c r="P24" s="457">
        <f>IFERROR(INDEX('3'!C$300:C$400,MATCH("*"&amp;C24&amp;"*",'3'!B$300:B$400,0)),"  ")</f>
        <v>22</v>
      </c>
      <c r="Q24" s="457">
        <f>IFERROR(INDEX('4'!C$300:C$400,MATCH("*"&amp;C24&amp;"*",'4'!B$300:B$400,0)),"  ")</f>
        <v>24</v>
      </c>
      <c r="R24" s="457">
        <f>IFERROR(INDEX('5'!C$300:C$400,MATCH("*"&amp;C24&amp;"*",'5'!B$300:B$400,0)),"  ")</f>
        <v>24</v>
      </c>
      <c r="S24" s="457" t="str">
        <f>IFERROR(INDEX('6'!C$300:C$400,MATCH("*"&amp;C24&amp;"*",'6'!B$300:B$400,0)),"  ")</f>
        <v xml:space="preserve">  </v>
      </c>
      <c r="T24" s="772">
        <f>IFERROR(INDEX('7'!C$300:C$400,MATCH("*"&amp;C24&amp;"*",'7'!B$300:B$400,0)),0)</f>
        <v>0</v>
      </c>
      <c r="U24" s="202">
        <f t="shared" si="6"/>
        <v>4</v>
      </c>
      <c r="V24" s="202">
        <f t="shared" si="7"/>
        <v>1</v>
      </c>
      <c r="W24" s="202">
        <f t="shared" si="8"/>
        <v>0</v>
      </c>
      <c r="X24" s="1398"/>
    </row>
    <row r="25" spans="1:24" s="203" customFormat="1" x14ac:dyDescent="0.2">
      <c r="A25" s="566">
        <f t="shared" si="0"/>
        <v>19</v>
      </c>
      <c r="B25" s="456">
        <v>19</v>
      </c>
      <c r="C25" s="242" t="s">
        <v>206</v>
      </c>
      <c r="D25" s="496"/>
      <c r="E25" s="497"/>
      <c r="F25" s="452">
        <v>70</v>
      </c>
      <c r="G25" s="564">
        <f t="array" ref="G25">(IF(COUNT(N25,P25,R25)&lt;2,SUM(N25,P25,R25),SUM(LARGE((N25,P25,R25),{1;2}))))+(IF(COUNT(O25,Q25,S25)&lt;2,SUM(O25,Q25,S25),SUM(LARGE((O25,Q25,S25),{1;2}))))+T25</f>
        <v>70</v>
      </c>
      <c r="H25" s="475" t="str">
        <f>INDEX(ETAPP!B$1:B$31,MATCH(COUNTIF(N25:T25,PIV!A$1),ETAPP!A$1:A$32,0))&amp;INDEX(ETAPP!B$1:B$31,MATCH(COUNTIF(N25:T25,PIV!A$2),ETAPP!A$1:A$32,0))&amp;INDEX(ETAPP!B$1:B$31,MATCH(COUNTIF(N25:T25,PIV!A$3),ETAPP!A$1:A$32,0))&amp;INDEX(ETAPP!B$1:B$31,MATCH(COUNTIF(N25:T25,PIV!A$4),ETAPP!A$1:A$32,0))&amp;INDEX(ETAPP!B$1:B$31,MATCH(COUNTIF(N25:T25,PIV!A$5),ETAPP!A$1:A$32,0))&amp;INDEX(ETAPP!B$1:B$31,MATCH(COUNTIF(N25:T25,PIV!A$6),ETAPP!A$1:A$32,0))&amp;INDEX(ETAPP!B$1:B$31,MATCH(COUNTIF(N25:T25,PIV!A$7),ETAPP!A$1:A$32,0))&amp;INDEX(ETAPP!B$1:B$31,MATCH(COUNTIF(N25:T25,PIV!A$8),ETAPP!A$1:A$32,0))&amp;INDEX(ETAPP!B$1:B$31,MATCH(COUNTIF(N25:T25,PIV!A$9),ETAPP!A$1:A$32,0))&amp;INDEX(ETAPP!B$1:B$31,MATCH(COUNTIF(N25:T25,PIV!A$10),ETAPP!A$1:A$32,0))&amp;INDEX(ETAPP!B$1:B$31,MATCH(COUNTIF(N25:T25,PIV!A$11),ETAPP!A$1:A$32,0))&amp;INDEX(ETAPP!B$1:B$31,MATCH(COUNTIF(N25:T25,PIV!A$12),ETAPP!A$1:A$32,0))&amp;INDEX(ETAPP!B$1:B$31,MATCH(COUNTIF(N25:T25,PIV!A$13),ETAPP!A$1:A$32,0))&amp;INDEX(ETAPP!B$1:B$31,MATCH(COUNTIF(N25:T25,PIV!A$14),ETAPP!A$1:A$32,0))&amp;INDEX(ETAPP!B$1:B$31,MATCH(COUNTIF(N25:T25,PIV!A$15),ETAPP!A$1:A$32,0))&amp;INDEX(ETAPP!B$1:B$31,MATCH(COUNTIF(N25:T25,PIV!A$16),ETAPP!A$1:A$32,0))&amp;INDEX(ETAPP!B$1:B$31,MATCH(COUNTIF(N25:T25,PIV!A$17),ETAPP!A$1:A$32,0))&amp;INDEX(ETAPP!B$1:B$31,MATCH(COUNTIF(N25:T25,PIV!A$18),ETAPP!A$1:A$32,0))&amp;INDEX(ETAPP!B$1:B$31,MATCH(COUNTIF(N25:T25,PIV!A$19),ETAPP!A$1:A$32,0))</f>
        <v>0A000A000A0000000AC</v>
      </c>
      <c r="I25" s="474" t="str">
        <f t="shared" si="1"/>
        <v>070,0-0A000A000A0000000AC</v>
      </c>
      <c r="J25" s="476">
        <f t="shared" si="2"/>
        <v>19</v>
      </c>
      <c r="K25" s="476">
        <f t="shared" si="3"/>
        <v>28</v>
      </c>
      <c r="L25" s="474" t="str">
        <f t="shared" si="4"/>
        <v>070,0-0A000A000A0000000AC-028</v>
      </c>
      <c r="M25" s="476">
        <f t="shared" si="5"/>
        <v>10</v>
      </c>
      <c r="N25" s="457">
        <f>IFERROR(INDEX('1'!C$300:C$400,MATCH("*"&amp;C25&amp;"*",'1'!B$300:B$400,0)),"  ")</f>
        <v>22</v>
      </c>
      <c r="O25" s="458">
        <f>IFERROR(INDEX('2'!C$300:C$400,MATCH("*"&amp;C25&amp;"*",'2'!B$300:B$400,0)),"  ")</f>
        <v>14</v>
      </c>
      <c r="P25" s="457">
        <f>IFERROR(INDEX('3'!C$300:C$400,MATCH("*"&amp;C25&amp;"*",'3'!B$300:B$400,0)),"  ")</f>
        <v>34</v>
      </c>
      <c r="Q25" s="457" t="str">
        <f>IFERROR(INDEX('4'!C$300:C$400,MATCH("*"&amp;C25&amp;"*",'4'!B$300:B$400,0)),"  ")</f>
        <v xml:space="preserve">  </v>
      </c>
      <c r="R25" s="457" t="str">
        <f>IFERROR(INDEX('5'!C$300:C$400,MATCH("*"&amp;C25&amp;"*",'5'!B$300:B$400,0)),"  ")</f>
        <v xml:space="preserve">  </v>
      </c>
      <c r="S25" s="457" t="str">
        <f>IFERROR(INDEX('6'!C$300:C$400,MATCH("*"&amp;C25&amp;"*",'6'!B$300:B$400,0)),"  ")</f>
        <v xml:space="preserve">  </v>
      </c>
      <c r="T25" s="772">
        <f>IFERROR(INDEX('7'!C$300:C$400,MATCH("*"&amp;C25&amp;"*",'7'!B$300:B$400,0)),0)</f>
        <v>0</v>
      </c>
      <c r="U25" s="202">
        <f t="shared" si="6"/>
        <v>3</v>
      </c>
      <c r="V25" s="202">
        <f t="shared" si="7"/>
        <v>1</v>
      </c>
      <c r="W25" s="202">
        <f t="shared" si="8"/>
        <v>0</v>
      </c>
      <c r="X25" s="1398"/>
    </row>
    <row r="26" spans="1:24" x14ac:dyDescent="0.2">
      <c r="A26" s="566">
        <f t="shared" si="0"/>
        <v>20</v>
      </c>
      <c r="B26" s="455">
        <v>20</v>
      </c>
      <c r="C26" s="242" t="s">
        <v>211</v>
      </c>
      <c r="D26" s="496"/>
      <c r="E26" s="497"/>
      <c r="F26" s="452">
        <v>64</v>
      </c>
      <c r="G26" s="564">
        <f t="array" ref="G26">(IF(COUNT(N26,P26,R26)&lt;2,SUM(N26,P26,R26),SUM(LARGE((N26,P26,R26),{1;2}))))+(IF(COUNT(O26,Q26,S26)&lt;2,SUM(O26,Q26,S26),SUM(LARGE((O26,Q26,S26),{1;2}))))+T26</f>
        <v>64</v>
      </c>
      <c r="H26" s="475" t="str">
        <f>INDEX(ETAPP!B$1:B$31,MATCH(COUNTIF(N26:T26,PIV!A$1),ETAPP!A$1:A$32,0))&amp;INDEX(ETAPP!B$1:B$31,MATCH(COUNTIF(N26:T26,PIV!A$2),ETAPP!A$1:A$32,0))&amp;INDEX(ETAPP!B$1:B$31,MATCH(COUNTIF(N26:T26,PIV!A$3),ETAPP!A$1:A$32,0))&amp;INDEX(ETAPP!B$1:B$31,MATCH(COUNTIF(N26:T26,PIV!A$4),ETAPP!A$1:A$32,0))&amp;INDEX(ETAPP!B$1:B$31,MATCH(COUNTIF(N26:T26,PIV!A$5),ETAPP!A$1:A$32,0))&amp;INDEX(ETAPP!B$1:B$31,MATCH(COUNTIF(N26:T26,PIV!A$6),ETAPP!A$1:A$32,0))&amp;INDEX(ETAPP!B$1:B$31,MATCH(COUNTIF(N26:T26,PIV!A$7),ETAPP!A$1:A$32,0))&amp;INDEX(ETAPP!B$1:B$31,MATCH(COUNTIF(N26:T26,PIV!A$8),ETAPP!A$1:A$32,0))&amp;INDEX(ETAPP!B$1:B$31,MATCH(COUNTIF(N26:T26,PIV!A$9),ETAPP!A$1:A$32,0))&amp;INDEX(ETAPP!B$1:B$31,MATCH(COUNTIF(N26:T26,PIV!A$10),ETAPP!A$1:A$32,0))&amp;INDEX(ETAPP!B$1:B$31,MATCH(COUNTIF(N26:T26,PIV!A$11),ETAPP!A$1:A$32,0))&amp;INDEX(ETAPP!B$1:B$31,MATCH(COUNTIF(N26:T26,PIV!A$12),ETAPP!A$1:A$32,0))&amp;INDEX(ETAPP!B$1:B$31,MATCH(COUNTIF(N26:T26,PIV!A$13),ETAPP!A$1:A$32,0))&amp;INDEX(ETAPP!B$1:B$31,MATCH(COUNTIF(N26:T26,PIV!A$14),ETAPP!A$1:A$32,0))&amp;INDEX(ETAPP!B$1:B$31,MATCH(COUNTIF(N26:T26,PIV!A$15),ETAPP!A$1:A$32,0))&amp;INDEX(ETAPP!B$1:B$31,MATCH(COUNTIF(N26:T26,PIV!A$16),ETAPP!A$1:A$32,0))&amp;INDEX(ETAPP!B$1:B$31,MATCH(COUNTIF(N26:T26,PIV!A$17),ETAPP!A$1:A$32,0))&amp;INDEX(ETAPP!B$1:B$31,MATCH(COUNTIF(N26:T26,PIV!A$18),ETAPP!A$1:A$32,0))&amp;INDEX(ETAPP!B$1:B$31,MATCH(COUNTIF(N26:T26,PIV!A$19),ETAPP!A$1:A$32,0))</f>
        <v>000A00AA000000000AC</v>
      </c>
      <c r="I26" s="474" t="str">
        <f t="shared" si="1"/>
        <v>064,0-000A00AA000000000AC</v>
      </c>
      <c r="J26" s="476">
        <f t="shared" si="2"/>
        <v>20</v>
      </c>
      <c r="K26" s="476">
        <f t="shared" si="3"/>
        <v>2</v>
      </c>
      <c r="L26" s="474" t="str">
        <f t="shared" si="4"/>
        <v>064,0-000A00AA000000000AC-002</v>
      </c>
      <c r="M26" s="476">
        <f t="shared" si="5"/>
        <v>9</v>
      </c>
      <c r="N26" s="457">
        <f>IFERROR(INDEX('1'!C$300:C$400,MATCH("*"&amp;C26&amp;"*",'1'!B$300:B$400,0)),"  ")</f>
        <v>18</v>
      </c>
      <c r="O26" s="458">
        <f>IFERROR(INDEX('2'!C$300:C$400,MATCH("*"&amp;C26&amp;"*",'2'!B$300:B$400,0)),"  ")</f>
        <v>20</v>
      </c>
      <c r="P26" s="457">
        <f>IFERROR(INDEX('3'!C$300:C$400,MATCH("*"&amp;C26&amp;"*",'3'!B$300:B$400,0)),"  ")</f>
        <v>26</v>
      </c>
      <c r="Q26" s="457" t="str">
        <f>IFERROR(INDEX('4'!C$300:C$400,MATCH("*"&amp;C26&amp;"*",'4'!B$300:B$400,0)),"  ")</f>
        <v xml:space="preserve">  </v>
      </c>
      <c r="R26" s="457" t="str">
        <f>IFERROR(INDEX('5'!C$300:C$400,MATCH("*"&amp;C26&amp;"*",'5'!B$300:B$400,0)),"  ")</f>
        <v xml:space="preserve">  </v>
      </c>
      <c r="S26" s="457" t="str">
        <f>IFERROR(INDEX('6'!C$300:C$400,MATCH("*"&amp;C26&amp;"*",'6'!B$300:B$400,0)),"  ")</f>
        <v xml:space="preserve">  </v>
      </c>
      <c r="T26" s="772">
        <f>IFERROR(INDEX('7'!C$300:C$400,MATCH("*"&amp;C26&amp;"*",'7'!B$300:B$400,0)),0)</f>
        <v>0</v>
      </c>
      <c r="U26" s="202">
        <f t="shared" si="6"/>
        <v>3</v>
      </c>
      <c r="V26" s="202">
        <f t="shared" si="7"/>
        <v>0</v>
      </c>
      <c r="W26" s="202">
        <f t="shared" si="8"/>
        <v>0</v>
      </c>
      <c r="X26" s="1397"/>
    </row>
    <row r="27" spans="1:24" s="203" customFormat="1" x14ac:dyDescent="0.2">
      <c r="A27" s="566">
        <f t="shared" si="0"/>
        <v>21</v>
      </c>
      <c r="B27" s="455">
        <v>21</v>
      </c>
      <c r="C27" s="242" t="s">
        <v>191</v>
      </c>
      <c r="D27" s="496"/>
      <c r="E27" s="497"/>
      <c r="F27" s="452">
        <v>62</v>
      </c>
      <c r="G27" s="564">
        <f t="array" ref="G27">(IF(COUNT(N27,P27,R27)&lt;2,SUM(N27,P27,R27),SUM(LARGE((N27,P27,R27),{1;2}))))+(IF(COUNT(O27,Q27,S27)&lt;2,SUM(O27,Q27,S27),SUM(LARGE((O27,Q27,S27),{1;2}))))+T27</f>
        <v>62</v>
      </c>
      <c r="H27" s="475" t="str">
        <f>INDEX(ETAPP!B$1:B$31,MATCH(COUNTIF(N27:T27,PIV!A$1),ETAPP!A$1:A$32,0))&amp;INDEX(ETAPP!B$1:B$31,MATCH(COUNTIF(N27:T27,PIV!A$2),ETAPP!A$1:A$32,0))&amp;INDEX(ETAPP!B$1:B$31,MATCH(COUNTIF(N27:T27,PIV!A$3),ETAPP!A$1:A$32,0))&amp;INDEX(ETAPP!B$1:B$31,MATCH(COUNTIF(N27:T27,PIV!A$4),ETAPP!A$1:A$32,0))&amp;INDEX(ETAPP!B$1:B$31,MATCH(COUNTIF(N27:T27,PIV!A$5),ETAPP!A$1:A$32,0))&amp;INDEX(ETAPP!B$1:B$31,MATCH(COUNTIF(N27:T27,PIV!A$6),ETAPP!A$1:A$32,0))&amp;INDEX(ETAPP!B$1:B$31,MATCH(COUNTIF(N27:T27,PIV!A$7),ETAPP!A$1:A$32,0))&amp;INDEX(ETAPP!B$1:B$31,MATCH(COUNTIF(N27:T27,PIV!A$8),ETAPP!A$1:A$32,0))&amp;INDEX(ETAPP!B$1:B$31,MATCH(COUNTIF(N27:T27,PIV!A$9),ETAPP!A$1:A$32,0))&amp;INDEX(ETAPP!B$1:B$31,MATCH(COUNTIF(N27:T27,PIV!A$10),ETAPP!A$1:A$32,0))&amp;INDEX(ETAPP!B$1:B$31,MATCH(COUNTIF(N27:T27,PIV!A$11),ETAPP!A$1:A$32,0))&amp;INDEX(ETAPP!B$1:B$31,MATCH(COUNTIF(N27:T27,PIV!A$12),ETAPP!A$1:A$32,0))&amp;INDEX(ETAPP!B$1:B$31,MATCH(COUNTIF(N27:T27,PIV!A$13),ETAPP!A$1:A$32,0))&amp;INDEX(ETAPP!B$1:B$31,MATCH(COUNTIF(N27:T27,PIV!A$14),ETAPP!A$1:A$32,0))&amp;INDEX(ETAPP!B$1:B$31,MATCH(COUNTIF(N27:T27,PIV!A$15),ETAPP!A$1:A$32,0))&amp;INDEX(ETAPP!B$1:B$31,MATCH(COUNTIF(N27:T27,PIV!A$16),ETAPP!A$1:A$32,0))&amp;INDEX(ETAPP!B$1:B$31,MATCH(COUNTIF(N27:T27,PIV!A$17),ETAPP!A$1:A$32,0))&amp;INDEX(ETAPP!B$1:B$31,MATCH(COUNTIF(N27:T27,PIV!A$18),ETAPP!A$1:A$32,0))&amp;INDEX(ETAPP!B$1:B$31,MATCH(COUNTIF(N27:T27,PIV!A$19),ETAPP!A$1:A$32,0))</f>
        <v>A0000AA0000000000AC</v>
      </c>
      <c r="I27" s="474" t="str">
        <f t="shared" si="1"/>
        <v>062,0-A0000AA0000000000AC</v>
      </c>
      <c r="J27" s="476">
        <f t="shared" si="2"/>
        <v>21</v>
      </c>
      <c r="K27" s="476">
        <f t="shared" si="3"/>
        <v>14</v>
      </c>
      <c r="L27" s="474" t="str">
        <f t="shared" si="4"/>
        <v>062,0-A0000AA0000000000AC-014</v>
      </c>
      <c r="M27" s="476">
        <f t="shared" si="5"/>
        <v>8</v>
      </c>
      <c r="N27" s="457">
        <f>IFERROR(INDEX('1'!C$300:C$400,MATCH("*"&amp;C27&amp;"*",'1'!B$300:B$400,0)),"  ")</f>
        <v>40</v>
      </c>
      <c r="O27" s="458" t="str">
        <f>IFERROR(INDEX('2'!C$300:C$400,MATCH("*"&amp;C27&amp;"*",'2'!B$300:B$400,0)),"  ")</f>
        <v xml:space="preserve">  </v>
      </c>
      <c r="P27" s="457">
        <f>IFERROR(INDEX('3'!C$300:C$400,MATCH("*"&amp;C27&amp;"*",'3'!B$300:B$400,0)),"  ")</f>
        <v>20</v>
      </c>
      <c r="Q27" s="457" t="str">
        <f>IFERROR(INDEX('4'!C$300:C$400,MATCH("*"&amp;C27&amp;"*",'4'!B$300:B$400,0)),"  ")</f>
        <v xml:space="preserve">  </v>
      </c>
      <c r="R27" s="457">
        <f>IFERROR(INDEX('5'!C$300:C$400,MATCH("*"&amp;C27&amp;"*",'5'!B$300:B$400,0)),"  ")</f>
        <v>22</v>
      </c>
      <c r="S27" s="457" t="str">
        <f>IFERROR(INDEX('6'!C$300:C$400,MATCH("*"&amp;C27&amp;"*",'6'!B$300:B$400,0)),"  ")</f>
        <v xml:space="preserve">  </v>
      </c>
      <c r="T27" s="772">
        <f>IFERROR(INDEX('7'!C$300:C$400,MATCH("*"&amp;C27&amp;"*",'7'!B$300:B$400,0)),0)</f>
        <v>0</v>
      </c>
      <c r="U27" s="202">
        <f t="shared" si="6"/>
        <v>3</v>
      </c>
      <c r="V27" s="202">
        <f t="shared" si="7"/>
        <v>1</v>
      </c>
      <c r="W27" s="202">
        <f t="shared" si="8"/>
        <v>1</v>
      </c>
      <c r="X27" s="1396">
        <f>N37</f>
        <v>10.5</v>
      </c>
    </row>
    <row r="28" spans="1:24" x14ac:dyDescent="0.2">
      <c r="A28" s="566">
        <f t="shared" si="0"/>
        <v>22</v>
      </c>
      <c r="B28" s="455">
        <v>22</v>
      </c>
      <c r="C28" s="242" t="s">
        <v>213</v>
      </c>
      <c r="D28" s="496"/>
      <c r="E28" s="497"/>
      <c r="F28" s="452">
        <v>44</v>
      </c>
      <c r="G28" s="564">
        <f t="array" ref="G28">(IF(COUNT(N28,P28,R28)&lt;2,SUM(N28,P28,R28),SUM(LARGE((N28,P28,R28),{1;2}))))+(IF(COUNT(O28,Q28,S28)&lt;2,SUM(O28,Q28,S28),SUM(LARGE((O28,Q28,S28),{1;2}))))+T28</f>
        <v>44</v>
      </c>
      <c r="H28" s="475" t="str">
        <f>INDEX(ETAPP!B$1:B$31,MATCH(COUNTIF(N28:T28,PIV!A$1),ETAPP!A$1:A$32,0))&amp;INDEX(ETAPP!B$1:B$31,MATCH(COUNTIF(N28:T28,PIV!A$2),ETAPP!A$1:A$32,0))&amp;INDEX(ETAPP!B$1:B$31,MATCH(COUNTIF(N28:T28,PIV!A$3),ETAPP!A$1:A$32,0))&amp;INDEX(ETAPP!B$1:B$31,MATCH(COUNTIF(N28:T28,PIV!A$4),ETAPP!A$1:A$32,0))&amp;INDEX(ETAPP!B$1:B$31,MATCH(COUNTIF(N28:T28,PIV!A$5),ETAPP!A$1:A$32,0))&amp;INDEX(ETAPP!B$1:B$31,MATCH(COUNTIF(N28:T28,PIV!A$6),ETAPP!A$1:A$32,0))&amp;INDEX(ETAPP!B$1:B$31,MATCH(COUNTIF(N28:T28,PIV!A$7),ETAPP!A$1:A$32,0))&amp;INDEX(ETAPP!B$1:B$31,MATCH(COUNTIF(N28:T28,PIV!A$8),ETAPP!A$1:A$32,0))&amp;INDEX(ETAPP!B$1:B$31,MATCH(COUNTIF(N28:T28,PIV!A$9),ETAPP!A$1:A$32,0))&amp;INDEX(ETAPP!B$1:B$31,MATCH(COUNTIF(N28:T28,PIV!A$10),ETAPP!A$1:A$32,0))&amp;INDEX(ETAPP!B$1:B$31,MATCH(COUNTIF(N28:T28,PIV!A$11),ETAPP!A$1:A$32,0))&amp;INDEX(ETAPP!B$1:B$31,MATCH(COUNTIF(N28:T28,PIV!A$12),ETAPP!A$1:A$32,0))&amp;INDEX(ETAPP!B$1:B$31,MATCH(COUNTIF(N28:T28,PIV!A$13),ETAPP!A$1:A$32,0))&amp;INDEX(ETAPP!B$1:B$31,MATCH(COUNTIF(N28:T28,PIV!A$14),ETAPP!A$1:A$32,0))&amp;INDEX(ETAPP!B$1:B$31,MATCH(COUNTIF(N28:T28,PIV!A$15),ETAPP!A$1:A$32,0))&amp;INDEX(ETAPP!B$1:B$31,MATCH(COUNTIF(N28:T28,PIV!A$16),ETAPP!A$1:A$32,0))&amp;INDEX(ETAPP!B$1:B$31,MATCH(COUNTIF(N28:T28,PIV!A$17),ETAPP!A$1:A$32,0))&amp;INDEX(ETAPP!B$1:B$31,MATCH(COUNTIF(N28:T28,PIV!A$18),ETAPP!A$1:A$32,0))&amp;INDEX(ETAPP!B$1:B$31,MATCH(COUNTIF(N28:T28,PIV!A$19),ETAPP!A$1:A$32,0))</f>
        <v>000A000A000000000AD</v>
      </c>
      <c r="I28" s="474" t="str">
        <f t="shared" si="1"/>
        <v>044,0-000A000A000000000AD</v>
      </c>
      <c r="J28" s="476">
        <f t="shared" si="2"/>
        <v>22</v>
      </c>
      <c r="K28" s="476">
        <f t="shared" si="3"/>
        <v>5</v>
      </c>
      <c r="L28" s="474" t="str">
        <f t="shared" si="4"/>
        <v>044,0-000A000A000000000AD-005</v>
      </c>
      <c r="M28" s="476">
        <f t="shared" si="5"/>
        <v>7</v>
      </c>
      <c r="N28" s="457">
        <f>IFERROR(INDEX('1'!C$300:C$400,MATCH("*"&amp;C28&amp;"*",'1'!B$300:B$400,0)),"  ")</f>
        <v>18</v>
      </c>
      <c r="O28" s="458" t="str">
        <f>IFERROR(INDEX('2'!C$300:C$400,MATCH("*"&amp;C28&amp;"*",'2'!B$300:B$400,0)),"  ")</f>
        <v xml:space="preserve">  </v>
      </c>
      <c r="P28" s="457">
        <f>IFERROR(INDEX('3'!C$300:C$400,MATCH("*"&amp;C28&amp;"*",'3'!B$300:B$400,0)),"  ")</f>
        <v>26</v>
      </c>
      <c r="Q28" s="457" t="str">
        <f>IFERROR(INDEX('4'!C$300:C$400,MATCH("*"&amp;C28&amp;"*",'4'!B$300:B$400,0)),"  ")</f>
        <v xml:space="preserve">  </v>
      </c>
      <c r="R28" s="457" t="str">
        <f>IFERROR(INDEX('5'!C$300:C$400,MATCH("*"&amp;C28&amp;"*",'5'!B$300:B$400,0)),"  ")</f>
        <v xml:space="preserve">  </v>
      </c>
      <c r="S28" s="457" t="str">
        <f>IFERROR(INDEX('6'!C$300:C$400,MATCH("*"&amp;C28&amp;"*",'6'!B$300:B$400,0)),"  ")</f>
        <v xml:space="preserve">  </v>
      </c>
      <c r="T28" s="772">
        <f>IFERROR(INDEX('7'!C$300:C$400,MATCH("*"&amp;C28&amp;"*",'7'!B$300:B$400,0)),0)</f>
        <v>0</v>
      </c>
      <c r="U28" s="202">
        <f t="shared" si="6"/>
        <v>2</v>
      </c>
      <c r="V28" s="202">
        <f t="shared" si="7"/>
        <v>0</v>
      </c>
      <c r="W28" s="202">
        <f t="shared" si="8"/>
        <v>0</v>
      </c>
      <c r="X28" s="1397"/>
    </row>
    <row r="29" spans="1:24" x14ac:dyDescent="0.2">
      <c r="A29" s="566">
        <f t="shared" si="0"/>
        <v>23</v>
      </c>
      <c r="B29" s="455">
        <v>23</v>
      </c>
      <c r="C29" s="242" t="s">
        <v>319</v>
      </c>
      <c r="D29" s="496"/>
      <c r="E29" s="497"/>
      <c r="F29" s="452">
        <v>40</v>
      </c>
      <c r="G29" s="564">
        <f t="array" ref="G29">(IF(COUNT(N29,P29,R29)&lt;2,SUM(N29,P29,R29),SUM(LARGE((N29,P29,R29),{1;2}))))+(IF(COUNT(O29,Q29,S29)&lt;2,SUM(O29,Q29,S29),SUM(LARGE((O29,Q29,S29),{1;2}))))+T29</f>
        <v>40</v>
      </c>
      <c r="H29" s="475" t="str">
        <f>INDEX(ETAPP!B$1:B$31,MATCH(COUNTIF(N29:T29,PIV!A$1),ETAPP!A$1:A$32,0))&amp;INDEX(ETAPP!B$1:B$31,MATCH(COUNTIF(N29:T29,PIV!A$2),ETAPP!A$1:A$32,0))&amp;INDEX(ETAPP!B$1:B$31,MATCH(COUNTIF(N29:T29,PIV!A$3),ETAPP!A$1:A$32,0))&amp;INDEX(ETAPP!B$1:B$31,MATCH(COUNTIF(N29:T29,PIV!A$4),ETAPP!A$1:A$32,0))&amp;INDEX(ETAPP!B$1:B$31,MATCH(COUNTIF(N29:T29,PIV!A$5),ETAPP!A$1:A$32,0))&amp;INDEX(ETAPP!B$1:B$31,MATCH(COUNTIF(N29:T29,PIV!A$6),ETAPP!A$1:A$32,0))&amp;INDEX(ETAPP!B$1:B$31,MATCH(COUNTIF(N29:T29,PIV!A$7),ETAPP!A$1:A$32,0))&amp;INDEX(ETAPP!B$1:B$31,MATCH(COUNTIF(N29:T29,PIV!A$8),ETAPP!A$1:A$32,0))&amp;INDEX(ETAPP!B$1:B$31,MATCH(COUNTIF(N29:T29,PIV!A$9),ETAPP!A$1:A$32,0))&amp;INDEX(ETAPP!B$1:B$31,MATCH(COUNTIF(N29:T29,PIV!A$10),ETAPP!A$1:A$32,0))&amp;INDEX(ETAPP!B$1:B$31,MATCH(COUNTIF(N29:T29,PIV!A$11),ETAPP!A$1:A$32,0))&amp;INDEX(ETAPP!B$1:B$31,MATCH(COUNTIF(N29:T29,PIV!A$12),ETAPP!A$1:A$32,0))&amp;INDEX(ETAPP!B$1:B$31,MATCH(COUNTIF(N29:T29,PIV!A$13),ETAPP!A$1:A$32,0))&amp;INDEX(ETAPP!B$1:B$31,MATCH(COUNTIF(N29:T29,PIV!A$14),ETAPP!A$1:A$32,0))&amp;INDEX(ETAPP!B$1:B$31,MATCH(COUNTIF(N29:T29,PIV!A$15),ETAPP!A$1:A$32,0))&amp;INDEX(ETAPP!B$1:B$31,MATCH(COUNTIF(N29:T29,PIV!A$16),ETAPP!A$1:A$32,0))&amp;INDEX(ETAPP!B$1:B$31,MATCH(COUNTIF(N29:T29,PIV!A$17),ETAPP!A$1:A$32,0))&amp;INDEX(ETAPP!B$1:B$31,MATCH(COUNTIF(N29:T29,PIV!A$18),ETAPP!A$1:A$32,0))&amp;INDEX(ETAPP!B$1:B$31,MATCH(COUNTIF(N29:T29,PIV!A$19),ETAPP!A$1:A$32,0))</f>
        <v>A0000000000000000AE</v>
      </c>
      <c r="I29" s="474" t="str">
        <f t="shared" si="1"/>
        <v>040,0-A0000000000000000AE</v>
      </c>
      <c r="J29" s="476">
        <f t="shared" si="2"/>
        <v>23</v>
      </c>
      <c r="K29" s="476">
        <f t="shared" si="3"/>
        <v>26</v>
      </c>
      <c r="L29" s="474" t="str">
        <f t="shared" si="4"/>
        <v>040,0-A0000000000000000AE-026</v>
      </c>
      <c r="M29" s="476">
        <f t="shared" si="5"/>
        <v>6</v>
      </c>
      <c r="N29" s="457" t="str">
        <f>IFERROR(INDEX('1'!C$300:C$400,MATCH("*"&amp;C29&amp;"*",'1'!B$300:B$400,0)),"  ")</f>
        <v xml:space="preserve">  </v>
      </c>
      <c r="O29" s="458">
        <f>IFERROR(INDEX('2'!C$300:C$400,MATCH("*"&amp;C29&amp;"*",'2'!B$300:B$400,0)),"  ")</f>
        <v>40</v>
      </c>
      <c r="P29" s="457" t="str">
        <f>IFERROR(INDEX('3'!C$300:C$400,MATCH("*"&amp;C29&amp;"*",'3'!B$300:B$400,0)),"  ")</f>
        <v xml:space="preserve">  </v>
      </c>
      <c r="Q29" s="457" t="str">
        <f>IFERROR(INDEX('4'!C$300:C$400,MATCH("*"&amp;C29&amp;"*",'4'!B$300:B$400,0)),"  ")</f>
        <v xml:space="preserve">  </v>
      </c>
      <c r="R29" s="457" t="str">
        <f>IFERROR(INDEX('5'!C$300:C$400,MATCH("*"&amp;C29&amp;"*",'5'!B$300:B$400,0)),"  ")</f>
        <v xml:space="preserve">  </v>
      </c>
      <c r="S29" s="457" t="str">
        <f>IFERROR(INDEX('6'!C$300:C$400,MATCH("*"&amp;C29&amp;"*",'6'!B$300:B$400,0)),"  ")</f>
        <v xml:space="preserve">  </v>
      </c>
      <c r="T29" s="772">
        <f>IFERROR(INDEX('7'!C$300:C$400,MATCH("*"&amp;C29&amp;"*",'7'!B$300:B$400,0)),0)</f>
        <v>0</v>
      </c>
      <c r="U29" s="202">
        <f t="shared" si="6"/>
        <v>1</v>
      </c>
      <c r="V29" s="202">
        <f t="shared" si="7"/>
        <v>1</v>
      </c>
      <c r="W29" s="202">
        <f t="shared" si="8"/>
        <v>1</v>
      </c>
      <c r="X29" s="1396">
        <f>O37</f>
        <v>13.299999999999999</v>
      </c>
    </row>
    <row r="30" spans="1:24" x14ac:dyDescent="0.2">
      <c r="A30" s="566">
        <f t="shared" si="0"/>
        <v>24</v>
      </c>
      <c r="B30" s="456">
        <v>24</v>
      </c>
      <c r="C30" s="242" t="s">
        <v>209</v>
      </c>
      <c r="D30" s="496" t="s">
        <v>359</v>
      </c>
      <c r="E30" s="497"/>
      <c r="F30" s="452">
        <v>38</v>
      </c>
      <c r="G30" s="564">
        <f t="array" ref="G30">(IF(COUNT(N30,P30,R30)&lt;2,SUM(N30,P30,R30),SUM(LARGE((N30,P30,R30),{1;2}))))+(IF(COUNT(O30,Q30,S30)&lt;2,SUM(O30,Q30,S30),SUM(LARGE((O30,Q30,S30),{1;2}))))+T30</f>
        <v>38</v>
      </c>
      <c r="H30" s="475" t="str">
        <f>INDEX(ETAPP!B$1:B$31,MATCH(COUNTIF(N30:T30,PIV!A$1),ETAPP!A$1:A$32,0))&amp;INDEX(ETAPP!B$1:B$31,MATCH(COUNTIF(N30:T30,PIV!A$2),ETAPP!A$1:A$32,0))&amp;INDEX(ETAPP!B$1:B$31,MATCH(COUNTIF(N30:T30,PIV!A$3),ETAPP!A$1:A$32,0))&amp;INDEX(ETAPP!B$1:B$31,MATCH(COUNTIF(N30:T30,PIV!A$4),ETAPP!A$1:A$32,0))&amp;INDEX(ETAPP!B$1:B$31,MATCH(COUNTIF(N30:T30,PIV!A$5),ETAPP!A$1:A$32,0))&amp;INDEX(ETAPP!B$1:B$31,MATCH(COUNTIF(N30:T30,PIV!A$6),ETAPP!A$1:A$32,0))&amp;INDEX(ETAPP!B$1:B$31,MATCH(COUNTIF(N30:T30,PIV!A$7),ETAPP!A$1:A$32,0))&amp;INDEX(ETAPP!B$1:B$31,MATCH(COUNTIF(N30:T30,PIV!A$8),ETAPP!A$1:A$32,0))&amp;INDEX(ETAPP!B$1:B$31,MATCH(COUNTIF(N30:T30,PIV!A$9),ETAPP!A$1:A$32,0))&amp;INDEX(ETAPP!B$1:B$31,MATCH(COUNTIF(N30:T30,PIV!A$10),ETAPP!A$1:A$32,0))&amp;INDEX(ETAPP!B$1:B$31,MATCH(COUNTIF(N30:T30,PIV!A$11),ETAPP!A$1:A$32,0))&amp;INDEX(ETAPP!B$1:B$31,MATCH(COUNTIF(N30:T30,PIV!A$12),ETAPP!A$1:A$32,0))&amp;INDEX(ETAPP!B$1:B$31,MATCH(COUNTIF(N30:T30,PIV!A$13),ETAPP!A$1:A$32,0))&amp;INDEX(ETAPP!B$1:B$31,MATCH(COUNTIF(N30:T30,PIV!A$14),ETAPP!A$1:A$32,0))&amp;INDEX(ETAPP!B$1:B$31,MATCH(COUNTIF(N30:T30,PIV!A$15),ETAPP!A$1:A$32,0))&amp;INDEX(ETAPP!B$1:B$31,MATCH(COUNTIF(N30:T30,PIV!A$16),ETAPP!A$1:A$32,0))&amp;INDEX(ETAPP!B$1:B$31,MATCH(COUNTIF(N30:T30,PIV!A$17),ETAPP!A$1:A$32,0))&amp;INDEX(ETAPP!B$1:B$31,MATCH(COUNTIF(N30:T30,PIV!A$18),ETAPP!A$1:A$32,0))&amp;INDEX(ETAPP!B$1:B$31,MATCH(COUNTIF(N30:T30,PIV!A$19),ETAPP!A$1:A$32,0))</f>
        <v>000000AA000000000AD</v>
      </c>
      <c r="I30" s="474" t="str">
        <f t="shared" si="1"/>
        <v>038,0-000000AA000000000AD</v>
      </c>
      <c r="J30" s="476">
        <f t="shared" si="2"/>
        <v>24</v>
      </c>
      <c r="K30" s="476">
        <f t="shared" si="3"/>
        <v>16</v>
      </c>
      <c r="L30" s="474" t="str">
        <f t="shared" si="4"/>
        <v>038,0-000000AA000000000AD-016</v>
      </c>
      <c r="M30" s="476">
        <f t="shared" si="5"/>
        <v>5</v>
      </c>
      <c r="N30" s="457">
        <f>IFERROR(INDEX('1'!C$300:C$400,MATCH("*"&amp;C30&amp;"*",'1'!B$300:B$400,0)),"  ")</f>
        <v>20</v>
      </c>
      <c r="O30" s="458">
        <f>IFERROR(INDEX('2'!C$300:C$400,MATCH("*"&amp;C30&amp;"*",'2'!B$300:B$400,0)),"  ")</f>
        <v>18</v>
      </c>
      <c r="P30" s="457" t="str">
        <f>IFERROR(INDEX('3'!C$300:C$400,MATCH("*"&amp;C30&amp;"*",'3'!B$300:B$400,0)),"  ")</f>
        <v xml:space="preserve">  </v>
      </c>
      <c r="Q30" s="457" t="str">
        <f>IFERROR(INDEX('4'!C$300:C$400,MATCH("*"&amp;C30&amp;"*",'4'!B$300:B$400,0)),"  ")</f>
        <v xml:space="preserve">  </v>
      </c>
      <c r="R30" s="457" t="str">
        <f>IFERROR(INDEX('5'!C$300:C$400,MATCH("*"&amp;C30&amp;"*",'5'!B$300:B$400,0)),"  ")</f>
        <v xml:space="preserve">  </v>
      </c>
      <c r="S30" s="457" t="str">
        <f>IFERROR(INDEX('6'!C$300:C$400,MATCH("*"&amp;C30&amp;"*",'6'!B$300:B$400,0)),"  ")</f>
        <v xml:space="preserve">  </v>
      </c>
      <c r="T30" s="772">
        <f>IFERROR(INDEX('7'!C$300:C$400,MATCH("*"&amp;C30&amp;"*",'7'!B$300:B$400,0)),0)</f>
        <v>0</v>
      </c>
      <c r="U30" s="202">
        <f t="shared" si="6"/>
        <v>2</v>
      </c>
      <c r="V30" s="202">
        <f t="shared" si="7"/>
        <v>0</v>
      </c>
      <c r="W30" s="202">
        <f t="shared" si="8"/>
        <v>0</v>
      </c>
      <c r="X30" s="1397"/>
    </row>
    <row r="31" spans="1:24" x14ac:dyDescent="0.2">
      <c r="A31" s="566">
        <f t="shared" si="0"/>
        <v>25</v>
      </c>
      <c r="B31" s="456">
        <v>25</v>
      </c>
      <c r="C31" s="243" t="s">
        <v>212</v>
      </c>
      <c r="D31" s="496"/>
      <c r="E31" s="497"/>
      <c r="F31" s="452">
        <v>32</v>
      </c>
      <c r="G31" s="564">
        <f t="array" ref="G31">(IF(COUNT(N31,P31,R31)&lt;2,SUM(N31,P31,R31),SUM(LARGE((N31,P31,R31),{1;2}))))+(IF(COUNT(O31,Q31,S31)&lt;2,SUM(O31,Q31,S31),SUM(LARGE((O31,Q31,S31),{1;2}))))+T31</f>
        <v>32</v>
      </c>
      <c r="H31" s="475" t="str">
        <f>INDEX(ETAPP!B$1:B$31,MATCH(COUNTIF(N31:T31,PIV!A$1),ETAPP!A$1:A$32,0))&amp;INDEX(ETAPP!B$1:B$31,MATCH(COUNTIF(N31:T31,PIV!A$2),ETAPP!A$1:A$32,0))&amp;INDEX(ETAPP!B$1:B$31,MATCH(COUNTIF(N31:T31,PIV!A$3),ETAPP!A$1:A$32,0))&amp;INDEX(ETAPP!B$1:B$31,MATCH(COUNTIF(N31:T31,PIV!A$4),ETAPP!A$1:A$32,0))&amp;INDEX(ETAPP!B$1:B$31,MATCH(COUNTIF(N31:T31,PIV!A$5),ETAPP!A$1:A$32,0))&amp;INDEX(ETAPP!B$1:B$31,MATCH(COUNTIF(N31:T31,PIV!A$6),ETAPP!A$1:A$32,0))&amp;INDEX(ETAPP!B$1:B$31,MATCH(COUNTIF(N31:T31,PIV!A$7),ETAPP!A$1:A$32,0))&amp;INDEX(ETAPP!B$1:B$31,MATCH(COUNTIF(N31:T31,PIV!A$8),ETAPP!A$1:A$32,0))&amp;INDEX(ETAPP!B$1:B$31,MATCH(COUNTIF(N31:T31,PIV!A$9),ETAPP!A$1:A$32,0))&amp;INDEX(ETAPP!B$1:B$31,MATCH(COUNTIF(N31:T31,PIV!A$10),ETAPP!A$1:A$32,0))&amp;INDEX(ETAPP!B$1:B$31,MATCH(COUNTIF(N31:T31,PIV!A$11),ETAPP!A$1:A$32,0))&amp;INDEX(ETAPP!B$1:B$31,MATCH(COUNTIF(N31:T31,PIV!A$12),ETAPP!A$1:A$32,0))&amp;INDEX(ETAPP!B$1:B$31,MATCH(COUNTIF(N31:T31,PIV!A$13),ETAPP!A$1:A$32,0))&amp;INDEX(ETAPP!B$1:B$31,MATCH(COUNTIF(N31:T31,PIV!A$14),ETAPP!A$1:A$32,0))&amp;INDEX(ETAPP!B$1:B$31,MATCH(COUNTIF(N31:T31,PIV!A$15),ETAPP!A$1:A$32,0))&amp;INDEX(ETAPP!B$1:B$31,MATCH(COUNTIF(N31:T31,PIV!A$16),ETAPP!A$1:A$32,0))&amp;INDEX(ETAPP!B$1:B$31,MATCH(COUNTIF(N31:T31,PIV!A$17),ETAPP!A$1:A$32,0))&amp;INDEX(ETAPP!B$1:B$31,MATCH(COUNTIF(N31:T31,PIV!A$18),ETAPP!A$1:A$32,0))&amp;INDEX(ETAPP!B$1:B$31,MATCH(COUNTIF(N31:T31,PIV!A$19),ETAPP!A$1:A$32,0))</f>
        <v>0000000A0A0000000AD</v>
      </c>
      <c r="I31" s="474" t="str">
        <f t="shared" si="1"/>
        <v>032,0-0000000A0A0000000AD</v>
      </c>
      <c r="J31" s="476">
        <f t="shared" si="2"/>
        <v>25</v>
      </c>
      <c r="K31" s="476">
        <f t="shared" si="3"/>
        <v>18</v>
      </c>
      <c r="L31" s="474" t="str">
        <f t="shared" si="4"/>
        <v>032,0-0000000A0A0000000AD-018</v>
      </c>
      <c r="M31" s="476">
        <f t="shared" si="5"/>
        <v>4</v>
      </c>
      <c r="N31" s="457">
        <f>IFERROR(INDEX('1'!C$300:C$400,MATCH("*"&amp;C31&amp;"*",'1'!B$300:B$400,0)),"  ")</f>
        <v>18</v>
      </c>
      <c r="O31" s="458">
        <f>IFERROR(INDEX('2'!C$300:C$400,MATCH("*"&amp;C31&amp;"*",'2'!B$300:B$400,0)),"  ")</f>
        <v>14</v>
      </c>
      <c r="P31" s="457" t="str">
        <f>IFERROR(INDEX('3'!C$300:C$400,MATCH("*"&amp;C31&amp;"*",'3'!B$300:B$400,0)),"  ")</f>
        <v xml:space="preserve">  </v>
      </c>
      <c r="Q31" s="457" t="str">
        <f>IFERROR(INDEX('4'!C$300:C$400,MATCH("*"&amp;C31&amp;"*",'4'!B$300:B$400,0)),"  ")</f>
        <v xml:space="preserve">  </v>
      </c>
      <c r="R31" s="457" t="str">
        <f>IFERROR(INDEX('5'!C$300:C$400,MATCH("*"&amp;C31&amp;"*",'5'!B$300:B$400,0)),"  ")</f>
        <v xml:space="preserve">  </v>
      </c>
      <c r="S31" s="457" t="str">
        <f>IFERROR(INDEX('6'!C$300:C$400,MATCH("*"&amp;C31&amp;"*",'6'!B$300:B$400,0)),"  ")</f>
        <v xml:space="preserve">  </v>
      </c>
      <c r="T31" s="772">
        <f>IFERROR(INDEX('7'!C$300:C$400,MATCH("*"&amp;C31&amp;"*",'7'!B$300:B$400,0)),0)</f>
        <v>0</v>
      </c>
      <c r="U31" s="202">
        <f t="shared" si="6"/>
        <v>2</v>
      </c>
      <c r="V31" s="202">
        <f t="shared" si="7"/>
        <v>0</v>
      </c>
      <c r="W31" s="202">
        <f t="shared" si="8"/>
        <v>0</v>
      </c>
      <c r="X31" s="1397"/>
    </row>
    <row r="32" spans="1:24" x14ac:dyDescent="0.2">
      <c r="A32" s="566">
        <f t="shared" si="0"/>
        <v>26</v>
      </c>
      <c r="B32" s="455">
        <v>26</v>
      </c>
      <c r="C32" s="771" t="s">
        <v>246</v>
      </c>
      <c r="D32" s="496"/>
      <c r="E32" s="497"/>
      <c r="F32" s="452">
        <v>30</v>
      </c>
      <c r="G32" s="564">
        <f t="array" ref="G32">(IF(COUNT(N32,P32,R32)&lt;2,SUM(N32,P32,R32),SUM(LARGE((N32,P32,R32),{1;2}))))+(IF(COUNT(O32,Q32,S32)&lt;2,SUM(O32,Q32,S32),SUM(LARGE((O32,Q32,S32),{1;2}))))+T32</f>
        <v>30</v>
      </c>
      <c r="H32" s="475" t="str">
        <f>INDEX(ETAPP!B$1:B$31,MATCH(COUNTIF(N32:T32,PIV!A$1),ETAPP!A$1:A$32,0))&amp;INDEX(ETAPP!B$1:B$31,MATCH(COUNTIF(N32:T32,PIV!A$2),ETAPP!A$1:A$32,0))&amp;INDEX(ETAPP!B$1:B$31,MATCH(COUNTIF(N32:T32,PIV!A$3),ETAPP!A$1:A$32,0))&amp;INDEX(ETAPP!B$1:B$31,MATCH(COUNTIF(N32:T32,PIV!A$4),ETAPP!A$1:A$32,0))&amp;INDEX(ETAPP!B$1:B$31,MATCH(COUNTIF(N32:T32,PIV!A$5),ETAPP!A$1:A$32,0))&amp;INDEX(ETAPP!B$1:B$31,MATCH(COUNTIF(N32:T32,PIV!A$6),ETAPP!A$1:A$32,0))&amp;INDEX(ETAPP!B$1:B$31,MATCH(COUNTIF(N32:T32,PIV!A$7),ETAPP!A$1:A$32,0))&amp;INDEX(ETAPP!B$1:B$31,MATCH(COUNTIF(N32:T32,PIV!A$8),ETAPP!A$1:A$32,0))&amp;INDEX(ETAPP!B$1:B$31,MATCH(COUNTIF(N32:T32,PIV!A$9),ETAPP!A$1:A$32,0))&amp;INDEX(ETAPP!B$1:B$31,MATCH(COUNTIF(N32:T32,PIV!A$10),ETAPP!A$1:A$32,0))&amp;INDEX(ETAPP!B$1:B$31,MATCH(COUNTIF(N32:T32,PIV!A$11),ETAPP!A$1:A$32,0))&amp;INDEX(ETAPP!B$1:B$31,MATCH(COUNTIF(N32:T32,PIV!A$12),ETAPP!A$1:A$32,0))&amp;INDEX(ETAPP!B$1:B$31,MATCH(COUNTIF(N32:T32,PIV!A$13),ETAPP!A$1:A$32,0))&amp;INDEX(ETAPP!B$1:B$31,MATCH(COUNTIF(N32:T32,PIV!A$14),ETAPP!A$1:A$32,0))&amp;INDEX(ETAPP!B$1:B$31,MATCH(COUNTIF(N32:T32,PIV!A$15),ETAPP!A$1:A$32,0))&amp;INDEX(ETAPP!B$1:B$31,MATCH(COUNTIF(N32:T32,PIV!A$16),ETAPP!A$1:A$32,0))&amp;INDEX(ETAPP!B$1:B$31,MATCH(COUNTIF(N32:T32,PIV!A$17),ETAPP!A$1:A$32,0))&amp;INDEX(ETAPP!B$1:B$31,MATCH(COUNTIF(N32:T32,PIV!A$18),ETAPP!A$1:A$32,0))&amp;INDEX(ETAPP!B$1:B$31,MATCH(COUNTIF(N32:T32,PIV!A$19),ETAPP!A$1:A$32,0))</f>
        <v>00A00000000000000AE</v>
      </c>
      <c r="I32" s="474" t="str">
        <f t="shared" si="1"/>
        <v>030,0-00A00000000000000AE</v>
      </c>
      <c r="J32" s="476">
        <f t="shared" si="2"/>
        <v>27</v>
      </c>
      <c r="K32" s="476">
        <f t="shared" si="3"/>
        <v>17</v>
      </c>
      <c r="L32" s="474" t="str">
        <f t="shared" si="4"/>
        <v>030,0-00A00000000000000AE-017</v>
      </c>
      <c r="M32" s="476">
        <f t="shared" si="5"/>
        <v>3</v>
      </c>
      <c r="N32" s="457" t="str">
        <f>IFERROR(INDEX('1'!C$300:C$400,MATCH("*"&amp;C32&amp;"*",'1'!B$300:B$400,0)),"  ")</f>
        <v xml:space="preserve">  </v>
      </c>
      <c r="O32" s="458" t="str">
        <f>IFERROR(INDEX('2'!C$300:C$400,MATCH("*"&amp;C32&amp;"*",'2'!B$300:B$400,0)),"  ")</f>
        <v xml:space="preserve">  </v>
      </c>
      <c r="P32" s="457" t="str">
        <f>IFERROR(INDEX('3'!C$300:C$400,MATCH("*"&amp;C32&amp;"*",'3'!B$300:B$400,0)),"  ")</f>
        <v xml:space="preserve">  </v>
      </c>
      <c r="Q32" s="457" t="str">
        <f>IFERROR(INDEX('4'!C$300:C$400,MATCH("*"&amp;C32&amp;"*",'4'!B$300:B$400,0)),"  ")</f>
        <v xml:space="preserve">  </v>
      </c>
      <c r="R32" s="457">
        <f>IFERROR(INDEX('5'!C$300:C$400,MATCH("*"&amp;C32&amp;"*",'5'!B$300:B$400,0)),"  ")</f>
        <v>30</v>
      </c>
      <c r="S32" s="457" t="str">
        <f>IFERROR(INDEX('6'!C$300:C$400,MATCH("*"&amp;C32&amp;"*",'6'!B$300:B$400,0)),"  ")</f>
        <v xml:space="preserve">  </v>
      </c>
      <c r="T32" s="772">
        <f>IFERROR(INDEX('7'!C$300:C$400,MATCH("*"&amp;C32&amp;"*",'7'!B$300:B$400,0)),0)</f>
        <v>0</v>
      </c>
      <c r="U32" s="202">
        <f t="shared" si="6"/>
        <v>1</v>
      </c>
      <c r="V32" s="202">
        <f t="shared" si="7"/>
        <v>1</v>
      </c>
      <c r="W32" s="202">
        <f t="shared" si="8"/>
        <v>0</v>
      </c>
      <c r="X32" s="1397"/>
    </row>
    <row r="33" spans="1:24" x14ac:dyDescent="0.2">
      <c r="A33" s="566">
        <f t="shared" si="0"/>
        <v>26</v>
      </c>
      <c r="B33" s="455">
        <v>26</v>
      </c>
      <c r="C33" s="771" t="s">
        <v>615</v>
      </c>
      <c r="D33" s="496"/>
      <c r="E33" s="497"/>
      <c r="F33" s="452">
        <v>30</v>
      </c>
      <c r="G33" s="564">
        <f t="array" ref="G33">(IF(COUNT(N33,P33,R33)&lt;2,SUM(N33,P33,R33),SUM(LARGE((N33,P33,R33),{1;2}))))+(IF(COUNT(O33,Q33,S33)&lt;2,SUM(O33,Q33,S33),SUM(LARGE((O33,Q33,S33),{1;2}))))+T33</f>
        <v>30</v>
      </c>
      <c r="H33" s="475" t="str">
        <f>INDEX(ETAPP!B$1:B$31,MATCH(COUNTIF(N33:T33,PIV!A$1),ETAPP!A$1:A$32,0))&amp;INDEX(ETAPP!B$1:B$31,MATCH(COUNTIF(N33:T33,PIV!A$2),ETAPP!A$1:A$32,0))&amp;INDEX(ETAPP!B$1:B$31,MATCH(COUNTIF(N33:T33,PIV!A$3),ETAPP!A$1:A$32,0))&amp;INDEX(ETAPP!B$1:B$31,MATCH(COUNTIF(N33:T33,PIV!A$4),ETAPP!A$1:A$32,0))&amp;INDEX(ETAPP!B$1:B$31,MATCH(COUNTIF(N33:T33,PIV!A$5),ETAPP!A$1:A$32,0))&amp;INDEX(ETAPP!B$1:B$31,MATCH(COUNTIF(N33:T33,PIV!A$6),ETAPP!A$1:A$32,0))&amp;INDEX(ETAPP!B$1:B$31,MATCH(COUNTIF(N33:T33,PIV!A$7),ETAPP!A$1:A$32,0))&amp;INDEX(ETAPP!B$1:B$31,MATCH(COUNTIF(N33:T33,PIV!A$8),ETAPP!A$1:A$32,0))&amp;INDEX(ETAPP!B$1:B$31,MATCH(COUNTIF(N33:T33,PIV!A$9),ETAPP!A$1:A$32,0))&amp;INDEX(ETAPP!B$1:B$31,MATCH(COUNTIF(N33:T33,PIV!A$10),ETAPP!A$1:A$32,0))&amp;INDEX(ETAPP!B$1:B$31,MATCH(COUNTIF(N33:T33,PIV!A$11),ETAPP!A$1:A$32,0))&amp;INDEX(ETAPP!B$1:B$31,MATCH(COUNTIF(N33:T33,PIV!A$12),ETAPP!A$1:A$32,0))&amp;INDEX(ETAPP!B$1:B$31,MATCH(COUNTIF(N33:T33,PIV!A$13),ETAPP!A$1:A$32,0))&amp;INDEX(ETAPP!B$1:B$31,MATCH(COUNTIF(N33:T33,PIV!A$14),ETAPP!A$1:A$32,0))&amp;INDEX(ETAPP!B$1:B$31,MATCH(COUNTIF(N33:T33,PIV!A$15),ETAPP!A$1:A$32,0))&amp;INDEX(ETAPP!B$1:B$31,MATCH(COUNTIF(N33:T33,PIV!A$16),ETAPP!A$1:A$32,0))&amp;INDEX(ETAPP!B$1:B$31,MATCH(COUNTIF(N33:T33,PIV!A$17),ETAPP!A$1:A$32,0))&amp;INDEX(ETAPP!B$1:B$31,MATCH(COUNTIF(N33:T33,PIV!A$18),ETAPP!A$1:A$32,0))&amp;INDEX(ETAPP!B$1:B$31,MATCH(COUNTIF(N33:T33,PIV!A$19),ETAPP!A$1:A$32,0))</f>
        <v>00A00000000000000AE</v>
      </c>
      <c r="I33" s="474" t="str">
        <f t="shared" si="1"/>
        <v>030,0-00A00000000000000AE</v>
      </c>
      <c r="J33" s="476">
        <f t="shared" si="2"/>
        <v>27</v>
      </c>
      <c r="K33" s="476">
        <f t="shared" si="3"/>
        <v>9</v>
      </c>
      <c r="L33" s="474" t="str">
        <f t="shared" si="4"/>
        <v>030,0-00A00000000000000AE-009</v>
      </c>
      <c r="M33" s="476">
        <f t="shared" si="5"/>
        <v>2</v>
      </c>
      <c r="N33" s="457" t="str">
        <f>IFERROR(INDEX('1'!C$300:C$400,MATCH("*"&amp;C33&amp;"*",'1'!B$300:B$400,0)),"  ")</f>
        <v xml:space="preserve">  </v>
      </c>
      <c r="O33" s="458" t="str">
        <f>IFERROR(INDEX('2'!C$300:C$400,MATCH("*"&amp;C33&amp;"*",'2'!B$300:B$400,0)),"  ")</f>
        <v xml:space="preserve">  </v>
      </c>
      <c r="P33" s="457" t="str">
        <f>IFERROR(INDEX('3'!C$300:C$400,MATCH("*"&amp;C33&amp;"*",'3'!B$300:B$400,0)),"  ")</f>
        <v xml:space="preserve">  </v>
      </c>
      <c r="Q33" s="457" t="str">
        <f>IFERROR(INDEX('4'!C$300:C$400,MATCH("*"&amp;C33&amp;"*",'4'!B$300:B$400,0)),"  ")</f>
        <v xml:space="preserve">  </v>
      </c>
      <c r="R33" s="457">
        <f>IFERROR(INDEX('5'!C$300:C$400,MATCH("*"&amp;C33&amp;"*",'5'!B$300:B$400,0)),"  ")</f>
        <v>30</v>
      </c>
      <c r="S33" s="457" t="str">
        <f>IFERROR(INDEX('6'!C$300:C$400,MATCH("*"&amp;C33&amp;"*",'6'!B$300:B$400,0)),"  ")</f>
        <v xml:space="preserve">  </v>
      </c>
      <c r="T33" s="772">
        <f>IFERROR(INDEX('7'!C$300:C$400,MATCH("*"&amp;C33&amp;"*",'7'!B$300:B$400,0)),0)</f>
        <v>0</v>
      </c>
      <c r="U33" s="202">
        <f t="shared" si="6"/>
        <v>1</v>
      </c>
      <c r="V33" s="202">
        <f t="shared" si="7"/>
        <v>1</v>
      </c>
      <c r="W33" s="202">
        <f t="shared" si="8"/>
        <v>0</v>
      </c>
      <c r="X33" s="1397"/>
    </row>
    <row r="34" spans="1:24" x14ac:dyDescent="0.2">
      <c r="A34" s="566">
        <f t="shared" si="0"/>
        <v>28</v>
      </c>
      <c r="B34" s="455">
        <v>28</v>
      </c>
      <c r="C34" s="242" t="s">
        <v>233</v>
      </c>
      <c r="D34" s="496" t="s">
        <v>359</v>
      </c>
      <c r="E34" s="497"/>
      <c r="F34" s="452">
        <v>22</v>
      </c>
      <c r="G34" s="564">
        <f t="array" ref="G34">(IF(COUNT(N34,P34,R34)&lt;2,SUM(N34,P34,R34),SUM(LARGE((N34,P34,R34),{1;2}))))+(IF(COUNT(O34,Q34,S34)&lt;2,SUM(O34,Q34,S34),SUM(LARGE((O34,Q34,S34),{1;2}))))+T34</f>
        <v>22</v>
      </c>
      <c r="H34" s="475" t="str">
        <f>INDEX(ETAPP!B$1:B$31,MATCH(COUNTIF(N34:T34,PIV!A$1),ETAPP!A$1:A$32,0))&amp;INDEX(ETAPP!B$1:B$31,MATCH(COUNTIF(N34:T34,PIV!A$2),ETAPP!A$1:A$32,0))&amp;INDEX(ETAPP!B$1:B$31,MATCH(COUNTIF(N34:T34,PIV!A$3),ETAPP!A$1:A$32,0))&amp;INDEX(ETAPP!B$1:B$31,MATCH(COUNTIF(N34:T34,PIV!A$4),ETAPP!A$1:A$32,0))&amp;INDEX(ETAPP!B$1:B$31,MATCH(COUNTIF(N34:T34,PIV!A$5),ETAPP!A$1:A$32,0))&amp;INDEX(ETAPP!B$1:B$31,MATCH(COUNTIF(N34:T34,PIV!A$6),ETAPP!A$1:A$32,0))&amp;INDEX(ETAPP!B$1:B$31,MATCH(COUNTIF(N34:T34,PIV!A$7),ETAPP!A$1:A$32,0))&amp;INDEX(ETAPP!B$1:B$31,MATCH(COUNTIF(N34:T34,PIV!A$8),ETAPP!A$1:A$32,0))&amp;INDEX(ETAPP!B$1:B$31,MATCH(COUNTIF(N34:T34,PIV!A$9),ETAPP!A$1:A$32,0))&amp;INDEX(ETAPP!B$1:B$31,MATCH(COUNTIF(N34:T34,PIV!A$10),ETAPP!A$1:A$32,0))&amp;INDEX(ETAPP!B$1:B$31,MATCH(COUNTIF(N34:T34,PIV!A$11),ETAPP!A$1:A$32,0))&amp;INDEX(ETAPP!B$1:B$31,MATCH(COUNTIF(N34:T34,PIV!A$12),ETAPP!A$1:A$32,0))&amp;INDEX(ETAPP!B$1:B$31,MATCH(COUNTIF(N34:T34,PIV!A$13),ETAPP!A$1:A$32,0))&amp;INDEX(ETAPP!B$1:B$31,MATCH(COUNTIF(N34:T34,PIV!A$14),ETAPP!A$1:A$32,0))&amp;INDEX(ETAPP!B$1:B$31,MATCH(COUNTIF(N34:T34,PIV!A$15),ETAPP!A$1:A$32,0))&amp;INDEX(ETAPP!B$1:B$31,MATCH(COUNTIF(N34:T34,PIV!A$16),ETAPP!A$1:A$32,0))&amp;INDEX(ETAPP!B$1:B$31,MATCH(COUNTIF(N34:T34,PIV!A$17),ETAPP!A$1:A$32,0))&amp;INDEX(ETAPP!B$1:B$31,MATCH(COUNTIF(N34:T34,PIV!A$18),ETAPP!A$1:A$32,0))&amp;INDEX(ETAPP!B$1:B$31,MATCH(COUNTIF(N34:T34,PIV!A$19),ETAPP!A$1:A$32,0))</f>
        <v>00000A00000000000AE</v>
      </c>
      <c r="I34" s="474" t="str">
        <f t="shared" si="1"/>
        <v>022,0-00000A00000000000AE</v>
      </c>
      <c r="J34" s="476">
        <f t="shared" si="2"/>
        <v>28</v>
      </c>
      <c r="K34" s="476">
        <f t="shared" si="3"/>
        <v>27</v>
      </c>
      <c r="L34" s="474" t="str">
        <f t="shared" si="4"/>
        <v>022,0-00000A00000000000AE-027</v>
      </c>
      <c r="M34" s="476">
        <f t="shared" si="5"/>
        <v>1</v>
      </c>
      <c r="N34" s="457" t="str">
        <f>IFERROR(INDEX('1'!C$300:C$400,MATCH("*"&amp;C34&amp;"*",'1'!B$300:B$400,0)),"  ")</f>
        <v xml:space="preserve">  </v>
      </c>
      <c r="O34" s="458" t="str">
        <f>IFERROR(INDEX('2'!C$300:C$400,MATCH("*"&amp;C34&amp;"*",'2'!B$300:B$400,0)),"  ")</f>
        <v xml:space="preserve">  </v>
      </c>
      <c r="P34" s="457" t="str">
        <f>IFERROR(INDEX('3'!C$300:C$400,MATCH("*"&amp;C34&amp;"*",'3'!B$300:B$400,0)),"  ")</f>
        <v xml:space="preserve">  </v>
      </c>
      <c r="Q34" s="457">
        <f>IFERROR(INDEX('4'!C$300:C$400,MATCH("*"&amp;C34&amp;"*",'4'!B$300:B$400,0)),"  ")</f>
        <v>22</v>
      </c>
      <c r="R34" s="457" t="str">
        <f>IFERROR(INDEX('5'!C$300:C$400,MATCH("*"&amp;C34&amp;"*",'5'!B$300:B$400,0)),"  ")</f>
        <v xml:space="preserve">  </v>
      </c>
      <c r="S34" s="457" t="str">
        <f>IFERROR(INDEX('6'!C$300:C$400,MATCH("*"&amp;C34&amp;"*",'6'!B$300:B$400,0)),"  ")</f>
        <v xml:space="preserve">  </v>
      </c>
      <c r="T34" s="772">
        <f>IFERROR(INDEX('7'!C$300:C$400,MATCH("*"&amp;C34&amp;"*",'7'!B$300:B$400,0)),0)</f>
        <v>0</v>
      </c>
      <c r="U34" s="202">
        <f t="shared" si="6"/>
        <v>1</v>
      </c>
      <c r="V34" s="202">
        <f t="shared" si="7"/>
        <v>0</v>
      </c>
      <c r="W34" s="202">
        <f t="shared" si="8"/>
        <v>0</v>
      </c>
      <c r="X34" s="1397"/>
    </row>
    <row r="35" spans="1:24" x14ac:dyDescent="0.2">
      <c r="A35" s="198"/>
      <c r="B35" s="204">
        <f>COUNT(B7:B34)</f>
        <v>28</v>
      </c>
      <c r="C35" s="205" t="s">
        <v>24</v>
      </c>
      <c r="D35" s="206"/>
      <c r="E35" s="206"/>
      <c r="F35" s="206"/>
      <c r="G35" s="206"/>
      <c r="H35" s="206"/>
      <c r="I35" s="206"/>
      <c r="J35" s="206"/>
      <c r="K35" s="206"/>
      <c r="L35" s="206"/>
      <c r="M35" s="206"/>
      <c r="N35" s="207">
        <f t="shared" ref="N35:T35" si="9">COUNTIF(N7:N34,"&gt;0")</f>
        <v>24</v>
      </c>
      <c r="O35" s="207">
        <f t="shared" si="9"/>
        <v>20</v>
      </c>
      <c r="P35" s="207">
        <f t="shared" si="9"/>
        <v>21</v>
      </c>
      <c r="Q35" s="207">
        <f t="shared" si="9"/>
        <v>16</v>
      </c>
      <c r="R35" s="207">
        <f t="shared" si="9"/>
        <v>18</v>
      </c>
      <c r="S35" s="207">
        <f t="shared" si="9"/>
        <v>10</v>
      </c>
      <c r="T35" s="207">
        <f t="shared" si="9"/>
        <v>8</v>
      </c>
      <c r="U35" s="198"/>
      <c r="V35" s="208">
        <f>SUM(V7:V34)</f>
        <v>48</v>
      </c>
      <c r="W35" s="208">
        <f>SUM(W7:W34)</f>
        <v>16</v>
      </c>
    </row>
    <row r="36" spans="1:24" x14ac:dyDescent="0.2">
      <c r="A36" s="198"/>
      <c r="B36" s="198"/>
      <c r="C36" s="205" t="s">
        <v>25</v>
      </c>
      <c r="D36" s="206"/>
      <c r="E36" s="206"/>
      <c r="F36" s="206"/>
      <c r="G36" s="206"/>
      <c r="H36" s="206"/>
      <c r="I36" s="206"/>
      <c r="J36" s="206"/>
      <c r="K36" s="206"/>
      <c r="L36" s="206"/>
      <c r="M36" s="206"/>
      <c r="N36" s="209">
        <f t="shared" ref="N36:T36" si="10">IF((N35/(LEN(N5)-LEN(SUBSTITUTE(N5,"*","")))-0.5)&lt;0,"",N35/(LEN(N5)-LEN(SUBSTITUTE(N5,"*","")))-0.5)</f>
        <v>7.5</v>
      </c>
      <c r="O36" s="209">
        <f t="shared" si="10"/>
        <v>9.5</v>
      </c>
      <c r="P36" s="209">
        <f t="shared" si="10"/>
        <v>6.5</v>
      </c>
      <c r="Q36" s="209">
        <f t="shared" si="10"/>
        <v>7.5</v>
      </c>
      <c r="R36" s="209">
        <f t="shared" si="10"/>
        <v>5.5</v>
      </c>
      <c r="S36" s="209">
        <f t="shared" si="10"/>
        <v>4.5</v>
      </c>
      <c r="T36" s="209">
        <f t="shared" si="10"/>
        <v>7.5</v>
      </c>
      <c r="U36" s="198"/>
      <c r="V36" s="198"/>
      <c r="W36" s="198"/>
    </row>
    <row r="37" spans="1:24" x14ac:dyDescent="0.2">
      <c r="C37" s="1395" t="s">
        <v>610</v>
      </c>
      <c r="N37" s="1394">
        <f t="shared" ref="N37:T37" si="11">N36*2*0.7</f>
        <v>10.5</v>
      </c>
      <c r="O37" s="1394">
        <f t="shared" si="11"/>
        <v>13.299999999999999</v>
      </c>
      <c r="P37" s="1394">
        <f t="shared" si="11"/>
        <v>9.1</v>
      </c>
      <c r="Q37" s="1394">
        <f t="shared" si="11"/>
        <v>10.5</v>
      </c>
      <c r="R37" s="1394">
        <f t="shared" si="11"/>
        <v>7.6999999999999993</v>
      </c>
      <c r="S37" s="1394">
        <f t="shared" si="11"/>
        <v>6.3</v>
      </c>
      <c r="T37" s="1394">
        <f t="shared" si="11"/>
        <v>10.5</v>
      </c>
      <c r="X37" s="1429">
        <f>3*(N37+P37+R37)+2*(O37+Q37+S37)+T37</f>
        <v>152.6</v>
      </c>
    </row>
  </sheetData>
  <autoFilter ref="M6:W6">
    <sortState ref="M7:Y63">
      <sortCondition descending="1" ref="M6"/>
    </sortState>
  </autoFilter>
  <sortState ref="A6:W36">
    <sortCondition descending="1" ref="M7"/>
  </sortState>
  <mergeCells count="4">
    <mergeCell ref="V3:V5"/>
    <mergeCell ref="U3:U5"/>
    <mergeCell ref="W3:W5"/>
    <mergeCell ref="X3:X5"/>
  </mergeCells>
  <conditionalFormatting sqref="N35:T35">
    <cfRule type="top10" dxfId="2210" priority="95" stopIfTrue="1" rank="1"/>
  </conditionalFormatting>
  <conditionalFormatting sqref="N7:T34">
    <cfRule type="cellIs" dxfId="2209" priority="828" operator="equal">
      <formula>40</formula>
    </cfRule>
  </conditionalFormatting>
  <conditionalFormatting sqref="C7:C34">
    <cfRule type="expression" dxfId="2208" priority="899">
      <formula>D7="n"</formula>
    </cfRule>
  </conditionalFormatting>
  <conditionalFormatting sqref="N7:N34 P7:S34">
    <cfRule type="expression" dxfId="2207" priority="1077">
      <formula>IF(N7="  ",FALSE,N7)+N$6/100=IF(COUNT(N$7:N$34)&gt;0,MIN(IF($N7="  ",FALSE,$N7)+$N$6/100,IF($P7="  ",FALSE,$P7)+$P$6/100,IF($R7="  ",FALSE,$R7)+$R$6/100),FALSE)</formula>
    </cfRule>
  </conditionalFormatting>
  <conditionalFormatting sqref="O7:O34 Q7:Q34 S7:S34">
    <cfRule type="expression" dxfId="2206" priority="1079">
      <formula>IF(O7="  ",FALSE,O7)+O$6/100=IF(COUNT(O$7:O$34)&gt;0,MIN(IF($O7="  ",FALSE,$O7)+$O$6/100,IF($Q7="  ",FALSE,$Q7)+$Q$6/100,IF($S7="  ",FALSE,$S7)+$S$6/100),FALSE)</formula>
    </cfRule>
  </conditionalFormatting>
  <conditionalFormatting sqref="V7:V34">
    <cfRule type="top10" dxfId="2205" priority="1082" stopIfTrue="1" rank="1"/>
  </conditionalFormatting>
  <conditionalFormatting sqref="W7:W34">
    <cfRule type="top10" dxfId="2204" priority="1083" stopIfTrue="1" rank="1"/>
  </conditionalFormatting>
  <conditionalFormatting sqref="U7:U34">
    <cfRule type="top10" dxfId="2203" priority="1084" stopIfTrue="1" rank="1"/>
  </conditionalFormatting>
  <conditionalFormatting sqref="G7:G34">
    <cfRule type="duplicateValues" dxfId="2202" priority="1085" stopIfTrue="1"/>
  </conditionalFormatting>
  <conditionalFormatting sqref="A7:A34">
    <cfRule type="duplicateValues" dxfId="2201" priority="1086" stopIfTrue="1"/>
  </conditionalFormatting>
  <conditionalFormatting sqref="M7:M34">
    <cfRule type="duplicateValues" dxfId="2200" priority="1087"/>
  </conditionalFormatting>
  <conditionalFormatting sqref="C7:C34">
    <cfRule type="expression" dxfId="2199" priority="1089">
      <formula>E7="j"</formula>
    </cfRule>
    <cfRule type="duplicateValues" dxfId="2198" priority="1090" stopIfTrue="1"/>
  </conditionalFormatting>
  <conditionalFormatting sqref="T7:T34">
    <cfRule type="expression" dxfId="2197" priority="1">
      <formula>AND(RANK(J7,J$7:J$62,1)&lt;=8,COUNT(S$7:S$62)&gt;0)</formula>
    </cfRule>
  </conditionalFormatting>
  <pageMargins left="0.39370078740157483" right="0.31496062992125984" top="0.78740157480314965" bottom="0.39370078740157483" header="0.59055118110236227" footer="0"/>
  <pageSetup paperSize="9" fitToHeight="0" orientation="portrait" verticalDpi="300" r:id="rId1"/>
  <headerFooter alignWithMargins="0">
    <oddHeader>&amp;R&amp;"Arial,Regular"&amp;9Page &amp;P of &amp;N</oddHead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307"/>
  <sheetViews>
    <sheetView showGridLines="0" showRowColHeaders="0" zoomScaleNormal="100" workbookViewId="0">
      <pane ySplit="2" topLeftCell="A3" activePane="bottomLeft" state="frozen"/>
      <selection activeCell="X1" sqref="X1"/>
      <selection pane="bottomLeft" activeCell="G1" sqref="G1"/>
    </sheetView>
  </sheetViews>
  <sheetFormatPr defaultRowHeight="12.75" x14ac:dyDescent="0.2"/>
  <cols>
    <col min="1" max="1" width="3.28515625" style="88" customWidth="1"/>
    <col min="2" max="2" width="43.5703125" style="87" bestFit="1" customWidth="1"/>
    <col min="3" max="3" width="7.28515625" style="88" customWidth="1"/>
    <col min="4" max="4" width="7.42578125" style="88" bestFit="1" customWidth="1"/>
    <col min="5" max="5" width="9.140625" style="88" customWidth="1"/>
    <col min="6" max="6" width="6.7109375" style="88" customWidth="1"/>
    <col min="7" max="7" width="5.140625" style="88" bestFit="1" customWidth="1"/>
    <col min="8" max="9" width="9.140625" style="88" customWidth="1"/>
    <col min="10" max="16384" width="9.140625" style="88"/>
  </cols>
  <sheetData>
    <row r="1" spans="1:7" x14ac:dyDescent="0.2">
      <c r="A1" s="86" t="str">
        <f>UPPER((Kalend!E9)&amp;" - "&amp;(Kalend!C9)&amp;" - "&amp;(Kalend!D9))</f>
        <v>1 - SHK KV 1. ETAPP - TRIO</v>
      </c>
      <c r="C1" s="51" t="str">
        <f>HYPERLINK("#'Kalend'!I1","Kalender")</f>
        <v>Kalender</v>
      </c>
      <c r="D1" s="89"/>
      <c r="E1" s="51" t="str">
        <f>HYPERLINK("#'Reit'!m1","Reiting")</f>
        <v>Reiting</v>
      </c>
      <c r="F1" s="89"/>
    </row>
    <row r="2" spans="1:7" s="89" customFormat="1" x14ac:dyDescent="0.2">
      <c r="A2" s="89" t="str">
        <f>"Toimumisaeg: "&amp;(Kalend!A9)&amp;" kell "&amp;(Kalend!B9)</f>
        <v>Toimumisaeg: P, 19.11.2017 kell 11:00</v>
      </c>
    </row>
    <row r="3" spans="1:7" s="89" customFormat="1" x14ac:dyDescent="0.2">
      <c r="A3" s="89" t="str">
        <f>"Toimumiskoht: "&amp;(Kalend!F9)</f>
        <v>Toimumiskoht: K-Järve petangihall</v>
      </c>
    </row>
    <row r="4" spans="1:7" s="89" customFormat="1" x14ac:dyDescent="0.2">
      <c r="A4" s="89" t="str">
        <f>"Korraldaja: "&amp;(Kalend!G9)</f>
        <v>Korraldaja: K-Järve SHK, Ivar Viljaste</v>
      </c>
    </row>
    <row r="6" spans="1:7" x14ac:dyDescent="0.2">
      <c r="A6" s="187" t="s">
        <v>66</v>
      </c>
      <c r="B6" s="187"/>
      <c r="C6" s="91" t="s">
        <v>42</v>
      </c>
      <c r="D6" s="91" t="s">
        <v>43</v>
      </c>
      <c r="E6" s="91" t="s">
        <v>44</v>
      </c>
      <c r="F6" s="91" t="s">
        <v>45</v>
      </c>
      <c r="G6" s="91" t="s">
        <v>46</v>
      </c>
    </row>
    <row r="7" spans="1:7" x14ac:dyDescent="0.2">
      <c r="A7" s="187">
        <v>1</v>
      </c>
      <c r="B7" s="133" t="s">
        <v>182</v>
      </c>
      <c r="C7" s="225">
        <v>13</v>
      </c>
      <c r="D7" s="225">
        <v>13</v>
      </c>
      <c r="E7" s="93"/>
      <c r="F7" s="397"/>
      <c r="G7" s="93" t="str">
        <f>IF(AND(COUNT(F7:F10)=2,F7=MAX(F7:F10),COUNT(C7:F7)=3),A6&amp;"2",IF(AND(COUNT(E7:E10)=2,E7=MIN(E7:E10),D7="",F7=""),A6&amp;"4",IF(AND(COUNT(D7:D10)=2,D7=MAX(D7:D10),E7="",F7=""),A6&amp;"1",IF(COUNT(F7:F10)=2,A6&amp;"3",""))))</f>
        <v>A1</v>
      </c>
    </row>
    <row r="8" spans="1:7" x14ac:dyDescent="0.2">
      <c r="A8" s="187">
        <v>2</v>
      </c>
      <c r="B8" s="133" t="s">
        <v>79</v>
      </c>
      <c r="C8" s="398">
        <v>11</v>
      </c>
      <c r="D8" s="225"/>
      <c r="E8" s="93">
        <v>4</v>
      </c>
      <c r="F8" s="397"/>
      <c r="G8" s="93" t="str">
        <f>IF(AND(COUNT(F7:F10)=2,F8=MAX(F7:F10),COUNT(C8:F8)=3),A6&amp;"2",IF(AND(COUNT(E7:E10)=2,E8=MIN(E7:E10),D8="",F8=""),A6&amp;"4",IF(AND(COUNT(D7:D10)=2,D8=MAX(D7:D10),E8="",F8=""),A6&amp;"1",IF(COUNT(F7:F10)=2,A6&amp;"3",""))))</f>
        <v>A4</v>
      </c>
    </row>
    <row r="9" spans="1:7" x14ac:dyDescent="0.2">
      <c r="A9" s="187">
        <v>3</v>
      </c>
      <c r="B9" s="133" t="s">
        <v>184</v>
      </c>
      <c r="C9" s="398">
        <v>13</v>
      </c>
      <c r="D9" s="93">
        <v>6</v>
      </c>
      <c r="E9" s="93" t="str">
        <f>IF(AND(B10="-",ISNUMBER(C9),C9&lt;C8),13,"")</f>
        <v/>
      </c>
      <c r="F9" s="397">
        <v>8</v>
      </c>
      <c r="G9" s="93" t="str">
        <f>IF(AND(COUNT(F7:F10)=2,F9=MAX(F7:F10),COUNT(C9:F9)=3),A6&amp;"2",IF(AND(COUNT(E7:E10)=2,E9=MIN(E7:E10),D9="",F9=""),A6&amp;"4",IF(AND(COUNT(D7:D10)=2,D9=MAX(D7:D10),E9="",F9=""),A6&amp;"1",IF(COUNT(F7:F10)=2,A6&amp;"3",""))))</f>
        <v>A3</v>
      </c>
    </row>
    <row r="10" spans="1:7" x14ac:dyDescent="0.2">
      <c r="A10" s="187">
        <v>4</v>
      </c>
      <c r="B10" s="211" t="s">
        <v>183</v>
      </c>
      <c r="C10" s="225">
        <v>10</v>
      </c>
      <c r="D10" s="225"/>
      <c r="E10" s="93">
        <v>13</v>
      </c>
      <c r="F10" s="397">
        <v>13</v>
      </c>
      <c r="G10" s="93" t="str">
        <f>IF(AND(COUNT(F7:F10)=2,F10=MAX(F7:F10),COUNT(C10:F10)=3),A6&amp;"2",IF(AND(COUNT(E7:E10)=2,E10=MIN(E7:E10),D10="",F10=""),A6&amp;"4",IF(AND(COUNT(D7:D10)=2,D10=MAX(D7:D10),E10="",F10=""),A6&amp;"1",IF(COUNT(F7:F10)=2,A6&amp;"3",""))))</f>
        <v>A2</v>
      </c>
    </row>
    <row r="11" spans="1:7" x14ac:dyDescent="0.2">
      <c r="A11" s="139"/>
      <c r="B11" s="422" t="s">
        <v>70</v>
      </c>
      <c r="C11" s="139"/>
      <c r="D11" s="139"/>
      <c r="E11" s="139"/>
      <c r="F11" s="139"/>
      <c r="G11" s="422" t="s">
        <v>70</v>
      </c>
    </row>
    <row r="12" spans="1:7" x14ac:dyDescent="0.2">
      <c r="A12" s="187" t="s">
        <v>90</v>
      </c>
      <c r="B12" s="187"/>
      <c r="C12" s="91" t="s">
        <v>42</v>
      </c>
      <c r="D12" s="91" t="s">
        <v>43</v>
      </c>
      <c r="E12" s="91" t="s">
        <v>44</v>
      </c>
      <c r="F12" s="91" t="s">
        <v>45</v>
      </c>
      <c r="G12" s="91" t="s">
        <v>46</v>
      </c>
    </row>
    <row r="13" spans="1:7" x14ac:dyDescent="0.2">
      <c r="A13" s="187">
        <v>1</v>
      </c>
      <c r="B13" s="133" t="s">
        <v>185</v>
      </c>
      <c r="C13" s="225">
        <v>13</v>
      </c>
      <c r="D13" s="225">
        <v>2</v>
      </c>
      <c r="E13" s="93"/>
      <c r="F13" s="397">
        <v>6</v>
      </c>
      <c r="G13" s="93" t="str">
        <f>IF(AND(COUNT(F13:F16)=2,F13=MAX(F13:F16),COUNT(C13:F13)=3),A12&amp;"2",IF(AND(COUNT(E13:E16)=2,E13=MIN(E13:E16),D13="",F13=""),A12&amp;"4",IF(AND(COUNT(D13:D16)=2,D13=MAX(D13:D16),E13="",F13=""),A12&amp;"1",IF(COUNT(F13:F16)=2,A12&amp;"3",""))))</f>
        <v>B3</v>
      </c>
    </row>
    <row r="14" spans="1:7" x14ac:dyDescent="0.2">
      <c r="A14" s="187">
        <v>2</v>
      </c>
      <c r="B14" s="133" t="s">
        <v>186</v>
      </c>
      <c r="C14" s="398">
        <v>13</v>
      </c>
      <c r="D14" s="225">
        <v>13</v>
      </c>
      <c r="E14" s="93" t="str">
        <f>IF(AND(B16="-",ISNUMBER(C14),C14&lt;C15),13,"")</f>
        <v/>
      </c>
      <c r="F14" s="397"/>
      <c r="G14" s="93" t="str">
        <f>IF(AND(COUNT(F13:F16)=2,F14=MAX(F13:F16),COUNT(C14:F14)=3),A12&amp;"2",IF(AND(COUNT(E13:E16)=2,E14=MIN(E13:E16),D14="",F14=""),A12&amp;"4",IF(AND(COUNT(D13:D16)=2,D14=MAX(D13:D16),E14="",F14=""),A12&amp;"1",IF(COUNT(F13:F16)=2,A12&amp;"3",""))))</f>
        <v>B1</v>
      </c>
    </row>
    <row r="15" spans="1:7" x14ac:dyDescent="0.2">
      <c r="A15" s="187">
        <v>3</v>
      </c>
      <c r="B15" s="133" t="s">
        <v>187</v>
      </c>
      <c r="C15" s="398">
        <v>6</v>
      </c>
      <c r="D15" s="93"/>
      <c r="E15" s="93">
        <v>10</v>
      </c>
      <c r="F15" s="397"/>
      <c r="G15" s="93" t="str">
        <f>IF(AND(COUNT(F13:F16)=2,F15=MAX(F13:F16),COUNT(C15:F15)=3),A12&amp;"2",IF(AND(COUNT(E13:E16)=2,E15=MIN(E13:E16),D15="",F15=""),A12&amp;"4",IF(AND(COUNT(D13:D16)=2,D15=MAX(D13:D16),E15="",F15=""),A12&amp;"1",IF(COUNT(F13:F16)=2,A12&amp;"3",""))))</f>
        <v>B4</v>
      </c>
    </row>
    <row r="16" spans="1:7" x14ac:dyDescent="0.2">
      <c r="A16" s="187">
        <v>4</v>
      </c>
      <c r="B16" s="244" t="s">
        <v>188</v>
      </c>
      <c r="C16" s="225">
        <v>9</v>
      </c>
      <c r="D16" s="225"/>
      <c r="E16" s="93">
        <v>13</v>
      </c>
      <c r="F16" s="397">
        <v>13</v>
      </c>
      <c r="G16" s="93" t="str">
        <f>IF(AND(COUNT(F13:F16)=2,F16=MAX(F13:F16),COUNT(C16:F16)=3),A12&amp;"2",IF(AND(COUNT(E13:E16)=2,E16=MIN(E13:E16),D16="",F16=""),A12&amp;"4",IF(AND(COUNT(D13:D16)=2,D16=MAX(D13:D16),E16="",F16=""),A12&amp;"1",IF(COUNT(F13:F16)=2,A12&amp;"3",""))))</f>
        <v>B2</v>
      </c>
    </row>
    <row r="17" spans="1:9" x14ac:dyDescent="0.2">
      <c r="A17" s="188"/>
      <c r="B17" s="188"/>
      <c r="C17" s="188"/>
      <c r="D17" s="188"/>
      <c r="E17" s="188"/>
      <c r="F17" s="188"/>
      <c r="G17" s="188"/>
      <c r="H17" s="188"/>
      <c r="I17" s="188"/>
    </row>
    <row r="18" spans="1:9" x14ac:dyDescent="0.2">
      <c r="A18" s="100" t="s">
        <v>60</v>
      </c>
      <c r="B18" s="101"/>
      <c r="C18" s="101"/>
      <c r="D18" s="101"/>
      <c r="E18" s="101"/>
      <c r="F18" s="101"/>
      <c r="G18" s="101"/>
      <c r="H18" s="101"/>
    </row>
    <row r="19" spans="1:9" x14ac:dyDescent="0.2">
      <c r="A19" s="100"/>
      <c r="B19" s="101"/>
      <c r="C19" s="101"/>
      <c r="D19" s="101"/>
      <c r="E19" s="101"/>
      <c r="F19" s="101"/>
      <c r="G19" s="101"/>
      <c r="H19" s="101"/>
    </row>
    <row r="20" spans="1:9" x14ac:dyDescent="0.2">
      <c r="A20" s="106" t="s">
        <v>84</v>
      </c>
      <c r="B20" s="399" t="str">
        <f>IFERROR(INDEX(B$7:B$16,MATCH(A20,G$7:G$16,0)),"")</f>
        <v>Boriss Klubov, Elmo Lageda, Jaan Sepp</v>
      </c>
      <c r="C20" s="120">
        <v>9</v>
      </c>
      <c r="D20" s="120"/>
      <c r="E20" s="120"/>
    </row>
    <row r="21" spans="1:9" x14ac:dyDescent="0.2">
      <c r="A21" s="107"/>
      <c r="B21" s="219"/>
      <c r="C21" s="400" t="str">
        <f>IF(COUNT(C20,C22)=2,IF(C20&gt;C22,B20,B22),"")</f>
        <v>Janek Tarto, Lemmit Toomra, Romek Tarto</v>
      </c>
      <c r="E21" s="120">
        <v>13</v>
      </c>
    </row>
    <row r="22" spans="1:9" x14ac:dyDescent="0.2">
      <c r="A22" s="107" t="s">
        <v>71</v>
      </c>
      <c r="B22" s="401" t="str">
        <f>IFERROR(INDEX(B$7:B$16,MATCH(A22,G$7:G$16,0)),"")</f>
        <v>Janek Tarto, Lemmit Toomra, Romek Tarto</v>
      </c>
      <c r="C22" s="110">
        <v>13</v>
      </c>
      <c r="D22" s="220"/>
      <c r="E22" s="120"/>
    </row>
    <row r="23" spans="1:9" ht="13.5" thickBot="1" x14ac:dyDescent="0.25">
      <c r="B23" s="120"/>
      <c r="C23" s="113"/>
      <c r="D23" s="221"/>
      <c r="E23" s="120"/>
      <c r="F23" s="184" t="str">
        <f>IF(COUNT(E21,E25)=2,IF(E21&gt;E25,C21,C25),"")</f>
        <v>Janek Tarto, Lemmit Toomra, Romek Tarto</v>
      </c>
    </row>
    <row r="24" spans="1:9" x14ac:dyDescent="0.2">
      <c r="A24" s="107" t="s">
        <v>76</v>
      </c>
      <c r="B24" s="399" t="str">
        <f>IFERROR(INDEX(B$7:B$16,MATCH(A24,G$7:G$16,0)),"")</f>
        <v>Argo Sepp, Ljudmila Varendi, Viktor Švarõgin</v>
      </c>
      <c r="C24" s="120">
        <v>13</v>
      </c>
      <c r="D24" s="221"/>
      <c r="E24" s="222"/>
      <c r="F24" s="379" t="s">
        <v>275</v>
      </c>
      <c r="G24" s="378"/>
    </row>
    <row r="25" spans="1:9" x14ac:dyDescent="0.2">
      <c r="A25" s="107"/>
      <c r="B25" s="219"/>
      <c r="C25" s="400" t="str">
        <f>IF(COUNT(C24,C26)=2,IF(C24&gt;C26,B24,B26),"")</f>
        <v>Argo Sepp, Ljudmila Varendi, Viktor Švarõgin</v>
      </c>
      <c r="D25" s="377"/>
      <c r="E25" s="110">
        <v>10</v>
      </c>
    </row>
    <row r="26" spans="1:9" ht="13.5" thickBot="1" x14ac:dyDescent="0.25">
      <c r="A26" s="107" t="s">
        <v>86</v>
      </c>
      <c r="B26" s="401" t="str">
        <f>IFERROR(INDEX(B$7:B$16,MATCH(A26,G$7:G$16,0)),"")</f>
        <v>Ivar Viljaste, Kristo Viljaste, Sirje Viljaste</v>
      </c>
      <c r="C26" s="110">
        <v>11</v>
      </c>
      <c r="D26" s="120"/>
      <c r="E26" s="113"/>
      <c r="F26" s="184" t="str">
        <f>IF(COUNT(E21,E25)=2,IF(E21&lt;E25,C21,C25),"")</f>
        <v>Argo Sepp, Ljudmila Varendi, Viktor Švarõgin</v>
      </c>
      <c r="G26" s="119"/>
    </row>
    <row r="27" spans="1:9" x14ac:dyDescent="0.2">
      <c r="A27" s="87"/>
      <c r="B27" s="120"/>
      <c r="C27" s="120"/>
      <c r="D27" s="120"/>
      <c r="E27" s="113"/>
      <c r="F27" s="379" t="s">
        <v>276</v>
      </c>
      <c r="G27" s="99"/>
    </row>
    <row r="28" spans="1:9" x14ac:dyDescent="0.2">
      <c r="A28" s="87"/>
      <c r="B28" s="120"/>
      <c r="C28" s="217" t="str">
        <f>IF(COUNT(C20,C22)=2,IF(C20&lt;C22,B20,B22),"")</f>
        <v>Boriss Klubov, Elmo Lageda, Jaan Sepp</v>
      </c>
      <c r="E28" s="120">
        <v>13</v>
      </c>
      <c r="F28" s="99"/>
      <c r="G28" s="99"/>
    </row>
    <row r="29" spans="1:9" ht="13.5" thickBot="1" x14ac:dyDescent="0.25">
      <c r="A29" s="87"/>
      <c r="B29" s="120"/>
      <c r="C29" s="108"/>
      <c r="D29" s="111"/>
      <c r="E29" s="119"/>
      <c r="F29" s="184" t="str">
        <f>IF(COUNT(E28,E30)=2,IF(E28&gt;E30,C28,C30),"")</f>
        <v>Boriss Klubov, Elmo Lageda, Jaan Sepp</v>
      </c>
      <c r="G29" s="119"/>
    </row>
    <row r="30" spans="1:9" x14ac:dyDescent="0.2">
      <c r="A30" s="87"/>
      <c r="B30" s="120"/>
      <c r="C30" s="399" t="str">
        <f>IF(COUNT(C24,C26)=2,IF(C24&lt;C26,B24,B26),"")</f>
        <v>Ivar Viljaste, Kristo Viljaste, Sirje Viljaste</v>
      </c>
      <c r="D30" s="377"/>
      <c r="E30" s="110">
        <v>8</v>
      </c>
      <c r="F30" s="121" t="s">
        <v>277</v>
      </c>
      <c r="G30" s="99"/>
    </row>
    <row r="31" spans="1:9" x14ac:dyDescent="0.2">
      <c r="A31" s="87"/>
      <c r="B31" s="88"/>
      <c r="F31" s="99"/>
      <c r="G31" s="99"/>
    </row>
    <row r="32" spans="1:9" ht="13.5" thickBot="1" x14ac:dyDescent="0.25">
      <c r="A32" s="87"/>
      <c r="B32" s="88"/>
      <c r="C32" s="99"/>
      <c r="D32" s="99"/>
      <c r="F32" s="119" t="str">
        <f>IF(COUNT(E28,E30)=2,IF(E28&lt;E30,C28,C30),"")</f>
        <v>Ivar Viljaste, Kristo Viljaste, Sirje Viljaste</v>
      </c>
      <c r="G32" s="119"/>
    </row>
    <row r="33" spans="1:8" x14ac:dyDescent="0.2">
      <c r="A33" s="87"/>
      <c r="B33" s="97"/>
      <c r="C33" s="97"/>
      <c r="D33" s="97"/>
      <c r="E33" s="402"/>
      <c r="F33" s="379" t="s">
        <v>50</v>
      </c>
      <c r="G33" s="188"/>
    </row>
    <row r="34" spans="1:8" x14ac:dyDescent="0.2">
      <c r="A34" s="101"/>
      <c r="B34" s="101"/>
      <c r="C34" s="101"/>
      <c r="E34" s="101"/>
      <c r="F34" s="101"/>
      <c r="G34" s="101"/>
    </row>
    <row r="35" spans="1:8" x14ac:dyDescent="0.2">
      <c r="A35" s="100" t="s">
        <v>61</v>
      </c>
      <c r="B35" s="101"/>
      <c r="C35" s="101"/>
      <c r="E35" s="101"/>
      <c r="F35" s="101"/>
      <c r="G35" s="101"/>
    </row>
    <row r="36" spans="1:8" x14ac:dyDescent="0.2">
      <c r="A36" s="101"/>
      <c r="B36" s="101"/>
      <c r="C36" s="101"/>
      <c r="E36" s="101"/>
      <c r="F36" s="101"/>
      <c r="G36" s="101"/>
      <c r="H36" s="101"/>
    </row>
    <row r="37" spans="1:8" x14ac:dyDescent="0.2">
      <c r="A37" s="106" t="s">
        <v>95</v>
      </c>
      <c r="B37" s="399" t="str">
        <f>IFERROR(INDEX(B$7:B$16,MATCH(A37,G$7:G$16,0)),"")</f>
        <v>Aarne Välja, Andres Veski, Svetlana Veski</v>
      </c>
      <c r="C37" s="120">
        <v>13</v>
      </c>
      <c r="D37" s="120"/>
      <c r="E37" s="120"/>
    </row>
    <row r="38" spans="1:8" x14ac:dyDescent="0.2">
      <c r="A38" s="107"/>
      <c r="B38" s="219"/>
      <c r="C38" s="400" t="str">
        <f>IF(COUNT(C37,C39)=2,IF(C37&gt;C39,B37,B39),"")</f>
        <v>Aarne Välja, Andres Veski, Svetlana Veski</v>
      </c>
      <c r="E38" s="120">
        <v>3</v>
      </c>
    </row>
    <row r="39" spans="1:8" x14ac:dyDescent="0.2">
      <c r="A39" s="107" t="s">
        <v>94</v>
      </c>
      <c r="B39" s="401" t="str">
        <f>IFERROR(INDEX(B$7:B$16,MATCH(A39,G$7:G$16,0)),"")</f>
        <v>Klavdia Piik, Tõnu Piik, Ülo Piik</v>
      </c>
      <c r="C39" s="110">
        <v>10</v>
      </c>
      <c r="D39" s="220"/>
      <c r="E39" s="120"/>
    </row>
    <row r="40" spans="1:8" ht="13.5" thickBot="1" x14ac:dyDescent="0.25">
      <c r="A40" s="107"/>
      <c r="B40" s="120"/>
      <c r="C40" s="113"/>
      <c r="D40" s="221"/>
      <c r="E40" s="120"/>
      <c r="F40" s="184" t="str">
        <f>IF(COUNT(E38,E42)=2,IF(E38&gt;E42,C38,C42),"")</f>
        <v>Mait Metsla, Matti Vinni, Oskar Sepp</v>
      </c>
    </row>
    <row r="41" spans="1:8" x14ac:dyDescent="0.2">
      <c r="A41" s="107" t="s">
        <v>93</v>
      </c>
      <c r="B41" s="399" t="str">
        <f>IFERROR(INDEX(B$7:B$16,MATCH(A41,G$7:G$16,0)),"")</f>
        <v>Karla Purgats, Tõnu Kapper, Vladimir Ogneštšikov</v>
      </c>
      <c r="C41" s="120">
        <v>10</v>
      </c>
      <c r="D41" s="221"/>
      <c r="E41" s="222"/>
      <c r="F41" s="379" t="s">
        <v>51</v>
      </c>
      <c r="G41" s="378"/>
    </row>
    <row r="42" spans="1:8" x14ac:dyDescent="0.2">
      <c r="A42" s="107"/>
      <c r="B42" s="219"/>
      <c r="C42" s="400" t="str">
        <f>IF(COUNT(C41,C43)=2,IF(C41&gt;C43,B41,B43),"")</f>
        <v>Mait Metsla, Matti Vinni, Oskar Sepp</v>
      </c>
      <c r="D42" s="377"/>
      <c r="E42" s="110">
        <v>13</v>
      </c>
    </row>
    <row r="43" spans="1:8" ht="13.5" thickBot="1" x14ac:dyDescent="0.25">
      <c r="A43" s="107" t="s">
        <v>189</v>
      </c>
      <c r="B43" s="401" t="str">
        <f>IFERROR(INDEX(B$7:B$16,MATCH(A43,G$7:G$16,0)),"")</f>
        <v>Mait Metsla, Matti Vinni, Oskar Sepp</v>
      </c>
      <c r="C43" s="110">
        <v>13</v>
      </c>
      <c r="D43" s="120"/>
      <c r="E43" s="113"/>
      <c r="F43" s="184" t="str">
        <f>IF(COUNT(E38,E42)=2,IF(E38&lt;E42,C38,C42),"")</f>
        <v>Aarne Välja, Andres Veski, Svetlana Veski</v>
      </c>
      <c r="G43" s="119"/>
    </row>
    <row r="44" spans="1:8" x14ac:dyDescent="0.2">
      <c r="B44" s="120"/>
      <c r="C44" s="120"/>
      <c r="D44" s="120"/>
      <c r="E44" s="113"/>
      <c r="F44" s="379" t="s">
        <v>52</v>
      </c>
      <c r="G44" s="99"/>
    </row>
    <row r="45" spans="1:8" x14ac:dyDescent="0.2">
      <c r="B45" s="120"/>
      <c r="C45" s="217" t="str">
        <f>IF(COUNT(C37,C39)=2,IF(C37&lt;C39,B37,B39),"")</f>
        <v>Klavdia Piik, Tõnu Piik, Ülo Piik</v>
      </c>
      <c r="E45" s="120">
        <v>13</v>
      </c>
      <c r="F45" s="99"/>
      <c r="G45" s="99"/>
    </row>
    <row r="46" spans="1:8" ht="13.5" thickBot="1" x14ac:dyDescent="0.25">
      <c r="B46" s="120"/>
      <c r="C46" s="108"/>
      <c r="D46" s="111"/>
      <c r="E46" s="119"/>
      <c r="F46" s="184" t="str">
        <f>IF(COUNT(E45,E47)=2,IF(E45&gt;E47,C45,C47),"")</f>
        <v>Klavdia Piik, Tõnu Piik, Ülo Piik</v>
      </c>
      <c r="G46" s="119"/>
    </row>
    <row r="47" spans="1:8" x14ac:dyDescent="0.2">
      <c r="B47" s="120"/>
      <c r="C47" s="399" t="str">
        <f>IF(COUNT(C41,C43)=2,IF(C41&lt;C43,B41,B43),"")</f>
        <v>Karla Purgats, Tõnu Kapper, Vladimir Ogneštšikov</v>
      </c>
      <c r="D47" s="377"/>
      <c r="E47" s="110">
        <v>0</v>
      </c>
      <c r="F47" s="121" t="s">
        <v>53</v>
      </c>
      <c r="G47" s="99"/>
    </row>
    <row r="48" spans="1:8" x14ac:dyDescent="0.2">
      <c r="B48" s="88"/>
      <c r="F48" s="99"/>
      <c r="G48" s="99"/>
    </row>
    <row r="49" spans="2:8" ht="13.5" thickBot="1" x14ac:dyDescent="0.25">
      <c r="B49" s="88"/>
      <c r="C49" s="99"/>
      <c r="D49" s="99"/>
      <c r="F49" s="119" t="str">
        <f>IF(COUNT(E45,E47)=2,IF(E45&lt;E47,C45,C47),"")</f>
        <v>Karla Purgats, Tõnu Kapper, Vladimir Ogneštšikov</v>
      </c>
      <c r="G49" s="119"/>
    </row>
    <row r="50" spans="2:8" x14ac:dyDescent="0.2">
      <c r="B50" s="97"/>
      <c r="C50" s="97"/>
      <c r="D50" s="97"/>
      <c r="E50" s="402"/>
      <c r="F50" s="379" t="s">
        <v>54</v>
      </c>
      <c r="G50" s="188"/>
    </row>
    <row r="51" spans="2:8" x14ac:dyDescent="0.2">
      <c r="D51" s="101"/>
      <c r="E51" s="101"/>
      <c r="F51" s="188"/>
      <c r="G51" s="188"/>
      <c r="H51" s="188"/>
    </row>
    <row r="52" spans="2:8" hidden="1" x14ac:dyDescent="0.2">
      <c r="D52" s="188"/>
      <c r="E52" s="188"/>
      <c r="F52" s="188"/>
      <c r="G52" s="188"/>
      <c r="H52" s="188"/>
    </row>
    <row r="53" spans="2:8" hidden="1" x14ac:dyDescent="0.2">
      <c r="D53" s="188"/>
      <c r="E53" s="188"/>
      <c r="F53" s="188"/>
      <c r="G53" s="188"/>
      <c r="H53" s="188"/>
    </row>
    <row r="54" spans="2:8" hidden="1" x14ac:dyDescent="0.2">
      <c r="D54" s="188"/>
      <c r="E54" s="188"/>
      <c r="F54" s="188"/>
      <c r="G54" s="188"/>
      <c r="H54" s="188"/>
    </row>
    <row r="55" spans="2:8" hidden="1" x14ac:dyDescent="0.2">
      <c r="D55" s="188"/>
      <c r="E55" s="188"/>
      <c r="F55" s="188"/>
      <c r="G55" s="188"/>
      <c r="H55" s="188"/>
    </row>
    <row r="56" spans="2:8" hidden="1" x14ac:dyDescent="0.2">
      <c r="D56" s="188"/>
      <c r="E56" s="188"/>
      <c r="F56" s="188"/>
      <c r="G56" s="188"/>
      <c r="H56" s="188"/>
    </row>
    <row r="57" spans="2:8" hidden="1" x14ac:dyDescent="0.2">
      <c r="D57" s="188"/>
      <c r="E57" s="188"/>
      <c r="F57" s="188"/>
      <c r="G57" s="188"/>
      <c r="H57" s="188"/>
    </row>
    <row r="58" spans="2:8" hidden="1" x14ac:dyDescent="0.2">
      <c r="D58" s="188"/>
      <c r="E58" s="188"/>
      <c r="F58" s="188"/>
      <c r="G58" s="188"/>
      <c r="H58" s="188"/>
    </row>
    <row r="59" spans="2:8" hidden="1" x14ac:dyDescent="0.2">
      <c r="D59" s="188"/>
      <c r="E59" s="188"/>
      <c r="F59" s="188"/>
      <c r="G59" s="188"/>
      <c r="H59" s="188"/>
    </row>
    <row r="60" spans="2:8" hidden="1" x14ac:dyDescent="0.2"/>
    <row r="61" spans="2:8" hidden="1" x14ac:dyDescent="0.2"/>
    <row r="62" spans="2:8" hidden="1" x14ac:dyDescent="0.2"/>
    <row r="63" spans="2:8" hidden="1" x14ac:dyDescent="0.2"/>
    <row r="64" spans="2:8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spans="1:3" hidden="1" x14ac:dyDescent="0.2"/>
    <row r="290" spans="1:3" hidden="1" x14ac:dyDescent="0.2"/>
    <row r="291" spans="1:3" hidden="1" x14ac:dyDescent="0.2"/>
    <row r="292" spans="1:3" hidden="1" x14ac:dyDescent="0.2"/>
    <row r="293" spans="1:3" hidden="1" x14ac:dyDescent="0.2"/>
    <row r="294" spans="1:3" hidden="1" x14ac:dyDescent="0.2"/>
    <row r="295" spans="1:3" hidden="1" x14ac:dyDescent="0.2"/>
    <row r="296" spans="1:3" hidden="1" x14ac:dyDescent="0.2"/>
    <row r="297" spans="1:3" hidden="1" x14ac:dyDescent="0.2"/>
    <row r="298" spans="1:3" hidden="1" x14ac:dyDescent="0.2"/>
    <row r="299" spans="1:3" x14ac:dyDescent="0.2">
      <c r="A299" s="101"/>
      <c r="B299" s="101"/>
      <c r="C299" s="130" t="s">
        <v>263</v>
      </c>
    </row>
    <row r="300" spans="1:3" x14ac:dyDescent="0.2">
      <c r="A300" s="187">
        <v>1</v>
      </c>
      <c r="B300" s="201" t="str">
        <f t="shared" ref="B300:B307" si="0">IFERROR(INDEX(F$23:F$49,MATCH(A300&amp;". koht",F$24:F$50,0)),"")</f>
        <v>Janek Tarto, Lemmit Toomra, Romek Tarto</v>
      </c>
      <c r="C300" s="188">
        <v>40</v>
      </c>
    </row>
    <row r="301" spans="1:3" x14ac:dyDescent="0.2">
      <c r="A301" s="187">
        <v>2</v>
      </c>
      <c r="B301" s="191" t="str">
        <f t="shared" si="0"/>
        <v>Argo Sepp, Ljudmila Varendi, Viktor Švarõgin</v>
      </c>
      <c r="C301" s="188">
        <v>34</v>
      </c>
    </row>
    <row r="302" spans="1:3" x14ac:dyDescent="0.2">
      <c r="A302" s="187">
        <v>3</v>
      </c>
      <c r="B302" s="191" t="str">
        <f t="shared" si="0"/>
        <v>Boriss Klubov, Elmo Lageda, Jaan Sepp</v>
      </c>
      <c r="C302" s="188">
        <v>30</v>
      </c>
    </row>
    <row r="303" spans="1:3" x14ac:dyDescent="0.2">
      <c r="A303" s="187">
        <v>4</v>
      </c>
      <c r="B303" s="191" t="str">
        <f t="shared" si="0"/>
        <v>Ivar Viljaste, Kristo Viljaste, Sirje Viljaste</v>
      </c>
      <c r="C303" s="188">
        <v>26</v>
      </c>
    </row>
    <row r="304" spans="1:3" x14ac:dyDescent="0.2">
      <c r="A304" s="187">
        <v>5</v>
      </c>
      <c r="B304" s="191" t="str">
        <f t="shared" si="0"/>
        <v>Mait Metsla, Matti Vinni, Oskar Sepp</v>
      </c>
      <c r="C304" s="188">
        <v>24</v>
      </c>
    </row>
    <row r="305" spans="1:3" x14ac:dyDescent="0.2">
      <c r="A305" s="187">
        <v>6</v>
      </c>
      <c r="B305" s="191" t="str">
        <f t="shared" si="0"/>
        <v>Aarne Välja, Andres Veski, Svetlana Veski</v>
      </c>
      <c r="C305" s="188">
        <v>22</v>
      </c>
    </row>
    <row r="306" spans="1:3" x14ac:dyDescent="0.2">
      <c r="A306" s="187">
        <v>7</v>
      </c>
      <c r="B306" s="191" t="str">
        <f t="shared" si="0"/>
        <v>Klavdia Piik, Tõnu Piik, Ülo Piik</v>
      </c>
      <c r="C306" s="188">
        <v>20</v>
      </c>
    </row>
    <row r="307" spans="1:3" x14ac:dyDescent="0.2">
      <c r="A307" s="187">
        <v>8</v>
      </c>
      <c r="B307" s="191" t="str">
        <f t="shared" si="0"/>
        <v>Karla Purgats, Tõnu Kapper, Vladimir Ogneštšikov</v>
      </c>
      <c r="C307" s="188">
        <v>18</v>
      </c>
    </row>
  </sheetData>
  <conditionalFormatting sqref="B10">
    <cfRule type="duplicateValues" dxfId="2196" priority="136" stopIfTrue="1"/>
  </conditionalFormatting>
  <conditionalFormatting sqref="G7:G10">
    <cfRule type="containsText" dxfId="2195" priority="107" operator="containsText" text="2">
      <formula>NOT(ISERROR(SEARCH("2",G7)))</formula>
    </cfRule>
    <cfRule type="containsText" dxfId="2194" priority="108" operator="containsText" text="1">
      <formula>NOT(ISERROR(SEARCH("1",G7)))</formula>
    </cfRule>
  </conditionalFormatting>
  <conditionalFormatting sqref="G10">
    <cfRule type="expression" dxfId="2193" priority="106">
      <formula>B10="-"</formula>
    </cfRule>
  </conditionalFormatting>
  <conditionalFormatting sqref="C7 C10">
    <cfRule type="aboveAverage" dxfId="2192" priority="104"/>
  </conditionalFormatting>
  <conditionalFormatting sqref="C8:C9">
    <cfRule type="aboveAverage" dxfId="2191" priority="103"/>
  </conditionalFormatting>
  <conditionalFormatting sqref="G13:G16">
    <cfRule type="containsText" dxfId="2190" priority="82" operator="containsText" text="2">
      <formula>NOT(ISERROR(SEARCH("2",G13)))</formula>
    </cfRule>
    <cfRule type="containsText" dxfId="2189" priority="83" operator="containsText" text="1">
      <formula>NOT(ISERROR(SEARCH("1",G13)))</formula>
    </cfRule>
  </conditionalFormatting>
  <conditionalFormatting sqref="G16">
    <cfRule type="expression" dxfId="2188" priority="81">
      <formula>B16="-"</formula>
    </cfRule>
  </conditionalFormatting>
  <conditionalFormatting sqref="C13 C16">
    <cfRule type="aboveAverage" dxfId="2187" priority="79"/>
  </conditionalFormatting>
  <conditionalFormatting sqref="C14:C15">
    <cfRule type="aboveAverage" dxfId="2186" priority="78"/>
  </conditionalFormatting>
  <conditionalFormatting sqref="C20 C22">
    <cfRule type="aboveAverage" dxfId="2185" priority="73"/>
  </conditionalFormatting>
  <conditionalFormatting sqref="C24 C26">
    <cfRule type="aboveAverage" dxfId="2184" priority="72"/>
  </conditionalFormatting>
  <conditionalFormatting sqref="E21 E25">
    <cfRule type="aboveAverage" dxfId="2183" priority="71"/>
  </conditionalFormatting>
  <conditionalFormatting sqref="E28 E30">
    <cfRule type="aboveAverage" dxfId="2182" priority="70"/>
  </conditionalFormatting>
  <conditionalFormatting sqref="C20 C22 C24 C26 E21 E25 E28 E30">
    <cfRule type="containsBlanks" dxfId="2181" priority="69">
      <formula>LEN(TRIM(C20))=0</formula>
    </cfRule>
  </conditionalFormatting>
  <conditionalFormatting sqref="C37 C39">
    <cfRule type="aboveAverage" dxfId="2180" priority="68"/>
  </conditionalFormatting>
  <conditionalFormatting sqref="C41 C43">
    <cfRule type="aboveAverage" dxfId="2179" priority="67"/>
  </conditionalFormatting>
  <conditionalFormatting sqref="E38 E42">
    <cfRule type="aboveAverage" dxfId="2178" priority="66"/>
  </conditionalFormatting>
  <conditionalFormatting sqref="E45 E47">
    <cfRule type="aboveAverage" dxfId="2177" priority="65"/>
  </conditionalFormatting>
  <conditionalFormatting sqref="C37 C39 C41 C43 E38 E42 E45 E47">
    <cfRule type="containsBlanks" dxfId="2176" priority="64">
      <formula>LEN(TRIM(C37))=0</formula>
    </cfRule>
  </conditionalFormatting>
  <conditionalFormatting sqref="B300:B307">
    <cfRule type="containsBlanks" dxfId="2175" priority="62">
      <formula>LEN(TRIM(B300))=0</formula>
    </cfRule>
    <cfRule type="duplicateValues" dxfId="2174" priority="63"/>
  </conditionalFormatting>
  <conditionalFormatting sqref="A20:A26">
    <cfRule type="cellIs" dxfId="2173" priority="60" operator="equal">
      <formula>"-"</formula>
    </cfRule>
    <cfRule type="duplicateValues" dxfId="2172" priority="61"/>
  </conditionalFormatting>
  <conditionalFormatting sqref="A37:A43">
    <cfRule type="cellIs" dxfId="2171" priority="58" operator="equal">
      <formula>"-"</formula>
    </cfRule>
    <cfRule type="duplicateValues" dxfId="2170" priority="59"/>
  </conditionalFormatting>
  <conditionalFormatting sqref="E10">
    <cfRule type="expression" dxfId="2169" priority="38">
      <formula>AND(COUNT(E7:E10)&lt;2,IF(ISNUMBER(C10),C7&gt;C10))</formula>
    </cfRule>
  </conditionalFormatting>
  <conditionalFormatting sqref="E7">
    <cfRule type="expression" dxfId="2168" priority="37">
      <formula>AND(COUNT(E7:E10)&lt;2,IF(ISNUMBER(C7),C10&gt;C7))</formula>
    </cfRule>
  </conditionalFormatting>
  <conditionalFormatting sqref="E8">
    <cfRule type="expression" dxfId="2167" priority="36">
      <formula>AND(COUNT(E7:E10)&lt;2,IF(ISNUMBER(C8),C9&gt;C8))</formula>
    </cfRule>
  </conditionalFormatting>
  <conditionalFormatting sqref="E9">
    <cfRule type="expression" dxfId="2166" priority="35">
      <formula>AND(COUNT(E7:E10)&lt;2,IF(ISNUMBER(C9),C8&gt;C9))</formula>
    </cfRule>
  </conditionalFormatting>
  <conditionalFormatting sqref="E7:E10">
    <cfRule type="aboveAverage" dxfId="2165" priority="34"/>
  </conditionalFormatting>
  <conditionalFormatting sqref="F7">
    <cfRule type="expression" dxfId="2164" priority="29">
      <formula>AND(COUNT(F7:F10)&lt;2,IF(COUNT(E7:E10)=2,IF(AND(ISNUMBER(E7),COUNTIF(E7:E10,E7)=1,E7=MAX(E7:E10)),TRUE,FALSE)))</formula>
    </cfRule>
    <cfRule type="expression" dxfId="2163" priority="33">
      <formula>AND(COUNT(F7:F10)&lt;2,IF(COUNT(D7:D10)=2,IF(AND(ISNUMBER(D7),COUNTIF(D7:D10,D7)=1,D7=MIN(D7:D10)),TRUE,FALSE)))</formula>
    </cfRule>
  </conditionalFormatting>
  <conditionalFormatting sqref="F8">
    <cfRule type="expression" dxfId="2162" priority="28">
      <formula>AND(COUNT(F7:F10)&lt;2,IF(COUNT(E7:E10)=2,IF(AND(ISNUMBER(E8),COUNTIF(E7:E10,E8)=1,E8=MAX(E7:E10)),TRUE,FALSE)))</formula>
    </cfRule>
    <cfRule type="expression" dxfId="2161" priority="32">
      <formula>AND(COUNT(F7:F10)&lt;2,IF(COUNT(D7:D10)=2,IF(AND(ISNUMBER(D8),COUNTIF(D7:D10,D8)=1,D8=MIN(D7:D10)),TRUE,FALSE)))</formula>
    </cfRule>
  </conditionalFormatting>
  <conditionalFormatting sqref="F9">
    <cfRule type="expression" dxfId="2160" priority="27">
      <formula>AND(COUNT(F7:F10)&lt;2,IF(COUNT(E7:E10)=2,IF(AND(ISNUMBER(E9),COUNTIF(E7:E10,E9)=1,E9=MAX(E7:E10)),TRUE,FALSE)))</formula>
    </cfRule>
    <cfRule type="expression" dxfId="2159" priority="31">
      <formula>AND(COUNT(F7:F10)&lt;2,IF(COUNT(D7:D10)=2,IF(AND(ISNUMBER(D9),COUNTIF(D7:D10,D9)=1,D9=MIN(D7:D10)),TRUE,FALSE)))</formula>
    </cfRule>
  </conditionalFormatting>
  <conditionalFormatting sqref="F10">
    <cfRule type="expression" dxfId="2158" priority="26">
      <formula>AND(COUNT(F7:F10)&lt;2,IF(COUNT(E7:E10)=2,IF(AND(ISNUMBER(E10),COUNTIF(E7:E10,E10)=1,E10=MAX(E7:E10)),TRUE,FALSE)))</formula>
    </cfRule>
    <cfRule type="expression" dxfId="2157" priority="30">
      <formula>AND(COUNT(F7:F10)&lt;2,IF(COUNT(D7:D10)=2,IF(AND(ISNUMBER(D10),COUNTIF(D7:D10,D10)=1,D10=MIN(D7:D10)),TRUE,FALSE)))</formula>
    </cfRule>
  </conditionalFormatting>
  <conditionalFormatting sqref="F7:F10">
    <cfRule type="aboveAverage" dxfId="2156" priority="25"/>
  </conditionalFormatting>
  <conditionalFormatting sqref="D7">
    <cfRule type="expression" dxfId="2155" priority="24">
      <formula>AND(COUNT(D7:D10)&lt;2,IF(ISNUMBER(C10),C7&gt;C10))</formula>
    </cfRule>
  </conditionalFormatting>
  <conditionalFormatting sqref="D8">
    <cfRule type="expression" dxfId="2154" priority="23">
      <formula>AND(COUNT(D7:D10)&lt;2,IF(ISNUMBER(C9),C8&gt;C9))</formula>
    </cfRule>
  </conditionalFormatting>
  <conditionalFormatting sqref="D9">
    <cfRule type="expression" dxfId="2153" priority="22">
      <formula>AND(COUNT(D7:D10)&lt;2,IF(ISNUMBER(C8),C9&gt;C8))</formula>
    </cfRule>
  </conditionalFormatting>
  <conditionalFormatting sqref="D10">
    <cfRule type="expression" dxfId="2152" priority="21">
      <formula>AND(COUNT(D7:D10)&lt;2,IF(ISNUMBER(C7),C10&gt;C7))</formula>
    </cfRule>
  </conditionalFormatting>
  <conditionalFormatting sqref="D7:D10">
    <cfRule type="aboveAverage" dxfId="2151" priority="20"/>
  </conditionalFormatting>
  <conditionalFormatting sqref="E16">
    <cfRule type="expression" dxfId="2150" priority="19">
      <formula>AND(COUNT(E13:E16)&lt;2,IF(ISNUMBER(C16),C13&gt;C16))</formula>
    </cfRule>
  </conditionalFormatting>
  <conditionalFormatting sqref="E13">
    <cfRule type="expression" dxfId="2149" priority="18">
      <formula>AND(COUNT(E13:E16)&lt;2,IF(ISNUMBER(C13),C16&gt;C13))</formula>
    </cfRule>
  </conditionalFormatting>
  <conditionalFormatting sqref="E14">
    <cfRule type="expression" dxfId="2148" priority="17">
      <formula>AND(COUNT(E13:E16)&lt;2,IF(ISNUMBER(C14),C15&gt;C14))</formula>
    </cfRule>
  </conditionalFormatting>
  <conditionalFormatting sqref="E15">
    <cfRule type="expression" dxfId="2147" priority="16">
      <formula>AND(COUNT(E13:E16)&lt;2,IF(ISNUMBER(C15),C14&gt;C15))</formula>
    </cfRule>
  </conditionalFormatting>
  <conditionalFormatting sqref="E13:E16">
    <cfRule type="aboveAverage" dxfId="2146" priority="15"/>
  </conditionalFormatting>
  <conditionalFormatting sqref="F13">
    <cfRule type="expression" dxfId="2145" priority="10">
      <formula>AND(COUNT(F13:F16)&lt;2,IF(COUNT(E13:E16)=2,IF(AND(ISNUMBER(E13),COUNTIF(E13:E16,E13)=1,E13=MAX(E13:E16)),TRUE,FALSE)))</formula>
    </cfRule>
    <cfRule type="expression" dxfId="2144" priority="14">
      <formula>AND(COUNT(F13:F16)&lt;2,IF(COUNT(D13:D16)=2,IF(AND(ISNUMBER(D13),COUNTIF(D13:D16,D13)=1,D13=MIN(D13:D16)),TRUE,FALSE)))</formula>
    </cfRule>
  </conditionalFormatting>
  <conditionalFormatting sqref="F14">
    <cfRule type="expression" dxfId="2143" priority="9">
      <formula>AND(COUNT(F13:F16)&lt;2,IF(COUNT(E13:E16)=2,IF(AND(ISNUMBER(E14),COUNTIF(E13:E16,E14)=1,E14=MAX(E13:E16)),TRUE,FALSE)))</formula>
    </cfRule>
    <cfRule type="expression" dxfId="2142" priority="13">
      <formula>AND(COUNT(F13:F16)&lt;2,IF(COUNT(D13:D16)=2,IF(AND(ISNUMBER(D14),COUNTIF(D13:D16,D14)=1,D14=MIN(D13:D16)),TRUE,FALSE)))</formula>
    </cfRule>
  </conditionalFormatting>
  <conditionalFormatting sqref="F15">
    <cfRule type="expression" dxfId="2141" priority="8">
      <formula>AND(COUNT(F13:F16)&lt;2,IF(COUNT(E13:E16)=2,IF(AND(ISNUMBER(E15),COUNTIF(E13:E16,E15)=1,E15=MAX(E13:E16)),TRUE,FALSE)))</formula>
    </cfRule>
    <cfRule type="expression" dxfId="2140" priority="12">
      <formula>AND(COUNT(F13:F16)&lt;2,IF(COUNT(D13:D16)=2,IF(AND(ISNUMBER(D15),COUNTIF(D13:D16,D15)=1,D15=MIN(D13:D16)),TRUE,FALSE)))</formula>
    </cfRule>
  </conditionalFormatting>
  <conditionalFormatting sqref="F16">
    <cfRule type="expression" dxfId="2139" priority="7">
      <formula>AND(COUNT(F13:F16)&lt;2,IF(COUNT(E13:E16)=2,IF(AND(ISNUMBER(E16),COUNTIF(E13:E16,E16)=1,E16=MAX(E13:E16)),TRUE,FALSE)))</formula>
    </cfRule>
    <cfRule type="expression" dxfId="2138" priority="11">
      <formula>AND(COUNT(F13:F16)&lt;2,IF(COUNT(D13:D16)=2,IF(AND(ISNUMBER(D16),COUNTIF(D13:D16,D16)=1,D16=MIN(D13:D16)),TRUE,FALSE)))</formula>
    </cfRule>
  </conditionalFormatting>
  <conditionalFormatting sqref="F13:F16">
    <cfRule type="aboveAverage" dxfId="2137" priority="6"/>
  </conditionalFormatting>
  <conditionalFormatting sqref="D13">
    <cfRule type="expression" dxfId="2136" priority="5">
      <formula>AND(COUNT(D13:D16)&lt;2,IF(ISNUMBER(C16),C13&gt;C16))</formula>
    </cfRule>
  </conditionalFormatting>
  <conditionalFormatting sqref="D14">
    <cfRule type="expression" dxfId="2135" priority="4">
      <formula>AND(COUNT(D13:D16)&lt;2,IF(ISNUMBER(C15),C14&gt;C15))</formula>
    </cfRule>
  </conditionalFormatting>
  <conditionalFormatting sqref="D15">
    <cfRule type="expression" dxfId="2134" priority="3">
      <formula>AND(COUNT(D13:D16)&lt;2,IF(ISNUMBER(C14),C15&gt;C14))</formula>
    </cfRule>
  </conditionalFormatting>
  <conditionalFormatting sqref="D16">
    <cfRule type="expression" dxfId="2133" priority="2">
      <formula>AND(COUNT(D13:D16)&lt;2,IF(ISNUMBER(C13),C16&gt;C13))</formula>
    </cfRule>
  </conditionalFormatting>
  <conditionalFormatting sqref="D13:D16">
    <cfRule type="aboveAverage" dxfId="2132" priority="1"/>
  </conditionalFormatting>
  <pageMargins left="0.78740157480314965" right="0.39370078740157483" top="0.78740157480314965" bottom="0.39370078740157483" header="0.59055118110236227" footer="0"/>
  <pageSetup paperSize="9" fitToHeight="0" orientation="landscape" verticalDpi="1200" r:id="rId1"/>
  <headerFooter alignWithMargins="0">
    <oddHeader>&amp;R&amp;"Arial,Regular"&amp;9Page &amp;P of &amp;N</oddHeader>
  </headerFooter>
  <rowBreaks count="1" manualBreakCount="1">
    <brk id="3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309"/>
  <sheetViews>
    <sheetView showGridLines="0" showRowColHeaders="0" zoomScaleNormal="100" workbookViewId="0">
      <pane ySplit="2" topLeftCell="A3" activePane="bottomLeft" state="frozen"/>
      <selection activeCell="J1" sqref="J1"/>
      <selection pane="bottomLeft" activeCell="I1" sqref="I1"/>
    </sheetView>
  </sheetViews>
  <sheetFormatPr defaultRowHeight="12.75" x14ac:dyDescent="0.2"/>
  <cols>
    <col min="1" max="1" width="3.28515625" style="88" customWidth="1"/>
    <col min="2" max="2" width="29.7109375" style="87" bestFit="1" customWidth="1"/>
    <col min="3" max="3" width="7.28515625" style="88" bestFit="1" customWidth="1"/>
    <col min="4" max="4" width="7.42578125" style="88" bestFit="1" customWidth="1"/>
    <col min="5" max="5" width="9.140625" style="88" bestFit="1" customWidth="1"/>
    <col min="6" max="6" width="6.7109375" style="88" bestFit="1" customWidth="1"/>
    <col min="7" max="7" width="5.140625" style="88" bestFit="1" customWidth="1"/>
    <col min="8" max="9" width="9.140625" style="88" customWidth="1"/>
    <col min="10" max="16384" width="9.140625" style="88"/>
  </cols>
  <sheetData>
    <row r="1" spans="1:9" x14ac:dyDescent="0.2">
      <c r="A1" s="86" t="str">
        <f>UPPER((Kalend!E15)&amp;" - "&amp;(Kalend!C15)&amp;" - "&amp;(Kalend!D15))</f>
        <v>2 - SHK KV 2. ETAPP - DUO</v>
      </c>
      <c r="E1" s="51" t="str">
        <f>HYPERLINK("#'Kalend'!I1","Kalender")</f>
        <v>Kalender</v>
      </c>
      <c r="F1" s="89"/>
      <c r="G1" s="51" t="str">
        <f>HYPERLINK("#'Reit'!J1","Reiting")</f>
        <v>Reiting</v>
      </c>
      <c r="H1" s="89"/>
    </row>
    <row r="2" spans="1:9" s="89" customFormat="1" x14ac:dyDescent="0.2">
      <c r="A2" s="89" t="str">
        <f>"Toimumisaeg: "&amp;(Kalend!A15)&amp;" kell "&amp;(Kalend!B15)</f>
        <v>Toimumisaeg: P, 17.12.2017 kell 11:00</v>
      </c>
    </row>
    <row r="3" spans="1:9" s="89" customFormat="1" x14ac:dyDescent="0.2">
      <c r="A3" s="89" t="str">
        <f>"Toimumiskoht: "&amp;(Kalend!F15)</f>
        <v>Toimumiskoht: K-Järve petangihall</v>
      </c>
    </row>
    <row r="4" spans="1:9" s="89" customFormat="1" x14ac:dyDescent="0.2">
      <c r="A4" s="89" t="str">
        <f>"Korraldaja: "&amp;(Kalend!G15)</f>
        <v>Korraldaja: K-Järve SHK, Ivar Viljaste</v>
      </c>
    </row>
    <row r="6" spans="1:9" x14ac:dyDescent="0.2">
      <c r="A6" s="436" t="s">
        <v>66</v>
      </c>
      <c r="B6" s="437"/>
      <c r="C6" s="438" t="s">
        <v>313</v>
      </c>
      <c r="D6" s="436" t="s">
        <v>43</v>
      </c>
      <c r="E6" s="436" t="s">
        <v>44</v>
      </c>
      <c r="F6" s="438" t="s">
        <v>45</v>
      </c>
      <c r="G6" s="438" t="s">
        <v>46</v>
      </c>
      <c r="H6" s="139"/>
      <c r="I6" s="139"/>
    </row>
    <row r="7" spans="1:9" x14ac:dyDescent="0.2">
      <c r="A7" s="436">
        <v>1</v>
      </c>
      <c r="B7" s="439" t="s">
        <v>314</v>
      </c>
      <c r="C7" s="225">
        <f>IF(B10="-",13,"")</f>
        <v>13</v>
      </c>
      <c r="D7" s="225">
        <v>13</v>
      </c>
      <c r="E7" s="93"/>
      <c r="F7" s="397"/>
      <c r="G7" s="93" t="str">
        <f>IF(AND(COUNT(F7:F10)=2,F7=MAX(F7:F10),COUNT(C7:F7)=3),A6&amp;"2",IF(AND(COUNT(E7:E10)=2,ISNUMBER(E7),E7=MIN(E7:E10),D7="",F7=""),A6&amp;"4",IF(AND(COUNT(D7:D10)=2,D7=MAX(D7:D10),E7="",F7=""),A6&amp;"1",IF(COUNT(F7:F10)=2,A6&amp;"3",""))))</f>
        <v>A1</v>
      </c>
      <c r="H7" s="139"/>
      <c r="I7" s="139"/>
    </row>
    <row r="8" spans="1:9" x14ac:dyDescent="0.2">
      <c r="A8" s="436">
        <v>2</v>
      </c>
      <c r="B8" s="440" t="s">
        <v>320</v>
      </c>
      <c r="C8" s="398">
        <v>13</v>
      </c>
      <c r="D8" s="225">
        <v>3</v>
      </c>
      <c r="E8" s="93" t="str">
        <f>IF(AND(B10="-",ISNUMBER(C8),C8&lt;C9),13,"")</f>
        <v/>
      </c>
      <c r="F8" s="397">
        <v>7</v>
      </c>
      <c r="G8" s="93" t="str">
        <f>IF(AND(COUNT(F7:F10)=2,F8=MAX(F7:F10),COUNT(C8:F8)=3),A6&amp;"2",IF(AND(COUNT(E7:E10)=2,ISNUMBER(E8),E8=MIN(E7:E10),D8="",F8=""),A6&amp;"4",IF(AND(COUNT(D7:D10)=2,D8=MAX(D7:D10),E8="",F8=""),A6&amp;"1",IF(COUNT(F7:F10)=2,A6&amp;"3",""))))</f>
        <v>A3</v>
      </c>
      <c r="H8" s="139"/>
      <c r="I8" s="139"/>
    </row>
    <row r="9" spans="1:9" x14ac:dyDescent="0.2">
      <c r="A9" s="436">
        <v>3</v>
      </c>
      <c r="B9" s="440" t="s">
        <v>115</v>
      </c>
      <c r="C9" s="398">
        <v>10</v>
      </c>
      <c r="D9" s="93"/>
      <c r="E9" s="93">
        <f>IF(AND(B10="-",ISNUMBER(C9),C9&lt;C8),13,"")</f>
        <v>13</v>
      </c>
      <c r="F9" s="397">
        <v>13</v>
      </c>
      <c r="G9" s="93" t="str">
        <f>IF(AND(COUNT(F7:F10)=2,F9=MAX(F7:F10),COUNT(C9:F9)=3),A6&amp;"2",IF(AND(COUNT(E7:E10)=2,ISNUMBER(E9),E9=MIN(E7:E10),D9="",F9=""),A6&amp;"4",IF(AND(COUNT(D7:D10)=2,D9=MAX(D7:D10),E9="",F9=""),A6&amp;"1",IF(COUNT(F7:F10)=2,A6&amp;"3",""))))</f>
        <v>A2</v>
      </c>
      <c r="H9" s="139"/>
      <c r="I9" s="139"/>
    </row>
    <row r="10" spans="1:9" x14ac:dyDescent="0.2">
      <c r="A10" s="436">
        <v>4</v>
      </c>
      <c r="B10" s="441" t="s">
        <v>70</v>
      </c>
      <c r="C10" s="225">
        <f>IF(B10="-",0,"")</f>
        <v>0</v>
      </c>
      <c r="D10" s="225"/>
      <c r="E10" s="93">
        <f>IF(B10="-",0,"")</f>
        <v>0</v>
      </c>
      <c r="F10" s="397"/>
      <c r="G10" s="93" t="str">
        <f>IF(AND(COUNT(F7:F10)=2,F10=MAX(F7:F10),COUNT(C10:F10)=3),A6&amp;"2",IF(AND(COUNT(E7:E10)=2,ISNUMBER(E10),E10=MIN(E7:E10),D10="",F10=""),A6&amp;"4",IF(AND(COUNT(D7:D10)=2,D10=MAX(D7:D10),E10="",F10=""),A6&amp;"1",IF(COUNT(F7:F10)=2,A6&amp;"3",""))))</f>
        <v>A4</v>
      </c>
      <c r="H10" s="139"/>
      <c r="I10" s="139"/>
    </row>
    <row r="11" spans="1:9" x14ac:dyDescent="0.2">
      <c r="A11" s="139"/>
      <c r="B11" s="422" t="s">
        <v>70</v>
      </c>
      <c r="C11" s="139"/>
      <c r="D11" s="139"/>
      <c r="E11" s="139"/>
      <c r="F11" s="139"/>
      <c r="G11" s="422" t="s">
        <v>70</v>
      </c>
      <c r="H11" s="139"/>
      <c r="I11" s="139"/>
    </row>
    <row r="12" spans="1:9" x14ac:dyDescent="0.2">
      <c r="A12" s="436" t="s">
        <v>90</v>
      </c>
      <c r="B12" s="437"/>
      <c r="C12" s="438" t="s">
        <v>313</v>
      </c>
      <c r="D12" s="436" t="s">
        <v>43</v>
      </c>
      <c r="E12" s="436" t="s">
        <v>44</v>
      </c>
      <c r="F12" s="438" t="s">
        <v>45</v>
      </c>
      <c r="G12" s="438" t="s">
        <v>46</v>
      </c>
      <c r="H12" s="139"/>
      <c r="I12" s="139"/>
    </row>
    <row r="13" spans="1:9" x14ac:dyDescent="0.2">
      <c r="A13" s="436">
        <v>1</v>
      </c>
      <c r="B13" s="439" t="s">
        <v>172</v>
      </c>
      <c r="C13" s="225">
        <v>3</v>
      </c>
      <c r="D13" s="225"/>
      <c r="E13" s="93">
        <v>13</v>
      </c>
      <c r="F13" s="397">
        <v>13</v>
      </c>
      <c r="G13" s="93" t="str">
        <f>IF(AND(COUNT(F13:F16)=2,F13=MAX(F13:F16),COUNT(C13:F13)=3),A12&amp;"2",IF(AND(COUNT(E13:E16)=2,ISNUMBER(E13),E13=MIN(E13:E16),D13="",F13=""),A12&amp;"4",IF(AND(COUNT(D13:D16)=2,D13=MAX(D13:D16),E13="",F13=""),A12&amp;"1",IF(COUNT(F13:F16)=2,A12&amp;"3",""))))</f>
        <v>B2</v>
      </c>
      <c r="H13" s="139"/>
      <c r="I13" s="139"/>
    </row>
    <row r="14" spans="1:9" x14ac:dyDescent="0.2">
      <c r="A14" s="436">
        <v>2</v>
      </c>
      <c r="B14" s="440" t="s">
        <v>315</v>
      </c>
      <c r="C14" s="398">
        <v>13</v>
      </c>
      <c r="D14" s="225">
        <v>7</v>
      </c>
      <c r="E14" s="93" t="str">
        <f>IF(AND(B16="-",ISNUMBER(C14),C14&lt;C15),13,"")</f>
        <v/>
      </c>
      <c r="F14" s="397">
        <v>5</v>
      </c>
      <c r="G14" s="93" t="str">
        <f>IF(AND(COUNT(F13:F16)=2,F14=MAX(F13:F16),COUNT(C14:F14)=3),A12&amp;"2",IF(AND(COUNT(E13:E16)=2,ISNUMBER(E14),E14=MIN(E13:E16),D14="",F14=""),A12&amp;"4",IF(AND(COUNT(D13:D16)=2,D14=MAX(D13:D16),E14="",F14=""),A12&amp;"1",IF(COUNT(F13:F16)=2,A12&amp;"3",""))))</f>
        <v>B3</v>
      </c>
      <c r="H14" s="139"/>
      <c r="I14" s="139"/>
    </row>
    <row r="15" spans="1:9" x14ac:dyDescent="0.2">
      <c r="A15" s="436">
        <v>3</v>
      </c>
      <c r="B15" s="440" t="s">
        <v>120</v>
      </c>
      <c r="C15" s="398">
        <v>2</v>
      </c>
      <c r="D15" s="93"/>
      <c r="E15" s="93">
        <v>6</v>
      </c>
      <c r="F15" s="397"/>
      <c r="G15" s="93" t="str">
        <f>IF(AND(COUNT(F13:F16)=2,F15=MAX(F13:F16),COUNT(C15:F15)=3),A12&amp;"2",IF(AND(COUNT(E13:E16)=2,ISNUMBER(E15),E15=MIN(E13:E16),D15="",F15=""),A12&amp;"4",IF(AND(COUNT(D13:D16)=2,D15=MAX(D13:D16),E15="",F15=""),A12&amp;"1",IF(COUNT(F13:F16)=2,A12&amp;"3",""))))</f>
        <v>B4</v>
      </c>
      <c r="H15" s="139"/>
      <c r="I15" s="139"/>
    </row>
    <row r="16" spans="1:9" x14ac:dyDescent="0.2">
      <c r="A16" s="436">
        <v>4</v>
      </c>
      <c r="B16" s="441" t="s">
        <v>316</v>
      </c>
      <c r="C16" s="225">
        <v>13</v>
      </c>
      <c r="D16" s="225">
        <v>13</v>
      </c>
      <c r="E16" s="93" t="str">
        <f>IF(B16="-",0,"")</f>
        <v/>
      </c>
      <c r="F16" s="397"/>
      <c r="G16" s="93" t="str">
        <f>IF(AND(COUNT(F13:F16)=2,F16=MAX(F13:F16),COUNT(C16:F16)=3),A12&amp;"2",IF(AND(COUNT(E13:E16)=2,ISNUMBER(E16),E16=MIN(E13:E16),D16="",F16=""),A12&amp;"4",IF(AND(COUNT(D13:D16)=2,D16=MAX(D13:D16),E16="",F16=""),A12&amp;"1",IF(COUNT(F13:F16)=2,A12&amp;"3",""))))</f>
        <v>B1</v>
      </c>
      <c r="H16" s="139"/>
      <c r="I16" s="139"/>
    </row>
    <row r="17" spans="1:9" x14ac:dyDescent="0.2">
      <c r="A17" s="139"/>
      <c r="B17" s="139"/>
      <c r="C17" s="139"/>
      <c r="D17" s="139"/>
      <c r="E17" s="139"/>
      <c r="F17" s="139"/>
      <c r="G17" s="139"/>
      <c r="H17" s="139"/>
      <c r="I17" s="139"/>
    </row>
    <row r="18" spans="1:9" x14ac:dyDescent="0.2">
      <c r="A18" s="436" t="s">
        <v>166</v>
      </c>
      <c r="B18" s="437"/>
      <c r="C18" s="438" t="s">
        <v>313</v>
      </c>
      <c r="D18" s="436" t="s">
        <v>43</v>
      </c>
      <c r="E18" s="436" t="s">
        <v>44</v>
      </c>
      <c r="F18" s="438" t="s">
        <v>45</v>
      </c>
      <c r="G18" s="438" t="s">
        <v>46</v>
      </c>
      <c r="H18" s="139"/>
      <c r="I18" s="139"/>
    </row>
    <row r="19" spans="1:9" x14ac:dyDescent="0.2">
      <c r="A19" s="436">
        <v>1</v>
      </c>
      <c r="B19" s="439" t="s">
        <v>117</v>
      </c>
      <c r="C19" s="225">
        <v>13</v>
      </c>
      <c r="D19" s="225">
        <v>13</v>
      </c>
      <c r="E19" s="93"/>
      <c r="F19" s="397"/>
      <c r="G19" s="93" t="str">
        <f>IF(AND(COUNT(F19:F22)=2,F19=MAX(F19:F22),COUNT(C19:F19)=3),A18&amp;"2",IF(AND(COUNT(E19:E22)=2,ISNUMBER(E19),E19=MIN(E19:E22),D19="",F19=""),A18&amp;"4",IF(AND(COUNT(D19:D22)=2,D19=MAX(D19:D22),E19="",F19=""),A18&amp;"1",IF(COUNT(F19:F22)=2,A18&amp;"3",""))))</f>
        <v>C1</v>
      </c>
      <c r="H19" s="139"/>
      <c r="I19" s="139"/>
    </row>
    <row r="20" spans="1:9" x14ac:dyDescent="0.2">
      <c r="A20" s="436">
        <v>2</v>
      </c>
      <c r="B20" s="440" t="s">
        <v>317</v>
      </c>
      <c r="C20" s="398">
        <v>7</v>
      </c>
      <c r="D20" s="225"/>
      <c r="E20" s="93">
        <f>IF(AND(B22="-",ISNUMBER(C20),C20&lt;C21),13,"")</f>
        <v>13</v>
      </c>
      <c r="F20" s="397">
        <v>13</v>
      </c>
      <c r="G20" s="93" t="str">
        <f>IF(AND(COUNT(F19:F22)=2,F20=MAX(F19:F22),COUNT(C20:F20)=3),A18&amp;"2",IF(AND(COUNT(E19:E22)=2,ISNUMBER(E20),E20=MIN(E19:E22),D20="",F20=""),A18&amp;"4",IF(AND(COUNT(D19:D22)=2,D20=MAX(D19:D22),E20="",F20=""),A18&amp;"1",IF(COUNT(F19:F22)=2,A18&amp;"3",""))))</f>
        <v>C2</v>
      </c>
      <c r="H20" s="139"/>
      <c r="I20" s="139"/>
    </row>
    <row r="21" spans="1:9" x14ac:dyDescent="0.2">
      <c r="A21" s="436">
        <v>3</v>
      </c>
      <c r="B21" s="440" t="s">
        <v>318</v>
      </c>
      <c r="C21" s="398">
        <v>13</v>
      </c>
      <c r="D21" s="93">
        <v>0</v>
      </c>
      <c r="E21" s="93"/>
      <c r="F21" s="397">
        <v>4</v>
      </c>
      <c r="G21" s="93" t="str">
        <f>IF(AND(COUNT(F19:F22)=2,F21=MAX(F19:F22),COUNT(C21:F21)=3),A18&amp;"2",IF(AND(COUNT(E19:E22)=2,ISNUMBER(E21),E21=MIN(E19:E22),D21="",F21=""),A18&amp;"4",IF(AND(COUNT(D19:D22)=2,D21=MAX(D19:D22),E21="",F21=""),A18&amp;"1",IF(COUNT(F19:F22)=2,A18&amp;"3",""))))</f>
        <v>C3</v>
      </c>
      <c r="H21" s="139"/>
      <c r="I21" s="139"/>
    </row>
    <row r="22" spans="1:9" x14ac:dyDescent="0.2">
      <c r="A22" s="436">
        <v>4</v>
      </c>
      <c r="B22" s="441" t="s">
        <v>70</v>
      </c>
      <c r="C22" s="225">
        <f>IF(B22="-",0,"")</f>
        <v>0</v>
      </c>
      <c r="D22" s="225"/>
      <c r="E22" s="93">
        <f>IF(B22="-",0,"")</f>
        <v>0</v>
      </c>
      <c r="F22" s="397"/>
      <c r="G22" s="93" t="str">
        <f>IF(AND(COUNT(F19:F22)=2,F22=MAX(F19:F22),COUNT(C22:F22)=3),A18&amp;"2",IF(AND(COUNT(E19:E22)=2,ISNUMBER(E22),E22=MIN(E19:E22),D22="",F22=""),A18&amp;"4",IF(AND(COUNT(D19:D22)=2,D22=MAX(D19:D22),E22="",F22=""),A18&amp;"1",IF(COUNT(F19:F22)=2,A18&amp;"3",""))))</f>
        <v>C4</v>
      </c>
      <c r="H22" s="139"/>
      <c r="I22" s="139"/>
    </row>
    <row r="23" spans="1:9" x14ac:dyDescent="0.2">
      <c r="A23" s="95"/>
      <c r="B23" s="410"/>
      <c r="C23" s="97"/>
      <c r="D23" s="97"/>
      <c r="E23" s="97"/>
      <c r="F23" s="97"/>
      <c r="G23" s="402"/>
      <c r="H23" s="188"/>
      <c r="I23" s="188"/>
    </row>
    <row r="24" spans="1:9" x14ac:dyDescent="0.2">
      <c r="A24" s="214" t="s">
        <v>72</v>
      </c>
      <c r="B24" s="99"/>
      <c r="C24" s="96"/>
      <c r="D24" s="96"/>
      <c r="E24" s="96"/>
      <c r="F24" s="97"/>
      <c r="G24" s="98"/>
    </row>
    <row r="25" spans="1:9" x14ac:dyDescent="0.2">
      <c r="B25" s="88"/>
    </row>
    <row r="26" spans="1:9" x14ac:dyDescent="0.2">
      <c r="A26" s="106" t="s">
        <v>84</v>
      </c>
      <c r="B26" s="404" t="str">
        <f>IFERROR(INDEX(B$7:B$22,MATCH(A26,G$7:G$22,0)),"")</f>
        <v>Janek Tarto, Romek Tarto</v>
      </c>
      <c r="C26" s="120">
        <f>IF(B26="-",0,IF(B28="-",13,""))</f>
        <v>13</v>
      </c>
    </row>
    <row r="27" spans="1:9" x14ac:dyDescent="0.2">
      <c r="A27" s="107"/>
      <c r="B27" s="405"/>
      <c r="C27" s="400" t="str">
        <f>IF(COUNT(C26,C28)=2,IF(C26&gt;C28,B26,B28),"")</f>
        <v>Janek Tarto, Romek Tarto</v>
      </c>
      <c r="E27" s="120">
        <v>13</v>
      </c>
    </row>
    <row r="28" spans="1:9" x14ac:dyDescent="0.2">
      <c r="A28" s="107" t="s">
        <v>70</v>
      </c>
      <c r="B28" s="406" t="str">
        <f>IFERROR(INDEX(B$7:B$22,MATCH(A28,G$7:G$22,0)),"")</f>
        <v>-</v>
      </c>
      <c r="C28" s="110">
        <f>IF(B28="-",0,IF(B26="-",13,""))</f>
        <v>0</v>
      </c>
      <c r="D28" s="111"/>
    </row>
    <row r="29" spans="1:9" x14ac:dyDescent="0.2">
      <c r="A29" s="107"/>
      <c r="B29" s="407"/>
      <c r="D29" s="112"/>
      <c r="E29" s="400" t="str">
        <f>IF(COUNT(E27,E31)=2,IF(E27&gt;E31,C27,C31),"")</f>
        <v>Janek Tarto, Romek Tarto</v>
      </c>
      <c r="G29" s="120">
        <v>12</v>
      </c>
    </row>
    <row r="30" spans="1:9" x14ac:dyDescent="0.2">
      <c r="A30" s="442" t="s">
        <v>75</v>
      </c>
      <c r="B30" s="404" t="str">
        <f>IFERROR(INDEX(B$7:B$22,MATCH(A30,G$7:G$22,0)),"")</f>
        <v>Jaan Sepp, Matti Vinni</v>
      </c>
      <c r="C30" s="120">
        <v>3</v>
      </c>
      <c r="D30" s="112"/>
      <c r="E30" s="216"/>
      <c r="F30" s="111"/>
    </row>
    <row r="31" spans="1:9" x14ac:dyDescent="0.2">
      <c r="A31" s="442"/>
      <c r="B31" s="405"/>
      <c r="C31" s="400" t="str">
        <f>IF(COUNT(C30,C32)=2,IF(C30&gt;C32,B30,B32),"")</f>
        <v>Boriss Klubov, Elmo Lageda</v>
      </c>
      <c r="D31" s="377"/>
      <c r="E31" s="446">
        <v>0</v>
      </c>
      <c r="F31" s="112"/>
    </row>
    <row r="32" spans="1:9" x14ac:dyDescent="0.2">
      <c r="A32" s="442" t="s">
        <v>71</v>
      </c>
      <c r="B32" s="406" t="str">
        <f>IFERROR(INDEX(B$7:B$22,MATCH(A32,G$7:G$22,0)),"")</f>
        <v>Boriss Klubov, Elmo Lageda</v>
      </c>
      <c r="C32" s="110">
        <v>13</v>
      </c>
      <c r="E32" s="99"/>
      <c r="F32" s="112"/>
    </row>
    <row r="33" spans="1:9" ht="13.5" thickBot="1" x14ac:dyDescent="0.25">
      <c r="A33" s="87"/>
      <c r="B33" s="407"/>
      <c r="E33" s="99"/>
      <c r="F33" s="112"/>
      <c r="H33" s="184" t="str">
        <f>IF(COUNT(G29,G37)=2,IF(G29&gt;G37,E29,E37),"")</f>
        <v>Alari Keedus, Ülo Piik</v>
      </c>
    </row>
    <row r="34" spans="1:9" x14ac:dyDescent="0.2">
      <c r="A34" s="106" t="s">
        <v>85</v>
      </c>
      <c r="B34" s="404" t="str">
        <f>IFERROR(INDEX(B$7:B$22,MATCH(A34,G$7:G$22,0)),"")</f>
        <v>Ljudmila Varendi, Viktor Švarõgin</v>
      </c>
      <c r="C34" s="444">
        <v>0</v>
      </c>
      <c r="F34" s="112"/>
      <c r="G34" s="114"/>
      <c r="H34" s="379" t="s">
        <v>275</v>
      </c>
      <c r="I34" s="378"/>
    </row>
    <row r="35" spans="1:9" x14ac:dyDescent="0.2">
      <c r="A35" s="107"/>
      <c r="B35" s="405"/>
      <c r="C35" s="400" t="str">
        <f>IF(COUNT(C34,C36)=2,IF(C34&gt;C36,B34,B36),"")</f>
        <v>Andres Veski, Svetlana Veski</v>
      </c>
      <c r="E35" s="445">
        <v>0</v>
      </c>
      <c r="F35" s="112"/>
      <c r="G35" s="99"/>
    </row>
    <row r="36" spans="1:9" x14ac:dyDescent="0.2">
      <c r="A36" s="107" t="s">
        <v>76</v>
      </c>
      <c r="B36" s="406" t="str">
        <f>IFERROR(INDEX(B$7:B$22,MATCH(A36,G$7:G$22,0)),"")</f>
        <v>Andres Veski, Svetlana Veski</v>
      </c>
      <c r="C36" s="110">
        <v>13</v>
      </c>
      <c r="D36" s="111"/>
      <c r="F36" s="112"/>
      <c r="G36" s="99"/>
    </row>
    <row r="37" spans="1:9" x14ac:dyDescent="0.2">
      <c r="A37" s="107"/>
      <c r="B37" s="407"/>
      <c r="D37" s="112"/>
      <c r="E37" s="400" t="str">
        <f>IF(COUNT(E35,E39)=2,IF(E35&gt;E39,C35,C39),"")</f>
        <v>Alari Keedus, Ülo Piik</v>
      </c>
      <c r="F37" s="377"/>
      <c r="G37" s="110">
        <v>13</v>
      </c>
    </row>
    <row r="38" spans="1:9" ht="13.5" thickBot="1" x14ac:dyDescent="0.25">
      <c r="A38" s="107" t="s">
        <v>70</v>
      </c>
      <c r="B38" s="404" t="str">
        <f>IFERROR(INDEX(B$7:B$22,MATCH(A38,G$7:G$22,0)),"")</f>
        <v>-</v>
      </c>
      <c r="C38" s="120">
        <f>IF(B38="-",0,IF(B40="-",13,""))</f>
        <v>0</v>
      </c>
      <c r="D38" s="112"/>
      <c r="E38" s="216"/>
      <c r="F38" s="99"/>
      <c r="G38" s="99"/>
      <c r="H38" s="184" t="str">
        <f>IF(COUNT(G29,G37)=2,IF(G29&lt;G37,E29,E37),"")</f>
        <v>Janek Tarto, Romek Tarto</v>
      </c>
      <c r="I38" s="119"/>
    </row>
    <row r="39" spans="1:9" x14ac:dyDescent="0.2">
      <c r="A39" s="107"/>
      <c r="B39" s="405"/>
      <c r="C39" s="400" t="str">
        <f>IF(COUNT(C38,C40)=2,IF(C38&gt;C40,B38,B40),"")</f>
        <v>Alari Keedus, Ülo Piik</v>
      </c>
      <c r="D39" s="377"/>
      <c r="E39" s="110">
        <v>13</v>
      </c>
      <c r="G39" s="99"/>
      <c r="H39" s="379" t="s">
        <v>276</v>
      </c>
      <c r="I39" s="99"/>
    </row>
    <row r="40" spans="1:9" x14ac:dyDescent="0.2">
      <c r="A40" s="107" t="s">
        <v>86</v>
      </c>
      <c r="B40" s="406" t="str">
        <f>IFERROR(INDEX(B$7:B$22,MATCH(A40,G$7:G$22,0)),"")</f>
        <v>Alari Keedus, Ülo Piik</v>
      </c>
      <c r="C40" s="110">
        <f>IF(B40="-",0,IF(B38="-",13,""))</f>
        <v>13</v>
      </c>
      <c r="E40" s="99"/>
      <c r="F40" s="99"/>
      <c r="G40" s="99"/>
    </row>
    <row r="41" spans="1:9" x14ac:dyDescent="0.2">
      <c r="A41" s="87"/>
      <c r="B41" s="407"/>
      <c r="E41" s="217" t="str">
        <f>IF(COUNT(E27,E31)=2,IF(E27&lt;E31,C27,C31),"")</f>
        <v>Boriss Klubov, Elmo Lageda</v>
      </c>
      <c r="G41" s="120">
        <v>13</v>
      </c>
    </row>
    <row r="42" spans="1:9" ht="13.5" thickBot="1" x14ac:dyDescent="0.25">
      <c r="B42" s="88"/>
      <c r="E42" s="231"/>
      <c r="F42" s="111"/>
      <c r="G42" s="119"/>
      <c r="H42" s="184" t="str">
        <f>IF(COUNT(G41,G43)=2,IF(G41&gt;G43,E41,E43),"")</f>
        <v>Boriss Klubov, Elmo Lageda</v>
      </c>
      <c r="I42" s="119"/>
    </row>
    <row r="43" spans="1:9" x14ac:dyDescent="0.2">
      <c r="B43" s="88"/>
      <c r="E43" s="399" t="str">
        <f>IF(COUNT(E35,E39)=2,IF(E35&lt;E39,C35,C39),"")</f>
        <v>Andres Veski, Svetlana Veski</v>
      </c>
      <c r="F43" s="377"/>
      <c r="G43" s="446">
        <v>0</v>
      </c>
      <c r="H43" s="121" t="s">
        <v>277</v>
      </c>
      <c r="I43" s="99"/>
    </row>
    <row r="44" spans="1:9" x14ac:dyDescent="0.2">
      <c r="B44" s="88"/>
      <c r="H44" s="99"/>
      <c r="I44" s="99"/>
    </row>
    <row r="45" spans="1:9" ht="13.5" thickBot="1" x14ac:dyDescent="0.25">
      <c r="B45" s="88"/>
      <c r="E45" s="99"/>
      <c r="F45" s="99"/>
      <c r="H45" s="184" t="str">
        <f>IF(COUNT(G41,G43)=2,IF(G41&lt;G43,E41,E43),"")</f>
        <v>Andres Veski, Svetlana Veski</v>
      </c>
      <c r="I45" s="119"/>
    </row>
    <row r="46" spans="1:9" x14ac:dyDescent="0.2">
      <c r="B46" s="88"/>
      <c r="H46" s="87" t="s">
        <v>50</v>
      </c>
    </row>
    <row r="47" spans="1:9" x14ac:dyDescent="0.2">
      <c r="B47" s="88"/>
      <c r="C47" s="399" t="str">
        <f>IF(COUNT(C26,C28)=2,IF(C26&lt;C28,B26,B28),"")</f>
        <v>-</v>
      </c>
      <c r="E47" s="120">
        <f>IF(C47="-",0,IF(C49="-",13,""))</f>
        <v>0</v>
      </c>
      <c r="F47" s="120"/>
      <c r="G47" s="120"/>
    </row>
    <row r="48" spans="1:9" x14ac:dyDescent="0.2">
      <c r="B48" s="88"/>
      <c r="C48" s="408"/>
      <c r="D48" s="220"/>
      <c r="E48" s="400" t="str">
        <f>IF(COUNT(E47,E49)=2,IF(E47&gt;E49,C47,C49),"")</f>
        <v>Jaan Sepp, Matti Vinni</v>
      </c>
      <c r="G48" s="120">
        <v>0</v>
      </c>
    </row>
    <row r="49" spans="1:10" x14ac:dyDescent="0.2">
      <c r="B49" s="88"/>
      <c r="C49" s="399" t="str">
        <f>IF(COUNT(C30,C32)=2,IF(C30&lt;C32,B30,B32),"")</f>
        <v>Jaan Sepp, Matti Vinni</v>
      </c>
      <c r="D49" s="409"/>
      <c r="E49" s="110">
        <f>IF(C49="-",0,IF(C47="-",13,""))</f>
        <v>13</v>
      </c>
      <c r="F49" s="220"/>
      <c r="G49" s="120"/>
    </row>
    <row r="50" spans="1:10" ht="13.5" thickBot="1" x14ac:dyDescent="0.25">
      <c r="B50" s="88"/>
      <c r="C50" s="120"/>
      <c r="D50" s="120"/>
      <c r="E50" s="113"/>
      <c r="F50" s="221"/>
      <c r="G50" s="120"/>
      <c r="H50" s="184" t="str">
        <f>IF(COUNT(G48,G52)=2,IF(G48&gt;G52,E48,E52),"")</f>
        <v>Ljudmila Varendi, Viktor Švarõgin</v>
      </c>
    </row>
    <row r="51" spans="1:10" x14ac:dyDescent="0.2">
      <c r="B51" s="88"/>
      <c r="C51" s="399" t="str">
        <f>IF(COUNT(C34,C36)=2,IF(C34&lt;C36,B34,B36),"")</f>
        <v>Ljudmila Varendi, Viktor Švarõgin</v>
      </c>
      <c r="D51" s="120"/>
      <c r="E51" s="120">
        <f>IF(C51="-",0,IF(C53="-",13,""))</f>
        <v>13</v>
      </c>
      <c r="F51" s="221"/>
      <c r="G51" s="222"/>
      <c r="H51" s="379" t="s">
        <v>51</v>
      </c>
      <c r="I51" s="378"/>
    </row>
    <row r="52" spans="1:10" x14ac:dyDescent="0.2">
      <c r="B52" s="88"/>
      <c r="C52" s="408"/>
      <c r="D52" s="220"/>
      <c r="E52" s="400" t="str">
        <f>IF(COUNT(E51,E53)=2,IF(E51&gt;E53,C51,C53),"")</f>
        <v>Ljudmila Varendi, Viktor Švarõgin</v>
      </c>
      <c r="F52" s="377"/>
      <c r="G52" s="110">
        <v>13</v>
      </c>
    </row>
    <row r="53" spans="1:10" ht="13.5" thickBot="1" x14ac:dyDescent="0.25">
      <c r="B53" s="88"/>
      <c r="C53" s="399" t="str">
        <f>IF(COUNT(C38,C40)=2,IF(C38&lt;C40,B38,B40),"")</f>
        <v>-</v>
      </c>
      <c r="D53" s="409"/>
      <c r="E53" s="110">
        <f>IF(C53="-",0,IF(C51="-",13,""))</f>
        <v>0</v>
      </c>
      <c r="F53" s="120"/>
      <c r="G53" s="113"/>
      <c r="H53" s="184" t="str">
        <f>IF(COUNT(G48,G52)=2,IF(G48&lt;G52,E48,E52),"")</f>
        <v>Jaan Sepp, Matti Vinni</v>
      </c>
      <c r="I53" s="119"/>
    </row>
    <row r="54" spans="1:10" x14ac:dyDescent="0.2">
      <c r="B54" s="88"/>
      <c r="C54" s="120"/>
      <c r="D54" s="120"/>
      <c r="E54" s="120"/>
      <c r="F54" s="120"/>
      <c r="G54" s="113"/>
      <c r="H54" s="379" t="s">
        <v>52</v>
      </c>
      <c r="I54" s="99"/>
    </row>
    <row r="55" spans="1:10" x14ac:dyDescent="0.2">
      <c r="B55" s="88"/>
      <c r="C55" s="120"/>
      <c r="D55" s="113"/>
      <c r="E55" s="217" t="str">
        <f>IF(COUNT(E47,E49)=2,IF(E47&lt;E49,C47,C49),"")</f>
        <v>-</v>
      </c>
      <c r="G55" s="120">
        <f>IF(E55="-",0,IF(E57="-",13,""))</f>
        <v>0</v>
      </c>
      <c r="H55" s="99"/>
      <c r="I55" s="99"/>
    </row>
    <row r="56" spans="1:10" ht="13.5" thickBot="1" x14ac:dyDescent="0.25">
      <c r="B56" s="88"/>
      <c r="C56" s="120"/>
      <c r="D56" s="113"/>
      <c r="E56" s="231"/>
      <c r="F56" s="111"/>
      <c r="G56" s="119"/>
      <c r="H56" s="184" t="str">
        <f>IF(COUNT(G55,G57)=2,IF(G55&gt;G57,E55,E57),"")</f>
        <v>-</v>
      </c>
      <c r="I56" s="119"/>
    </row>
    <row r="57" spans="1:10" x14ac:dyDescent="0.2">
      <c r="B57" s="88"/>
      <c r="C57" s="120"/>
      <c r="D57" s="113"/>
      <c r="E57" s="399" t="str">
        <f>IF(COUNT(E51,E53)=2,IF(E51&lt;E53,C51,C53),"")</f>
        <v>-</v>
      </c>
      <c r="F57" s="377"/>
      <c r="G57" s="110">
        <f>IF(E57="-",0,IF(E55="-",13,""))</f>
        <v>0</v>
      </c>
      <c r="H57" s="121"/>
      <c r="I57" s="99"/>
    </row>
    <row r="58" spans="1:10" x14ac:dyDescent="0.2">
      <c r="B58" s="88"/>
      <c r="D58" s="99"/>
      <c r="H58" s="99"/>
      <c r="I58" s="99"/>
    </row>
    <row r="59" spans="1:10" ht="13.5" thickBot="1" x14ac:dyDescent="0.25">
      <c r="B59" s="88"/>
      <c r="E59" s="99"/>
      <c r="F59" s="99"/>
      <c r="H59" s="119" t="str">
        <f>IF(COUNT(G55,G57)=2,IF(G55&lt;G57,E55,E57),"")</f>
        <v>-</v>
      </c>
      <c r="I59" s="119"/>
    </row>
    <row r="60" spans="1:10" x14ac:dyDescent="0.2">
      <c r="A60" s="95"/>
      <c r="B60" s="410"/>
      <c r="C60" s="97"/>
      <c r="D60" s="97"/>
      <c r="E60" s="97"/>
      <c r="F60" s="97"/>
      <c r="G60" s="402"/>
      <c r="H60" s="188"/>
      <c r="I60" s="188"/>
    </row>
    <row r="61" spans="1:10" x14ac:dyDescent="0.2">
      <c r="A61" s="218" t="s">
        <v>131</v>
      </c>
      <c r="B61" s="88"/>
      <c r="G61" s="99"/>
      <c r="H61" s="99"/>
      <c r="J61" s="87"/>
    </row>
    <row r="62" spans="1:10" x14ac:dyDescent="0.2">
      <c r="A62" s="443"/>
      <c r="B62" s="107" t="s">
        <v>189</v>
      </c>
      <c r="C62" s="404" t="str">
        <f>IFERROR(INDEX(B$7:B$22,MATCH(B62,G$7:G$22,0)),"")</f>
        <v>Klavdia Piik, Tõnu Piik</v>
      </c>
      <c r="E62" s="120">
        <v>13</v>
      </c>
      <c r="F62" s="120"/>
      <c r="G62" s="120"/>
      <c r="J62" s="87"/>
    </row>
    <row r="63" spans="1:10" x14ac:dyDescent="0.2">
      <c r="B63" s="107"/>
      <c r="C63" s="405"/>
      <c r="D63" s="220"/>
      <c r="E63" s="400" t="str">
        <f>IF(COUNT(E62,E64)=2,IF(E62&gt;E64,C62,C64),"")</f>
        <v>Klavdia Piik, Tõnu Piik</v>
      </c>
      <c r="G63" s="429">
        <v>8</v>
      </c>
    </row>
    <row r="64" spans="1:10" x14ac:dyDescent="0.2">
      <c r="B64" s="107" t="s">
        <v>93</v>
      </c>
      <c r="C64" s="447" t="str">
        <f>IFERROR(INDEX(B$7:B$22,MATCH(B64,G$7:G$22,0)),"")</f>
        <v>Mait Metsla, Oskar Sepp</v>
      </c>
      <c r="D64" s="409"/>
      <c r="E64" s="430">
        <v>8</v>
      </c>
      <c r="F64" s="220"/>
      <c r="G64" s="120"/>
    </row>
    <row r="65" spans="2:9" ht="13.5" thickBot="1" x14ac:dyDescent="0.25">
      <c r="B65" s="107"/>
      <c r="C65" s="448"/>
      <c r="D65" s="120"/>
      <c r="E65" s="113"/>
      <c r="F65" s="221"/>
      <c r="G65" s="120"/>
      <c r="H65" s="184" t="str">
        <f>IF(COUNT(G63,G67)=2,IF(G63&gt;G67,E63,E67),"")</f>
        <v>Ivar Viljaste, Vladimir Ogneštšikov</v>
      </c>
    </row>
    <row r="66" spans="2:9" x14ac:dyDescent="0.2">
      <c r="B66" s="107" t="s">
        <v>118</v>
      </c>
      <c r="C66" s="449" t="str">
        <f>IFERROR(INDEX(B$7:B$22,MATCH(B66,G$7:G$22,0)),"")</f>
        <v>Aarne Välja, Karla Purgats</v>
      </c>
      <c r="D66" s="120"/>
      <c r="E66" s="120">
        <v>0</v>
      </c>
      <c r="F66" s="221"/>
      <c r="G66" s="222"/>
      <c r="H66" s="379" t="s">
        <v>53</v>
      </c>
      <c r="I66" s="378"/>
    </row>
    <row r="67" spans="2:9" x14ac:dyDescent="0.2">
      <c r="B67" s="107"/>
      <c r="C67" s="405"/>
      <c r="D67" s="220"/>
      <c r="E67" s="400" t="str">
        <f>IF(COUNT(E66,E68)=2,IF(E66&gt;E68,C66,C68),"")</f>
        <v>Ivar Viljaste, Vladimir Ogneštšikov</v>
      </c>
      <c r="F67" s="377"/>
      <c r="G67" s="110">
        <v>13</v>
      </c>
    </row>
    <row r="68" spans="2:9" ht="13.5" thickBot="1" x14ac:dyDescent="0.25">
      <c r="B68" s="107" t="s">
        <v>94</v>
      </c>
      <c r="C68" s="447" t="str">
        <f>IFERROR(INDEX(B$7:B$22,MATCH(B68,G$7:G$22,0)),"")</f>
        <v>Ivar Viljaste, Vladimir Ogneštšikov</v>
      </c>
      <c r="D68" s="409"/>
      <c r="E68" s="110">
        <v>13</v>
      </c>
      <c r="F68" s="120"/>
      <c r="G68" s="113"/>
      <c r="H68" s="184" t="str">
        <f>IF(COUNT(G63,G67)=2,IF(G63&lt;G67,E63,E67),"")</f>
        <v>Klavdia Piik, Tõnu Piik</v>
      </c>
      <c r="I68" s="119"/>
    </row>
    <row r="69" spans="2:9" x14ac:dyDescent="0.2">
      <c r="B69" s="88"/>
      <c r="C69" s="120"/>
      <c r="D69" s="120"/>
      <c r="E69" s="120"/>
      <c r="F69" s="120"/>
      <c r="G69" s="113"/>
      <c r="H69" s="379" t="s">
        <v>54</v>
      </c>
      <c r="I69" s="99"/>
    </row>
    <row r="70" spans="2:9" x14ac:dyDescent="0.2">
      <c r="B70" s="88"/>
      <c r="C70" s="120"/>
      <c r="D70" s="113"/>
      <c r="E70" s="217" t="str">
        <f>IF(COUNT(E62,E64)=2,IF(E62&lt;E64,C62,C64),"")</f>
        <v>Mait Metsla, Oskar Sepp</v>
      </c>
      <c r="G70" s="120">
        <v>13</v>
      </c>
      <c r="H70" s="99"/>
      <c r="I70" s="99"/>
    </row>
    <row r="71" spans="2:9" ht="13.5" thickBot="1" x14ac:dyDescent="0.25">
      <c r="B71" s="88"/>
      <c r="C71" s="120"/>
      <c r="D71" s="113"/>
      <c r="E71" s="231"/>
      <c r="F71" s="111"/>
      <c r="G71" s="119"/>
      <c r="H71" s="184" t="str">
        <f>IF(COUNT(G70,G72)=2,IF(G70&gt;G72,E70,E72),"")</f>
        <v>Mait Metsla, Oskar Sepp</v>
      </c>
      <c r="I71" s="119"/>
    </row>
    <row r="72" spans="2:9" x14ac:dyDescent="0.2">
      <c r="B72" s="88"/>
      <c r="C72" s="120"/>
      <c r="D72" s="113"/>
      <c r="E72" s="399" t="str">
        <f>IF(COUNT(E66,E68)=2,IF(E66&lt;E68,C66,C68),"")</f>
        <v>Aarne Välja, Karla Purgats</v>
      </c>
      <c r="F72" s="377"/>
      <c r="G72" s="110">
        <v>0</v>
      </c>
      <c r="H72" s="121" t="s">
        <v>55</v>
      </c>
      <c r="I72" s="99"/>
    </row>
    <row r="73" spans="2:9" x14ac:dyDescent="0.2">
      <c r="B73" s="88"/>
      <c r="D73" s="99"/>
      <c r="H73" s="99"/>
      <c r="I73" s="99"/>
    </row>
    <row r="74" spans="2:9" ht="13.5" thickBot="1" x14ac:dyDescent="0.25">
      <c r="B74" s="88"/>
      <c r="E74" s="99"/>
      <c r="F74" s="99"/>
      <c r="H74" s="119" t="str">
        <f>IF(COUNT(G70,G72)=2,IF(G70&lt;G72,E70,E72),"")</f>
        <v>Aarne Välja, Karla Purgats</v>
      </c>
      <c r="I74" s="119"/>
    </row>
    <row r="75" spans="2:9" x14ac:dyDescent="0.2">
      <c r="B75" s="88"/>
      <c r="E75" s="99"/>
      <c r="F75" s="99"/>
      <c r="H75" s="121" t="s">
        <v>56</v>
      </c>
    </row>
    <row r="76" spans="2:9" x14ac:dyDescent="0.2">
      <c r="B76" s="88"/>
    </row>
    <row r="77" spans="2:9" hidden="1" x14ac:dyDescent="0.2">
      <c r="B77" s="88"/>
      <c r="D77" s="139"/>
      <c r="E77" s="139"/>
      <c r="F77" s="139"/>
      <c r="G77" s="139"/>
      <c r="H77" s="139"/>
      <c r="I77" s="139"/>
    </row>
    <row r="78" spans="2:9" hidden="1" x14ac:dyDescent="0.2">
      <c r="B78" s="88"/>
      <c r="D78" s="139"/>
      <c r="E78" s="139"/>
      <c r="F78" s="139"/>
      <c r="G78" s="139"/>
      <c r="H78" s="139"/>
      <c r="I78" s="139"/>
    </row>
    <row r="79" spans="2:9" hidden="1" x14ac:dyDescent="0.2">
      <c r="B79" s="88"/>
      <c r="D79" s="139"/>
      <c r="E79" s="139"/>
      <c r="F79" s="139"/>
      <c r="G79" s="139"/>
      <c r="H79" s="139"/>
      <c r="I79" s="139"/>
    </row>
    <row r="80" spans="2:9" hidden="1" x14ac:dyDescent="0.2">
      <c r="B80" s="88"/>
      <c r="D80" s="139"/>
      <c r="E80" s="139"/>
      <c r="F80" s="139"/>
      <c r="G80" s="139"/>
      <c r="H80" s="139"/>
      <c r="I80" s="139"/>
    </row>
    <row r="81" spans="2:9" hidden="1" x14ac:dyDescent="0.2">
      <c r="B81" s="88"/>
      <c r="D81" s="139"/>
      <c r="E81" s="139"/>
      <c r="F81" s="139"/>
      <c r="G81" s="139"/>
      <c r="H81" s="139"/>
      <c r="I81" s="139"/>
    </row>
    <row r="82" spans="2:9" hidden="1" x14ac:dyDescent="0.2">
      <c r="B82" s="88"/>
      <c r="D82" s="139"/>
      <c r="E82" s="139"/>
      <c r="F82" s="139"/>
      <c r="G82" s="139"/>
      <c r="H82" s="139"/>
      <c r="I82" s="139"/>
    </row>
    <row r="83" spans="2:9" hidden="1" x14ac:dyDescent="0.2">
      <c r="B83" s="88"/>
      <c r="D83" s="139"/>
      <c r="E83" s="139"/>
      <c r="F83" s="139"/>
      <c r="G83" s="139"/>
      <c r="H83" s="139"/>
      <c r="I83" s="139"/>
    </row>
    <row r="84" spans="2:9" hidden="1" x14ac:dyDescent="0.2">
      <c r="B84" s="88"/>
      <c r="D84" s="139"/>
      <c r="E84" s="139"/>
      <c r="F84" s="139"/>
      <c r="G84" s="139"/>
      <c r="H84" s="139"/>
      <c r="I84" s="139"/>
    </row>
    <row r="85" spans="2:9" hidden="1" x14ac:dyDescent="0.2">
      <c r="B85" s="88"/>
      <c r="D85" s="139"/>
      <c r="E85" s="139"/>
      <c r="F85" s="139"/>
      <c r="G85" s="139"/>
      <c r="H85" s="139"/>
      <c r="I85" s="139"/>
    </row>
    <row r="86" spans="2:9" hidden="1" x14ac:dyDescent="0.2">
      <c r="B86" s="88"/>
      <c r="D86" s="139"/>
      <c r="E86" s="139"/>
      <c r="F86" s="139"/>
      <c r="G86" s="139"/>
      <c r="H86" s="139"/>
      <c r="I86" s="139"/>
    </row>
    <row r="87" spans="2:9" hidden="1" x14ac:dyDescent="0.2">
      <c r="B87" s="88"/>
    </row>
    <row r="88" spans="2:9" hidden="1" x14ac:dyDescent="0.2">
      <c r="B88" s="88"/>
    </row>
    <row r="89" spans="2:9" hidden="1" x14ac:dyDescent="0.2"/>
    <row r="90" spans="2:9" hidden="1" x14ac:dyDescent="0.2"/>
    <row r="91" spans="2:9" hidden="1" x14ac:dyDescent="0.2"/>
    <row r="92" spans="2:9" hidden="1" x14ac:dyDescent="0.2"/>
    <row r="93" spans="2:9" hidden="1" x14ac:dyDescent="0.2"/>
    <row r="94" spans="2:9" hidden="1" x14ac:dyDescent="0.2"/>
    <row r="95" spans="2:9" hidden="1" x14ac:dyDescent="0.2"/>
    <row r="96" spans="2:9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spans="1:3" hidden="1" x14ac:dyDescent="0.2"/>
    <row r="290" spans="1:3" hidden="1" x14ac:dyDescent="0.2"/>
    <row r="291" spans="1:3" hidden="1" x14ac:dyDescent="0.2"/>
    <row r="292" spans="1:3" hidden="1" x14ac:dyDescent="0.2"/>
    <row r="293" spans="1:3" hidden="1" x14ac:dyDescent="0.2"/>
    <row r="294" spans="1:3" hidden="1" x14ac:dyDescent="0.2"/>
    <row r="295" spans="1:3" hidden="1" x14ac:dyDescent="0.2"/>
    <row r="296" spans="1:3" hidden="1" x14ac:dyDescent="0.2"/>
    <row r="297" spans="1:3" hidden="1" x14ac:dyDescent="0.2"/>
    <row r="298" spans="1:3" hidden="1" x14ac:dyDescent="0.2"/>
    <row r="299" spans="1:3" x14ac:dyDescent="0.2">
      <c r="A299" s="139"/>
      <c r="B299" s="139"/>
      <c r="C299" s="264" t="s">
        <v>263</v>
      </c>
    </row>
    <row r="300" spans="1:3" x14ac:dyDescent="0.2">
      <c r="A300" s="424">
        <v>1</v>
      </c>
      <c r="B300" s="201" t="str">
        <f t="shared" ref="B300:B309" si="0">IFERROR(INDEX(H$33:H$76,MATCH(A300&amp;". koht",H$34:H$76,0)),"")</f>
        <v>Alari Keedus, Ülo Piik</v>
      </c>
      <c r="C300" s="139">
        <v>40</v>
      </c>
    </row>
    <row r="301" spans="1:3" x14ac:dyDescent="0.2">
      <c r="A301" s="424">
        <v>2</v>
      </c>
      <c r="B301" s="191" t="str">
        <f t="shared" si="0"/>
        <v>Janek Tarto, Romek Tarto</v>
      </c>
      <c r="C301" s="139">
        <v>34</v>
      </c>
    </row>
    <row r="302" spans="1:3" x14ac:dyDescent="0.2">
      <c r="A302" s="424">
        <v>3</v>
      </c>
      <c r="B302" s="191" t="str">
        <f t="shared" si="0"/>
        <v>Boriss Klubov, Elmo Lageda</v>
      </c>
      <c r="C302" s="139">
        <v>30</v>
      </c>
    </row>
    <row r="303" spans="1:3" x14ac:dyDescent="0.2">
      <c r="A303" s="424">
        <v>4</v>
      </c>
      <c r="B303" s="191" t="str">
        <f t="shared" si="0"/>
        <v>Andres Veski, Svetlana Veski</v>
      </c>
      <c r="C303" s="139">
        <v>26</v>
      </c>
    </row>
    <row r="304" spans="1:3" x14ac:dyDescent="0.2">
      <c r="A304" s="424">
        <v>5</v>
      </c>
      <c r="B304" s="191" t="str">
        <f t="shared" si="0"/>
        <v>Ljudmila Varendi, Viktor Švarõgin</v>
      </c>
      <c r="C304" s="139">
        <v>24</v>
      </c>
    </row>
    <row r="305" spans="1:3" x14ac:dyDescent="0.2">
      <c r="A305" s="424">
        <v>6</v>
      </c>
      <c r="B305" s="191" t="str">
        <f t="shared" si="0"/>
        <v>Jaan Sepp, Matti Vinni</v>
      </c>
      <c r="C305" s="139">
        <v>22</v>
      </c>
    </row>
    <row r="306" spans="1:3" x14ac:dyDescent="0.2">
      <c r="A306" s="424">
        <v>7</v>
      </c>
      <c r="B306" s="191" t="str">
        <f t="shared" si="0"/>
        <v>Ivar Viljaste, Vladimir Ogneštšikov</v>
      </c>
      <c r="C306" s="139">
        <v>20</v>
      </c>
    </row>
    <row r="307" spans="1:3" x14ac:dyDescent="0.2">
      <c r="A307" s="424">
        <v>8</v>
      </c>
      <c r="B307" s="191" t="str">
        <f t="shared" si="0"/>
        <v>Klavdia Piik, Tõnu Piik</v>
      </c>
      <c r="C307" s="139">
        <v>18</v>
      </c>
    </row>
    <row r="308" spans="1:3" x14ac:dyDescent="0.2">
      <c r="A308" s="424">
        <v>9</v>
      </c>
      <c r="B308" s="191" t="str">
        <f t="shared" si="0"/>
        <v>Mait Metsla, Oskar Sepp</v>
      </c>
      <c r="C308" s="139">
        <v>16</v>
      </c>
    </row>
    <row r="309" spans="1:3" x14ac:dyDescent="0.2">
      <c r="A309" s="424">
        <v>10</v>
      </c>
      <c r="B309" s="191" t="str">
        <f t="shared" si="0"/>
        <v>Aarne Välja, Karla Purgats</v>
      </c>
      <c r="C309" s="139">
        <v>14</v>
      </c>
    </row>
  </sheetData>
  <conditionalFormatting sqref="B7:B10">
    <cfRule type="duplicateValues" dxfId="2131" priority="208"/>
  </conditionalFormatting>
  <conditionalFormatting sqref="G7:G10">
    <cfRule type="containsText" dxfId="2130" priority="187" operator="containsText" text="2">
      <formula>NOT(ISERROR(SEARCH("2",G7)))</formula>
    </cfRule>
    <cfRule type="containsText" dxfId="2129" priority="188" operator="containsText" text="1">
      <formula>NOT(ISERROR(SEARCH("1",G7)))</formula>
    </cfRule>
  </conditionalFormatting>
  <conditionalFormatting sqref="G10">
    <cfRule type="expression" dxfId="2128" priority="186">
      <formula>B10="-"</formula>
    </cfRule>
  </conditionalFormatting>
  <conditionalFormatting sqref="B19:B22">
    <cfRule type="duplicateValues" dxfId="2127" priority="184"/>
  </conditionalFormatting>
  <conditionalFormatting sqref="G19:G22">
    <cfRule type="containsText" dxfId="2126" priority="163" operator="containsText" text="2">
      <formula>NOT(ISERROR(SEARCH("2",G19)))</formula>
    </cfRule>
    <cfRule type="containsText" dxfId="2125" priority="164" operator="containsText" text="1">
      <formula>NOT(ISERROR(SEARCH("1",G19)))</formula>
    </cfRule>
  </conditionalFormatting>
  <conditionalFormatting sqref="G22">
    <cfRule type="expression" dxfId="2124" priority="162">
      <formula>B22="-"</formula>
    </cfRule>
  </conditionalFormatting>
  <conditionalFormatting sqref="B13:B16">
    <cfRule type="duplicateValues" dxfId="2123" priority="160"/>
  </conditionalFormatting>
  <conditionalFormatting sqref="G13:G16">
    <cfRule type="containsText" dxfId="2122" priority="139" operator="containsText" text="2">
      <formula>NOT(ISERROR(SEARCH("2",G13)))</formula>
    </cfRule>
    <cfRule type="containsText" dxfId="2121" priority="140" operator="containsText" text="1">
      <formula>NOT(ISERROR(SEARCH("1",G13)))</formula>
    </cfRule>
  </conditionalFormatting>
  <conditionalFormatting sqref="G16">
    <cfRule type="expression" dxfId="2120" priority="138">
      <formula>B16="-"</formula>
    </cfRule>
  </conditionalFormatting>
  <conditionalFormatting sqref="C13 C16">
    <cfRule type="aboveAverage" dxfId="2119" priority="136"/>
  </conditionalFormatting>
  <conditionalFormatting sqref="C14:C15">
    <cfRule type="aboveAverage" dxfId="2118" priority="135"/>
  </conditionalFormatting>
  <conditionalFormatting sqref="C7 C10">
    <cfRule type="aboveAverage" dxfId="2117" priority="134"/>
  </conditionalFormatting>
  <conditionalFormatting sqref="C8:C9">
    <cfRule type="aboveAverage" dxfId="2116" priority="133"/>
  </conditionalFormatting>
  <conditionalFormatting sqref="C19">
    <cfRule type="aboveAverage" dxfId="2115" priority="132"/>
  </conditionalFormatting>
  <conditionalFormatting sqref="C20:C21">
    <cfRule type="aboveAverage" dxfId="2114" priority="131"/>
  </conditionalFormatting>
  <conditionalFormatting sqref="B300:B309">
    <cfRule type="containsBlanks" dxfId="2113" priority="104">
      <formula>LEN(TRIM(B300))=0</formula>
    </cfRule>
    <cfRule type="duplicateValues" dxfId="2112" priority="130"/>
  </conditionalFormatting>
  <conditionalFormatting sqref="A26:A40">
    <cfRule type="cellIs" dxfId="2111" priority="102" operator="equal">
      <formula>"-"</formula>
    </cfRule>
    <cfRule type="duplicateValues" dxfId="2110" priority="129"/>
  </conditionalFormatting>
  <conditionalFormatting sqref="E47 E49">
    <cfRule type="aboveAverage" dxfId="2109" priority="127"/>
  </conditionalFormatting>
  <conditionalFormatting sqref="E51 E53">
    <cfRule type="aboveAverage" dxfId="2108" priority="126"/>
  </conditionalFormatting>
  <conditionalFormatting sqref="E47 E49 E51 E53">
    <cfRule type="containsBlanks" dxfId="2107" priority="123">
      <formula>LEN(TRIM(E47))=0</formula>
    </cfRule>
  </conditionalFormatting>
  <conditionalFormatting sqref="C26 C28">
    <cfRule type="aboveAverage" dxfId="2106" priority="122"/>
  </conditionalFormatting>
  <conditionalFormatting sqref="C30 C32">
    <cfRule type="aboveAverage" dxfId="2105" priority="121"/>
  </conditionalFormatting>
  <conditionalFormatting sqref="E27 E31">
    <cfRule type="aboveAverage" dxfId="2104" priority="120"/>
  </conditionalFormatting>
  <conditionalFormatting sqref="C34 C36">
    <cfRule type="aboveAverage" dxfId="2103" priority="119"/>
  </conditionalFormatting>
  <conditionalFormatting sqref="C38 C40">
    <cfRule type="aboveAverage" dxfId="2102" priority="118"/>
  </conditionalFormatting>
  <conditionalFormatting sqref="E35 E39">
    <cfRule type="aboveAverage" dxfId="2101" priority="117"/>
  </conditionalFormatting>
  <conditionalFormatting sqref="G29 G37">
    <cfRule type="aboveAverage" dxfId="2100" priority="116"/>
  </conditionalFormatting>
  <conditionalFormatting sqref="C26 C28 C30 C32 C34 C36 C38 C40 E27 E31 E35 E39 G29 G37">
    <cfRule type="containsBlanks" dxfId="2099" priority="114">
      <formula>LEN(TRIM(C26))=0</formula>
    </cfRule>
  </conditionalFormatting>
  <conditionalFormatting sqref="C22">
    <cfRule type="aboveAverage" dxfId="2098" priority="96"/>
  </conditionalFormatting>
  <conditionalFormatting sqref="G41 G43">
    <cfRule type="aboveAverage" dxfId="2097" priority="95"/>
  </conditionalFormatting>
  <conditionalFormatting sqref="G41 G43">
    <cfRule type="containsBlanks" dxfId="2096" priority="94">
      <formula>LEN(TRIM(G41))=0</formula>
    </cfRule>
  </conditionalFormatting>
  <conditionalFormatting sqref="G48 G52">
    <cfRule type="aboveAverage" dxfId="2095" priority="93"/>
  </conditionalFormatting>
  <conditionalFormatting sqref="G55 G57">
    <cfRule type="aboveAverage" dxfId="2094" priority="92"/>
  </conditionalFormatting>
  <conditionalFormatting sqref="G48 G52 G55 G57">
    <cfRule type="containsBlanks" dxfId="2093" priority="91">
      <formula>LEN(TRIM(G48))=0</formula>
    </cfRule>
  </conditionalFormatting>
  <conditionalFormatting sqref="E62 E64 E66 E68">
    <cfRule type="containsBlanks" dxfId="2092" priority="64">
      <formula>LEN(TRIM(E62))=0</formula>
    </cfRule>
  </conditionalFormatting>
  <conditionalFormatting sqref="G63 G67 G70 G72">
    <cfRule type="containsBlanks" dxfId="2091" priority="58">
      <formula>LEN(TRIM(G63))=0</formula>
    </cfRule>
  </conditionalFormatting>
  <conditionalFormatting sqref="E62 E64">
    <cfRule type="aboveAverage" dxfId="2090" priority="66"/>
  </conditionalFormatting>
  <conditionalFormatting sqref="E66 E68">
    <cfRule type="aboveAverage" dxfId="2089" priority="65"/>
  </conditionalFormatting>
  <conditionalFormatting sqref="G63 G67">
    <cfRule type="aboveAverage" dxfId="2088" priority="60"/>
  </conditionalFormatting>
  <conditionalFormatting sqref="G70 G72">
    <cfRule type="aboveAverage" dxfId="2087" priority="59"/>
  </conditionalFormatting>
  <conditionalFormatting sqref="E10">
    <cfRule type="expression" dxfId="2086" priority="57">
      <formula>AND(COUNT(E7:E10)&lt;2,IF(ISNUMBER(C10),C7&gt;C10))</formula>
    </cfRule>
  </conditionalFormatting>
  <conditionalFormatting sqref="E7">
    <cfRule type="expression" dxfId="2085" priority="56">
      <formula>AND(COUNT(E7:E10)&lt;2,IF(ISNUMBER(C7),C10&gt;C7))</formula>
    </cfRule>
  </conditionalFormatting>
  <conditionalFormatting sqref="E8">
    <cfRule type="expression" dxfId="2084" priority="55">
      <formula>AND(COUNT(E7:E10)&lt;2,IF(ISNUMBER(C8),C9&gt;C8))</formula>
    </cfRule>
  </conditionalFormatting>
  <conditionalFormatting sqref="E9">
    <cfRule type="expression" dxfId="2083" priority="54">
      <formula>AND(COUNT(E7:E10)&lt;2,IF(ISNUMBER(C9),C8&gt;C9))</formula>
    </cfRule>
  </conditionalFormatting>
  <conditionalFormatting sqref="E7:E10">
    <cfRule type="aboveAverage" dxfId="2082" priority="53"/>
  </conditionalFormatting>
  <conditionalFormatting sqref="F7">
    <cfRule type="expression" dxfId="2081" priority="48">
      <formula>AND(COUNT(F7:F10)&lt;2,IF(COUNT(E7:E10)=2,IF(AND(ISNUMBER(E7),COUNTIF(E7:E10,E7)=1,E7=MAX(E7:E10)),TRUE,FALSE)))</formula>
    </cfRule>
    <cfRule type="expression" dxfId="2080" priority="52">
      <formula>AND(COUNT(F7:F10)&lt;2,IF(COUNT(D7:D10)=2,IF(AND(ISNUMBER(D7),COUNTIF(D7:D10,D7)=1,D7=MIN(D7:D10)),TRUE,FALSE)))</formula>
    </cfRule>
  </conditionalFormatting>
  <conditionalFormatting sqref="F8">
    <cfRule type="expression" dxfId="2079" priority="47">
      <formula>AND(COUNT(F7:F10)&lt;2,IF(COUNT(E7:E10)=2,IF(AND(ISNUMBER(E8),COUNTIF(E7:E10,E8)=1,E8=MAX(E7:E10)),TRUE,FALSE)))</formula>
    </cfRule>
    <cfRule type="expression" dxfId="2078" priority="51">
      <formula>AND(COUNT(F7:F10)&lt;2,IF(COUNT(D7:D10)=2,IF(AND(ISNUMBER(D8),COUNTIF(D7:D10,D8)=1,D8=MIN(D7:D10)),TRUE,FALSE)))</formula>
    </cfRule>
  </conditionalFormatting>
  <conditionalFormatting sqref="F9">
    <cfRule type="expression" dxfId="2077" priority="46">
      <formula>AND(COUNT(F7:F10)&lt;2,IF(COUNT(E7:E10)=2,IF(AND(ISNUMBER(E9),COUNTIF(E7:E10,E9)=1,E9=MAX(E7:E10)),TRUE,FALSE)))</formula>
    </cfRule>
    <cfRule type="expression" dxfId="2076" priority="50">
      <formula>AND(COUNT(F7:F10)&lt;2,IF(COUNT(D7:D10)=2,IF(AND(ISNUMBER(D9),COUNTIF(D7:D10,D9)=1,D9=MIN(D7:D10)),TRUE,FALSE)))</formula>
    </cfRule>
  </conditionalFormatting>
  <conditionalFormatting sqref="F10">
    <cfRule type="expression" dxfId="2075" priority="45">
      <formula>AND(COUNT(F7:F10)&lt;2,IF(COUNT(E7:E10)=2,IF(AND(ISNUMBER(E10),COUNTIF(E7:E10,E10)=1,E10=MAX(E7:E10)),TRUE,FALSE)))</formula>
    </cfRule>
    <cfRule type="expression" dxfId="2074" priority="49">
      <formula>AND(COUNT(F7:F10)&lt;2,IF(COUNT(D7:D10)=2,IF(AND(ISNUMBER(D10),COUNTIF(D7:D10,D10)=1,D10=MIN(D7:D10)),TRUE,FALSE)))</formula>
    </cfRule>
  </conditionalFormatting>
  <conditionalFormatting sqref="F7:F10">
    <cfRule type="aboveAverage" dxfId="2073" priority="44"/>
  </conditionalFormatting>
  <conditionalFormatting sqref="D7">
    <cfRule type="expression" dxfId="2072" priority="43">
      <formula>AND(COUNT(D7:D10)&lt;2,IF(ISNUMBER(C10),C7&gt;C10))</formula>
    </cfRule>
  </conditionalFormatting>
  <conditionalFormatting sqref="D8">
    <cfRule type="expression" dxfId="2071" priority="42">
      <formula>AND(COUNT(D7:D10)&lt;2,IF(ISNUMBER(C9),C8&gt;C9))</formula>
    </cfRule>
  </conditionalFormatting>
  <conditionalFormatting sqref="D9">
    <cfRule type="expression" dxfId="2070" priority="41">
      <formula>AND(COUNT(D7:D10)&lt;2,IF(ISNUMBER(C8),C9&gt;C8))</formula>
    </cfRule>
  </conditionalFormatting>
  <conditionalFormatting sqref="D10">
    <cfRule type="expression" dxfId="2069" priority="40">
      <formula>AND(COUNT(D7:D10)&lt;2,IF(ISNUMBER(C7),C10&gt;C7))</formula>
    </cfRule>
  </conditionalFormatting>
  <conditionalFormatting sqref="D7:D10">
    <cfRule type="aboveAverage" dxfId="2068" priority="39"/>
  </conditionalFormatting>
  <conditionalFormatting sqref="E16">
    <cfRule type="expression" dxfId="2067" priority="38">
      <formula>AND(COUNT(E13:E16)&lt;2,IF(ISNUMBER(C16),C13&gt;C16))</formula>
    </cfRule>
  </conditionalFormatting>
  <conditionalFormatting sqref="E13">
    <cfRule type="expression" dxfId="2066" priority="37">
      <formula>AND(COUNT(E13:E16)&lt;2,IF(ISNUMBER(C13),C16&gt;C13))</formula>
    </cfRule>
  </conditionalFormatting>
  <conditionalFormatting sqref="E14">
    <cfRule type="expression" dxfId="2065" priority="36">
      <formula>AND(COUNT(E13:E16)&lt;2,IF(ISNUMBER(C14),C15&gt;C14))</formula>
    </cfRule>
  </conditionalFormatting>
  <conditionalFormatting sqref="E15">
    <cfRule type="expression" dxfId="2064" priority="35">
      <formula>AND(COUNT(E13:E16)&lt;2,IF(ISNUMBER(C15),C14&gt;C15))</formula>
    </cfRule>
  </conditionalFormatting>
  <conditionalFormatting sqref="E13:E16">
    <cfRule type="aboveAverage" dxfId="2063" priority="34"/>
  </conditionalFormatting>
  <conditionalFormatting sqref="F13">
    <cfRule type="expression" dxfId="2062" priority="29">
      <formula>AND(COUNT(F13:F16)&lt;2,IF(COUNT(E13:E16)=2,IF(AND(ISNUMBER(E13),COUNTIF(E13:E16,E13)=1,E13=MAX(E13:E16)),TRUE,FALSE)))</formula>
    </cfRule>
    <cfRule type="expression" dxfId="2061" priority="33">
      <formula>AND(COUNT(F13:F16)&lt;2,IF(COUNT(D13:D16)=2,IF(AND(ISNUMBER(D13),COUNTIF(D13:D16,D13)=1,D13=MIN(D13:D16)),TRUE,FALSE)))</formula>
    </cfRule>
  </conditionalFormatting>
  <conditionalFormatting sqref="F14">
    <cfRule type="expression" dxfId="2060" priority="28">
      <formula>AND(COUNT(F13:F16)&lt;2,IF(COUNT(E13:E16)=2,IF(AND(ISNUMBER(E14),COUNTIF(E13:E16,E14)=1,E14=MAX(E13:E16)),TRUE,FALSE)))</formula>
    </cfRule>
    <cfRule type="expression" dxfId="2059" priority="32">
      <formula>AND(COUNT(F13:F16)&lt;2,IF(COUNT(D13:D16)=2,IF(AND(ISNUMBER(D14),COUNTIF(D13:D16,D14)=1,D14=MIN(D13:D16)),TRUE,FALSE)))</formula>
    </cfRule>
  </conditionalFormatting>
  <conditionalFormatting sqref="F15">
    <cfRule type="expression" dxfId="2058" priority="27">
      <formula>AND(COUNT(F13:F16)&lt;2,IF(COUNT(E13:E16)=2,IF(AND(ISNUMBER(E15),COUNTIF(E13:E16,E15)=1,E15=MAX(E13:E16)),TRUE,FALSE)))</formula>
    </cfRule>
    <cfRule type="expression" dxfId="2057" priority="31">
      <formula>AND(COUNT(F13:F16)&lt;2,IF(COUNT(D13:D16)=2,IF(AND(ISNUMBER(D15),COUNTIF(D13:D16,D15)=1,D15=MIN(D13:D16)),TRUE,FALSE)))</formula>
    </cfRule>
  </conditionalFormatting>
  <conditionalFormatting sqref="F16">
    <cfRule type="expression" dxfId="2056" priority="26">
      <formula>AND(COUNT(F13:F16)&lt;2,IF(COUNT(E13:E16)=2,IF(AND(ISNUMBER(E16),COUNTIF(E13:E16,E16)=1,E16=MAX(E13:E16)),TRUE,FALSE)))</formula>
    </cfRule>
    <cfRule type="expression" dxfId="2055" priority="30">
      <formula>AND(COUNT(F13:F16)&lt;2,IF(COUNT(D13:D16)=2,IF(AND(ISNUMBER(D16),COUNTIF(D13:D16,D16)=1,D16=MIN(D13:D16)),TRUE,FALSE)))</formula>
    </cfRule>
  </conditionalFormatting>
  <conditionalFormatting sqref="F13:F16">
    <cfRule type="aboveAverage" dxfId="2054" priority="25"/>
  </conditionalFormatting>
  <conditionalFormatting sqref="D13">
    <cfRule type="expression" dxfId="2053" priority="24">
      <formula>AND(COUNT(D13:D16)&lt;2,IF(ISNUMBER(C16),C13&gt;C16))</formula>
    </cfRule>
  </conditionalFormatting>
  <conditionalFormatting sqref="D14">
    <cfRule type="expression" dxfId="2052" priority="23">
      <formula>AND(COUNT(D13:D16)&lt;2,IF(ISNUMBER(C15),C14&gt;C15))</formula>
    </cfRule>
  </conditionalFormatting>
  <conditionalFormatting sqref="D15">
    <cfRule type="expression" dxfId="2051" priority="22">
      <formula>AND(COUNT(D13:D16)&lt;2,IF(ISNUMBER(C14),C15&gt;C14))</formula>
    </cfRule>
  </conditionalFormatting>
  <conditionalFormatting sqref="D16">
    <cfRule type="expression" dxfId="2050" priority="21">
      <formula>AND(COUNT(D13:D16)&lt;2,IF(ISNUMBER(C13),C16&gt;C13))</formula>
    </cfRule>
  </conditionalFormatting>
  <conditionalFormatting sqref="D13:D16">
    <cfRule type="aboveAverage" dxfId="2049" priority="20"/>
  </conditionalFormatting>
  <conditionalFormatting sqref="E22">
    <cfRule type="expression" dxfId="2048" priority="19">
      <formula>AND(COUNT(E19:E22)&lt;2,IF(ISNUMBER(C22),C19&gt;C22))</formula>
    </cfRule>
  </conditionalFormatting>
  <conditionalFormatting sqref="E19">
    <cfRule type="expression" dxfId="2047" priority="18">
      <formula>AND(COUNT(E19:E22)&lt;2,IF(ISNUMBER(C19),C22&gt;C19))</formula>
    </cfRule>
  </conditionalFormatting>
  <conditionalFormatting sqref="E20">
    <cfRule type="expression" dxfId="2046" priority="17">
      <formula>AND(COUNT(E19:E22)&lt;2,IF(ISNUMBER(C20),C21&gt;C20))</formula>
    </cfRule>
  </conditionalFormatting>
  <conditionalFormatting sqref="E21">
    <cfRule type="expression" dxfId="2045" priority="16">
      <formula>AND(COUNT(E19:E22)&lt;2,IF(ISNUMBER(C21),C20&gt;C21))</formula>
    </cfRule>
  </conditionalFormatting>
  <conditionalFormatting sqref="E19:E22">
    <cfRule type="aboveAverage" dxfId="2044" priority="15"/>
  </conditionalFormatting>
  <conditionalFormatting sqref="F19">
    <cfRule type="expression" dxfId="2043" priority="10">
      <formula>AND(COUNT(F19:F22)&lt;2,IF(COUNT(E19:E22)=2,IF(AND(ISNUMBER(E19),COUNTIF(E19:E22,E19)=1,E19=MAX(E19:E22)),TRUE,FALSE)))</formula>
    </cfRule>
    <cfRule type="expression" dxfId="2042" priority="14">
      <formula>AND(COUNT(F19:F22)&lt;2,IF(COUNT(D19:D22)=2,IF(AND(ISNUMBER(D19),COUNTIF(D19:D22,D19)=1,D19=MIN(D19:D22)),TRUE,FALSE)))</formula>
    </cfRule>
  </conditionalFormatting>
  <conditionalFormatting sqref="F20">
    <cfRule type="expression" dxfId="2041" priority="9">
      <formula>AND(COUNT(F19:F22)&lt;2,IF(COUNT(E19:E22)=2,IF(AND(ISNUMBER(E20),COUNTIF(E19:E22,E20)=1,E20=MAX(E19:E22)),TRUE,FALSE)))</formula>
    </cfRule>
    <cfRule type="expression" dxfId="2040" priority="13">
      <formula>AND(COUNT(F19:F22)&lt;2,IF(COUNT(D19:D22)=2,IF(AND(ISNUMBER(D20),COUNTIF(D19:D22,D20)=1,D20=MIN(D19:D22)),TRUE,FALSE)))</formula>
    </cfRule>
  </conditionalFormatting>
  <conditionalFormatting sqref="F21">
    <cfRule type="expression" dxfId="2039" priority="8">
      <formula>AND(COUNT(F19:F22)&lt;2,IF(COUNT(E19:E22)=2,IF(AND(ISNUMBER(E21),COUNTIF(E19:E22,E21)=1,E21=MAX(E19:E22)),TRUE,FALSE)))</formula>
    </cfRule>
    <cfRule type="expression" dxfId="2038" priority="12">
      <formula>AND(COUNT(F19:F22)&lt;2,IF(COUNT(D19:D22)=2,IF(AND(ISNUMBER(D21),COUNTIF(D19:D22,D21)=1,D21=MIN(D19:D22)),TRUE,FALSE)))</formula>
    </cfRule>
  </conditionalFormatting>
  <conditionalFormatting sqref="F22">
    <cfRule type="expression" dxfId="2037" priority="7">
      <formula>AND(COUNT(F19:F22)&lt;2,IF(COUNT(E19:E22)=2,IF(AND(ISNUMBER(E22),COUNTIF(E19:E22,E22)=1,E22=MAX(E19:E22)),TRUE,FALSE)))</formula>
    </cfRule>
    <cfRule type="expression" dxfId="2036" priority="11">
      <formula>AND(COUNT(F19:F22)&lt;2,IF(COUNT(D19:D22)=2,IF(AND(ISNUMBER(D22),COUNTIF(D19:D22,D22)=1,D22=MIN(D19:D22)),TRUE,FALSE)))</formula>
    </cfRule>
  </conditionalFormatting>
  <conditionalFormatting sqref="F19:F22">
    <cfRule type="aboveAverage" dxfId="2035" priority="6"/>
  </conditionalFormatting>
  <conditionalFormatting sqref="D19">
    <cfRule type="expression" dxfId="2034" priority="5">
      <formula>AND(COUNT(D19:D22)&lt;2,IF(ISNUMBER(C22),C19&gt;C22))</formula>
    </cfRule>
  </conditionalFormatting>
  <conditionalFormatting sqref="D20">
    <cfRule type="expression" dxfId="2033" priority="4">
      <formula>AND(COUNT(D19:D22)&lt;2,IF(ISNUMBER(C21),C20&gt;C21))</formula>
    </cfRule>
  </conditionalFormatting>
  <conditionalFormatting sqref="D21">
    <cfRule type="expression" dxfId="2032" priority="3">
      <formula>AND(COUNT(D19:D22)&lt;2,IF(ISNUMBER(C20),C21&gt;C20))</formula>
    </cfRule>
  </conditionalFormatting>
  <conditionalFormatting sqref="D22">
    <cfRule type="expression" dxfId="2031" priority="2">
      <formula>AND(COUNT(D19:D22)&lt;2,IF(ISNUMBER(C19),C22&gt;C19))</formula>
    </cfRule>
  </conditionalFormatting>
  <conditionalFormatting sqref="D19:D22">
    <cfRule type="aboveAverage" dxfId="2030" priority="1"/>
  </conditionalFormatting>
  <pageMargins left="0.78740157480314965" right="0.39370078740157483" top="0.78740157480314965" bottom="0.39370078740157483" header="0.59055118110236227" footer="0"/>
  <pageSetup paperSize="9" fitToHeight="0" orientation="landscape" verticalDpi="1200" r:id="rId1"/>
  <headerFooter alignWithMargins="0">
    <oddHeader>&amp;R&amp;"Arial,Regular"&amp;9Page &amp;P of &amp;N</oddHeader>
  </headerFooter>
  <rowBreaks count="2" manualBreakCount="2">
    <brk id="22" max="16383" man="1"/>
    <brk id="5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Y306"/>
  <sheetViews>
    <sheetView showGridLines="0" showRowColHeaders="0" zoomScaleNormal="100" workbookViewId="0">
      <pane ySplit="2" topLeftCell="A3" activePane="bottomLeft" state="frozen"/>
      <selection activeCell="J1" sqref="J1"/>
      <selection pane="bottomLeft" activeCell="H1" sqref="H1"/>
    </sheetView>
  </sheetViews>
  <sheetFormatPr defaultRowHeight="12.75" x14ac:dyDescent="0.2"/>
  <cols>
    <col min="1" max="1" width="5.5703125" style="139" customWidth="1"/>
    <col min="2" max="2" width="39.85546875" style="139" bestFit="1" customWidth="1"/>
    <col min="3" max="3" width="7.28515625" style="139" customWidth="1"/>
    <col min="4" max="4" width="7.42578125" style="139" bestFit="1" customWidth="1"/>
    <col min="5" max="5" width="9.140625" style="139" bestFit="1" customWidth="1"/>
    <col min="6" max="6" width="6.7109375" style="139" customWidth="1"/>
    <col min="7" max="7" width="5.140625" style="139" customWidth="1"/>
    <col min="8" max="12" width="9.140625" style="139" customWidth="1"/>
    <col min="13" max="13" width="0" style="139" hidden="1" customWidth="1"/>
    <col min="14" max="14" width="12.5703125" style="139" hidden="1" customWidth="1"/>
    <col min="15" max="15" width="3" style="139" hidden="1" customWidth="1"/>
    <col min="16" max="16" width="17.28515625" style="139" hidden="1" customWidth="1"/>
    <col min="17" max="17" width="3" style="139" hidden="1" customWidth="1"/>
    <col min="18" max="18" width="18.7109375" style="139" hidden="1" customWidth="1"/>
    <col min="19" max="19" width="3" style="139" hidden="1" customWidth="1"/>
    <col min="20" max="20" width="17.28515625" style="139" hidden="1" customWidth="1"/>
    <col min="21" max="21" width="3.140625" style="139" hidden="1" customWidth="1"/>
    <col min="22" max="22" width="13.85546875" style="139" hidden="1" customWidth="1"/>
    <col min="23" max="23" width="3.140625" style="139" hidden="1" customWidth="1"/>
    <col min="24" max="16384" width="9.140625" style="139"/>
  </cols>
  <sheetData>
    <row r="1" spans="1:24" x14ac:dyDescent="0.2">
      <c r="A1" s="86" t="str">
        <f>UPPER((Kalend!E25)&amp;" - "&amp;(Kalend!C25)&amp;" - "&amp;(Kalend!D25))</f>
        <v>3 - SHK KV 3. ETAPP - TRIO</v>
      </c>
      <c r="D1" s="51" t="str">
        <f>HYPERLINK("#'Kalend'!I1","Kalender")</f>
        <v>Kalender</v>
      </c>
      <c r="F1" s="51" t="str">
        <f>HYPERLINK("#Üldreiting!s1","Reiting")</f>
        <v>Reiting</v>
      </c>
      <c r="M1" s="502" t="s">
        <v>380</v>
      </c>
      <c r="N1" s="504"/>
      <c r="O1" s="504"/>
      <c r="P1" s="504"/>
      <c r="Q1" s="504"/>
      <c r="R1" s="504"/>
      <c r="S1" s="504"/>
      <c r="T1" s="504"/>
      <c r="U1" s="504"/>
      <c r="V1" s="504"/>
      <c r="W1" s="504"/>
    </row>
    <row r="2" spans="1:24" x14ac:dyDescent="0.2">
      <c r="A2" s="186" t="str">
        <f>"Toimumisaeg: "&amp;(Kalend!A25)&amp;" kell "&amp;(Kalend!B25)</f>
        <v>Toimumisaeg: P, 14.01.2018 kell 11:00</v>
      </c>
      <c r="R2" s="264"/>
    </row>
    <row r="3" spans="1:24" x14ac:dyDescent="0.2">
      <c r="A3" s="186" t="str">
        <f>"Toimumiskoht: "&amp;(Kalend!F25)</f>
        <v>Toimumiskoht: K-Järve petangihall</v>
      </c>
      <c r="N3" s="505" t="s">
        <v>381</v>
      </c>
    </row>
    <row r="4" spans="1:24" x14ac:dyDescent="0.2">
      <c r="A4" s="186" t="str">
        <f>"Korraldaja: "&amp;(Kalend!G25)</f>
        <v>Korraldaja: K-Järve SHK, Ivar Viljaste</v>
      </c>
      <c r="M4" s="506" t="s">
        <v>37</v>
      </c>
      <c r="N4" s="508"/>
      <c r="O4" s="508"/>
      <c r="P4" s="508"/>
      <c r="Q4" s="508"/>
      <c r="R4" s="508"/>
      <c r="S4" s="508"/>
      <c r="T4" s="508"/>
      <c r="U4" s="508"/>
      <c r="V4" s="508"/>
      <c r="W4" s="508"/>
    </row>
    <row r="5" spans="1:24" x14ac:dyDescent="0.2">
      <c r="M5" s="506" t="s">
        <v>382</v>
      </c>
      <c r="N5" s="510" t="s">
        <v>383</v>
      </c>
      <c r="O5" s="510"/>
      <c r="P5" s="510" t="s">
        <v>385</v>
      </c>
      <c r="Q5" s="510"/>
      <c r="R5" s="510" t="s">
        <v>386</v>
      </c>
      <c r="S5" s="512"/>
      <c r="T5" s="512" t="s">
        <v>415</v>
      </c>
      <c r="U5" s="512"/>
      <c r="V5" s="512" t="s">
        <v>416</v>
      </c>
      <c r="W5" s="539"/>
    </row>
    <row r="6" spans="1:24" s="188" customFormat="1" x14ac:dyDescent="0.2">
      <c r="A6" s="436" t="s">
        <v>66</v>
      </c>
      <c r="B6" s="437"/>
      <c r="C6" s="438" t="s">
        <v>313</v>
      </c>
      <c r="D6" s="436" t="s">
        <v>43</v>
      </c>
      <c r="E6" s="436" t="s">
        <v>44</v>
      </c>
      <c r="F6" s="438" t="s">
        <v>45</v>
      </c>
      <c r="G6" s="438" t="s">
        <v>46</v>
      </c>
      <c r="H6" s="139"/>
      <c r="I6" s="139"/>
      <c r="J6" s="139"/>
      <c r="K6" s="139"/>
      <c r="L6" s="139"/>
      <c r="M6" s="506" t="s">
        <v>387</v>
      </c>
      <c r="N6" s="508"/>
      <c r="O6" s="508"/>
      <c r="P6" s="513"/>
      <c r="Q6" s="513"/>
      <c r="R6" s="513"/>
      <c r="S6" s="513"/>
      <c r="T6" s="513"/>
      <c r="U6" s="513"/>
      <c r="V6" s="513"/>
      <c r="W6" s="513"/>
    </row>
    <row r="7" spans="1:24" s="188" customFormat="1" x14ac:dyDescent="0.2">
      <c r="A7" s="436">
        <v>1</v>
      </c>
      <c r="B7" s="440" t="s">
        <v>182</v>
      </c>
      <c r="C7" s="225">
        <f>IF(B10="-",13,"")</f>
        <v>13</v>
      </c>
      <c r="D7" s="225">
        <v>13</v>
      </c>
      <c r="E7" s="93"/>
      <c r="F7" s="397"/>
      <c r="G7" s="93" t="str">
        <f>IF(AND(COUNT(F7:F10)=2,F7=MAX(F7:F10),COUNT(C7:F7)=3),A6&amp;"2",IF(AND(COUNT(E7:E10)=2,ISNUMBER(E7),E7=MIN(E7:E10),D7="",F7=""),A6&amp;"4",IF(AND(COUNT(D7:D10)=2,D7=MAX(D7:D10),E7="",F7=""),A6&amp;"1",IF(COUNT(F7:F10)=2,A6&amp;"3",""))))</f>
        <v>A1</v>
      </c>
      <c r="H7" s="139"/>
      <c r="I7" s="139"/>
      <c r="J7" s="139"/>
      <c r="K7" s="139"/>
      <c r="L7" s="139"/>
      <c r="M7" s="540">
        <f>SUM(O7:W7)</f>
        <v>450</v>
      </c>
      <c r="N7" s="516" t="str">
        <f t="shared" ref="N7:N16" si="0">IFERROR(LEFT($B7,(FIND(",",$B7,1)-1)),"")</f>
        <v>Boriss Klubov</v>
      </c>
      <c r="O7" s="515">
        <f>IFERROR(INDEX(Reit!$G:$G,MATCH(N7,Reit!$C:$C,0)),"")</f>
        <v>148</v>
      </c>
      <c r="P7" s="516" t="str">
        <f t="shared" ref="P7:P16" si="1">IFERROR(MID($B7,FIND("^",SUBSTITUTE($B7,", ","^",1))+2,FIND("^",SUBSTITUTE($B7,", ","^",2))-FIND("^",SUBSTITUTE($B7,", ","^",1))-2),"")</f>
        <v>Elmo Lageda</v>
      </c>
      <c r="Q7" s="515">
        <f>IFERROR(INDEX(Reit!$G:$G,MATCH(P7,Reit!$C:$C,0)),"")</f>
        <v>156</v>
      </c>
      <c r="R7" s="516" t="str">
        <f t="shared" ref="R7:R16" si="2">IFERROR(MID($B7,FIND(", ",$B7,FIND(", ",$B7,FIND(", ",$B7))+1)+2,30000),"")</f>
        <v>Jaan Sepp</v>
      </c>
      <c r="S7" s="515">
        <f>IFERROR(INDEX(Reit!$G:$G,MATCH(R7,Reit!$C:$C,0)),"")</f>
        <v>146</v>
      </c>
      <c r="T7" s="514" t="str">
        <f t="shared" ref="T7:T16" si="3">IFERROR(MID($B7,FIND(", ",$B7,FIND(", ",$B7)+1)+2,FIND(", ",$B7,FIND(", ",$B7,FIND(", ",$B7)+1)+1)-FIND(", ",$B7,FIND(", ",$B7)+1)-2),"")</f>
        <v/>
      </c>
      <c r="U7" s="515" t="str">
        <f>IFERROR(INDEX(Reit!$G:$G,MATCH(T7,Reit!$C:$C,0)),"")</f>
        <v/>
      </c>
      <c r="V7" s="516" t="str">
        <f t="shared" ref="V7:V16" si="4">IFERROR(MID($B7,FIND(", ",$B7,FIND(", ",$B7,FIND(", ",$B7)+1)+1)+2,30000),"")</f>
        <v/>
      </c>
      <c r="W7" s="515" t="str">
        <f>IFERROR(INDEX(Reit!$G:$G,MATCH(V7,Reit!$C:$C,0)),"")</f>
        <v/>
      </c>
    </row>
    <row r="8" spans="1:24" s="188" customFormat="1" x14ac:dyDescent="0.2">
      <c r="A8" s="436">
        <v>2</v>
      </c>
      <c r="B8" s="440" t="s">
        <v>183</v>
      </c>
      <c r="C8" s="542">
        <v>0</v>
      </c>
      <c r="D8" s="225"/>
      <c r="E8" s="93">
        <f>IF(AND(B10="-",ISNUMBER(C8),C8&lt;C9),13,"")</f>
        <v>13</v>
      </c>
      <c r="F8" s="543">
        <v>0</v>
      </c>
      <c r="G8" s="93" t="str">
        <f>IF(AND(COUNT(F7:F10)=2,F8=MAX(F7:F10),COUNT(C8:F8)=3),A6&amp;"2",IF(AND(COUNT(E7:E10)=2,ISNUMBER(E8),E8=MIN(E7:E10),D8="",F8=""),A6&amp;"4",IF(AND(COUNT(D7:D10)=2,D8=MAX(D7:D10),E8="",F8=""),A6&amp;"1",IF(COUNT(F7:F10)=2,A6&amp;"3",""))))</f>
        <v>A3</v>
      </c>
      <c r="H8" s="139"/>
      <c r="I8" s="139"/>
      <c r="J8" s="139"/>
      <c r="K8" s="139"/>
      <c r="L8" s="139"/>
      <c r="M8" s="540">
        <f t="shared" ref="M8:M16" si="5">SUM(O8:W8)</f>
        <v>286</v>
      </c>
      <c r="N8" s="516" t="str">
        <f t="shared" si="0"/>
        <v>Argo Sepp</v>
      </c>
      <c r="O8" s="515">
        <f>IFERROR(INDEX(Reit!$G:$G,MATCH(N8,Reit!$C:$C,0)),"")</f>
        <v>82</v>
      </c>
      <c r="P8" s="516" t="str">
        <f t="shared" si="1"/>
        <v>Ljudmila Varendi</v>
      </c>
      <c r="Q8" s="515">
        <f>IFERROR(INDEX(Reit!$G:$G,MATCH(P8,Reit!$C:$C,0)),"")</f>
        <v>102</v>
      </c>
      <c r="R8" s="516" t="str">
        <f t="shared" si="2"/>
        <v>Viktor Švarõgin</v>
      </c>
      <c r="S8" s="515">
        <f>IFERROR(INDEX(Reit!$G:$G,MATCH(R8,Reit!$C:$C,0)),"")</f>
        <v>102</v>
      </c>
      <c r="T8" s="514" t="str">
        <f t="shared" si="3"/>
        <v/>
      </c>
      <c r="U8" s="515" t="str">
        <f>IFERROR(INDEX(Reit!$G:$G,MATCH(T8,Reit!$C:$C,0)),"")</f>
        <v/>
      </c>
      <c r="V8" s="516" t="str">
        <f t="shared" si="4"/>
        <v/>
      </c>
      <c r="W8" s="515" t="str">
        <f>IFERROR(INDEX(Reit!$G:$G,MATCH(V8,Reit!$C:$C,0)),"")</f>
        <v/>
      </c>
    </row>
    <row r="9" spans="1:24" s="188" customFormat="1" x14ac:dyDescent="0.2">
      <c r="A9" s="436">
        <v>3</v>
      </c>
      <c r="B9" s="439" t="s">
        <v>186</v>
      </c>
      <c r="C9" s="398">
        <v>13</v>
      </c>
      <c r="D9" s="542">
        <v>0</v>
      </c>
      <c r="E9" s="93" t="str">
        <f>IF(AND(B10="-",ISNUMBER(C9),C9&lt;C8),13,"")</f>
        <v/>
      </c>
      <c r="F9" s="397">
        <v>13</v>
      </c>
      <c r="G9" s="93" t="str">
        <f>IF(AND(COUNT(F7:F10)=2,F9=MAX(F7:F10),COUNT(C9:F9)=3),A6&amp;"2",IF(AND(COUNT(E7:E10)=2,ISNUMBER(E9),E9=MIN(E7:E10),D9="",F9=""),A6&amp;"4",IF(AND(COUNT(D7:D10)=2,D9=MAX(D7:D10),E9="",F9=""),A6&amp;"1",IF(COUNT(F7:F10)=2,A6&amp;"3",""))))</f>
        <v>A2</v>
      </c>
      <c r="H9" s="139"/>
      <c r="I9" s="139"/>
      <c r="J9" s="139"/>
      <c r="K9" s="139"/>
      <c r="L9" s="139"/>
      <c r="M9" s="540">
        <f t="shared" si="5"/>
        <v>378</v>
      </c>
      <c r="N9" s="516" t="str">
        <f t="shared" si="0"/>
        <v>Ivar Viljaste</v>
      </c>
      <c r="O9" s="515">
        <f>IFERROR(INDEX(Reit!$G:$G,MATCH(N9,Reit!$C:$C,0)),"")</f>
        <v>172</v>
      </c>
      <c r="P9" s="516" t="str">
        <f t="shared" si="1"/>
        <v>Kristo Viljaste</v>
      </c>
      <c r="Q9" s="515">
        <f>IFERROR(INDEX(Reit!$G:$G,MATCH(P9,Reit!$C:$C,0)),"")</f>
        <v>98</v>
      </c>
      <c r="R9" s="516" t="str">
        <f t="shared" si="2"/>
        <v>Sirje Viljaste</v>
      </c>
      <c r="S9" s="515">
        <f>IFERROR(INDEX(Reit!$G:$G,MATCH(R9,Reit!$C:$C,0)),"")</f>
        <v>108</v>
      </c>
      <c r="T9" s="514" t="str">
        <f t="shared" si="3"/>
        <v/>
      </c>
      <c r="U9" s="515" t="str">
        <f>IFERROR(INDEX(Reit!$G:$G,MATCH(T9,Reit!$C:$C,0)),"")</f>
        <v/>
      </c>
      <c r="V9" s="516" t="str">
        <f t="shared" si="4"/>
        <v/>
      </c>
      <c r="W9" s="515" t="str">
        <f>IFERROR(INDEX(Reit!$G:$G,MATCH(V9,Reit!$C:$C,0)),"")</f>
        <v/>
      </c>
    </row>
    <row r="10" spans="1:24" s="188" customFormat="1" x14ac:dyDescent="0.2">
      <c r="A10" s="436">
        <v>4</v>
      </c>
      <c r="B10" s="441" t="s">
        <v>70</v>
      </c>
      <c r="C10" s="225">
        <f>IF(B10="-",0,"")</f>
        <v>0</v>
      </c>
      <c r="D10" s="225"/>
      <c r="E10" s="93">
        <f>IF(B10="-",0,"")</f>
        <v>0</v>
      </c>
      <c r="F10" s="397"/>
      <c r="G10" s="93" t="str">
        <f>IF(AND(COUNT(F7:F10)=2,F10=MAX(F7:F10),COUNT(C10:F10)=3),A6&amp;"2",IF(AND(COUNT(E7:E10)=2,ISNUMBER(E10),E10=MIN(E7:E10),D10="",F10=""),A6&amp;"4",IF(AND(COUNT(D7:D10)=2,D10=MAX(D7:D10),E10="",F10=""),A6&amp;"1",IF(COUNT(F7:F10)=2,A6&amp;"3",""))))</f>
        <v>A4</v>
      </c>
      <c r="H10" s="139"/>
      <c r="I10" s="139"/>
      <c r="J10" s="139"/>
      <c r="K10" s="139"/>
      <c r="L10" s="139"/>
      <c r="M10" s="540">
        <f t="shared" si="5"/>
        <v>0</v>
      </c>
      <c r="N10" s="516" t="str">
        <f t="shared" si="0"/>
        <v/>
      </c>
      <c r="O10" s="515" t="str">
        <f>IFERROR(INDEX(Reit!$G:$G,MATCH(N10,Reit!$C:$C,0)),"")</f>
        <v/>
      </c>
      <c r="P10" s="516" t="str">
        <f t="shared" si="1"/>
        <v/>
      </c>
      <c r="Q10" s="515" t="str">
        <f>IFERROR(INDEX(Reit!$G:$G,MATCH(P10,Reit!$C:$C,0)),"")</f>
        <v/>
      </c>
      <c r="R10" s="516" t="str">
        <f t="shared" si="2"/>
        <v/>
      </c>
      <c r="S10" s="515" t="str">
        <f>IFERROR(INDEX(Reit!$G:$G,MATCH(R10,Reit!$C:$C,0)),"")</f>
        <v/>
      </c>
      <c r="T10" s="514" t="str">
        <f t="shared" si="3"/>
        <v/>
      </c>
      <c r="U10" s="515" t="str">
        <f>IFERROR(INDEX(Reit!$G:$G,MATCH(T10,Reit!$C:$C,0)),"")</f>
        <v/>
      </c>
      <c r="V10" s="516" t="str">
        <f t="shared" si="4"/>
        <v/>
      </c>
      <c r="W10" s="515" t="str">
        <f>IFERROR(INDEX(Reit!$G:$G,MATCH(V10,Reit!$C:$C,0)),"")</f>
        <v/>
      </c>
    </row>
    <row r="11" spans="1:24" x14ac:dyDescent="0.2">
      <c r="B11" s="422" t="s">
        <v>70</v>
      </c>
      <c r="G11" s="422" t="s">
        <v>70</v>
      </c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88"/>
    </row>
    <row r="12" spans="1:24" s="188" customFormat="1" x14ac:dyDescent="0.2">
      <c r="A12" s="436" t="s">
        <v>90</v>
      </c>
      <c r="B12" s="437"/>
      <c r="C12" s="438" t="s">
        <v>313</v>
      </c>
      <c r="D12" s="436" t="s">
        <v>43</v>
      </c>
      <c r="E12" s="436" t="s">
        <v>44</v>
      </c>
      <c r="F12" s="438" t="s">
        <v>45</v>
      </c>
      <c r="G12" s="438" t="s">
        <v>46</v>
      </c>
      <c r="H12" s="139"/>
      <c r="I12" s="139"/>
      <c r="J12" s="139"/>
      <c r="K12" s="139"/>
    </row>
    <row r="13" spans="1:24" s="188" customFormat="1" x14ac:dyDescent="0.2">
      <c r="A13" s="436">
        <v>1</v>
      </c>
      <c r="B13" s="440" t="s">
        <v>188</v>
      </c>
      <c r="C13" s="541">
        <v>0</v>
      </c>
      <c r="D13" s="225"/>
      <c r="E13" s="542">
        <v>0</v>
      </c>
      <c r="F13" s="397"/>
      <c r="G13" s="93" t="str">
        <f>IF(AND(COUNT(F13:F16)=2,F13=MAX(F13:F16),COUNT(C13:F13)=3),A12&amp;"2",IF(AND(COUNT(E13:E16)=2,ISNUMBER(E13),E13=MIN(E13:E16),D13="",F13=""),A12&amp;"4",IF(AND(COUNT(D13:D16)=2,D13=MAX(D13:D16),E13="",F13=""),A12&amp;"1",IF(COUNT(F13:F16)=2,A12&amp;"3",""))))</f>
        <v>B4</v>
      </c>
      <c r="H13" s="139"/>
      <c r="I13" s="139"/>
      <c r="J13" s="139"/>
      <c r="K13" s="139"/>
      <c r="L13" s="139"/>
      <c r="M13" s="540">
        <f t="shared" si="5"/>
        <v>358</v>
      </c>
      <c r="N13" s="516" t="str">
        <f t="shared" si="0"/>
        <v>Janek Tarto</v>
      </c>
      <c r="O13" s="515">
        <f>IFERROR(INDEX(Reit!$G:$G,MATCH(N13,Reit!$C:$C,0)),"")</f>
        <v>150</v>
      </c>
      <c r="P13" s="516" t="str">
        <f t="shared" si="1"/>
        <v>Lemmit Toomra</v>
      </c>
      <c r="Q13" s="515">
        <f>IFERROR(INDEX(Reit!$G:$G,MATCH(P13,Reit!$C:$C,0)),"")</f>
        <v>62</v>
      </c>
      <c r="R13" s="516" t="str">
        <f t="shared" si="2"/>
        <v>Romek Tarto</v>
      </c>
      <c r="S13" s="515">
        <f>IFERROR(INDEX(Reit!$G:$G,MATCH(R13,Reit!$C:$C,0)),"")</f>
        <v>146</v>
      </c>
      <c r="T13" s="514" t="str">
        <f t="shared" si="3"/>
        <v/>
      </c>
      <c r="U13" s="515" t="str">
        <f>IFERROR(INDEX(Reit!$G:$G,MATCH(T13,Reit!$C:$C,0)),"")</f>
        <v/>
      </c>
      <c r="V13" s="516" t="str">
        <f t="shared" si="4"/>
        <v/>
      </c>
      <c r="W13" s="515" t="str">
        <f>IFERROR(INDEX(Reit!$G:$G,MATCH(V13,Reit!$C:$C,0)),"")</f>
        <v/>
      </c>
    </row>
    <row r="14" spans="1:24" s="188" customFormat="1" x14ac:dyDescent="0.2">
      <c r="A14" s="436">
        <v>2</v>
      </c>
      <c r="B14" s="439" t="s">
        <v>79</v>
      </c>
      <c r="C14" s="542">
        <v>0</v>
      </c>
      <c r="D14" s="225"/>
      <c r="E14" s="93">
        <v>13</v>
      </c>
      <c r="F14" s="397">
        <v>13</v>
      </c>
      <c r="G14" s="93" t="str">
        <f>IF(AND(COUNT(F13:F16)=2,F14=MAX(F13:F16),COUNT(C14:F14)=3),A12&amp;"2",IF(AND(COUNT(E13:E16)=2,ISNUMBER(E14),E14=MIN(E13:E16),D14="",F14=""),A12&amp;"4",IF(AND(COUNT(D13:D16)=2,D14=MAX(D13:D16),E14="",F14=""),A12&amp;"1",IF(COUNT(F13:F16)=2,A12&amp;"3",""))))</f>
        <v>B2</v>
      </c>
      <c r="H14" s="139"/>
      <c r="I14" s="139"/>
      <c r="J14" s="139"/>
      <c r="K14" s="139"/>
      <c r="L14" s="139"/>
      <c r="M14" s="540">
        <f t="shared" si="5"/>
        <v>256</v>
      </c>
      <c r="N14" s="516" t="str">
        <f t="shared" si="0"/>
        <v>Aarne Välja</v>
      </c>
      <c r="O14" s="515">
        <f>IFERROR(INDEX(Reit!$G:$G,MATCH(N14,Reit!$C:$C,0)),"")</f>
        <v>70</v>
      </c>
      <c r="P14" s="516" t="str">
        <f t="shared" si="1"/>
        <v>Andres Veski</v>
      </c>
      <c r="Q14" s="515">
        <f>IFERROR(INDEX(Reit!$G:$G,MATCH(P14,Reit!$C:$C,0)),"")</f>
        <v>82</v>
      </c>
      <c r="R14" s="516" t="str">
        <f t="shared" si="2"/>
        <v>Svetlana Veski</v>
      </c>
      <c r="S14" s="515">
        <f>IFERROR(INDEX(Reit!$G:$G,MATCH(R14,Reit!$C:$C,0)),"")</f>
        <v>104</v>
      </c>
      <c r="T14" s="514" t="str">
        <f t="shared" si="3"/>
        <v/>
      </c>
      <c r="U14" s="515" t="str">
        <f>IFERROR(INDEX(Reit!$G:$G,MATCH(T14,Reit!$C:$C,0)),"")</f>
        <v/>
      </c>
      <c r="V14" s="516" t="str">
        <f t="shared" si="4"/>
        <v/>
      </c>
      <c r="W14" s="515" t="str">
        <f>IFERROR(INDEX(Reit!$G:$G,MATCH(V14,Reit!$C:$C,0)),"")</f>
        <v/>
      </c>
    </row>
    <row r="15" spans="1:24" s="188" customFormat="1" x14ac:dyDescent="0.2">
      <c r="A15" s="436">
        <v>3</v>
      </c>
      <c r="B15" s="439" t="s">
        <v>187</v>
      </c>
      <c r="C15" s="398">
        <v>13</v>
      </c>
      <c r="D15" s="542">
        <v>0</v>
      </c>
      <c r="E15" s="93" t="str">
        <f>IF(AND(B16="-",ISNUMBER(C15),C15&lt;C14),13,"")</f>
        <v/>
      </c>
      <c r="F15" s="543">
        <v>0</v>
      </c>
      <c r="G15" s="93" t="str">
        <f>IF(AND(COUNT(F13:F16)=2,F15=MAX(F13:F16),COUNT(C15:F15)=3),A12&amp;"2",IF(AND(COUNT(E13:E16)=2,ISNUMBER(E15),E15=MIN(E13:E16),D15="",F15=""),A12&amp;"4",IF(AND(COUNT(D13:D16)=2,D15=MAX(D13:D16),E15="",F15=""),A12&amp;"1",IF(COUNT(F13:F16)=2,A12&amp;"3",""))))</f>
        <v>B3</v>
      </c>
      <c r="H15" s="139"/>
      <c r="I15" s="139"/>
      <c r="J15" s="139"/>
      <c r="K15" s="139"/>
      <c r="L15" s="139"/>
      <c r="M15" s="540">
        <f t="shared" si="5"/>
        <v>414</v>
      </c>
      <c r="N15" s="516" t="str">
        <f t="shared" si="0"/>
        <v>Mait Metsla</v>
      </c>
      <c r="O15" s="515">
        <f>IFERROR(INDEX(Reit!$G:$G,MATCH(N15,Reit!$C:$C,0)),"")</f>
        <v>152</v>
      </c>
      <c r="P15" s="516" t="str">
        <f t="shared" si="1"/>
        <v>Matti Vinni</v>
      </c>
      <c r="Q15" s="515">
        <f>IFERROR(INDEX(Reit!$G:$G,MATCH(P15,Reit!$C:$C,0)),"")</f>
        <v>164</v>
      </c>
      <c r="R15" s="516" t="str">
        <f t="shared" si="2"/>
        <v>Oskar Sepp</v>
      </c>
      <c r="S15" s="515">
        <f>IFERROR(INDEX(Reit!$G:$G,MATCH(R15,Reit!$C:$C,0)),"")</f>
        <v>98</v>
      </c>
      <c r="T15" s="514" t="str">
        <f t="shared" si="3"/>
        <v/>
      </c>
      <c r="U15" s="515" t="str">
        <f>IFERROR(INDEX(Reit!$G:$G,MATCH(T15,Reit!$C:$C,0)),"")</f>
        <v/>
      </c>
      <c r="V15" s="516" t="str">
        <f t="shared" si="4"/>
        <v/>
      </c>
      <c r="W15" s="515" t="str">
        <f>IFERROR(INDEX(Reit!$G:$G,MATCH(V15,Reit!$C:$C,0)),"")</f>
        <v/>
      </c>
    </row>
    <row r="16" spans="1:24" s="188" customFormat="1" x14ac:dyDescent="0.2">
      <c r="A16" s="436">
        <v>4</v>
      </c>
      <c r="B16" s="440" t="s">
        <v>414</v>
      </c>
      <c r="C16" s="225">
        <v>13</v>
      </c>
      <c r="D16" s="225">
        <v>13</v>
      </c>
      <c r="E16" s="93" t="str">
        <f>IF(B16="-",0,"")</f>
        <v/>
      </c>
      <c r="F16" s="397"/>
      <c r="G16" s="93" t="str">
        <f>IF(AND(COUNT(F13:F16)=2,F16=MAX(F13:F16),COUNT(C16:F16)=3),A12&amp;"2",IF(AND(COUNT(E13:E16)=2,ISNUMBER(E16),E16=MIN(E13:E16),D16="",F16=""),A12&amp;"4",IF(AND(COUNT(D13:D16)=2,D16=MAX(D13:D16),E16="",F16=""),A12&amp;"1",IF(COUNT(F13:F16)=2,A12&amp;"3",""))))</f>
        <v>B1</v>
      </c>
      <c r="H16" s="139"/>
      <c r="I16" s="139"/>
      <c r="J16" s="139"/>
      <c r="K16" s="139"/>
      <c r="L16" s="139"/>
      <c r="M16" s="540">
        <f t="shared" si="5"/>
        <v>212</v>
      </c>
      <c r="N16" s="516" t="str">
        <f t="shared" si="0"/>
        <v>Tõnu Kapper</v>
      </c>
      <c r="O16" s="515">
        <f>IFERROR(INDEX(Reit!$G:$G,MATCH(N16,Reit!$C:$C,0)),"")</f>
        <v>44</v>
      </c>
      <c r="P16" s="516" t="str">
        <f t="shared" si="1"/>
        <v>Tõnu Piik</v>
      </c>
      <c r="Q16" s="515">
        <f>IFERROR(INDEX(Reit!$G:$G,MATCH(P16,Reit!$C:$C,0)),"")</f>
        <v>104</v>
      </c>
      <c r="R16" s="516" t="str">
        <f t="shared" si="2"/>
        <v>Vladimir Ogneštšikov</v>
      </c>
      <c r="S16" s="515">
        <f>IFERROR(INDEX(Reit!$G:$G,MATCH(R16,Reit!$C:$C,0)),"")</f>
        <v>64</v>
      </c>
      <c r="T16" s="514" t="str">
        <f t="shared" si="3"/>
        <v/>
      </c>
      <c r="U16" s="515" t="str">
        <f>IFERROR(INDEX(Reit!$G:$G,MATCH(T16,Reit!$C:$C,0)),"")</f>
        <v/>
      </c>
      <c r="V16" s="516" t="str">
        <f t="shared" si="4"/>
        <v/>
      </c>
      <c r="W16" s="515" t="str">
        <f>IFERROR(INDEX(Reit!$G:$G,MATCH(V16,Reit!$C:$C,0)),"")</f>
        <v/>
      </c>
    </row>
    <row r="17" spans="1:25" s="188" customFormat="1" x14ac:dyDescent="0.2">
      <c r="A17" s="95"/>
      <c r="B17" s="410"/>
      <c r="C17" s="97"/>
      <c r="D17" s="97"/>
      <c r="E17" s="97"/>
      <c r="F17" s="97"/>
      <c r="G17" s="402"/>
      <c r="I17" s="139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</row>
    <row r="18" spans="1:25" s="88" customFormat="1" x14ac:dyDescent="0.2">
      <c r="A18" s="214" t="s">
        <v>60</v>
      </c>
      <c r="B18" s="99"/>
      <c r="C18" s="96"/>
      <c r="D18" s="96"/>
      <c r="E18" s="96"/>
      <c r="F18" s="97"/>
      <c r="G18" s="98"/>
      <c r="I18" s="139"/>
    </row>
    <row r="19" spans="1:25" s="88" customFormat="1" x14ac:dyDescent="0.2">
      <c r="I19" s="139"/>
    </row>
    <row r="20" spans="1:25" s="88" customFormat="1" x14ac:dyDescent="0.2">
      <c r="A20" s="107" t="s">
        <v>84</v>
      </c>
      <c r="B20" s="528" t="str">
        <f>IFERROR(INDEX(B$7:B$16,MATCH(A20,G$7:G$16,0)),"")</f>
        <v>Boriss Klubov, Elmo Lageda, Jaan Sepp</v>
      </c>
      <c r="C20" s="445">
        <v>0</v>
      </c>
      <c r="E20" s="120"/>
      <c r="F20" s="120"/>
    </row>
    <row r="21" spans="1:25" s="88" customFormat="1" x14ac:dyDescent="0.2">
      <c r="A21" s="107"/>
      <c r="B21" s="408"/>
      <c r="C21" s="550" t="str">
        <f>IF(COUNT(C20,C22)=2,IF(C20&gt;C22,B20,B22),"")</f>
        <v>Aarne Välja, Andres Veski, Svetlana Veski</v>
      </c>
      <c r="F21" s="445">
        <v>0</v>
      </c>
    </row>
    <row r="22" spans="1:25" s="88" customFormat="1" x14ac:dyDescent="0.2">
      <c r="A22" s="107" t="s">
        <v>71</v>
      </c>
      <c r="B22" s="538" t="str">
        <f>IFERROR(INDEX(B$7:B$16,MATCH(A22,G$7:G$16,0)),"")</f>
        <v>Aarne Välja, Andres Veski, Svetlana Veski</v>
      </c>
      <c r="C22" s="551">
        <v>13</v>
      </c>
      <c r="D22" s="231"/>
      <c r="E22" s="537"/>
      <c r="F22" s="120"/>
    </row>
    <row r="23" spans="1:25" s="88" customFormat="1" ht="13.5" thickBot="1" x14ac:dyDescent="0.25">
      <c r="A23" s="107"/>
      <c r="B23" s="120"/>
      <c r="C23" s="113"/>
      <c r="D23" s="99"/>
      <c r="E23" s="221"/>
      <c r="F23" s="120"/>
      <c r="H23" s="184" t="str">
        <f>IF(COUNT(F21,F25)=2,IF(F21&gt;F25,C21,C25),"")</f>
        <v>Ivar Viljaste, Kristo Viljaste, Sirje Viljaste</v>
      </c>
    </row>
    <row r="24" spans="1:25" s="88" customFormat="1" x14ac:dyDescent="0.2">
      <c r="A24" s="107" t="s">
        <v>76</v>
      </c>
      <c r="B24" s="528" t="str">
        <f>IFERROR(INDEX(B$7:B$16,MATCH(A24,G$7:G$16,0)),"")</f>
        <v>Ivar Viljaste, Kristo Viljaste, Sirje Viljaste</v>
      </c>
      <c r="C24" s="113">
        <v>13</v>
      </c>
      <c r="D24" s="99"/>
      <c r="E24" s="221"/>
      <c r="F24" s="549"/>
      <c r="G24" s="378"/>
      <c r="H24" s="379" t="s">
        <v>275</v>
      </c>
      <c r="I24" s="378"/>
    </row>
    <row r="25" spans="1:25" s="88" customFormat="1" x14ac:dyDescent="0.2">
      <c r="A25" s="107"/>
      <c r="B25" s="408"/>
      <c r="C25" s="524" t="str">
        <f>IF(COUNT(C24,C26)=2,IF(C24&gt;C26,B24,B26),"")</f>
        <v>Ivar Viljaste, Kristo Viljaste, Sirje Viljaste</v>
      </c>
      <c r="D25" s="233"/>
      <c r="E25" s="234"/>
      <c r="F25" s="110">
        <v>13</v>
      </c>
      <c r="G25" s="99"/>
    </row>
    <row r="26" spans="1:25" s="88" customFormat="1" ht="13.5" thickBot="1" x14ac:dyDescent="0.25">
      <c r="A26" s="107" t="s">
        <v>86</v>
      </c>
      <c r="B26" s="538" t="str">
        <f>IFERROR(INDEX(B$7:B$16,MATCH(A26,G$7:G$16,0)),"")</f>
        <v>Tõnu Kapper, Tõnu Piik, Vladimir Ogneštšikov</v>
      </c>
      <c r="C26" s="430">
        <v>8</v>
      </c>
      <c r="E26" s="120"/>
      <c r="F26" s="113"/>
      <c r="G26" s="99"/>
      <c r="H26" s="184" t="str">
        <f>IF(COUNT(F21,F25)=2,IF(F21&lt;F25,C21,C25),"")</f>
        <v>Aarne Välja, Andres Veski, Svetlana Veski</v>
      </c>
      <c r="I26" s="119"/>
    </row>
    <row r="27" spans="1:25" s="88" customFormat="1" x14ac:dyDescent="0.2">
      <c r="B27" s="120"/>
      <c r="C27" s="120"/>
      <c r="E27" s="120"/>
      <c r="F27" s="113"/>
      <c r="G27" s="99"/>
      <c r="H27" s="379" t="s">
        <v>276</v>
      </c>
      <c r="I27" s="99"/>
    </row>
    <row r="28" spans="1:25" s="88" customFormat="1" x14ac:dyDescent="0.2">
      <c r="B28" s="120"/>
      <c r="C28" s="217" t="str">
        <f>IF(COUNT(C20,C22)=2,IF(C20&lt;C22,B20,B22),"")</f>
        <v>Boriss Klubov, Elmo Lageda, Jaan Sepp</v>
      </c>
      <c r="F28" s="113">
        <v>13</v>
      </c>
      <c r="G28" s="99"/>
      <c r="H28" s="99"/>
      <c r="I28" s="99"/>
    </row>
    <row r="29" spans="1:25" s="88" customFormat="1" ht="13.5" thickBot="1" x14ac:dyDescent="0.25">
      <c r="B29" s="120"/>
      <c r="C29" s="231"/>
      <c r="D29" s="231"/>
      <c r="E29" s="232"/>
      <c r="F29" s="527"/>
      <c r="G29" s="527"/>
      <c r="H29" s="184" t="str">
        <f>IF(COUNT(F28,F30)=2,IF(F28&gt;F30,C28,C30),"")</f>
        <v>Boriss Klubov, Elmo Lageda, Jaan Sepp</v>
      </c>
      <c r="I29" s="119"/>
    </row>
    <row r="30" spans="1:25" s="88" customFormat="1" x14ac:dyDescent="0.2">
      <c r="B30" s="120"/>
      <c r="C30" s="528" t="str">
        <f>IF(COUNT(C24,C26)=2,IF(C24&lt;C26,B24,B26),"")</f>
        <v>Tõnu Kapper, Tõnu Piik, Vladimir Ogneštšikov</v>
      </c>
      <c r="D30" s="233"/>
      <c r="E30" s="234"/>
      <c r="F30" s="430">
        <v>8</v>
      </c>
      <c r="H30" s="121" t="s">
        <v>277</v>
      </c>
      <c r="I30" s="99"/>
    </row>
    <row r="31" spans="1:25" s="88" customFormat="1" x14ac:dyDescent="0.2">
      <c r="H31" s="99"/>
      <c r="I31" s="99"/>
    </row>
    <row r="32" spans="1:25" s="88" customFormat="1" ht="13.5" thickBot="1" x14ac:dyDescent="0.25">
      <c r="C32" s="99"/>
      <c r="E32" s="99"/>
      <c r="H32" s="119" t="str">
        <f>IF(COUNT(F28,F30)=2,IF(F28&lt;F30,C28,C30),"")</f>
        <v>Tõnu Kapper, Tõnu Piik, Vladimir Ogneštšikov</v>
      </c>
      <c r="I32" s="119"/>
    </row>
    <row r="33" spans="1:9" s="88" customFormat="1" x14ac:dyDescent="0.2">
      <c r="B33" s="97"/>
      <c r="C33" s="97"/>
      <c r="E33" s="97"/>
      <c r="F33" s="402"/>
      <c r="H33" s="379" t="s">
        <v>50</v>
      </c>
      <c r="I33" s="188"/>
    </row>
    <row r="34" spans="1:9" s="88" customFormat="1" x14ac:dyDescent="0.2">
      <c r="B34" s="97"/>
      <c r="C34" s="97"/>
      <c r="D34" s="97"/>
      <c r="E34" s="402"/>
      <c r="F34" s="121"/>
      <c r="H34" s="188"/>
    </row>
    <row r="35" spans="1:9" s="349" customFormat="1" x14ac:dyDescent="0.2">
      <c r="A35" s="218" t="s">
        <v>134</v>
      </c>
      <c r="B35" s="99"/>
      <c r="C35" s="96"/>
      <c r="D35" s="96"/>
      <c r="E35" s="96"/>
      <c r="F35" s="97"/>
      <c r="G35" s="98"/>
      <c r="H35" s="88"/>
      <c r="I35" s="88"/>
    </row>
    <row r="36" spans="1:9" s="349" customFormat="1" x14ac:dyDescent="0.2">
      <c r="A36" s="88"/>
      <c r="B36" s="88"/>
      <c r="C36" s="88"/>
      <c r="D36" s="88"/>
      <c r="E36" s="88"/>
      <c r="F36" s="88"/>
      <c r="G36" s="88"/>
      <c r="H36" s="88"/>
      <c r="I36" s="88"/>
    </row>
    <row r="37" spans="1:9" s="349" customFormat="1" x14ac:dyDescent="0.2">
      <c r="A37" s="126"/>
      <c r="B37" s="126"/>
      <c r="C37" s="91">
        <v>1</v>
      </c>
      <c r="D37" s="91">
        <v>2</v>
      </c>
      <c r="E37" s="91">
        <v>3</v>
      </c>
      <c r="F37" s="91" t="s">
        <v>73</v>
      </c>
      <c r="G37" s="91" t="s">
        <v>21</v>
      </c>
      <c r="H37" s="88"/>
      <c r="I37" s="88"/>
    </row>
    <row r="38" spans="1:9" s="349" customFormat="1" x14ac:dyDescent="0.2">
      <c r="A38" s="126">
        <v>1</v>
      </c>
      <c r="B38" s="544" t="s">
        <v>183</v>
      </c>
      <c r="C38" s="127"/>
      <c r="D38" s="128"/>
      <c r="E38" s="128">
        <v>13</v>
      </c>
      <c r="F38" s="132" t="s">
        <v>74</v>
      </c>
      <c r="G38" s="131" t="s">
        <v>81</v>
      </c>
      <c r="H38" s="88"/>
      <c r="I38" s="88"/>
    </row>
    <row r="39" spans="1:9" s="349" customFormat="1" x14ac:dyDescent="0.2">
      <c r="A39" s="126">
        <v>2</v>
      </c>
      <c r="B39" s="545" t="s">
        <v>187</v>
      </c>
      <c r="C39" s="128">
        <v>13</v>
      </c>
      <c r="D39" s="127"/>
      <c r="E39" s="128">
        <v>13</v>
      </c>
      <c r="F39" s="132" t="s">
        <v>77</v>
      </c>
      <c r="G39" s="131" t="s">
        <v>80</v>
      </c>
      <c r="H39" s="88"/>
      <c r="I39" s="88"/>
    </row>
    <row r="40" spans="1:9" s="349" customFormat="1" x14ac:dyDescent="0.2">
      <c r="A40" s="126">
        <v>3</v>
      </c>
      <c r="B40" s="544" t="s">
        <v>188</v>
      </c>
      <c r="C40" s="128"/>
      <c r="D40" s="128"/>
      <c r="E40" s="127"/>
      <c r="F40" s="132" t="s">
        <v>78</v>
      </c>
      <c r="G40" s="131" t="s">
        <v>82</v>
      </c>
      <c r="H40" s="88"/>
      <c r="I40" s="88"/>
    </row>
    <row r="41" spans="1:9" s="349" customFormat="1" x14ac:dyDescent="0.2">
      <c r="A41" s="88"/>
      <c r="B41" s="88"/>
      <c r="C41" s="88"/>
      <c r="D41" s="88"/>
      <c r="E41" s="88"/>
      <c r="F41" s="88"/>
      <c r="G41" s="88"/>
      <c r="H41" s="88"/>
      <c r="I41" s="88"/>
    </row>
    <row r="42" spans="1:9" s="349" customFormat="1" ht="13.5" thickBot="1" x14ac:dyDescent="0.25">
      <c r="A42" s="88"/>
      <c r="B42" s="213" t="s">
        <v>98</v>
      </c>
      <c r="C42" s="98" t="s">
        <v>100</v>
      </c>
      <c r="D42" s="88"/>
      <c r="E42" s="88"/>
      <c r="F42" s="88"/>
      <c r="G42" s="88"/>
      <c r="H42" s="184" t="s">
        <v>187</v>
      </c>
      <c r="I42" s="119"/>
    </row>
    <row r="43" spans="1:9" s="349" customFormat="1" x14ac:dyDescent="0.2">
      <c r="A43" s="88"/>
      <c r="B43" s="213" t="s">
        <v>101</v>
      </c>
      <c r="C43" s="98" t="s">
        <v>102</v>
      </c>
      <c r="D43" s="88"/>
      <c r="E43" s="88"/>
      <c r="F43" s="88"/>
      <c r="G43" s="88"/>
      <c r="H43" s="379" t="s">
        <v>51</v>
      </c>
      <c r="I43" s="378"/>
    </row>
    <row r="44" spans="1:9" s="349" customFormat="1" x14ac:dyDescent="0.2">
      <c r="A44" s="87"/>
      <c r="B44" s="213" t="s">
        <v>104</v>
      </c>
      <c r="C44" s="98" t="s">
        <v>92</v>
      </c>
      <c r="D44" s="88"/>
      <c r="E44" s="88"/>
      <c r="F44" s="88"/>
      <c r="G44" s="88"/>
      <c r="H44" s="88"/>
      <c r="I44" s="88"/>
    </row>
    <row r="45" spans="1:9" s="349" customFormat="1" ht="13.5" thickBot="1" x14ac:dyDescent="0.25">
      <c r="A45" s="88"/>
      <c r="B45" s="88"/>
      <c r="C45" s="88"/>
      <c r="D45" s="88"/>
      <c r="E45" s="88"/>
      <c r="F45" s="88"/>
      <c r="G45" s="88"/>
      <c r="H45" s="184" t="s">
        <v>183</v>
      </c>
      <c r="I45" s="119"/>
    </row>
    <row r="46" spans="1:9" s="349" customFormat="1" x14ac:dyDescent="0.2">
      <c r="A46" s="88"/>
      <c r="B46" s="88"/>
      <c r="C46" s="88"/>
      <c r="D46" s="88"/>
      <c r="E46" s="88"/>
      <c r="F46" s="88"/>
      <c r="G46" s="88"/>
      <c r="H46" s="379" t="s">
        <v>52</v>
      </c>
      <c r="I46" s="378"/>
    </row>
    <row r="47" spans="1:9" s="349" customFormat="1" x14ac:dyDescent="0.2">
      <c r="A47" s="88"/>
      <c r="B47" s="88"/>
      <c r="C47" s="88"/>
      <c r="D47" s="88"/>
      <c r="E47" s="88"/>
      <c r="F47" s="88"/>
      <c r="G47" s="88"/>
      <c r="H47" s="88"/>
      <c r="I47" s="88"/>
    </row>
    <row r="48" spans="1:9" s="349" customFormat="1" ht="13.5" thickBot="1" x14ac:dyDescent="0.25">
      <c r="A48" s="88"/>
      <c r="B48" s="88"/>
      <c r="C48" s="88"/>
      <c r="D48" s="88"/>
      <c r="E48" s="88"/>
      <c r="F48" s="88"/>
      <c r="G48" s="88"/>
      <c r="H48" s="184" t="s">
        <v>188</v>
      </c>
      <c r="I48" s="119"/>
    </row>
    <row r="49" spans="1:25" s="349" customFormat="1" x14ac:dyDescent="0.2">
      <c r="A49" s="88"/>
      <c r="B49" s="88"/>
      <c r="C49" s="88"/>
      <c r="D49" s="88"/>
      <c r="E49" s="88"/>
      <c r="F49" s="88"/>
      <c r="G49" s="88"/>
      <c r="H49" s="379" t="s">
        <v>53</v>
      </c>
      <c r="I49" s="378"/>
    </row>
    <row r="50" spans="1:25" s="88" customFormat="1" x14ac:dyDescent="0.2">
      <c r="H50" s="87"/>
    </row>
    <row r="51" spans="1:25" s="88" customFormat="1" hidden="1" x14ac:dyDescent="0.2">
      <c r="H51" s="87"/>
    </row>
    <row r="52" spans="1:25" s="88" customFormat="1" hidden="1" x14ac:dyDescent="0.2">
      <c r="H52" s="87"/>
    </row>
    <row r="53" spans="1:25" s="88" customFormat="1" hidden="1" x14ac:dyDescent="0.2">
      <c r="H53" s="87"/>
    </row>
    <row r="54" spans="1:25" s="88" customFormat="1" hidden="1" x14ac:dyDescent="0.2">
      <c r="H54" s="87"/>
    </row>
    <row r="55" spans="1:25" s="88" customFormat="1" hidden="1" x14ac:dyDescent="0.2">
      <c r="H55" s="87"/>
    </row>
    <row r="56" spans="1:25" s="88" customFormat="1" hidden="1" x14ac:dyDescent="0.2">
      <c r="H56" s="87"/>
    </row>
    <row r="57" spans="1:25" s="349" customFormat="1" hidden="1" x14ac:dyDescent="0.2"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</row>
    <row r="58" spans="1:25" hidden="1" x14ac:dyDescent="0.2"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</row>
    <row r="59" spans="1:25" hidden="1" x14ac:dyDescent="0.2"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</row>
    <row r="60" spans="1:25" hidden="1" x14ac:dyDescent="0.2"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</row>
    <row r="61" spans="1:25" hidden="1" x14ac:dyDescent="0.2"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</row>
    <row r="62" spans="1:25" hidden="1" x14ac:dyDescent="0.2"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</row>
    <row r="63" spans="1:25" hidden="1" x14ac:dyDescent="0.2"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</row>
    <row r="64" spans="1:25" hidden="1" x14ac:dyDescent="0.2"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</row>
    <row r="65" spans="12:25" hidden="1" x14ac:dyDescent="0.2"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</row>
    <row r="66" spans="12:25" hidden="1" x14ac:dyDescent="0.2"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</row>
    <row r="67" spans="12:25" hidden="1" x14ac:dyDescent="0.2"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</row>
    <row r="68" spans="12:25" hidden="1" x14ac:dyDescent="0.2"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</row>
    <row r="69" spans="12:25" hidden="1" x14ac:dyDescent="0.2"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</row>
    <row r="70" spans="12:25" hidden="1" x14ac:dyDescent="0.2"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</row>
    <row r="71" spans="12:25" hidden="1" x14ac:dyDescent="0.2"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</row>
    <row r="72" spans="12:25" hidden="1" x14ac:dyDescent="0.2"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</row>
    <row r="73" spans="12:25" hidden="1" x14ac:dyDescent="0.2"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</row>
    <row r="74" spans="12:25" hidden="1" x14ac:dyDescent="0.2"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</row>
    <row r="75" spans="12:25" hidden="1" x14ac:dyDescent="0.2"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</row>
    <row r="76" spans="12:25" hidden="1" x14ac:dyDescent="0.2"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</row>
    <row r="77" spans="12:25" hidden="1" x14ac:dyDescent="0.2"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</row>
    <row r="78" spans="12:25" hidden="1" x14ac:dyDescent="0.2"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</row>
    <row r="79" spans="12:25" hidden="1" x14ac:dyDescent="0.2"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</row>
    <row r="80" spans="12:25" hidden="1" x14ac:dyDescent="0.2"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</row>
    <row r="81" spans="12:25" hidden="1" x14ac:dyDescent="0.2"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</row>
    <row r="82" spans="12:25" hidden="1" x14ac:dyDescent="0.2"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</row>
    <row r="83" spans="12:25" hidden="1" x14ac:dyDescent="0.2"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</row>
    <row r="84" spans="12:25" hidden="1" x14ac:dyDescent="0.2"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</row>
    <row r="85" spans="12:25" hidden="1" x14ac:dyDescent="0.2"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</row>
    <row r="86" spans="12:25" hidden="1" x14ac:dyDescent="0.2"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</row>
    <row r="87" spans="12:25" hidden="1" x14ac:dyDescent="0.2"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</row>
    <row r="88" spans="12:25" hidden="1" x14ac:dyDescent="0.2"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</row>
    <row r="89" spans="12:25" hidden="1" x14ac:dyDescent="0.2"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</row>
    <row r="90" spans="12:25" hidden="1" x14ac:dyDescent="0.2"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</row>
    <row r="91" spans="12:25" hidden="1" x14ac:dyDescent="0.2"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</row>
    <row r="92" spans="12:25" hidden="1" x14ac:dyDescent="0.2"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</row>
    <row r="93" spans="12:25" hidden="1" x14ac:dyDescent="0.2"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</row>
    <row r="94" spans="12:25" hidden="1" x14ac:dyDescent="0.2"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</row>
    <row r="95" spans="12:25" hidden="1" x14ac:dyDescent="0.2"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</row>
    <row r="96" spans="12:25" hidden="1" x14ac:dyDescent="0.2"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</row>
    <row r="97" spans="12:25" hidden="1" x14ac:dyDescent="0.2"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</row>
    <row r="98" spans="12:25" hidden="1" x14ac:dyDescent="0.2"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</row>
    <row r="99" spans="12:25" hidden="1" x14ac:dyDescent="0.2"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</row>
    <row r="100" spans="12:25" hidden="1" x14ac:dyDescent="0.2"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</row>
    <row r="101" spans="12:25" hidden="1" x14ac:dyDescent="0.2"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</row>
    <row r="102" spans="12:25" hidden="1" x14ac:dyDescent="0.2"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</row>
    <row r="103" spans="12:25" hidden="1" x14ac:dyDescent="0.2"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</row>
    <row r="104" spans="12:25" hidden="1" x14ac:dyDescent="0.2"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</row>
    <row r="105" spans="12:25" hidden="1" x14ac:dyDescent="0.2"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</row>
    <row r="106" spans="12:25" hidden="1" x14ac:dyDescent="0.2"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</row>
    <row r="107" spans="12:25" hidden="1" x14ac:dyDescent="0.2"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</row>
    <row r="108" spans="12:25" hidden="1" x14ac:dyDescent="0.2"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</row>
    <row r="109" spans="12:25" hidden="1" x14ac:dyDescent="0.2"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</row>
    <row r="110" spans="12:25" hidden="1" x14ac:dyDescent="0.2"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</row>
    <row r="111" spans="12:25" hidden="1" x14ac:dyDescent="0.2"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</row>
    <row r="112" spans="12:25" hidden="1" x14ac:dyDescent="0.2"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</row>
    <row r="113" spans="12:25" hidden="1" x14ac:dyDescent="0.2"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</row>
    <row r="114" spans="12:25" hidden="1" x14ac:dyDescent="0.2"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</row>
    <row r="115" spans="12:25" hidden="1" x14ac:dyDescent="0.2"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</row>
    <row r="116" spans="12:25" hidden="1" x14ac:dyDescent="0.2"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</row>
    <row r="117" spans="12:25" hidden="1" x14ac:dyDescent="0.2"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</row>
    <row r="118" spans="12:25" hidden="1" x14ac:dyDescent="0.2"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</row>
    <row r="119" spans="12:25" hidden="1" x14ac:dyDescent="0.2"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</row>
    <row r="120" spans="12:25" hidden="1" x14ac:dyDescent="0.2"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</row>
    <row r="121" spans="12:25" hidden="1" x14ac:dyDescent="0.2"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</row>
    <row r="122" spans="12:25" hidden="1" x14ac:dyDescent="0.2"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</row>
    <row r="123" spans="12:25" hidden="1" x14ac:dyDescent="0.2"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</row>
    <row r="124" spans="12:25" hidden="1" x14ac:dyDescent="0.2"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</row>
    <row r="125" spans="12:25" hidden="1" x14ac:dyDescent="0.2"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</row>
    <row r="126" spans="12:25" hidden="1" x14ac:dyDescent="0.2"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</row>
    <row r="127" spans="12:25" hidden="1" x14ac:dyDescent="0.2"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</row>
    <row r="128" spans="12:25" hidden="1" x14ac:dyDescent="0.2"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</row>
    <row r="129" spans="12:25" hidden="1" x14ac:dyDescent="0.2"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</row>
    <row r="130" spans="12:25" hidden="1" x14ac:dyDescent="0.2"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</row>
    <row r="131" spans="12:25" hidden="1" x14ac:dyDescent="0.2"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</row>
    <row r="132" spans="12:25" hidden="1" x14ac:dyDescent="0.2"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</row>
    <row r="133" spans="12:25" hidden="1" x14ac:dyDescent="0.2"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</row>
    <row r="134" spans="12:25" hidden="1" x14ac:dyDescent="0.2"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</row>
    <row r="135" spans="12:25" hidden="1" x14ac:dyDescent="0.2"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</row>
    <row r="136" spans="12:25" hidden="1" x14ac:dyDescent="0.2"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</row>
    <row r="137" spans="12:25" hidden="1" x14ac:dyDescent="0.2"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</row>
    <row r="138" spans="12:25" hidden="1" x14ac:dyDescent="0.2"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</row>
    <row r="139" spans="12:25" hidden="1" x14ac:dyDescent="0.2"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</row>
    <row r="140" spans="12:25" hidden="1" x14ac:dyDescent="0.2"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</row>
    <row r="141" spans="12:25" hidden="1" x14ac:dyDescent="0.2"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</row>
    <row r="142" spans="12:25" hidden="1" x14ac:dyDescent="0.2"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</row>
    <row r="143" spans="12:25" hidden="1" x14ac:dyDescent="0.2"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</row>
    <row r="144" spans="12:25" hidden="1" x14ac:dyDescent="0.2"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</row>
    <row r="145" spans="12:25" hidden="1" x14ac:dyDescent="0.2"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</row>
    <row r="146" spans="12:25" hidden="1" x14ac:dyDescent="0.2"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</row>
    <row r="147" spans="12:25" hidden="1" x14ac:dyDescent="0.2"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</row>
    <row r="148" spans="12:25" hidden="1" x14ac:dyDescent="0.2"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</row>
    <row r="149" spans="12:25" hidden="1" x14ac:dyDescent="0.2"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</row>
    <row r="150" spans="12:25" hidden="1" x14ac:dyDescent="0.2"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</row>
    <row r="151" spans="12:25" hidden="1" x14ac:dyDescent="0.2"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</row>
    <row r="152" spans="12:25" hidden="1" x14ac:dyDescent="0.2"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</row>
    <row r="153" spans="12:25" hidden="1" x14ac:dyDescent="0.2"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</row>
    <row r="154" spans="12:25" hidden="1" x14ac:dyDescent="0.2"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</row>
    <row r="155" spans="12:25" hidden="1" x14ac:dyDescent="0.2"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</row>
    <row r="156" spans="12:25" hidden="1" x14ac:dyDescent="0.2"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</row>
    <row r="157" spans="12:25" hidden="1" x14ac:dyDescent="0.2"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</row>
    <row r="158" spans="12:25" hidden="1" x14ac:dyDescent="0.2"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</row>
    <row r="159" spans="12:25" hidden="1" x14ac:dyDescent="0.2"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</row>
    <row r="160" spans="12:25" hidden="1" x14ac:dyDescent="0.2"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</row>
    <row r="161" spans="12:25" hidden="1" x14ac:dyDescent="0.2"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</row>
    <row r="162" spans="12:25" hidden="1" x14ac:dyDescent="0.2"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</row>
    <row r="163" spans="12:25" hidden="1" x14ac:dyDescent="0.2"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</row>
    <row r="164" spans="12:25" hidden="1" x14ac:dyDescent="0.2"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</row>
    <row r="165" spans="12:25" hidden="1" x14ac:dyDescent="0.2"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</row>
    <row r="166" spans="12:25" hidden="1" x14ac:dyDescent="0.2"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</row>
    <row r="167" spans="12:25" hidden="1" x14ac:dyDescent="0.2"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</row>
    <row r="168" spans="12:25" hidden="1" x14ac:dyDescent="0.2"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</row>
    <row r="169" spans="12:25" hidden="1" x14ac:dyDescent="0.2"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</row>
    <row r="170" spans="12:25" hidden="1" x14ac:dyDescent="0.2"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</row>
    <row r="171" spans="12:25" hidden="1" x14ac:dyDescent="0.2"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</row>
    <row r="172" spans="12:25" hidden="1" x14ac:dyDescent="0.2"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</row>
    <row r="173" spans="12:25" hidden="1" x14ac:dyDescent="0.2"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</row>
    <row r="174" spans="12:25" hidden="1" x14ac:dyDescent="0.2"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</row>
    <row r="175" spans="12:25" hidden="1" x14ac:dyDescent="0.2"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</row>
    <row r="176" spans="12:25" hidden="1" x14ac:dyDescent="0.2"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</row>
    <row r="177" spans="12:25" hidden="1" x14ac:dyDescent="0.2"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</row>
    <row r="178" spans="12:25" hidden="1" x14ac:dyDescent="0.2"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</row>
    <row r="179" spans="12:25" hidden="1" x14ac:dyDescent="0.2"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</row>
    <row r="180" spans="12:25" hidden="1" x14ac:dyDescent="0.2"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</row>
    <row r="181" spans="12:25" hidden="1" x14ac:dyDescent="0.2"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</row>
    <row r="182" spans="12:25" hidden="1" x14ac:dyDescent="0.2"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</row>
    <row r="183" spans="12:25" hidden="1" x14ac:dyDescent="0.2"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</row>
    <row r="184" spans="12:25" hidden="1" x14ac:dyDescent="0.2"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</row>
    <row r="185" spans="12:25" hidden="1" x14ac:dyDescent="0.2"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</row>
    <row r="186" spans="12:25" hidden="1" x14ac:dyDescent="0.2"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</row>
    <row r="187" spans="12:25" hidden="1" x14ac:dyDescent="0.2"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</row>
    <row r="188" spans="12:25" hidden="1" x14ac:dyDescent="0.2"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</row>
    <row r="189" spans="12:25" hidden="1" x14ac:dyDescent="0.2"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</row>
    <row r="190" spans="12:25" hidden="1" x14ac:dyDescent="0.2"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</row>
    <row r="191" spans="12:25" hidden="1" x14ac:dyDescent="0.2"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</row>
    <row r="192" spans="12:25" hidden="1" x14ac:dyDescent="0.2"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</row>
    <row r="193" spans="12:25" hidden="1" x14ac:dyDescent="0.2"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</row>
    <row r="194" spans="12:25" hidden="1" x14ac:dyDescent="0.2"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</row>
    <row r="195" spans="12:25" hidden="1" x14ac:dyDescent="0.2"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</row>
    <row r="196" spans="12:25" hidden="1" x14ac:dyDescent="0.2"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</row>
    <row r="197" spans="12:25" hidden="1" x14ac:dyDescent="0.2"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</row>
    <row r="198" spans="12:25" hidden="1" x14ac:dyDescent="0.2"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</row>
    <row r="199" spans="12:25" hidden="1" x14ac:dyDescent="0.2"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8"/>
    </row>
    <row r="200" spans="12:25" hidden="1" x14ac:dyDescent="0.2"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  <c r="Y200" s="88"/>
    </row>
    <row r="201" spans="12:25" hidden="1" x14ac:dyDescent="0.2"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  <c r="Y201" s="88"/>
    </row>
    <row r="202" spans="12:25" hidden="1" x14ac:dyDescent="0.2"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  <c r="Y202" s="88"/>
    </row>
    <row r="203" spans="12:25" hidden="1" x14ac:dyDescent="0.2"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  <c r="Y203" s="88"/>
    </row>
    <row r="204" spans="12:25" hidden="1" x14ac:dyDescent="0.2"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  <c r="Y204" s="88"/>
    </row>
    <row r="205" spans="12:25" hidden="1" x14ac:dyDescent="0.2"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  <c r="Y205" s="88"/>
    </row>
    <row r="206" spans="12:25" hidden="1" x14ac:dyDescent="0.2"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  <c r="Y206" s="88"/>
    </row>
    <row r="207" spans="12:25" hidden="1" x14ac:dyDescent="0.2"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  <c r="Y207" s="88"/>
    </row>
    <row r="208" spans="12:25" hidden="1" x14ac:dyDescent="0.2"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  <c r="Y208" s="88"/>
    </row>
    <row r="209" spans="12:25" hidden="1" x14ac:dyDescent="0.2"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  <c r="X209" s="88"/>
      <c r="Y209" s="88"/>
    </row>
    <row r="210" spans="12:25" hidden="1" x14ac:dyDescent="0.2"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8"/>
      <c r="X210" s="88"/>
      <c r="Y210" s="88"/>
    </row>
    <row r="211" spans="12:25" hidden="1" x14ac:dyDescent="0.2"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88"/>
      <c r="X211" s="88"/>
      <c r="Y211" s="88"/>
    </row>
    <row r="212" spans="12:25" hidden="1" x14ac:dyDescent="0.2"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88"/>
      <c r="W212" s="88"/>
      <c r="X212" s="88"/>
      <c r="Y212" s="88"/>
    </row>
    <row r="213" spans="12:25" hidden="1" x14ac:dyDescent="0.2">
      <c r="L213" s="88"/>
      <c r="M213" s="88"/>
      <c r="N213" s="88"/>
      <c r="O213" s="88"/>
      <c r="P213" s="88"/>
      <c r="Q213" s="88"/>
      <c r="R213" s="88"/>
      <c r="S213" s="88"/>
      <c r="T213" s="88"/>
      <c r="U213" s="88"/>
      <c r="V213" s="88"/>
      <c r="W213" s="88"/>
      <c r="X213" s="88"/>
      <c r="Y213" s="88"/>
    </row>
    <row r="214" spans="12:25" hidden="1" x14ac:dyDescent="0.2">
      <c r="L214" s="88"/>
      <c r="M214" s="88"/>
      <c r="N214" s="88"/>
      <c r="O214" s="88"/>
      <c r="P214" s="88"/>
      <c r="Q214" s="88"/>
      <c r="R214" s="88"/>
      <c r="S214" s="88"/>
      <c r="T214" s="88"/>
      <c r="U214" s="88"/>
      <c r="V214" s="88"/>
      <c r="W214" s="88"/>
      <c r="X214" s="88"/>
      <c r="Y214" s="88"/>
    </row>
    <row r="215" spans="12:25" hidden="1" x14ac:dyDescent="0.2">
      <c r="L215" s="88"/>
      <c r="M215" s="88"/>
      <c r="N215" s="88"/>
      <c r="O215" s="88"/>
      <c r="P215" s="88"/>
      <c r="Q215" s="88"/>
      <c r="R215" s="88"/>
      <c r="S215" s="88"/>
      <c r="T215" s="88"/>
      <c r="U215" s="88"/>
      <c r="V215" s="88"/>
      <c r="W215" s="88"/>
      <c r="X215" s="88"/>
      <c r="Y215" s="88"/>
    </row>
    <row r="216" spans="12:25" hidden="1" x14ac:dyDescent="0.2">
      <c r="L216" s="88"/>
      <c r="M216" s="88"/>
      <c r="N216" s="88"/>
      <c r="O216" s="88"/>
      <c r="P216" s="88"/>
      <c r="Q216" s="88"/>
      <c r="R216" s="88"/>
      <c r="S216" s="88"/>
      <c r="T216" s="88"/>
      <c r="U216" s="88"/>
      <c r="V216" s="88"/>
      <c r="W216" s="88"/>
      <c r="X216" s="88"/>
      <c r="Y216" s="88"/>
    </row>
    <row r="217" spans="12:25" hidden="1" x14ac:dyDescent="0.2">
      <c r="L217" s="88"/>
      <c r="M217" s="88"/>
      <c r="N217" s="88"/>
      <c r="O217" s="88"/>
      <c r="P217" s="88"/>
      <c r="Q217" s="88"/>
      <c r="R217" s="88"/>
      <c r="S217" s="88"/>
      <c r="T217" s="88"/>
      <c r="U217" s="88"/>
      <c r="V217" s="88"/>
      <c r="W217" s="88"/>
      <c r="X217" s="88"/>
      <c r="Y217" s="88"/>
    </row>
    <row r="218" spans="12:25" hidden="1" x14ac:dyDescent="0.2">
      <c r="L218" s="88"/>
      <c r="M218" s="88"/>
      <c r="N218" s="88"/>
      <c r="O218" s="88"/>
      <c r="P218" s="88"/>
      <c r="Q218" s="88"/>
      <c r="R218" s="88"/>
      <c r="S218" s="88"/>
      <c r="T218" s="88"/>
      <c r="U218" s="88"/>
      <c r="V218" s="88"/>
      <c r="W218" s="88"/>
      <c r="X218" s="88"/>
      <c r="Y218" s="88"/>
    </row>
    <row r="219" spans="12:25" hidden="1" x14ac:dyDescent="0.2">
      <c r="L219" s="88"/>
      <c r="M219" s="88"/>
      <c r="N219" s="88"/>
      <c r="O219" s="88"/>
      <c r="P219" s="88"/>
      <c r="Q219" s="88"/>
      <c r="R219" s="88"/>
      <c r="S219" s="88"/>
      <c r="T219" s="88"/>
      <c r="U219" s="88"/>
      <c r="V219" s="88"/>
      <c r="W219" s="88"/>
      <c r="X219" s="88"/>
      <c r="Y219" s="88"/>
    </row>
    <row r="220" spans="12:25" hidden="1" x14ac:dyDescent="0.2">
      <c r="L220" s="88"/>
      <c r="M220" s="88"/>
      <c r="N220" s="88"/>
      <c r="O220" s="88"/>
      <c r="P220" s="88"/>
      <c r="Q220" s="88"/>
      <c r="R220" s="88"/>
      <c r="S220" s="88"/>
      <c r="T220" s="88"/>
      <c r="U220" s="88"/>
      <c r="V220" s="88"/>
      <c r="W220" s="88"/>
      <c r="X220" s="88"/>
      <c r="Y220" s="88"/>
    </row>
    <row r="221" spans="12:25" hidden="1" x14ac:dyDescent="0.2">
      <c r="L221" s="88"/>
      <c r="M221" s="88"/>
      <c r="N221" s="88"/>
      <c r="O221" s="88"/>
      <c r="P221" s="88"/>
      <c r="Q221" s="88"/>
      <c r="R221" s="88"/>
      <c r="S221" s="88"/>
      <c r="T221" s="88"/>
      <c r="U221" s="88"/>
      <c r="V221" s="88"/>
      <c r="W221" s="88"/>
      <c r="X221" s="88"/>
      <c r="Y221" s="88"/>
    </row>
    <row r="222" spans="12:25" hidden="1" x14ac:dyDescent="0.2">
      <c r="L222" s="88"/>
      <c r="M222" s="88"/>
      <c r="N222" s="88"/>
      <c r="O222" s="88"/>
      <c r="P222" s="88"/>
      <c r="Q222" s="88"/>
      <c r="R222" s="88"/>
      <c r="S222" s="88"/>
      <c r="T222" s="88"/>
      <c r="U222" s="88"/>
      <c r="V222" s="88"/>
      <c r="W222" s="88"/>
      <c r="X222" s="88"/>
      <c r="Y222" s="88"/>
    </row>
    <row r="223" spans="12:25" hidden="1" x14ac:dyDescent="0.2">
      <c r="L223" s="88"/>
      <c r="M223" s="88"/>
      <c r="N223" s="88"/>
      <c r="O223" s="88"/>
      <c r="P223" s="88"/>
      <c r="Q223" s="88"/>
      <c r="R223" s="88"/>
      <c r="S223" s="88"/>
      <c r="T223" s="88"/>
      <c r="U223" s="88"/>
      <c r="V223" s="88"/>
      <c r="W223" s="88"/>
      <c r="X223" s="88"/>
      <c r="Y223" s="88"/>
    </row>
    <row r="224" spans="12:25" hidden="1" x14ac:dyDescent="0.2">
      <c r="L224" s="88"/>
      <c r="M224" s="88"/>
      <c r="N224" s="88"/>
      <c r="O224" s="88"/>
      <c r="P224" s="88"/>
      <c r="Q224" s="88"/>
      <c r="R224" s="88"/>
      <c r="S224" s="88"/>
      <c r="T224" s="88"/>
      <c r="U224" s="88"/>
      <c r="V224" s="88"/>
      <c r="W224" s="88"/>
      <c r="X224" s="88"/>
      <c r="Y224" s="88"/>
    </row>
    <row r="225" spans="12:25" hidden="1" x14ac:dyDescent="0.2">
      <c r="L225" s="88"/>
      <c r="M225" s="88"/>
      <c r="N225" s="88"/>
      <c r="O225" s="88"/>
      <c r="P225" s="88"/>
      <c r="Q225" s="88"/>
      <c r="R225" s="88"/>
      <c r="S225" s="88"/>
      <c r="T225" s="88"/>
      <c r="U225" s="88"/>
      <c r="V225" s="88"/>
      <c r="W225" s="88"/>
      <c r="X225" s="88"/>
      <c r="Y225" s="88"/>
    </row>
    <row r="226" spans="12:25" hidden="1" x14ac:dyDescent="0.2">
      <c r="L226" s="88"/>
      <c r="M226" s="88"/>
      <c r="N226" s="88"/>
      <c r="O226" s="88"/>
      <c r="P226" s="88"/>
      <c r="Q226" s="88"/>
      <c r="R226" s="88"/>
      <c r="S226" s="88"/>
      <c r="T226" s="88"/>
      <c r="U226" s="88"/>
      <c r="V226" s="88"/>
      <c r="W226" s="88"/>
      <c r="X226" s="88"/>
      <c r="Y226" s="88"/>
    </row>
    <row r="227" spans="12:25" hidden="1" x14ac:dyDescent="0.2">
      <c r="L227" s="88"/>
      <c r="M227" s="88"/>
      <c r="N227" s="88"/>
      <c r="O227" s="88"/>
      <c r="P227" s="88"/>
      <c r="Q227" s="88"/>
      <c r="R227" s="88"/>
      <c r="S227" s="88"/>
      <c r="T227" s="88"/>
      <c r="U227" s="88"/>
      <c r="V227" s="88"/>
      <c r="W227" s="88"/>
      <c r="X227" s="88"/>
      <c r="Y227" s="88"/>
    </row>
    <row r="228" spans="12:25" hidden="1" x14ac:dyDescent="0.2">
      <c r="L228" s="88"/>
      <c r="M228" s="88"/>
      <c r="N228" s="88"/>
      <c r="O228" s="88"/>
      <c r="P228" s="88"/>
      <c r="Q228" s="88"/>
      <c r="R228" s="88"/>
      <c r="S228" s="88"/>
      <c r="T228" s="88"/>
      <c r="U228" s="88"/>
      <c r="V228" s="88"/>
      <c r="W228" s="88"/>
      <c r="X228" s="88"/>
      <c r="Y228" s="88"/>
    </row>
    <row r="229" spans="12:25" hidden="1" x14ac:dyDescent="0.2">
      <c r="L229" s="88"/>
      <c r="M229" s="88"/>
      <c r="N229" s="88"/>
      <c r="O229" s="88"/>
      <c r="P229" s="88"/>
      <c r="Q229" s="88"/>
      <c r="R229" s="88"/>
      <c r="S229" s="88"/>
      <c r="T229" s="88"/>
      <c r="U229" s="88"/>
      <c r="V229" s="88"/>
      <c r="W229" s="88"/>
      <c r="X229" s="88"/>
      <c r="Y229" s="88"/>
    </row>
    <row r="230" spans="12:25" hidden="1" x14ac:dyDescent="0.2">
      <c r="L230" s="88"/>
      <c r="M230" s="88"/>
      <c r="N230" s="88"/>
      <c r="O230" s="88"/>
      <c r="P230" s="88"/>
      <c r="Q230" s="88"/>
      <c r="R230" s="88"/>
      <c r="S230" s="88"/>
      <c r="T230" s="88"/>
      <c r="U230" s="88"/>
      <c r="V230" s="88"/>
      <c r="W230" s="88"/>
      <c r="X230" s="88"/>
      <c r="Y230" s="88"/>
    </row>
    <row r="231" spans="12:25" hidden="1" x14ac:dyDescent="0.2">
      <c r="L231" s="88"/>
      <c r="M231" s="88"/>
      <c r="N231" s="88"/>
      <c r="O231" s="88"/>
      <c r="P231" s="88"/>
      <c r="Q231" s="88"/>
      <c r="R231" s="88"/>
      <c r="S231" s="88"/>
      <c r="T231" s="88"/>
      <c r="U231" s="88"/>
      <c r="V231" s="88"/>
      <c r="W231" s="88"/>
      <c r="X231" s="88"/>
      <c r="Y231" s="88"/>
    </row>
    <row r="232" spans="12:25" hidden="1" x14ac:dyDescent="0.2">
      <c r="L232" s="88"/>
      <c r="M232" s="88"/>
      <c r="N232" s="88"/>
      <c r="O232" s="88"/>
      <c r="P232" s="88"/>
      <c r="Q232" s="88"/>
      <c r="R232" s="88"/>
      <c r="S232" s="88"/>
      <c r="T232" s="88"/>
      <c r="U232" s="88"/>
      <c r="V232" s="88"/>
      <c r="W232" s="88"/>
      <c r="X232" s="88"/>
      <c r="Y232" s="88"/>
    </row>
    <row r="233" spans="12:25" hidden="1" x14ac:dyDescent="0.2">
      <c r="L233" s="88"/>
      <c r="M233" s="88"/>
      <c r="N233" s="88"/>
      <c r="O233" s="88"/>
      <c r="P233" s="88"/>
      <c r="Q233" s="88"/>
      <c r="R233" s="88"/>
      <c r="S233" s="88"/>
      <c r="T233" s="88"/>
      <c r="U233" s="88"/>
      <c r="V233" s="88"/>
      <c r="W233" s="88"/>
      <c r="X233" s="88"/>
      <c r="Y233" s="88"/>
    </row>
    <row r="234" spans="12:25" hidden="1" x14ac:dyDescent="0.2">
      <c r="L234" s="88"/>
      <c r="M234" s="88"/>
      <c r="N234" s="88"/>
      <c r="O234" s="88"/>
      <c r="P234" s="88"/>
      <c r="Q234" s="88"/>
      <c r="R234" s="88"/>
      <c r="S234" s="88"/>
      <c r="T234" s="88"/>
      <c r="U234" s="88"/>
      <c r="V234" s="88"/>
      <c r="W234" s="88"/>
      <c r="X234" s="88"/>
      <c r="Y234" s="88"/>
    </row>
    <row r="235" spans="12:25" hidden="1" x14ac:dyDescent="0.2">
      <c r="L235" s="88"/>
      <c r="M235" s="88"/>
      <c r="N235" s="88"/>
      <c r="O235" s="88"/>
      <c r="P235" s="88"/>
      <c r="Q235" s="88"/>
      <c r="R235" s="88"/>
      <c r="S235" s="88"/>
      <c r="T235" s="88"/>
      <c r="U235" s="88"/>
      <c r="V235" s="88"/>
      <c r="W235" s="88"/>
      <c r="X235" s="88"/>
      <c r="Y235" s="88"/>
    </row>
    <row r="236" spans="12:25" hidden="1" x14ac:dyDescent="0.2">
      <c r="L236" s="88"/>
      <c r="M236" s="88"/>
      <c r="N236" s="88"/>
      <c r="O236" s="88"/>
      <c r="P236" s="88"/>
      <c r="Q236" s="88"/>
      <c r="R236" s="88"/>
      <c r="S236" s="88"/>
      <c r="T236" s="88"/>
      <c r="U236" s="88"/>
      <c r="V236" s="88"/>
      <c r="W236" s="88"/>
      <c r="X236" s="88"/>
      <c r="Y236" s="88"/>
    </row>
    <row r="237" spans="12:25" hidden="1" x14ac:dyDescent="0.2">
      <c r="L237" s="88"/>
      <c r="M237" s="88"/>
      <c r="N237" s="88"/>
      <c r="O237" s="88"/>
      <c r="P237" s="88"/>
      <c r="Q237" s="88"/>
      <c r="R237" s="88"/>
      <c r="S237" s="88"/>
      <c r="T237" s="88"/>
      <c r="U237" s="88"/>
      <c r="V237" s="88"/>
      <c r="W237" s="88"/>
      <c r="X237" s="88"/>
      <c r="Y237" s="88"/>
    </row>
    <row r="238" spans="12:25" hidden="1" x14ac:dyDescent="0.2">
      <c r="L238" s="88"/>
      <c r="M238" s="88"/>
      <c r="N238" s="88"/>
      <c r="O238" s="88"/>
      <c r="P238" s="88"/>
      <c r="Q238" s="88"/>
      <c r="R238" s="88"/>
      <c r="S238" s="88"/>
      <c r="T238" s="88"/>
      <c r="U238" s="88"/>
      <c r="V238" s="88"/>
      <c r="W238" s="88"/>
      <c r="X238" s="88"/>
      <c r="Y238" s="88"/>
    </row>
    <row r="239" spans="12:25" hidden="1" x14ac:dyDescent="0.2">
      <c r="L239" s="88"/>
      <c r="M239" s="88"/>
      <c r="N239" s="88"/>
      <c r="O239" s="88"/>
      <c r="P239" s="88"/>
      <c r="Q239" s="88"/>
      <c r="R239" s="88"/>
      <c r="S239" s="88"/>
      <c r="T239" s="88"/>
      <c r="U239" s="88"/>
      <c r="V239" s="88"/>
      <c r="W239" s="88"/>
      <c r="X239" s="88"/>
      <c r="Y239" s="88"/>
    </row>
    <row r="240" spans="12:25" hidden="1" x14ac:dyDescent="0.2">
      <c r="L240" s="88"/>
      <c r="M240" s="88"/>
      <c r="N240" s="88"/>
      <c r="O240" s="88"/>
      <c r="P240" s="88"/>
      <c r="Q240" s="88"/>
      <c r="R240" s="88"/>
      <c r="S240" s="88"/>
      <c r="T240" s="88"/>
      <c r="U240" s="88"/>
      <c r="V240" s="88"/>
      <c r="W240" s="88"/>
      <c r="X240" s="88"/>
      <c r="Y240" s="88"/>
    </row>
    <row r="241" spans="12:25" hidden="1" x14ac:dyDescent="0.2">
      <c r="L241" s="88"/>
      <c r="M241" s="88"/>
      <c r="N241" s="88"/>
      <c r="O241" s="88"/>
      <c r="P241" s="88"/>
      <c r="Q241" s="88"/>
      <c r="R241" s="88"/>
      <c r="S241" s="88"/>
      <c r="T241" s="88"/>
      <c r="U241" s="88"/>
      <c r="V241" s="88"/>
      <c r="W241" s="88"/>
      <c r="X241" s="88"/>
      <c r="Y241" s="88"/>
    </row>
    <row r="242" spans="12:25" hidden="1" x14ac:dyDescent="0.2">
      <c r="L242" s="88"/>
      <c r="M242" s="88"/>
      <c r="N242" s="88"/>
      <c r="O242" s="88"/>
      <c r="P242" s="88"/>
      <c r="Q242" s="88"/>
      <c r="R242" s="88"/>
      <c r="S242" s="88"/>
      <c r="T242" s="88"/>
      <c r="U242" s="88"/>
      <c r="V242" s="88"/>
      <c r="W242" s="88"/>
      <c r="X242" s="88"/>
      <c r="Y242" s="88"/>
    </row>
    <row r="243" spans="12:25" hidden="1" x14ac:dyDescent="0.2">
      <c r="L243" s="88"/>
      <c r="M243" s="88"/>
      <c r="N243" s="88"/>
      <c r="O243" s="88"/>
      <c r="P243" s="88"/>
      <c r="Q243" s="88"/>
      <c r="R243" s="88"/>
      <c r="S243" s="88"/>
      <c r="T243" s="88"/>
      <c r="U243" s="88"/>
      <c r="V243" s="88"/>
      <c r="W243" s="88"/>
      <c r="X243" s="88"/>
      <c r="Y243" s="88"/>
    </row>
    <row r="244" spans="12:25" hidden="1" x14ac:dyDescent="0.2">
      <c r="L244" s="88"/>
      <c r="M244" s="88"/>
      <c r="N244" s="88"/>
      <c r="O244" s="88"/>
      <c r="P244" s="88"/>
      <c r="Q244" s="88"/>
      <c r="R244" s="88"/>
      <c r="S244" s="88"/>
      <c r="T244" s="88"/>
      <c r="U244" s="88"/>
      <c r="V244" s="88"/>
      <c r="W244" s="88"/>
      <c r="X244" s="88"/>
      <c r="Y244" s="88"/>
    </row>
    <row r="245" spans="12:25" hidden="1" x14ac:dyDescent="0.2">
      <c r="L245" s="88"/>
      <c r="M245" s="88"/>
      <c r="N245" s="88"/>
      <c r="O245" s="88"/>
      <c r="P245" s="88"/>
      <c r="Q245" s="88"/>
      <c r="R245" s="88"/>
      <c r="S245" s="88"/>
      <c r="T245" s="88"/>
      <c r="U245" s="88"/>
      <c r="V245" s="88"/>
      <c r="W245" s="88"/>
      <c r="X245" s="88"/>
      <c r="Y245" s="88"/>
    </row>
    <row r="246" spans="12:25" hidden="1" x14ac:dyDescent="0.2">
      <c r="L246" s="88"/>
      <c r="M246" s="88"/>
      <c r="N246" s="88"/>
      <c r="O246" s="88"/>
      <c r="P246" s="88"/>
      <c r="Q246" s="88"/>
      <c r="R246" s="88"/>
      <c r="S246" s="88"/>
      <c r="T246" s="88"/>
      <c r="U246" s="88"/>
      <c r="V246" s="88"/>
      <c r="W246" s="88"/>
      <c r="X246" s="88"/>
      <c r="Y246" s="88"/>
    </row>
    <row r="247" spans="12:25" hidden="1" x14ac:dyDescent="0.2">
      <c r="L247" s="88"/>
      <c r="M247" s="88"/>
      <c r="N247" s="88"/>
      <c r="O247" s="88"/>
      <c r="P247" s="88"/>
      <c r="Q247" s="88"/>
      <c r="R247" s="88"/>
      <c r="S247" s="88"/>
      <c r="T247" s="88"/>
      <c r="U247" s="88"/>
      <c r="V247" s="88"/>
      <c r="W247" s="88"/>
      <c r="X247" s="88"/>
      <c r="Y247" s="88"/>
    </row>
    <row r="248" spans="12:25" hidden="1" x14ac:dyDescent="0.2">
      <c r="L248" s="88"/>
      <c r="M248" s="88"/>
      <c r="N248" s="88"/>
      <c r="O248" s="88"/>
      <c r="P248" s="88"/>
      <c r="Q248" s="88"/>
      <c r="R248" s="88"/>
      <c r="S248" s="88"/>
      <c r="T248" s="88"/>
      <c r="U248" s="88"/>
      <c r="V248" s="88"/>
      <c r="W248" s="88"/>
      <c r="X248" s="88"/>
      <c r="Y248" s="88"/>
    </row>
    <row r="249" spans="12:25" hidden="1" x14ac:dyDescent="0.2">
      <c r="L249" s="88"/>
      <c r="M249" s="88"/>
      <c r="N249" s="88"/>
      <c r="O249" s="88"/>
      <c r="P249" s="88"/>
      <c r="Q249" s="88"/>
      <c r="R249" s="88"/>
      <c r="S249" s="88"/>
      <c r="T249" s="88"/>
      <c r="U249" s="88"/>
      <c r="V249" s="88"/>
      <c r="W249" s="88"/>
      <c r="X249" s="88"/>
      <c r="Y249" s="88"/>
    </row>
    <row r="250" spans="12:25" hidden="1" x14ac:dyDescent="0.2">
      <c r="L250" s="88"/>
      <c r="M250" s="88"/>
      <c r="N250" s="88"/>
      <c r="O250" s="88"/>
      <c r="P250" s="88"/>
      <c r="Q250" s="88"/>
      <c r="R250" s="88"/>
      <c r="S250" s="88"/>
      <c r="T250" s="88"/>
      <c r="U250" s="88"/>
      <c r="V250" s="88"/>
      <c r="W250" s="88"/>
      <c r="X250" s="88"/>
      <c r="Y250" s="88"/>
    </row>
    <row r="251" spans="12:25" hidden="1" x14ac:dyDescent="0.2">
      <c r="L251" s="88"/>
      <c r="M251" s="88"/>
      <c r="N251" s="88"/>
      <c r="O251" s="88"/>
      <c r="P251" s="88"/>
      <c r="Q251" s="88"/>
      <c r="R251" s="88"/>
      <c r="S251" s="88"/>
      <c r="T251" s="88"/>
      <c r="U251" s="88"/>
      <c r="V251" s="88"/>
      <c r="W251" s="88"/>
      <c r="X251" s="88"/>
      <c r="Y251" s="88"/>
    </row>
    <row r="252" spans="12:25" hidden="1" x14ac:dyDescent="0.2">
      <c r="L252" s="88"/>
      <c r="M252" s="88"/>
      <c r="N252" s="88"/>
      <c r="O252" s="88"/>
      <c r="P252" s="88"/>
      <c r="Q252" s="88"/>
      <c r="R252" s="88"/>
      <c r="S252" s="88"/>
      <c r="T252" s="88"/>
      <c r="U252" s="88"/>
      <c r="V252" s="88"/>
      <c r="W252" s="88"/>
      <c r="X252" s="88"/>
      <c r="Y252" s="88"/>
    </row>
    <row r="253" spans="12:25" hidden="1" x14ac:dyDescent="0.2">
      <c r="L253" s="88"/>
      <c r="M253" s="88"/>
      <c r="N253" s="88"/>
      <c r="O253" s="88"/>
      <c r="P253" s="88"/>
      <c r="Q253" s="88"/>
      <c r="R253" s="88"/>
      <c r="S253" s="88"/>
      <c r="T253" s="88"/>
      <c r="U253" s="88"/>
      <c r="V253" s="88"/>
      <c r="W253" s="88"/>
      <c r="X253" s="88"/>
      <c r="Y253" s="88"/>
    </row>
    <row r="254" spans="12:25" hidden="1" x14ac:dyDescent="0.2">
      <c r="L254" s="88"/>
      <c r="M254" s="88"/>
      <c r="N254" s="88"/>
      <c r="O254" s="88"/>
      <c r="P254" s="88"/>
      <c r="Q254" s="88"/>
      <c r="R254" s="88"/>
      <c r="S254" s="88"/>
      <c r="T254" s="88"/>
      <c r="U254" s="88"/>
      <c r="V254" s="88"/>
      <c r="W254" s="88"/>
      <c r="X254" s="88"/>
      <c r="Y254" s="88"/>
    </row>
    <row r="255" spans="12:25" hidden="1" x14ac:dyDescent="0.2">
      <c r="L255" s="88"/>
      <c r="M255" s="88"/>
      <c r="N255" s="88"/>
      <c r="O255" s="88"/>
      <c r="P255" s="88"/>
      <c r="Q255" s="88"/>
      <c r="R255" s="88"/>
      <c r="S255" s="88"/>
      <c r="T255" s="88"/>
      <c r="U255" s="88"/>
      <c r="V255" s="88"/>
      <c r="W255" s="88"/>
      <c r="X255" s="88"/>
      <c r="Y255" s="88"/>
    </row>
    <row r="256" spans="12:25" hidden="1" x14ac:dyDescent="0.2">
      <c r="L256" s="88"/>
      <c r="M256" s="88"/>
      <c r="N256" s="88"/>
      <c r="O256" s="88"/>
      <c r="P256" s="88"/>
      <c r="Q256" s="88"/>
      <c r="R256" s="88"/>
      <c r="S256" s="88"/>
      <c r="T256" s="88"/>
      <c r="U256" s="88"/>
      <c r="V256" s="88"/>
      <c r="W256" s="88"/>
      <c r="X256" s="88"/>
      <c r="Y256" s="88"/>
    </row>
    <row r="257" spans="12:25" hidden="1" x14ac:dyDescent="0.2">
      <c r="L257" s="88"/>
      <c r="M257" s="88"/>
      <c r="N257" s="88"/>
      <c r="O257" s="88"/>
      <c r="P257" s="88"/>
      <c r="Q257" s="88"/>
      <c r="R257" s="88"/>
      <c r="S257" s="88"/>
      <c r="T257" s="88"/>
      <c r="U257" s="88"/>
      <c r="V257" s="88"/>
      <c r="W257" s="88"/>
      <c r="X257" s="88"/>
      <c r="Y257" s="88"/>
    </row>
    <row r="258" spans="12:25" hidden="1" x14ac:dyDescent="0.2">
      <c r="L258" s="88"/>
      <c r="M258" s="88"/>
      <c r="N258" s="88"/>
      <c r="O258" s="88"/>
      <c r="P258" s="88"/>
      <c r="Q258" s="88"/>
      <c r="R258" s="88"/>
      <c r="S258" s="88"/>
      <c r="T258" s="88"/>
      <c r="U258" s="88"/>
      <c r="V258" s="88"/>
      <c r="W258" s="88"/>
      <c r="X258" s="88"/>
      <c r="Y258" s="88"/>
    </row>
    <row r="259" spans="12:25" hidden="1" x14ac:dyDescent="0.2">
      <c r="L259" s="88"/>
      <c r="M259" s="88"/>
      <c r="N259" s="88"/>
      <c r="O259" s="88"/>
      <c r="P259" s="88"/>
      <c r="Q259" s="88"/>
      <c r="R259" s="88"/>
      <c r="S259" s="88"/>
      <c r="T259" s="88"/>
      <c r="U259" s="88"/>
      <c r="V259" s="88"/>
      <c r="W259" s="88"/>
      <c r="X259" s="88"/>
      <c r="Y259" s="88"/>
    </row>
    <row r="260" spans="12:25" hidden="1" x14ac:dyDescent="0.2">
      <c r="L260" s="88"/>
      <c r="M260" s="88"/>
      <c r="N260" s="88"/>
      <c r="O260" s="88"/>
      <c r="P260" s="88"/>
      <c r="Q260" s="88"/>
      <c r="R260" s="88"/>
      <c r="S260" s="88"/>
      <c r="T260" s="88"/>
      <c r="U260" s="88"/>
      <c r="V260" s="88"/>
      <c r="W260" s="88"/>
      <c r="X260" s="88"/>
      <c r="Y260" s="88"/>
    </row>
    <row r="261" spans="12:25" hidden="1" x14ac:dyDescent="0.2">
      <c r="L261" s="88"/>
      <c r="M261" s="88"/>
      <c r="N261" s="88"/>
      <c r="O261" s="88"/>
      <c r="P261" s="88"/>
      <c r="Q261" s="88"/>
      <c r="R261" s="88"/>
      <c r="S261" s="88"/>
      <c r="T261" s="88"/>
      <c r="U261" s="88"/>
      <c r="V261" s="88"/>
      <c r="W261" s="88"/>
      <c r="X261" s="88"/>
      <c r="Y261" s="88"/>
    </row>
    <row r="262" spans="12:25" hidden="1" x14ac:dyDescent="0.2">
      <c r="L262" s="88"/>
      <c r="M262" s="88"/>
      <c r="N262" s="88"/>
      <c r="O262" s="88"/>
      <c r="P262" s="88"/>
      <c r="Q262" s="88"/>
      <c r="R262" s="88"/>
      <c r="S262" s="88"/>
      <c r="T262" s="88"/>
      <c r="U262" s="88"/>
      <c r="V262" s="88"/>
      <c r="W262" s="88"/>
      <c r="X262" s="88"/>
      <c r="Y262" s="88"/>
    </row>
    <row r="263" spans="12:25" hidden="1" x14ac:dyDescent="0.2">
      <c r="L263" s="88"/>
      <c r="M263" s="88"/>
      <c r="N263" s="88"/>
      <c r="O263" s="88"/>
      <c r="P263" s="88"/>
      <c r="Q263" s="88"/>
      <c r="R263" s="88"/>
      <c r="S263" s="88"/>
      <c r="T263" s="88"/>
      <c r="U263" s="88"/>
      <c r="V263" s="88"/>
      <c r="W263" s="88"/>
      <c r="X263" s="88"/>
      <c r="Y263" s="88"/>
    </row>
    <row r="264" spans="12:25" hidden="1" x14ac:dyDescent="0.2">
      <c r="L264" s="88"/>
      <c r="M264" s="88"/>
      <c r="N264" s="88"/>
      <c r="O264" s="88"/>
      <c r="P264" s="88"/>
      <c r="Q264" s="88"/>
      <c r="R264" s="88"/>
      <c r="S264" s="88"/>
      <c r="T264" s="88"/>
      <c r="U264" s="88"/>
      <c r="V264" s="88"/>
      <c r="W264" s="88"/>
      <c r="X264" s="88"/>
      <c r="Y264" s="88"/>
    </row>
    <row r="265" spans="12:25" hidden="1" x14ac:dyDescent="0.2">
      <c r="L265" s="88"/>
      <c r="M265" s="88"/>
      <c r="N265" s="88"/>
      <c r="O265" s="88"/>
      <c r="P265" s="88"/>
      <c r="Q265" s="88"/>
      <c r="R265" s="88"/>
      <c r="S265" s="88"/>
      <c r="T265" s="88"/>
      <c r="U265" s="88"/>
      <c r="V265" s="88"/>
      <c r="W265" s="88"/>
      <c r="X265" s="88"/>
      <c r="Y265" s="88"/>
    </row>
    <row r="266" spans="12:25" hidden="1" x14ac:dyDescent="0.2">
      <c r="L266" s="88"/>
      <c r="M266" s="88"/>
      <c r="N266" s="88"/>
      <c r="O266" s="88"/>
      <c r="P266" s="88"/>
      <c r="Q266" s="88"/>
      <c r="R266" s="88"/>
      <c r="S266" s="88"/>
      <c r="T266" s="88"/>
      <c r="U266" s="88"/>
      <c r="V266" s="88"/>
      <c r="W266" s="88"/>
      <c r="X266" s="88"/>
      <c r="Y266" s="88"/>
    </row>
    <row r="267" spans="12:25" hidden="1" x14ac:dyDescent="0.2">
      <c r="L267" s="88"/>
      <c r="M267" s="88"/>
      <c r="N267" s="88"/>
      <c r="O267" s="88"/>
      <c r="P267" s="88"/>
      <c r="Q267" s="88"/>
      <c r="R267" s="88"/>
      <c r="S267" s="88"/>
      <c r="T267" s="88"/>
      <c r="U267" s="88"/>
      <c r="V267" s="88"/>
      <c r="W267" s="88"/>
      <c r="X267" s="88"/>
      <c r="Y267" s="88"/>
    </row>
    <row r="268" spans="12:25" hidden="1" x14ac:dyDescent="0.2">
      <c r="L268" s="88"/>
      <c r="M268" s="88"/>
      <c r="N268" s="88"/>
      <c r="O268" s="88"/>
      <c r="P268" s="88"/>
      <c r="Q268" s="88"/>
      <c r="R268" s="88"/>
      <c r="S268" s="88"/>
      <c r="T268" s="88"/>
      <c r="U268" s="88"/>
      <c r="V268" s="88"/>
      <c r="W268" s="88"/>
      <c r="X268" s="88"/>
      <c r="Y268" s="88"/>
    </row>
    <row r="269" spans="12:25" hidden="1" x14ac:dyDescent="0.2">
      <c r="L269" s="88"/>
      <c r="M269" s="88"/>
      <c r="N269" s="88"/>
      <c r="O269" s="88"/>
      <c r="P269" s="88"/>
      <c r="Q269" s="88"/>
      <c r="R269" s="88"/>
      <c r="S269" s="88"/>
      <c r="T269" s="88"/>
      <c r="U269" s="88"/>
      <c r="V269" s="88"/>
      <c r="W269" s="88"/>
      <c r="X269" s="88"/>
      <c r="Y269" s="88"/>
    </row>
    <row r="270" spans="12:25" hidden="1" x14ac:dyDescent="0.2">
      <c r="L270" s="88"/>
      <c r="M270" s="88"/>
      <c r="N270" s="88"/>
      <c r="O270" s="88"/>
      <c r="P270" s="88"/>
      <c r="Q270" s="88"/>
      <c r="R270" s="88"/>
      <c r="S270" s="88"/>
      <c r="T270" s="88"/>
      <c r="U270" s="88"/>
      <c r="V270" s="88"/>
      <c r="W270" s="88"/>
      <c r="X270" s="88"/>
      <c r="Y270" s="88"/>
    </row>
    <row r="271" spans="12:25" hidden="1" x14ac:dyDescent="0.2">
      <c r="L271" s="88"/>
      <c r="M271" s="88"/>
      <c r="N271" s="88"/>
      <c r="O271" s="88"/>
      <c r="P271" s="88"/>
      <c r="Q271" s="88"/>
      <c r="R271" s="88"/>
      <c r="S271" s="88"/>
      <c r="T271" s="88"/>
      <c r="U271" s="88"/>
      <c r="V271" s="88"/>
      <c r="W271" s="88"/>
      <c r="X271" s="88"/>
      <c r="Y271" s="88"/>
    </row>
    <row r="272" spans="12:25" hidden="1" x14ac:dyDescent="0.2">
      <c r="L272" s="88"/>
      <c r="M272" s="88"/>
      <c r="N272" s="88"/>
      <c r="O272" s="88"/>
      <c r="P272" s="88"/>
      <c r="Q272" s="88"/>
      <c r="R272" s="88"/>
      <c r="S272" s="88"/>
      <c r="T272" s="88"/>
      <c r="U272" s="88"/>
      <c r="V272" s="88"/>
      <c r="W272" s="88"/>
      <c r="X272" s="88"/>
      <c r="Y272" s="88"/>
    </row>
    <row r="273" spans="12:25" hidden="1" x14ac:dyDescent="0.2">
      <c r="L273" s="88"/>
      <c r="M273" s="88"/>
      <c r="N273" s="88"/>
      <c r="O273" s="88"/>
      <c r="P273" s="88"/>
      <c r="Q273" s="88"/>
      <c r="R273" s="88"/>
      <c r="S273" s="88"/>
      <c r="T273" s="88"/>
      <c r="U273" s="88"/>
      <c r="V273" s="88"/>
      <c r="W273" s="88"/>
      <c r="X273" s="88"/>
      <c r="Y273" s="88"/>
    </row>
    <row r="274" spans="12:25" hidden="1" x14ac:dyDescent="0.2">
      <c r="L274" s="88"/>
      <c r="M274" s="88"/>
      <c r="N274" s="88"/>
      <c r="O274" s="88"/>
      <c r="P274" s="88"/>
      <c r="Q274" s="88"/>
      <c r="R274" s="88"/>
      <c r="S274" s="88"/>
      <c r="T274" s="88"/>
      <c r="U274" s="88"/>
      <c r="V274" s="88"/>
      <c r="W274" s="88"/>
      <c r="X274" s="88"/>
      <c r="Y274" s="88"/>
    </row>
    <row r="275" spans="12:25" hidden="1" x14ac:dyDescent="0.2">
      <c r="L275" s="88"/>
      <c r="M275" s="88"/>
      <c r="N275" s="88"/>
      <c r="O275" s="88"/>
      <c r="P275" s="88"/>
      <c r="Q275" s="88"/>
      <c r="R275" s="88"/>
      <c r="S275" s="88"/>
      <c r="T275" s="88"/>
      <c r="U275" s="88"/>
      <c r="V275" s="88"/>
      <c r="W275" s="88"/>
      <c r="X275" s="88"/>
      <c r="Y275" s="88"/>
    </row>
    <row r="276" spans="12:25" hidden="1" x14ac:dyDescent="0.2">
      <c r="L276" s="88"/>
      <c r="M276" s="88"/>
      <c r="N276" s="88"/>
      <c r="O276" s="88"/>
      <c r="P276" s="88"/>
      <c r="Q276" s="88"/>
      <c r="R276" s="88"/>
      <c r="S276" s="88"/>
      <c r="T276" s="88"/>
      <c r="U276" s="88"/>
      <c r="V276" s="88"/>
      <c r="W276" s="88"/>
      <c r="X276" s="88"/>
      <c r="Y276" s="88"/>
    </row>
    <row r="277" spans="12:25" hidden="1" x14ac:dyDescent="0.2">
      <c r="L277" s="88"/>
      <c r="M277" s="88"/>
      <c r="N277" s="88"/>
      <c r="O277" s="88"/>
      <c r="P277" s="88"/>
      <c r="Q277" s="88"/>
      <c r="R277" s="88"/>
      <c r="S277" s="88"/>
      <c r="T277" s="88"/>
      <c r="U277" s="88"/>
      <c r="V277" s="88"/>
      <c r="W277" s="88"/>
      <c r="X277" s="88"/>
      <c r="Y277" s="88"/>
    </row>
    <row r="278" spans="12:25" hidden="1" x14ac:dyDescent="0.2">
      <c r="L278" s="88"/>
      <c r="M278" s="88"/>
      <c r="N278" s="88"/>
      <c r="O278" s="88"/>
      <c r="P278" s="88"/>
      <c r="Q278" s="88"/>
      <c r="R278" s="88"/>
      <c r="S278" s="88"/>
      <c r="T278" s="88"/>
      <c r="U278" s="88"/>
      <c r="V278" s="88"/>
      <c r="W278" s="88"/>
      <c r="X278" s="88"/>
      <c r="Y278" s="88"/>
    </row>
    <row r="279" spans="12:25" hidden="1" x14ac:dyDescent="0.2">
      <c r="L279" s="88"/>
      <c r="M279" s="88"/>
      <c r="N279" s="88"/>
      <c r="O279" s="88"/>
      <c r="P279" s="88"/>
      <c r="Q279" s="88"/>
      <c r="R279" s="88"/>
      <c r="S279" s="88"/>
      <c r="T279" s="88"/>
      <c r="U279" s="88"/>
      <c r="V279" s="88"/>
      <c r="W279" s="88"/>
      <c r="X279" s="88"/>
      <c r="Y279" s="88"/>
    </row>
    <row r="280" spans="12:25" hidden="1" x14ac:dyDescent="0.2">
      <c r="L280" s="88"/>
      <c r="M280" s="88"/>
      <c r="N280" s="88"/>
      <c r="O280" s="88"/>
      <c r="P280" s="88"/>
      <c r="Q280" s="88"/>
      <c r="R280" s="88"/>
      <c r="S280" s="88"/>
      <c r="T280" s="88"/>
      <c r="U280" s="88"/>
      <c r="V280" s="88"/>
      <c r="W280" s="88"/>
      <c r="X280" s="88"/>
      <c r="Y280" s="88"/>
    </row>
    <row r="281" spans="12:25" hidden="1" x14ac:dyDescent="0.2">
      <c r="L281" s="88"/>
      <c r="M281" s="88"/>
      <c r="N281" s="88"/>
      <c r="O281" s="88"/>
      <c r="P281" s="88"/>
      <c r="Q281" s="88"/>
      <c r="R281" s="88"/>
      <c r="S281" s="88"/>
      <c r="T281" s="88"/>
      <c r="U281" s="88"/>
      <c r="V281" s="88"/>
      <c r="W281" s="88"/>
      <c r="X281" s="88"/>
      <c r="Y281" s="88"/>
    </row>
    <row r="282" spans="12:25" hidden="1" x14ac:dyDescent="0.2">
      <c r="L282" s="88"/>
      <c r="M282" s="88"/>
      <c r="N282" s="88"/>
      <c r="O282" s="88"/>
      <c r="P282" s="88"/>
      <c r="Q282" s="88"/>
      <c r="R282" s="88"/>
      <c r="S282" s="88"/>
      <c r="T282" s="88"/>
      <c r="U282" s="88"/>
      <c r="V282" s="88"/>
      <c r="W282" s="88"/>
      <c r="X282" s="88"/>
      <c r="Y282" s="88"/>
    </row>
    <row r="283" spans="12:25" hidden="1" x14ac:dyDescent="0.2">
      <c r="L283" s="88"/>
      <c r="M283" s="88"/>
      <c r="N283" s="88"/>
      <c r="O283" s="88"/>
      <c r="P283" s="88"/>
      <c r="Q283" s="88"/>
      <c r="R283" s="88"/>
      <c r="S283" s="88"/>
      <c r="T283" s="88"/>
      <c r="U283" s="88"/>
      <c r="V283" s="88"/>
      <c r="W283" s="88"/>
      <c r="X283" s="88"/>
      <c r="Y283" s="88"/>
    </row>
    <row r="284" spans="12:25" hidden="1" x14ac:dyDescent="0.2">
      <c r="L284" s="88"/>
      <c r="M284" s="88"/>
      <c r="N284" s="88"/>
      <c r="O284" s="88"/>
      <c r="P284" s="88"/>
      <c r="Q284" s="88"/>
      <c r="R284" s="88"/>
      <c r="S284" s="88"/>
      <c r="T284" s="88"/>
      <c r="U284" s="88"/>
      <c r="V284" s="88"/>
      <c r="W284" s="88"/>
      <c r="X284" s="88"/>
      <c r="Y284" s="88"/>
    </row>
    <row r="285" spans="12:25" hidden="1" x14ac:dyDescent="0.2">
      <c r="L285" s="88"/>
      <c r="M285" s="88"/>
      <c r="N285" s="88"/>
      <c r="O285" s="88"/>
      <c r="P285" s="88"/>
      <c r="Q285" s="88"/>
      <c r="R285" s="88"/>
      <c r="S285" s="88"/>
      <c r="T285" s="88"/>
      <c r="U285" s="88"/>
      <c r="V285" s="88"/>
      <c r="W285" s="88"/>
      <c r="X285" s="88"/>
      <c r="Y285" s="88"/>
    </row>
    <row r="286" spans="12:25" hidden="1" x14ac:dyDescent="0.2">
      <c r="L286" s="88"/>
      <c r="M286" s="88"/>
      <c r="N286" s="88"/>
      <c r="O286" s="88"/>
      <c r="P286" s="88"/>
      <c r="Q286" s="88"/>
      <c r="R286" s="88"/>
      <c r="S286" s="88"/>
      <c r="T286" s="88"/>
      <c r="U286" s="88"/>
      <c r="V286" s="88"/>
      <c r="W286" s="88"/>
      <c r="X286" s="88"/>
      <c r="Y286" s="88"/>
    </row>
    <row r="287" spans="12:25" hidden="1" x14ac:dyDescent="0.2">
      <c r="L287" s="88"/>
      <c r="M287" s="88"/>
      <c r="N287" s="88"/>
      <c r="O287" s="88"/>
      <c r="P287" s="88"/>
      <c r="Q287" s="88"/>
      <c r="R287" s="88"/>
      <c r="S287" s="88"/>
      <c r="T287" s="88"/>
      <c r="U287" s="88"/>
      <c r="V287" s="88"/>
      <c r="W287" s="88"/>
      <c r="X287" s="88"/>
      <c r="Y287" s="88"/>
    </row>
    <row r="288" spans="12:25" hidden="1" x14ac:dyDescent="0.2">
      <c r="L288" s="88"/>
      <c r="M288" s="88"/>
      <c r="N288" s="88"/>
      <c r="O288" s="88"/>
      <c r="P288" s="88"/>
      <c r="Q288" s="88"/>
      <c r="R288" s="88"/>
      <c r="S288" s="88"/>
      <c r="T288" s="88"/>
      <c r="U288" s="88"/>
      <c r="V288" s="88"/>
      <c r="W288" s="88"/>
      <c r="X288" s="88"/>
      <c r="Y288" s="88"/>
    </row>
    <row r="289" spans="1:25" hidden="1" x14ac:dyDescent="0.2">
      <c r="L289" s="88"/>
      <c r="M289" s="88"/>
      <c r="N289" s="88"/>
      <c r="O289" s="88"/>
      <c r="P289" s="88"/>
      <c r="Q289" s="88"/>
      <c r="R289" s="88"/>
      <c r="S289" s="88"/>
      <c r="T289" s="88"/>
      <c r="U289" s="88"/>
      <c r="V289" s="88"/>
      <c r="W289" s="88"/>
      <c r="X289" s="88"/>
      <c r="Y289" s="88"/>
    </row>
    <row r="290" spans="1:25" hidden="1" x14ac:dyDescent="0.2">
      <c r="L290" s="88"/>
      <c r="M290" s="88"/>
      <c r="N290" s="88"/>
      <c r="O290" s="88"/>
      <c r="P290" s="88"/>
      <c r="Q290" s="88"/>
      <c r="R290" s="88"/>
      <c r="S290" s="88"/>
      <c r="T290" s="88"/>
      <c r="U290" s="88"/>
      <c r="V290" s="88"/>
      <c r="W290" s="88"/>
      <c r="X290" s="88"/>
      <c r="Y290" s="88"/>
    </row>
    <row r="291" spans="1:25" hidden="1" x14ac:dyDescent="0.2">
      <c r="L291" s="88"/>
      <c r="M291" s="88"/>
      <c r="N291" s="88"/>
      <c r="O291" s="88"/>
      <c r="P291" s="88"/>
      <c r="Q291" s="88"/>
      <c r="R291" s="88"/>
      <c r="S291" s="88"/>
      <c r="T291" s="88"/>
      <c r="U291" s="88"/>
      <c r="V291" s="88"/>
      <c r="W291" s="88"/>
      <c r="X291" s="88"/>
      <c r="Y291" s="88"/>
    </row>
    <row r="292" spans="1:25" hidden="1" x14ac:dyDescent="0.2">
      <c r="L292" s="88"/>
      <c r="M292" s="88"/>
      <c r="N292" s="88"/>
      <c r="O292" s="88"/>
      <c r="P292" s="88"/>
      <c r="Q292" s="88"/>
      <c r="R292" s="88"/>
      <c r="S292" s="88"/>
      <c r="T292" s="88"/>
      <c r="U292" s="88"/>
      <c r="V292" s="88"/>
      <c r="W292" s="88"/>
      <c r="X292" s="88"/>
      <c r="Y292" s="88"/>
    </row>
    <row r="293" spans="1:25" hidden="1" x14ac:dyDescent="0.2">
      <c r="L293" s="88"/>
      <c r="M293" s="88"/>
      <c r="N293" s="88"/>
      <c r="O293" s="88"/>
      <c r="P293" s="88"/>
      <c r="Q293" s="88"/>
      <c r="R293" s="88"/>
      <c r="S293" s="88"/>
      <c r="T293" s="88"/>
      <c r="U293" s="88"/>
      <c r="V293" s="88"/>
      <c r="W293" s="88"/>
      <c r="X293" s="88"/>
      <c r="Y293" s="88"/>
    </row>
    <row r="294" spans="1:25" hidden="1" x14ac:dyDescent="0.2">
      <c r="L294" s="88"/>
      <c r="M294" s="88"/>
      <c r="N294" s="88"/>
      <c r="O294" s="88"/>
      <c r="P294" s="88"/>
      <c r="Q294" s="88"/>
      <c r="R294" s="88"/>
      <c r="S294" s="88"/>
      <c r="T294" s="88"/>
      <c r="U294" s="88"/>
      <c r="V294" s="88"/>
      <c r="W294" s="88"/>
      <c r="X294" s="88"/>
      <c r="Y294" s="88"/>
    </row>
    <row r="295" spans="1:25" hidden="1" x14ac:dyDescent="0.2">
      <c r="L295" s="88"/>
      <c r="M295" s="88"/>
      <c r="N295" s="88"/>
      <c r="O295" s="88"/>
      <c r="P295" s="88"/>
      <c r="Q295" s="88"/>
      <c r="R295" s="88"/>
      <c r="S295" s="88"/>
      <c r="T295" s="88"/>
      <c r="U295" s="88"/>
      <c r="V295" s="88"/>
      <c r="W295" s="88"/>
      <c r="X295" s="88"/>
      <c r="Y295" s="88"/>
    </row>
    <row r="296" spans="1:25" hidden="1" x14ac:dyDescent="0.2">
      <c r="L296" s="88"/>
      <c r="M296" s="88"/>
      <c r="N296" s="88"/>
      <c r="O296" s="88"/>
      <c r="P296" s="88"/>
      <c r="Q296" s="88"/>
      <c r="R296" s="88"/>
      <c r="S296" s="88"/>
      <c r="T296" s="88"/>
      <c r="U296" s="88"/>
      <c r="V296" s="88"/>
      <c r="W296" s="88"/>
      <c r="X296" s="88"/>
      <c r="Y296" s="88"/>
    </row>
    <row r="297" spans="1:25" hidden="1" x14ac:dyDescent="0.2">
      <c r="L297" s="88"/>
      <c r="M297" s="88"/>
      <c r="N297" s="88"/>
      <c r="O297" s="88"/>
      <c r="P297" s="88"/>
      <c r="Q297" s="88"/>
      <c r="R297" s="88"/>
      <c r="S297" s="88"/>
      <c r="T297" s="88"/>
      <c r="U297" s="88"/>
      <c r="V297" s="88"/>
      <c r="W297" s="88"/>
      <c r="X297" s="88"/>
      <c r="Y297" s="88"/>
    </row>
    <row r="298" spans="1:25" hidden="1" x14ac:dyDescent="0.2"/>
    <row r="299" spans="1:25" x14ac:dyDescent="0.2">
      <c r="C299" s="264" t="s">
        <v>263</v>
      </c>
    </row>
    <row r="300" spans="1:25" x14ac:dyDescent="0.2">
      <c r="A300" s="424">
        <v>1</v>
      </c>
      <c r="B300" s="201" t="str">
        <f>IFERROR(INDEX(H$22:H$48,MATCH(A300&amp;". koht",H$23:H$49,0)),"")</f>
        <v>Ivar Viljaste, Kristo Viljaste, Sirje Viljaste</v>
      </c>
      <c r="C300" s="139">
        <v>40</v>
      </c>
    </row>
    <row r="301" spans="1:25" x14ac:dyDescent="0.2">
      <c r="A301" s="424">
        <v>2</v>
      </c>
      <c r="B301" s="191" t="str">
        <f t="shared" ref="B301:B306" si="6">IFERROR(INDEX(H$22:H$48,MATCH(A301&amp;". koht",H$23:H$49,0)),"")</f>
        <v>Aarne Välja, Andres Veski, Svetlana Veski</v>
      </c>
      <c r="C301" s="139">
        <v>34</v>
      </c>
    </row>
    <row r="302" spans="1:25" x14ac:dyDescent="0.2">
      <c r="A302" s="424">
        <v>3</v>
      </c>
      <c r="B302" s="191" t="str">
        <f t="shared" si="6"/>
        <v>Boriss Klubov, Elmo Lageda, Jaan Sepp</v>
      </c>
      <c r="C302" s="139">
        <v>30</v>
      </c>
    </row>
    <row r="303" spans="1:25" x14ac:dyDescent="0.2">
      <c r="A303" s="424">
        <v>4</v>
      </c>
      <c r="B303" s="191" t="str">
        <f t="shared" si="6"/>
        <v>Tõnu Kapper, Tõnu Piik, Vladimir Ogneštšikov</v>
      </c>
      <c r="C303" s="139">
        <v>26</v>
      </c>
    </row>
    <row r="304" spans="1:25" x14ac:dyDescent="0.2">
      <c r="A304" s="424">
        <v>5</v>
      </c>
      <c r="B304" s="191" t="str">
        <f t="shared" si="6"/>
        <v>Mait Metsla, Matti Vinni, Oskar Sepp</v>
      </c>
      <c r="C304" s="139">
        <v>24</v>
      </c>
    </row>
    <row r="305" spans="1:3" x14ac:dyDescent="0.2">
      <c r="A305" s="424">
        <v>6</v>
      </c>
      <c r="B305" s="191" t="str">
        <f t="shared" si="6"/>
        <v>Argo Sepp, Ljudmila Varendi, Viktor Švarõgin</v>
      </c>
      <c r="C305" s="139">
        <v>22</v>
      </c>
    </row>
    <row r="306" spans="1:3" x14ac:dyDescent="0.2">
      <c r="A306" s="424">
        <v>7</v>
      </c>
      <c r="B306" s="191" t="str">
        <f t="shared" si="6"/>
        <v>Janek Tarto, Lemmit Toomra, Romek Tarto</v>
      </c>
      <c r="C306" s="139">
        <v>20</v>
      </c>
    </row>
  </sheetData>
  <conditionalFormatting sqref="B7:B10">
    <cfRule type="duplicateValues" dxfId="2029" priority="83"/>
  </conditionalFormatting>
  <conditionalFormatting sqref="B14">
    <cfRule type="duplicateValues" dxfId="2028" priority="82"/>
  </conditionalFormatting>
  <conditionalFormatting sqref="C20:F40">
    <cfRule type="aboveAverage" dxfId="2027" priority="78"/>
  </conditionalFormatting>
  <conditionalFormatting sqref="A20:A26">
    <cfRule type="cellIs" dxfId="2026" priority="68" operator="equal">
      <formula>"-"</formula>
    </cfRule>
    <cfRule type="duplicateValues" dxfId="2025" priority="76"/>
  </conditionalFormatting>
  <conditionalFormatting sqref="C20 C22 C24 C26 F21 F25 F28 F30">
    <cfRule type="containsBlanks" dxfId="2024" priority="75">
      <formula>LEN(TRIM(C20))=0</formula>
    </cfRule>
  </conditionalFormatting>
  <conditionalFormatting sqref="G7:G10">
    <cfRule type="containsText" dxfId="2023" priority="64" operator="containsText" text="2">
      <formula>NOT(ISERROR(SEARCH("2",G7)))</formula>
    </cfRule>
    <cfRule type="containsText" dxfId="2022" priority="65" operator="containsText" text="1">
      <formula>NOT(ISERROR(SEARCH("1",G7)))</formula>
    </cfRule>
  </conditionalFormatting>
  <conditionalFormatting sqref="G10">
    <cfRule type="expression" dxfId="2021" priority="63">
      <formula>B10="-"</formula>
    </cfRule>
  </conditionalFormatting>
  <conditionalFormatting sqref="G13:G16">
    <cfRule type="containsText" dxfId="2020" priority="59" operator="containsText" text="2">
      <formula>NOT(ISERROR(SEARCH("2",G13)))</formula>
    </cfRule>
    <cfRule type="containsText" dxfId="2019" priority="60" operator="containsText" text="1">
      <formula>NOT(ISERROR(SEARCH("1",G13)))</formula>
    </cfRule>
  </conditionalFormatting>
  <conditionalFormatting sqref="C13 C16">
    <cfRule type="aboveAverage" dxfId="2018" priority="57"/>
  </conditionalFormatting>
  <conditionalFormatting sqref="C14:C15">
    <cfRule type="aboveAverage" dxfId="2017" priority="56"/>
  </conditionalFormatting>
  <conditionalFormatting sqref="E10">
    <cfRule type="expression" dxfId="2016" priority="55">
      <formula>AND(COUNT(E7:E10)&lt;2,IF(ISNUMBER(C10),C7&gt;C10))</formula>
    </cfRule>
  </conditionalFormatting>
  <conditionalFormatting sqref="E7">
    <cfRule type="expression" dxfId="2015" priority="54">
      <formula>AND(COUNT(E7:E10)&lt;2,IF(ISNUMBER(C7),C10&gt;C7))</formula>
    </cfRule>
  </conditionalFormatting>
  <conditionalFormatting sqref="E8">
    <cfRule type="expression" dxfId="2014" priority="53">
      <formula>AND(COUNT(E7:E10)&lt;2,IF(ISNUMBER(C8),C9&gt;C8))</formula>
    </cfRule>
  </conditionalFormatting>
  <conditionalFormatting sqref="E9">
    <cfRule type="expression" dxfId="2013" priority="52">
      <formula>AND(COUNT(E7:E10)&lt;2,IF(ISNUMBER(C9),C8&gt;C9))</formula>
    </cfRule>
  </conditionalFormatting>
  <conditionalFormatting sqref="E7:E10">
    <cfRule type="aboveAverage" dxfId="2012" priority="51"/>
  </conditionalFormatting>
  <conditionalFormatting sqref="F7">
    <cfRule type="expression" dxfId="2011" priority="46">
      <formula>AND(COUNT(F7:F10)&lt;2,IF(COUNT(E7:E10)=2,IF(AND(ISNUMBER(E7),COUNTIF(E7:E10,E7)=1,E7=MAX(E7:E10)),TRUE,FALSE)))</formula>
    </cfRule>
    <cfRule type="expression" dxfId="2010" priority="50">
      <formula>AND(COUNT(F7:F10)&lt;2,IF(COUNT(D7:D10)=2,IF(AND(ISNUMBER(D7),COUNTIF(D7:D10,D7)=1,D7=MIN(D7:D10)),TRUE,FALSE)))</formula>
    </cfRule>
  </conditionalFormatting>
  <conditionalFormatting sqref="F8">
    <cfRule type="expression" dxfId="2009" priority="45">
      <formula>AND(COUNT(F7:F10)&lt;2,IF(COUNT(E7:E10)=2,IF(AND(ISNUMBER(E8),COUNTIF(E7:E10,E8)=1,E8=MAX(E7:E10)),TRUE,FALSE)))</formula>
    </cfRule>
    <cfRule type="expression" dxfId="2008" priority="49">
      <formula>AND(COUNT(F7:F10)&lt;2,IF(COUNT(D7:D10)=2,IF(AND(ISNUMBER(D8),COUNTIF(D7:D10,D8)=1,D8=MIN(D7:D10)),TRUE,FALSE)))</formula>
    </cfRule>
  </conditionalFormatting>
  <conditionalFormatting sqref="F9">
    <cfRule type="expression" dxfId="2007" priority="44">
      <formula>AND(COUNT(F7:F10)&lt;2,IF(COUNT(E7:E10)=2,IF(AND(ISNUMBER(E9),COUNTIF(E7:E10,E9)=1,E9=MAX(E7:E10)),TRUE,FALSE)))</formula>
    </cfRule>
    <cfRule type="expression" dxfId="2006" priority="48">
      <formula>AND(COUNT(F7:F10)&lt;2,IF(COUNT(D7:D10)=2,IF(AND(ISNUMBER(D9),COUNTIF(D7:D10,D9)=1,D9=MIN(D7:D10)),TRUE,FALSE)))</formula>
    </cfRule>
  </conditionalFormatting>
  <conditionalFormatting sqref="F10">
    <cfRule type="expression" dxfId="2005" priority="43">
      <formula>AND(COUNT(F7:F10)&lt;2,IF(COUNT(E7:E10)=2,IF(AND(ISNUMBER(E10),COUNTIF(E7:E10,E10)=1,E10=MAX(E7:E10)),TRUE,FALSE)))</formula>
    </cfRule>
    <cfRule type="expression" dxfId="2004" priority="47">
      <formula>AND(COUNT(F7:F10)&lt;2,IF(COUNT(D7:D10)=2,IF(AND(ISNUMBER(D10),COUNTIF(D7:D10,D10)=1,D10=MIN(D7:D10)),TRUE,FALSE)))</formula>
    </cfRule>
  </conditionalFormatting>
  <conditionalFormatting sqref="F7:F10">
    <cfRule type="aboveAverage" dxfId="2003" priority="42"/>
  </conditionalFormatting>
  <conditionalFormatting sqref="D7">
    <cfRule type="expression" dxfId="2002" priority="41">
      <formula>AND(COUNT(D7:D10)&lt;2,IF(ISNUMBER(C10),C7&gt;C10))</formula>
    </cfRule>
  </conditionalFormatting>
  <conditionalFormatting sqref="D8">
    <cfRule type="expression" dxfId="2001" priority="40">
      <formula>AND(COUNT(D7:D10)&lt;2,IF(ISNUMBER(C9),C8&gt;C9))</formula>
    </cfRule>
  </conditionalFormatting>
  <conditionalFormatting sqref="D9">
    <cfRule type="expression" dxfId="2000" priority="39">
      <formula>AND(COUNT(D7:D10)&lt;2,IF(ISNUMBER(C8),C9&gt;C8))</formula>
    </cfRule>
  </conditionalFormatting>
  <conditionalFormatting sqref="D10">
    <cfRule type="expression" dxfId="1999" priority="38">
      <formula>AND(COUNT(D7:D10)&lt;2,IF(ISNUMBER(C7),C10&gt;C7))</formula>
    </cfRule>
  </conditionalFormatting>
  <conditionalFormatting sqref="D7:D10">
    <cfRule type="aboveAverage" dxfId="1998" priority="37"/>
  </conditionalFormatting>
  <conditionalFormatting sqref="E16">
    <cfRule type="expression" dxfId="1997" priority="36">
      <formula>AND(COUNT(E13:E16)&lt;2,IF(ISNUMBER(C16),C13&gt;C16))</formula>
    </cfRule>
  </conditionalFormatting>
  <conditionalFormatting sqref="E13">
    <cfRule type="expression" dxfId="1996" priority="35">
      <formula>AND(COUNT(E13:E16)&lt;2,IF(ISNUMBER(C13),C16&gt;C13))</formula>
    </cfRule>
  </conditionalFormatting>
  <conditionalFormatting sqref="E14">
    <cfRule type="expression" dxfId="1995" priority="34">
      <formula>AND(COUNT(E13:E16)&lt;2,IF(ISNUMBER(C14),C15&gt;C14))</formula>
    </cfRule>
  </conditionalFormatting>
  <conditionalFormatting sqref="E15">
    <cfRule type="expression" dxfId="1994" priority="33">
      <formula>AND(COUNT(E13:E16)&lt;2,IF(ISNUMBER(C15),C14&gt;C15))</formula>
    </cfRule>
  </conditionalFormatting>
  <conditionalFormatting sqref="E13:E16">
    <cfRule type="aboveAverage" dxfId="1993" priority="32"/>
  </conditionalFormatting>
  <conditionalFormatting sqref="F13">
    <cfRule type="expression" dxfId="1992" priority="27">
      <formula>AND(COUNT(F13:F16)&lt;2,IF(COUNT(E13:E16)=2,IF(AND(ISNUMBER(E13),COUNTIF(E13:E16,E13)=1,E13=MAX(E13:E16)),TRUE,FALSE)))</formula>
    </cfRule>
    <cfRule type="expression" dxfId="1991" priority="31">
      <formula>AND(COUNT(F13:F16)&lt;2,IF(COUNT(D13:D16)=2,IF(AND(ISNUMBER(D13),COUNTIF(D13:D16,D13)=1,D13=MIN(D13:D16)),TRUE,FALSE)))</formula>
    </cfRule>
  </conditionalFormatting>
  <conditionalFormatting sqref="F14">
    <cfRule type="expression" dxfId="1990" priority="26">
      <formula>AND(COUNT(F13:F16)&lt;2,IF(COUNT(E13:E16)=2,IF(AND(ISNUMBER(E14),COUNTIF(E13:E16,E14)=1,E14=MAX(E13:E16)),TRUE,FALSE)))</formula>
    </cfRule>
    <cfRule type="expression" dxfId="1989" priority="30">
      <formula>AND(COUNT(F13:F16)&lt;2,IF(COUNT(D13:D16)=2,IF(AND(ISNUMBER(D14),COUNTIF(D13:D16,D14)=1,D14=MIN(D13:D16)),TRUE,FALSE)))</formula>
    </cfRule>
  </conditionalFormatting>
  <conditionalFormatting sqref="F15">
    <cfRule type="expression" dxfId="1988" priority="25">
      <formula>AND(COUNT(F13:F16)&lt;2,IF(COUNT(E13:E16)=2,IF(AND(ISNUMBER(E15),COUNTIF(E13:E16,E15)=1,E15=MAX(E13:E16)),TRUE,FALSE)))</formula>
    </cfRule>
    <cfRule type="expression" dxfId="1987" priority="29">
      <formula>AND(COUNT(F13:F16)&lt;2,IF(COUNT(D13:D16)=2,IF(AND(ISNUMBER(D15),COUNTIF(D13:D16,D15)=1,D15=MIN(D13:D16)),TRUE,FALSE)))</formula>
    </cfRule>
  </conditionalFormatting>
  <conditionalFormatting sqref="F16">
    <cfRule type="expression" dxfId="1986" priority="24">
      <formula>AND(COUNT(F13:F16)&lt;2,IF(COUNT(E13:E16)=2,IF(AND(ISNUMBER(E16),COUNTIF(E13:E16,E16)=1,E16=MAX(E13:E16)),TRUE,FALSE)))</formula>
    </cfRule>
    <cfRule type="expression" dxfId="1985" priority="28">
      <formula>AND(COUNT(F13:F16)&lt;2,IF(COUNT(D13:D16)=2,IF(AND(ISNUMBER(D16),COUNTIF(D13:D16,D16)=1,D16=MIN(D13:D16)),TRUE,FALSE)))</formula>
    </cfRule>
  </conditionalFormatting>
  <conditionalFormatting sqref="F13:F16">
    <cfRule type="aboveAverage" dxfId="1984" priority="23"/>
  </conditionalFormatting>
  <conditionalFormatting sqref="D13">
    <cfRule type="expression" dxfId="1983" priority="22">
      <formula>AND(COUNT(D13:D16)&lt;2,IF(ISNUMBER(C16),C13&gt;C16))</formula>
    </cfRule>
  </conditionalFormatting>
  <conditionalFormatting sqref="D14">
    <cfRule type="expression" dxfId="1982" priority="21">
      <formula>AND(COUNT(D13:D16)&lt;2,IF(ISNUMBER(C15),C14&gt;C15))</formula>
    </cfRule>
  </conditionalFormatting>
  <conditionalFormatting sqref="D15">
    <cfRule type="expression" dxfId="1981" priority="20">
      <formula>AND(COUNT(D13:D16)&lt;2,IF(ISNUMBER(C14),C15&gt;C14))</formula>
    </cfRule>
  </conditionalFormatting>
  <conditionalFormatting sqref="D16">
    <cfRule type="expression" dxfId="1980" priority="19">
      <formula>AND(COUNT(D13:D16)&lt;2,IF(ISNUMBER(C13),C16&gt;C13))</formula>
    </cfRule>
  </conditionalFormatting>
  <conditionalFormatting sqref="D13:D16">
    <cfRule type="aboveAverage" dxfId="1979" priority="18"/>
  </conditionalFormatting>
  <conditionalFormatting sqref="R7:R10 R13:R34">
    <cfRule type="expression" dxfId="1978" priority="12">
      <formula>AND(S7="",FIND(",",R7))</formula>
    </cfRule>
    <cfRule type="expression" dxfId="1977" priority="17">
      <formula>AND(S7="",COUNTIF(R7,"*,*")=0)</formula>
    </cfRule>
  </conditionalFormatting>
  <conditionalFormatting sqref="T7:T10 V31:V34 P7:P10 N7:N10 N13:N34 P13:P34 T13:T34">
    <cfRule type="expression" dxfId="1976" priority="16">
      <formula>AND(O7="",COUNTIF(N7,"*,*")=0)</formula>
    </cfRule>
  </conditionalFormatting>
  <conditionalFormatting sqref="V19:V22 V25:V28 V7:V10 V13:V16">
    <cfRule type="expression" dxfId="1975" priority="15">
      <formula>AND(W7="",COUNTIF(V7,"*,*")=0)</formula>
    </cfRule>
  </conditionalFormatting>
  <conditionalFormatting sqref="G16">
    <cfRule type="expression" dxfId="1974" priority="798">
      <formula>#REF!="-"</formula>
    </cfRule>
  </conditionalFormatting>
  <conditionalFormatting sqref="B13">
    <cfRule type="duplicateValues" dxfId="1973" priority="11"/>
  </conditionalFormatting>
  <conditionalFormatting sqref="C7 C10">
    <cfRule type="aboveAverage" dxfId="1972" priority="10"/>
  </conditionalFormatting>
  <conditionalFormatting sqref="C8:C9">
    <cfRule type="aboveAverage" dxfId="1971" priority="9"/>
  </conditionalFormatting>
  <conditionalFormatting sqref="B15:B16">
    <cfRule type="duplicateValues" dxfId="1970" priority="7"/>
  </conditionalFormatting>
  <conditionalFormatting sqref="B38">
    <cfRule type="duplicateValues" dxfId="1969" priority="5"/>
  </conditionalFormatting>
  <conditionalFormatting sqref="B39">
    <cfRule type="duplicateValues" dxfId="1968" priority="4"/>
  </conditionalFormatting>
  <conditionalFormatting sqref="B40">
    <cfRule type="duplicateValues" dxfId="1967" priority="3"/>
  </conditionalFormatting>
  <conditionalFormatting sqref="B300:B306">
    <cfRule type="containsBlanks" dxfId="1966" priority="799">
      <formula>LEN(TRIM(B300))=0</formula>
    </cfRule>
    <cfRule type="duplicateValues" dxfId="1965" priority="800"/>
  </conditionalFormatting>
  <pageMargins left="0.78740157480314965" right="0.39370078740157483" top="0.78740157480314965" bottom="0.31496062992125984" header="0.59055118110236227" footer="0"/>
  <pageSetup paperSize="9" fitToHeight="0" orientation="landscape" verticalDpi="1200" r:id="rId1"/>
  <headerFooter>
    <oddHeader>&amp;R&amp;"Arial,Regular"&amp;9Page &amp;P of &amp;N</oddHeader>
  </headerFooter>
  <rowBreaks count="1" manualBreakCount="1">
    <brk id="33" max="1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307"/>
  <sheetViews>
    <sheetView showGridLines="0" showRowColHeaders="0" zoomScaleNormal="100" workbookViewId="0">
      <pane ySplit="2" topLeftCell="A3" activePane="bottomLeft" state="frozen"/>
      <selection activeCell="J1" sqref="J1"/>
      <selection pane="bottomLeft" activeCell="J1" sqref="J1"/>
    </sheetView>
  </sheetViews>
  <sheetFormatPr defaultRowHeight="12.75" x14ac:dyDescent="0.2"/>
  <cols>
    <col min="1" max="1" width="3.28515625" style="88" customWidth="1"/>
    <col min="2" max="2" width="28.85546875" style="87" bestFit="1" customWidth="1"/>
    <col min="3" max="8" width="6.7109375" style="88" customWidth="1"/>
    <col min="9" max="9" width="2" style="88" bestFit="1" customWidth="1"/>
    <col min="10" max="16384" width="9.140625" style="88"/>
  </cols>
  <sheetData>
    <row r="1" spans="1:9" x14ac:dyDescent="0.2">
      <c r="A1" s="86" t="str">
        <f>UPPER((Kalend!E30)&amp;" - "&amp;(Kalend!C30)&amp;" - "&amp;(Kalend!D30))</f>
        <v>4 - SHK KV 4. ETAPP - DUO</v>
      </c>
      <c r="F1" s="51" t="str">
        <f>HYPERLINK("#'Kalend'!I1","Kalender")</f>
        <v>Kalender</v>
      </c>
      <c r="G1" s="186"/>
      <c r="H1" s="51" t="str">
        <f>HYPERLINK("#'Reit'!m1","Reiting")</f>
        <v>Reiting</v>
      </c>
      <c r="I1" s="186"/>
    </row>
    <row r="2" spans="1:9" s="186" customFormat="1" x14ac:dyDescent="0.2">
      <c r="A2" s="186" t="str">
        <f>"Toimumisaeg: "&amp;(Kalend!A30)&amp;" kell "&amp;(Kalend!B30)</f>
        <v>Toimumisaeg: P, 11.02.2018 kell 11:00</v>
      </c>
    </row>
    <row r="3" spans="1:9" s="186" customFormat="1" x14ac:dyDescent="0.2">
      <c r="A3" s="186" t="str">
        <f>"Toimumiskoht: "&amp;(Kalend!F30)</f>
        <v>Toimumiskoht: K-Järve petangihall</v>
      </c>
    </row>
    <row r="4" spans="1:9" s="186" customFormat="1" x14ac:dyDescent="0.2">
      <c r="A4" s="186" t="str">
        <f>"Korraldaja: "&amp;(Kalend!G30)</f>
        <v>Korraldaja: K-Järve SHK, Ivar Viljaste</v>
      </c>
    </row>
    <row r="6" spans="1:9" x14ac:dyDescent="0.2">
      <c r="A6" s="680" t="s">
        <v>66</v>
      </c>
      <c r="B6" s="680"/>
      <c r="C6" s="681">
        <v>1</v>
      </c>
      <c r="D6" s="681">
        <v>2</v>
      </c>
      <c r="E6" s="681">
        <v>3</v>
      </c>
      <c r="F6" s="681">
        <v>4</v>
      </c>
      <c r="G6" s="681" t="s">
        <v>73</v>
      </c>
      <c r="H6" s="681" t="s">
        <v>46</v>
      </c>
    </row>
    <row r="7" spans="1:9" x14ac:dyDescent="0.2">
      <c r="A7" s="680">
        <v>1</v>
      </c>
      <c r="B7" s="682" t="s">
        <v>314</v>
      </c>
      <c r="C7" s="683"/>
      <c r="D7" s="693">
        <v>9</v>
      </c>
      <c r="E7" s="685">
        <v>13</v>
      </c>
      <c r="F7" s="686">
        <v>13</v>
      </c>
      <c r="G7" s="692" t="s">
        <v>91</v>
      </c>
      <c r="H7" s="684" t="s">
        <v>76</v>
      </c>
      <c r="I7" s="698" t="s">
        <v>230</v>
      </c>
    </row>
    <row r="8" spans="1:9" x14ac:dyDescent="0.2">
      <c r="A8" s="680">
        <v>2</v>
      </c>
      <c r="B8" s="687" t="s">
        <v>479</v>
      </c>
      <c r="C8" s="694">
        <v>13</v>
      </c>
      <c r="D8" s="683"/>
      <c r="E8" s="685">
        <v>5</v>
      </c>
      <c r="F8" s="686">
        <v>13</v>
      </c>
      <c r="G8" s="692" t="s">
        <v>91</v>
      </c>
      <c r="H8" s="684" t="s">
        <v>84</v>
      </c>
      <c r="I8" s="698" t="s">
        <v>312</v>
      </c>
    </row>
    <row r="9" spans="1:9" x14ac:dyDescent="0.2">
      <c r="A9" s="680">
        <v>3</v>
      </c>
      <c r="B9" s="687" t="s">
        <v>116</v>
      </c>
      <c r="C9" s="685">
        <v>7</v>
      </c>
      <c r="D9" s="685">
        <v>13</v>
      </c>
      <c r="E9" s="688"/>
      <c r="F9" s="696">
        <v>4</v>
      </c>
      <c r="G9" s="695" t="s">
        <v>92</v>
      </c>
      <c r="H9" s="684" t="s">
        <v>95</v>
      </c>
      <c r="I9" s="699" t="s">
        <v>230</v>
      </c>
    </row>
    <row r="10" spans="1:9" x14ac:dyDescent="0.2">
      <c r="A10" s="680">
        <v>4</v>
      </c>
      <c r="B10" s="689" t="s">
        <v>480</v>
      </c>
      <c r="C10" s="684">
        <v>11</v>
      </c>
      <c r="D10" s="684">
        <v>8</v>
      </c>
      <c r="E10" s="697">
        <v>13</v>
      </c>
      <c r="F10" s="690"/>
      <c r="G10" s="695" t="s">
        <v>92</v>
      </c>
      <c r="H10" s="684" t="s">
        <v>93</v>
      </c>
      <c r="I10" s="699" t="s">
        <v>312</v>
      </c>
    </row>
    <row r="11" spans="1:9" x14ac:dyDescent="0.2">
      <c r="A11" s="139"/>
      <c r="B11" s="422"/>
      <c r="C11" s="139"/>
      <c r="D11" s="139"/>
      <c r="E11" s="139"/>
      <c r="F11" s="139"/>
      <c r="G11" s="422" t="s">
        <v>70</v>
      </c>
    </row>
    <row r="12" spans="1:9" x14ac:dyDescent="0.2">
      <c r="A12" s="680" t="s">
        <v>90</v>
      </c>
      <c r="B12" s="680"/>
      <c r="C12" s="681">
        <v>1</v>
      </c>
      <c r="D12" s="681">
        <v>2</v>
      </c>
      <c r="E12" s="681">
        <v>3</v>
      </c>
      <c r="F12" s="681">
        <v>4</v>
      </c>
      <c r="G12" s="681" t="s">
        <v>73</v>
      </c>
      <c r="H12" s="681" t="s">
        <v>46</v>
      </c>
    </row>
    <row r="13" spans="1:9" x14ac:dyDescent="0.2">
      <c r="A13" s="680">
        <v>1</v>
      </c>
      <c r="B13" s="682" t="s">
        <v>172</v>
      </c>
      <c r="C13" s="683"/>
      <c r="D13" s="684">
        <v>13</v>
      </c>
      <c r="E13" s="685">
        <v>13</v>
      </c>
      <c r="F13" s="686">
        <v>13</v>
      </c>
      <c r="G13" s="691" t="s">
        <v>125</v>
      </c>
      <c r="H13" s="684" t="s">
        <v>86</v>
      </c>
    </row>
    <row r="14" spans="1:9" x14ac:dyDescent="0.2">
      <c r="A14" s="680">
        <v>2</v>
      </c>
      <c r="B14" s="687" t="s">
        <v>117</v>
      </c>
      <c r="C14" s="685">
        <v>8</v>
      </c>
      <c r="D14" s="683"/>
      <c r="E14" s="685">
        <v>4</v>
      </c>
      <c r="F14" s="686">
        <v>5</v>
      </c>
      <c r="G14" s="691" t="s">
        <v>119</v>
      </c>
      <c r="H14" s="684" t="s">
        <v>189</v>
      </c>
    </row>
    <row r="15" spans="1:9" x14ac:dyDescent="0.2">
      <c r="A15" s="680">
        <v>3</v>
      </c>
      <c r="B15" s="687" t="s">
        <v>481</v>
      </c>
      <c r="C15" s="685">
        <v>5</v>
      </c>
      <c r="D15" s="685">
        <v>13</v>
      </c>
      <c r="E15" s="688"/>
      <c r="F15" s="686">
        <v>13</v>
      </c>
      <c r="G15" s="691" t="s">
        <v>91</v>
      </c>
      <c r="H15" s="684" t="s">
        <v>71</v>
      </c>
    </row>
    <row r="16" spans="1:9" x14ac:dyDescent="0.2">
      <c r="A16" s="680">
        <v>4</v>
      </c>
      <c r="B16" s="689" t="s">
        <v>477</v>
      </c>
      <c r="C16" s="684">
        <v>10</v>
      </c>
      <c r="D16" s="684">
        <v>13</v>
      </c>
      <c r="E16" s="685">
        <v>8</v>
      </c>
      <c r="F16" s="690"/>
      <c r="G16" s="691" t="s">
        <v>92</v>
      </c>
      <c r="H16" s="684" t="s">
        <v>94</v>
      </c>
    </row>
    <row r="17" spans="1:9" x14ac:dyDescent="0.2">
      <c r="A17" s="188"/>
      <c r="B17" s="188"/>
      <c r="C17" s="188"/>
      <c r="D17" s="188"/>
      <c r="E17" s="188"/>
      <c r="F17" s="188"/>
      <c r="G17" s="188"/>
      <c r="H17" s="188"/>
      <c r="I17" s="188"/>
    </row>
    <row r="18" spans="1:9" x14ac:dyDescent="0.2">
      <c r="A18" s="100" t="s">
        <v>60</v>
      </c>
      <c r="B18" s="101"/>
      <c r="C18" s="101"/>
      <c r="D18" s="101"/>
      <c r="E18" s="101"/>
      <c r="F18" s="101"/>
      <c r="G18" s="101"/>
      <c r="H18" s="101"/>
    </row>
    <row r="19" spans="1:9" x14ac:dyDescent="0.2">
      <c r="A19" s="100"/>
      <c r="B19" s="101"/>
      <c r="C19" s="101"/>
      <c r="D19" s="101"/>
      <c r="E19" s="101"/>
      <c r="F19" s="101"/>
      <c r="G19" s="101"/>
      <c r="H19" s="101"/>
    </row>
    <row r="20" spans="1:9" x14ac:dyDescent="0.2">
      <c r="A20" s="106" t="s">
        <v>84</v>
      </c>
      <c r="B20" s="399" t="str">
        <f>IFERROR(INDEX(B$7:B$16,MATCH(A20,H$7:H$16,0)),"")</f>
        <v>Ivar Viljaste, Sirje Viljaste</v>
      </c>
      <c r="C20" s="120">
        <v>13</v>
      </c>
      <c r="D20" s="120"/>
      <c r="E20" s="120"/>
    </row>
    <row r="21" spans="1:9" x14ac:dyDescent="0.2">
      <c r="A21" s="107"/>
      <c r="B21" s="219"/>
      <c r="C21" s="400" t="str">
        <f>IF(COUNT(C20,C22)=2,IF(C20&gt;C22,B20,B22),"")</f>
        <v>Ivar Viljaste, Sirje Viljaste</v>
      </c>
      <c r="E21" s="120">
        <v>3</v>
      </c>
    </row>
    <row r="22" spans="1:9" x14ac:dyDescent="0.2">
      <c r="A22" s="107" t="s">
        <v>71</v>
      </c>
      <c r="B22" s="401" t="str">
        <f>IFERROR(INDEX(B$7:B$16,MATCH(A22,H$7:H$16,0)),"")</f>
        <v>Mait Metsla, Matti Vinni</v>
      </c>
      <c r="C22" s="700">
        <v>0</v>
      </c>
      <c r="D22" s="220"/>
      <c r="E22" s="120"/>
    </row>
    <row r="23" spans="1:9" ht="13.5" thickBot="1" x14ac:dyDescent="0.25">
      <c r="B23" s="120"/>
      <c r="C23" s="113"/>
      <c r="D23" s="221"/>
      <c r="E23" s="120"/>
      <c r="F23" s="184" t="str">
        <f>IF(COUNT(E21,E25)=2,IF(E21&gt;E25,C21,C25),"")</f>
        <v>Boriss Klubov, Elmo Lageda</v>
      </c>
    </row>
    <row r="24" spans="1:9" x14ac:dyDescent="0.2">
      <c r="A24" s="107" t="s">
        <v>86</v>
      </c>
      <c r="B24" s="399" t="str">
        <f>IFERROR(INDEX(B$7:B$16,MATCH(A24,H$7:H$16,0)),"")</f>
        <v>Boriss Klubov, Elmo Lageda</v>
      </c>
      <c r="C24" s="120">
        <v>13</v>
      </c>
      <c r="D24" s="221"/>
      <c r="E24" s="222"/>
      <c r="F24" s="379" t="s">
        <v>275</v>
      </c>
      <c r="G24" s="378"/>
    </row>
    <row r="25" spans="1:9" x14ac:dyDescent="0.2">
      <c r="A25" s="107"/>
      <c r="B25" s="219"/>
      <c r="C25" s="400" t="str">
        <f>IF(COUNT(C24,C26)=2,IF(C24&gt;C26,B24,B26),"")</f>
        <v>Boriss Klubov, Elmo Lageda</v>
      </c>
      <c r="D25" s="377"/>
      <c r="E25" s="110">
        <v>13</v>
      </c>
    </row>
    <row r="26" spans="1:9" ht="13.5" thickBot="1" x14ac:dyDescent="0.25">
      <c r="A26" s="107" t="s">
        <v>76</v>
      </c>
      <c r="B26" s="401" t="str">
        <f>IFERROR(INDEX(B$7:B$16,MATCH(A26,H$7:H$16,0)),"")</f>
        <v>Janek Tarto, Romek Tarto</v>
      </c>
      <c r="C26" s="110">
        <v>5</v>
      </c>
      <c r="D26" s="120"/>
      <c r="E26" s="113"/>
      <c r="F26" s="184" t="str">
        <f>IF(COUNT(E21,E25)=2,IF(E21&lt;E25,C21,C25),"")</f>
        <v>Ivar Viljaste, Sirje Viljaste</v>
      </c>
      <c r="G26" s="119"/>
    </row>
    <row r="27" spans="1:9" x14ac:dyDescent="0.2">
      <c r="A27" s="87"/>
      <c r="B27" s="120"/>
      <c r="C27" s="120"/>
      <c r="D27" s="120"/>
      <c r="E27" s="113"/>
      <c r="F27" s="379" t="s">
        <v>276</v>
      </c>
      <c r="G27" s="99"/>
    </row>
    <row r="28" spans="1:9" x14ac:dyDescent="0.2">
      <c r="A28" s="87"/>
      <c r="B28" s="120"/>
      <c r="C28" s="217" t="str">
        <f>IF(COUNT(C20,C22)=2,IF(C20&lt;C22,B20,B22),"")</f>
        <v>Mait Metsla, Matti Vinni</v>
      </c>
      <c r="E28" s="120">
        <v>9</v>
      </c>
      <c r="F28" s="99"/>
      <c r="G28" s="99"/>
    </row>
    <row r="29" spans="1:9" ht="13.5" thickBot="1" x14ac:dyDescent="0.25">
      <c r="A29" s="87"/>
      <c r="B29" s="120"/>
      <c r="C29" s="108"/>
      <c r="D29" s="111"/>
      <c r="E29" s="119"/>
      <c r="F29" s="184" t="str">
        <f>IF(COUNT(E28,E30)=2,IF(E28&gt;E30,C28,C30),"")</f>
        <v>Janek Tarto, Romek Tarto</v>
      </c>
      <c r="G29" s="119"/>
    </row>
    <row r="30" spans="1:9" x14ac:dyDescent="0.2">
      <c r="A30" s="87"/>
      <c r="B30" s="120"/>
      <c r="C30" s="399" t="str">
        <f>IF(COUNT(C24,C26)=2,IF(C24&lt;C26,B24,B26),"")</f>
        <v>Janek Tarto, Romek Tarto</v>
      </c>
      <c r="D30" s="377"/>
      <c r="E30" s="110">
        <v>13</v>
      </c>
      <c r="F30" s="121" t="s">
        <v>277</v>
      </c>
      <c r="G30" s="99"/>
    </row>
    <row r="31" spans="1:9" x14ac:dyDescent="0.2">
      <c r="A31" s="87"/>
      <c r="B31" s="88"/>
      <c r="F31" s="99"/>
      <c r="G31" s="99"/>
    </row>
    <row r="32" spans="1:9" ht="13.5" thickBot="1" x14ac:dyDescent="0.25">
      <c r="A32" s="87"/>
      <c r="B32" s="88"/>
      <c r="C32" s="99"/>
      <c r="D32" s="99"/>
      <c r="F32" s="119" t="str">
        <f>IF(COUNT(E28,E30)=2,IF(E28&lt;E30,C28,C30),"")</f>
        <v>Mait Metsla, Matti Vinni</v>
      </c>
      <c r="G32" s="119"/>
    </row>
    <row r="33" spans="1:8" x14ac:dyDescent="0.2">
      <c r="A33" s="87"/>
      <c r="B33" s="97"/>
      <c r="C33" s="97"/>
      <c r="D33" s="97"/>
      <c r="E33" s="402"/>
      <c r="F33" s="379" t="s">
        <v>50</v>
      </c>
      <c r="G33" s="188"/>
    </row>
    <row r="34" spans="1:8" x14ac:dyDescent="0.2">
      <c r="A34" s="101"/>
      <c r="B34" s="101"/>
      <c r="C34" s="101"/>
      <c r="E34" s="101"/>
      <c r="F34" s="101"/>
      <c r="G34" s="101"/>
    </row>
    <row r="35" spans="1:8" x14ac:dyDescent="0.2">
      <c r="A35" s="100" t="s">
        <v>61</v>
      </c>
      <c r="B35" s="101"/>
      <c r="C35" s="101"/>
      <c r="E35" s="101"/>
      <c r="F35" s="101"/>
      <c r="G35" s="101"/>
    </row>
    <row r="36" spans="1:8" x14ac:dyDescent="0.2">
      <c r="A36" s="101"/>
      <c r="B36" s="101"/>
      <c r="C36" s="101"/>
      <c r="E36" s="101"/>
      <c r="F36" s="101"/>
      <c r="G36" s="101"/>
      <c r="H36" s="101"/>
    </row>
    <row r="37" spans="1:8" x14ac:dyDescent="0.2">
      <c r="A37" s="106" t="s">
        <v>93</v>
      </c>
      <c r="B37" s="399" t="str">
        <f>IFERROR(INDEX(B$7:B$16,MATCH(A37,H$7:H$16,0)),"")</f>
        <v>Argo Sepp, Tõnu Piik</v>
      </c>
      <c r="C37" s="120">
        <v>13</v>
      </c>
      <c r="D37" s="120"/>
      <c r="E37" s="120"/>
    </row>
    <row r="38" spans="1:8" x14ac:dyDescent="0.2">
      <c r="A38" s="107"/>
      <c r="B38" s="219"/>
      <c r="C38" s="400" t="str">
        <f>IF(COUNT(C37,C39)=2,IF(C37&gt;C39,B37,B39),"")</f>
        <v>Argo Sepp, Tõnu Piik</v>
      </c>
      <c r="E38" s="120">
        <v>13</v>
      </c>
    </row>
    <row r="39" spans="1:8" x14ac:dyDescent="0.2">
      <c r="A39" s="107" t="s">
        <v>189</v>
      </c>
      <c r="B39" s="401" t="str">
        <f>IFERROR(INDEX(B$7:B$16,MATCH(A39,H$7:H$16,0)),"")</f>
        <v>Ljudmila Varendi, Viktor Švarõgin</v>
      </c>
      <c r="C39" s="110">
        <v>7</v>
      </c>
      <c r="D39" s="220"/>
      <c r="E39" s="120"/>
    </row>
    <row r="40" spans="1:8" ht="13.5" thickBot="1" x14ac:dyDescent="0.25">
      <c r="A40" s="107"/>
      <c r="B40" s="120"/>
      <c r="C40" s="113"/>
      <c r="D40" s="221"/>
      <c r="E40" s="120"/>
      <c r="F40" s="184" t="str">
        <f>IF(COUNT(E38,E42)=2,IF(E38&gt;E42,C38,C42),"")</f>
        <v>Argo Sepp, Tõnu Piik</v>
      </c>
    </row>
    <row r="41" spans="1:8" x14ac:dyDescent="0.2">
      <c r="A41" s="107" t="s">
        <v>95</v>
      </c>
      <c r="B41" s="399" t="str">
        <f>IFERROR(INDEX(B$7:B$16,MATCH(A41,H$7:H$16,0)),"")</f>
        <v>Jaan Sepp, Oskar Sepp</v>
      </c>
      <c r="C41" s="120">
        <v>10</v>
      </c>
      <c r="D41" s="221"/>
      <c r="E41" s="222"/>
      <c r="F41" s="379" t="s">
        <v>51</v>
      </c>
      <c r="G41" s="378"/>
    </row>
    <row r="42" spans="1:8" x14ac:dyDescent="0.2">
      <c r="A42" s="107"/>
      <c r="B42" s="219"/>
      <c r="C42" s="400" t="str">
        <f>IF(COUNT(C41,C43)=2,IF(C41&gt;C43,B41,B43),"")</f>
        <v>Aigi Orro, Svetlana Veski</v>
      </c>
      <c r="D42" s="377"/>
      <c r="E42" s="110">
        <v>4</v>
      </c>
    </row>
    <row r="43" spans="1:8" ht="13.5" thickBot="1" x14ac:dyDescent="0.25">
      <c r="A43" s="107" t="s">
        <v>94</v>
      </c>
      <c r="B43" s="401" t="str">
        <f>IFERROR(INDEX(B$7:B$16,MATCH(A43,H$7:H$16,0)),"")</f>
        <v>Aigi Orro, Svetlana Veski</v>
      </c>
      <c r="C43" s="110">
        <v>13</v>
      </c>
      <c r="D43" s="120"/>
      <c r="E43" s="113"/>
      <c r="F43" s="184" t="str">
        <f>IF(COUNT(E38,E42)=2,IF(E38&lt;E42,C38,C42),"")</f>
        <v>Aigi Orro, Svetlana Veski</v>
      </c>
      <c r="G43" s="119"/>
    </row>
    <row r="44" spans="1:8" x14ac:dyDescent="0.2">
      <c r="B44" s="120"/>
      <c r="C44" s="120"/>
      <c r="D44" s="120"/>
      <c r="E44" s="113"/>
      <c r="F44" s="379" t="s">
        <v>52</v>
      </c>
      <c r="G44" s="99"/>
    </row>
    <row r="45" spans="1:8" x14ac:dyDescent="0.2">
      <c r="B45" s="120"/>
      <c r="C45" s="217" t="str">
        <f>IF(COUNT(C37,C39)=2,IF(C37&lt;C39,B37,B39),"")</f>
        <v>Ljudmila Varendi, Viktor Švarõgin</v>
      </c>
      <c r="E45" s="120">
        <v>13</v>
      </c>
      <c r="F45" s="99"/>
      <c r="G45" s="99"/>
    </row>
    <row r="46" spans="1:8" ht="13.5" thickBot="1" x14ac:dyDescent="0.25">
      <c r="B46" s="120"/>
      <c r="C46" s="108"/>
      <c r="D46" s="111"/>
      <c r="E46" s="119"/>
      <c r="F46" s="184" t="str">
        <f>IF(COUNT(E45,E47)=2,IF(E45&gt;E47,C45,C47),"")</f>
        <v>Ljudmila Varendi, Viktor Švarõgin</v>
      </c>
      <c r="G46" s="119"/>
    </row>
    <row r="47" spans="1:8" x14ac:dyDescent="0.2">
      <c r="B47" s="120"/>
      <c r="C47" s="399" t="str">
        <f>IF(COUNT(C41,C43)=2,IF(C41&lt;C43,B41,B43),"")</f>
        <v>Jaan Sepp, Oskar Sepp</v>
      </c>
      <c r="D47" s="377"/>
      <c r="E47" s="110">
        <v>8</v>
      </c>
      <c r="F47" s="121" t="s">
        <v>53</v>
      </c>
      <c r="G47" s="99"/>
    </row>
    <row r="48" spans="1:8" x14ac:dyDescent="0.2">
      <c r="B48" s="88"/>
      <c r="F48" s="99"/>
      <c r="G48" s="99"/>
    </row>
    <row r="49" spans="2:8" ht="13.5" thickBot="1" x14ac:dyDescent="0.25">
      <c r="B49" s="88"/>
      <c r="C49" s="99"/>
      <c r="D49" s="99"/>
      <c r="F49" s="119" t="str">
        <f>IF(COUNT(E45,E47)=2,IF(E45&lt;E47,C45,C47),"")</f>
        <v>Jaan Sepp, Oskar Sepp</v>
      </c>
      <c r="G49" s="119"/>
    </row>
    <row r="50" spans="2:8" x14ac:dyDescent="0.2">
      <c r="B50" s="97"/>
      <c r="C50" s="97"/>
      <c r="D50" s="97"/>
      <c r="E50" s="402"/>
      <c r="F50" s="379" t="s">
        <v>54</v>
      </c>
      <c r="G50" s="188"/>
    </row>
    <row r="51" spans="2:8" x14ac:dyDescent="0.2">
      <c r="D51" s="101"/>
      <c r="E51" s="101"/>
      <c r="F51" s="188"/>
      <c r="G51" s="188"/>
      <c r="H51" s="188"/>
    </row>
    <row r="52" spans="2:8" hidden="1" x14ac:dyDescent="0.2">
      <c r="D52" s="188"/>
      <c r="E52" s="188"/>
      <c r="F52" s="188"/>
      <c r="G52" s="188"/>
      <c r="H52" s="188"/>
    </row>
    <row r="53" spans="2:8" hidden="1" x14ac:dyDescent="0.2">
      <c r="D53" s="188"/>
      <c r="E53" s="188"/>
      <c r="F53" s="188"/>
      <c r="G53" s="188"/>
      <c r="H53" s="188"/>
    </row>
    <row r="54" spans="2:8" hidden="1" x14ac:dyDescent="0.2">
      <c r="D54" s="188"/>
      <c r="E54" s="188"/>
      <c r="F54" s="188"/>
      <c r="G54" s="188"/>
      <c r="H54" s="188"/>
    </row>
    <row r="55" spans="2:8" hidden="1" x14ac:dyDescent="0.2">
      <c r="D55" s="188"/>
      <c r="E55" s="188"/>
      <c r="F55" s="188"/>
      <c r="G55" s="188"/>
      <c r="H55" s="188"/>
    </row>
    <row r="56" spans="2:8" hidden="1" x14ac:dyDescent="0.2">
      <c r="D56" s="188"/>
      <c r="E56" s="188"/>
      <c r="F56" s="188"/>
      <c r="G56" s="188"/>
      <c r="H56" s="188"/>
    </row>
    <row r="57" spans="2:8" hidden="1" x14ac:dyDescent="0.2">
      <c r="D57" s="188"/>
      <c r="E57" s="188"/>
      <c r="F57" s="188"/>
      <c r="G57" s="188"/>
      <c r="H57" s="188"/>
    </row>
    <row r="58" spans="2:8" hidden="1" x14ac:dyDescent="0.2">
      <c r="D58" s="188"/>
      <c r="E58" s="188"/>
      <c r="F58" s="188"/>
      <c r="G58" s="188"/>
      <c r="H58" s="188"/>
    </row>
    <row r="59" spans="2:8" hidden="1" x14ac:dyDescent="0.2">
      <c r="D59" s="188"/>
      <c r="E59" s="188"/>
      <c r="F59" s="188"/>
      <c r="G59" s="188"/>
      <c r="H59" s="188"/>
    </row>
    <row r="60" spans="2:8" hidden="1" x14ac:dyDescent="0.2"/>
    <row r="61" spans="2:8" hidden="1" x14ac:dyDescent="0.2"/>
    <row r="62" spans="2:8" hidden="1" x14ac:dyDescent="0.2"/>
    <row r="63" spans="2:8" hidden="1" x14ac:dyDescent="0.2"/>
    <row r="64" spans="2:8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spans="1:3" hidden="1" x14ac:dyDescent="0.2"/>
    <row r="290" spans="1:3" hidden="1" x14ac:dyDescent="0.2"/>
    <row r="291" spans="1:3" hidden="1" x14ac:dyDescent="0.2"/>
    <row r="292" spans="1:3" hidden="1" x14ac:dyDescent="0.2"/>
    <row r="293" spans="1:3" hidden="1" x14ac:dyDescent="0.2"/>
    <row r="294" spans="1:3" hidden="1" x14ac:dyDescent="0.2"/>
    <row r="295" spans="1:3" hidden="1" x14ac:dyDescent="0.2"/>
    <row r="296" spans="1:3" hidden="1" x14ac:dyDescent="0.2"/>
    <row r="297" spans="1:3" hidden="1" x14ac:dyDescent="0.2"/>
    <row r="298" spans="1:3" hidden="1" x14ac:dyDescent="0.2"/>
    <row r="299" spans="1:3" x14ac:dyDescent="0.2">
      <c r="A299" s="101"/>
      <c r="B299" s="101"/>
      <c r="C299" s="130" t="s">
        <v>263</v>
      </c>
    </row>
    <row r="300" spans="1:3" x14ac:dyDescent="0.2">
      <c r="A300" s="187">
        <v>1</v>
      </c>
      <c r="B300" s="201" t="str">
        <f t="shared" ref="B300:B307" si="0">IFERROR(INDEX(F$23:F$49,MATCH(A300&amp;". koht",F$24:F$50,0)),"")</f>
        <v>Boriss Klubov, Elmo Lageda</v>
      </c>
      <c r="C300" s="188">
        <v>40</v>
      </c>
    </row>
    <row r="301" spans="1:3" x14ac:dyDescent="0.2">
      <c r="A301" s="187">
        <v>2</v>
      </c>
      <c r="B301" s="191" t="str">
        <f t="shared" si="0"/>
        <v>Ivar Viljaste, Sirje Viljaste</v>
      </c>
      <c r="C301" s="188">
        <v>34</v>
      </c>
    </row>
    <row r="302" spans="1:3" x14ac:dyDescent="0.2">
      <c r="A302" s="187">
        <v>3</v>
      </c>
      <c r="B302" s="191" t="str">
        <f t="shared" si="0"/>
        <v>Janek Tarto, Romek Tarto</v>
      </c>
      <c r="C302" s="188">
        <v>30</v>
      </c>
    </row>
    <row r="303" spans="1:3" x14ac:dyDescent="0.2">
      <c r="A303" s="187">
        <v>4</v>
      </c>
      <c r="B303" s="191" t="str">
        <f t="shared" si="0"/>
        <v>Mait Metsla, Matti Vinni</v>
      </c>
      <c r="C303" s="188">
        <v>26</v>
      </c>
    </row>
    <row r="304" spans="1:3" x14ac:dyDescent="0.2">
      <c r="A304" s="187">
        <v>5</v>
      </c>
      <c r="B304" s="191" t="str">
        <f t="shared" si="0"/>
        <v>Argo Sepp, Tõnu Piik</v>
      </c>
      <c r="C304" s="188">
        <v>24</v>
      </c>
    </row>
    <row r="305" spans="1:3" x14ac:dyDescent="0.2">
      <c r="A305" s="187">
        <v>6</v>
      </c>
      <c r="B305" s="191" t="str">
        <f t="shared" si="0"/>
        <v>Aigi Orro, Svetlana Veski</v>
      </c>
      <c r="C305" s="188">
        <v>22</v>
      </c>
    </row>
    <row r="306" spans="1:3" x14ac:dyDescent="0.2">
      <c r="A306" s="187">
        <v>7</v>
      </c>
      <c r="B306" s="191" t="str">
        <f t="shared" si="0"/>
        <v>Ljudmila Varendi, Viktor Švarõgin</v>
      </c>
      <c r="C306" s="188">
        <v>20</v>
      </c>
    </row>
    <row r="307" spans="1:3" x14ac:dyDescent="0.2">
      <c r="A307" s="187">
        <v>8</v>
      </c>
      <c r="B307" s="191" t="str">
        <f t="shared" si="0"/>
        <v>Jaan Sepp, Oskar Sepp</v>
      </c>
      <c r="C307" s="188">
        <v>18</v>
      </c>
    </row>
  </sheetData>
  <conditionalFormatting sqref="B10">
    <cfRule type="duplicateValues" dxfId="1964" priority="94" stopIfTrue="1"/>
  </conditionalFormatting>
  <conditionalFormatting sqref="C20 C22">
    <cfRule type="aboveAverage" dxfId="1963" priority="83"/>
  </conditionalFormatting>
  <conditionalFormatting sqref="C24 C26">
    <cfRule type="aboveAverage" dxfId="1962" priority="82"/>
  </conditionalFormatting>
  <conditionalFormatting sqref="E21 E25">
    <cfRule type="aboveAverage" dxfId="1961" priority="81"/>
  </conditionalFormatting>
  <conditionalFormatting sqref="E28 E30">
    <cfRule type="aboveAverage" dxfId="1960" priority="80"/>
  </conditionalFormatting>
  <conditionalFormatting sqref="C20 C22 C24 C26 E21 E25 E28 E30">
    <cfRule type="containsBlanks" dxfId="1959" priority="79">
      <formula>LEN(TRIM(C20))=0</formula>
    </cfRule>
  </conditionalFormatting>
  <conditionalFormatting sqref="C37 C39">
    <cfRule type="aboveAverage" dxfId="1958" priority="78"/>
  </conditionalFormatting>
  <conditionalFormatting sqref="C41 C43">
    <cfRule type="aboveAverage" dxfId="1957" priority="77"/>
  </conditionalFormatting>
  <conditionalFormatting sqref="E38 E42">
    <cfRule type="aboveAverage" dxfId="1956" priority="76"/>
  </conditionalFormatting>
  <conditionalFormatting sqref="E45 E47">
    <cfRule type="aboveAverage" dxfId="1955" priority="75"/>
  </conditionalFormatting>
  <conditionalFormatting sqref="C37 C39 C41 C43 E38 E42 E45 E47">
    <cfRule type="containsBlanks" dxfId="1954" priority="74">
      <formula>LEN(TRIM(C37))=0</formula>
    </cfRule>
  </conditionalFormatting>
  <conditionalFormatting sqref="B300:B307">
    <cfRule type="containsBlanks" dxfId="1953" priority="72">
      <formula>LEN(TRIM(B300))=0</formula>
    </cfRule>
    <cfRule type="duplicateValues" dxfId="1952" priority="73"/>
  </conditionalFormatting>
  <conditionalFormatting sqref="A20:A26">
    <cfRule type="cellIs" dxfId="1951" priority="70" operator="equal">
      <formula>"-"</formula>
    </cfRule>
    <cfRule type="duplicateValues" dxfId="1950" priority="71"/>
  </conditionalFormatting>
  <conditionalFormatting sqref="A37:A43">
    <cfRule type="cellIs" dxfId="1949" priority="68" operator="equal">
      <formula>"-"</formula>
    </cfRule>
    <cfRule type="duplicateValues" dxfId="1948" priority="69"/>
  </conditionalFormatting>
  <conditionalFormatting sqref="B7">
    <cfRule type="duplicateValues" dxfId="1947" priority="29"/>
  </conditionalFormatting>
  <conditionalFormatting sqref="B16">
    <cfRule type="duplicateValues" dxfId="1946" priority="27" stopIfTrue="1"/>
  </conditionalFormatting>
  <conditionalFormatting sqref="B13">
    <cfRule type="duplicateValues" dxfId="1945" priority="2"/>
  </conditionalFormatting>
  <conditionalFormatting sqref="C7:F16">
    <cfRule type="cellIs" dxfId="1944" priority="1" operator="equal">
      <formula>13</formula>
    </cfRule>
  </conditionalFormatting>
  <pageMargins left="0.78740157480314965" right="0.39370078740157483" top="0.78740157480314965" bottom="0.39370078740157483" header="0.59055118110236227" footer="0"/>
  <pageSetup paperSize="9" fitToHeight="0" orientation="portrait" verticalDpi="1200" r:id="rId1"/>
  <headerFooter alignWithMargins="0">
    <oddHeader>&amp;R&amp;"Arial,Regular"&amp;9Page &amp;P of &amp;N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307"/>
  <sheetViews>
    <sheetView showGridLines="0" showRowColHeaders="0" zoomScaleNormal="100" workbookViewId="0">
      <pane ySplit="2" topLeftCell="A3" activePane="bottomLeft" state="frozen"/>
      <selection activeCell="J1" sqref="J1"/>
      <selection pane="bottomLeft" activeCell="H1" sqref="H1"/>
    </sheetView>
  </sheetViews>
  <sheetFormatPr defaultRowHeight="12.75" x14ac:dyDescent="0.2"/>
  <cols>
    <col min="1" max="1" width="3.28515625" style="88" customWidth="1"/>
    <col min="2" max="2" width="39.85546875" style="87" bestFit="1" customWidth="1"/>
    <col min="3" max="10" width="6.7109375" style="88" customWidth="1"/>
    <col min="11" max="11" width="3.5703125" style="88" hidden="1" customWidth="1"/>
    <col min="12" max="12" width="7.5703125" style="88" hidden="1" customWidth="1"/>
    <col min="13" max="14" width="0" style="88" hidden="1" customWidth="1"/>
    <col min="15" max="15" width="3.140625" style="88" bestFit="1" customWidth="1"/>
    <col min="16" max="16" width="7.5703125" style="88" customWidth="1"/>
    <col min="17" max="16384" width="9.140625" style="88"/>
  </cols>
  <sheetData>
    <row r="1" spans="1:16" x14ac:dyDescent="0.2">
      <c r="A1" s="86" t="str">
        <f>UPPER((Kalend!E38)&amp;" - "&amp;(Kalend!C38)&amp;" - "&amp;(Kalend!D38))</f>
        <v>5 - SHK KV 5. ETAPP - TRIO</v>
      </c>
      <c r="D1" s="51" t="str">
        <f>HYPERLINK("#'Kalend'!I1","Kalender")</f>
        <v>Kalender</v>
      </c>
      <c r="E1" s="186"/>
      <c r="F1" s="51" t="str">
        <f>HYPERLINK("#'Reit'!m1","Reiting")</f>
        <v>Reiting</v>
      </c>
      <c r="G1" s="186"/>
    </row>
    <row r="2" spans="1:16" s="186" customFormat="1" x14ac:dyDescent="0.2">
      <c r="A2" s="186" t="str">
        <f>"Toimumisaeg: "&amp;(Kalend!A38)&amp;" kell "&amp;(Kalend!B38)</f>
        <v>Toimumisaeg: P, 25.03.2018 kell 11:00</v>
      </c>
    </row>
    <row r="3" spans="1:16" s="186" customFormat="1" x14ac:dyDescent="0.2">
      <c r="A3" s="186" t="str">
        <f>"Toimumiskoht: "&amp;(Kalend!F38)</f>
        <v>Toimumiskoht: K-Järve petangihall</v>
      </c>
    </row>
    <row r="4" spans="1:16" s="186" customFormat="1" x14ac:dyDescent="0.2">
      <c r="A4" s="186" t="str">
        <f>"Korraldaja: "&amp;(Kalend!G38)</f>
        <v>Korraldaja: K-Järve SHK, Ivar Viljaste</v>
      </c>
    </row>
    <row r="5" spans="1:16" x14ac:dyDescent="0.2">
      <c r="A5" s="32"/>
      <c r="B5" s="32"/>
      <c r="C5" s="32"/>
      <c r="D5" s="32"/>
      <c r="E5" s="32"/>
      <c r="F5" s="32"/>
      <c r="G5" s="32"/>
      <c r="H5" s="595" t="str">
        <f>IF(COUNTIF(J13:J13,"2-3")&gt;=4,"Kontrolli omavaheliste mängude võite!","")</f>
        <v/>
      </c>
      <c r="J5" s="32"/>
      <c r="K5" s="32"/>
      <c r="L5" s="32"/>
      <c r="M5" s="32"/>
      <c r="N5" s="32"/>
    </row>
    <row r="6" spans="1:16" x14ac:dyDescent="0.2">
      <c r="A6" s="105"/>
      <c r="B6" s="126"/>
      <c r="C6" s="91">
        <v>1</v>
      </c>
      <c r="D6" s="91">
        <v>2</v>
      </c>
      <c r="E6" s="91">
        <v>3</v>
      </c>
      <c r="F6" s="91">
        <v>4</v>
      </c>
      <c r="G6" s="91">
        <v>5</v>
      </c>
      <c r="H6" s="91">
        <v>6</v>
      </c>
      <c r="I6" s="438" t="s">
        <v>73</v>
      </c>
      <c r="J6" s="438" t="s">
        <v>21</v>
      </c>
      <c r="K6" s="768" t="s">
        <v>273</v>
      </c>
      <c r="M6" s="650" t="s">
        <v>430</v>
      </c>
      <c r="N6" s="588" t="b">
        <f>OR(AND(COUNTA(B7:B12)=3,COUNTA(C7:H12)=6),AND(COUNTA(B7:B12)=4,COUNTA(C7:H12)=12),AND(COUNTA(B7:B12)=5,COUNTA(C7:H12)=20),AND(COUNTA(B7:B12)=6,COUNTA(C7:H12)=30),AND(COUNTA(B7:B12)=7,COUNTA(C7:H12)=42))</f>
        <v>1</v>
      </c>
    </row>
    <row r="7" spans="1:16" x14ac:dyDescent="0.2">
      <c r="A7" s="187">
        <v>1</v>
      </c>
      <c r="B7" s="164" t="s">
        <v>182</v>
      </c>
      <c r="C7" s="127"/>
      <c r="D7" s="316">
        <v>13</v>
      </c>
      <c r="E7" s="93">
        <v>13</v>
      </c>
      <c r="F7" s="93">
        <v>6</v>
      </c>
      <c r="G7" s="316">
        <v>8</v>
      </c>
      <c r="H7" s="128">
        <v>13</v>
      </c>
      <c r="I7" s="602" t="str">
        <f>(IF(D7-C8&gt;0,1)+IF(E7-C9&gt;0,1)+IF(F7-C10&gt;0,1)+IF(G7-C11&gt;0,1)+IF(H7-C12&gt;0,1))&amp;"-"&amp;(IF(D7-C8&lt;0,1)+IF(E7-C9&lt;0,1)+IF(F7-C10&lt;0,1)+IF(G7-C11&lt;0,1)+IF(H7-C12&lt;0,1))</f>
        <v>3-2</v>
      </c>
      <c r="J7" s="438" t="str">
        <f>IF(AND(B7&lt;&gt;"",N$6=TRUE),A6&amp;RANK(N7,N$7:N$12,0),"")</f>
        <v>4</v>
      </c>
      <c r="K7" s="584">
        <f t="shared" ref="K7:K12" si="0">VALUE(LEFT(I7,1))</f>
        <v>3</v>
      </c>
      <c r="M7" s="584">
        <f>IF(AND(K7=1,K8=1),D7-C8)+IF(AND(K7=1,K9=1),E7-C9)+IF(AND(K7=1,K10=1),F7-C10)+IF(AND(K7=1,K11=1),G7-C11)+IF(AND(K7=1,K12=1),H7-C12)+IF(AND(K7=1,L13=1),#REF!-C13)+IF(AND(K7=2,K8=2),D7-C8)+IF(AND(K7=2,K9=2),E7-C9)+IF(AND(K7=2,K10=2),F7-C10)+IF(AND(K7=2,K11=2),G7-C11)+IF(AND(K7=2,K12=2),H7-C12)+IF(AND(K7=2,L13=2),#REF!-C13)+IF(AND(K7=3,K8=3),D7-C8)+IF(AND(K7=3,K9=3),E7-C9)+IF(AND(K7=3,K10=3),F7-C10)+IF(AND(K7=3,K11=3),G7-C11)+IF(AND(K7=3,K12=3),H7-C12)+IF(AND(K7=3,L13=3),#REF!-C13)+IF(AND(K7=4,K8=4),D7-C8)+IF(AND(K7=4,K9=4),E7-C9)+IF(AND(K7=4,K10=4),F7-C10)+IF(AND(K7=4,K11=4),G7-C11)+IF(AND(K7=4,K12=4),H7-C12)+IF(AND(K7=4,L13=4),#REF!-C13)+IF(AND(K7=5,K8=5),D7-C8)+IF(AND(K7=5,K9=5),E7-C9)+IF(AND(K7=5,K10=5),F7-C10)+IF(AND(K7=5,K11=5),G7-C11)+IF(AND(K7=5,K12=5),H7-C12)+IF(AND(K7=5,L13=5),#REF!-C13)</f>
        <v>-3</v>
      </c>
      <c r="N7" s="584">
        <f t="shared" ref="N7:N12" si="1">1000*K7+M7</f>
        <v>2997</v>
      </c>
      <c r="O7" s="1178" t="s">
        <v>311</v>
      </c>
      <c r="P7" s="770" t="s">
        <v>525</v>
      </c>
    </row>
    <row r="8" spans="1:16" x14ac:dyDescent="0.2">
      <c r="A8" s="187">
        <v>2</v>
      </c>
      <c r="B8" s="581" t="s">
        <v>616</v>
      </c>
      <c r="C8" s="316">
        <v>11</v>
      </c>
      <c r="D8" s="127"/>
      <c r="E8" s="93">
        <v>13</v>
      </c>
      <c r="F8" s="93">
        <v>0</v>
      </c>
      <c r="G8" s="316">
        <v>12</v>
      </c>
      <c r="H8" s="93">
        <v>13</v>
      </c>
      <c r="I8" s="602" t="str">
        <f>(IF(C8-D7&gt;0,1)+IF(E8-D9&gt;0,1)+IF(F8-D10&gt;0,1)+IF(G8-D11&gt;0,1)+IF(H8-D12&gt;0,1))&amp;"-"&amp;(IF(C8-D7&lt;0,1)+IF(E8-D9&lt;0,1)+IF(F8-D10&lt;0,1)+IF(G8-D11&lt;0,1)+IF(H8-D12&lt;0,1))</f>
        <v>3-2</v>
      </c>
      <c r="J8" s="438" t="str">
        <f>IF(AND(B8&lt;&gt;"",N$6=TRUE),A6&amp;RANK(N8,N$7:N$12,0),"")</f>
        <v>3</v>
      </c>
      <c r="K8" s="584">
        <f t="shared" si="0"/>
        <v>3</v>
      </c>
      <c r="M8" s="584">
        <f>IF(AND(K8=1,K7=1),C8-D7)+IF(AND(K8=1,K9=1),E8-D9)+IF(AND(K8=1,K10=1),F8-D10)+IF(AND(K8=1,K11=1),G8-D11)+IF(AND(K8=1,K12=1),H8-D12)+IF(AND(K8=1,K12=1),#REF!-D13)+IF(AND(K8=2,K7=2),C8-D7)+IF(AND(K8=2,K9=2),E8-D9)+IF(AND(K8=2,K10=2),F8-D10)+IF(AND(K8=2,K11=2),G8-D11)+IF(AND(K8=2,K12=2),H8-D12)+IF(AND(K8=2,K12=2),#REF!-D13)+IF(AND(K8=3,K7=3),C8-D7)+IF(AND(K8=3,K9=3),E8-D9)+IF(AND(K8=3,K10=3),F8-D10)+IF(AND(K8=3,K11=3),G8-D11)+IF(AND(K8=3,K12=3),H8-D12)+IF(AND(K8=3,K12=3),#REF!-D13)+IF(AND(K8=4,K7=4),C8-D7)+IF(AND(K8=4,K9=4),E8-D9)+IF(AND(K8=4,K10=4),F8-D10)+IF(AND(K8=4,K11=4),G8-D11)+IF(AND(K8=4,K12=4),H8-D12)+IF(AND(K8=4,K12=4),#REF!-D13)+IF(AND(K8=5,K7=5),C8-D7)+IF(AND(K8=5,K9=5),E8-D9)+IF(AND(K8=5,K10=5),F8-D10)+IF(AND(K8=5,K11=5),G8-D11)+IF(AND(K8=5,K12=5),H8-D12)+IF(AND(K8=5,K12=5),#REF!-D13)</f>
        <v>-1</v>
      </c>
      <c r="N8" s="584">
        <f t="shared" si="1"/>
        <v>2999</v>
      </c>
      <c r="O8" s="1178" t="s">
        <v>280</v>
      </c>
      <c r="P8" s="770" t="s">
        <v>526</v>
      </c>
    </row>
    <row r="9" spans="1:16" x14ac:dyDescent="0.2">
      <c r="A9" s="187">
        <v>3</v>
      </c>
      <c r="B9" s="581" t="s">
        <v>188</v>
      </c>
      <c r="C9" s="93">
        <v>3</v>
      </c>
      <c r="D9" s="548">
        <v>7</v>
      </c>
      <c r="E9" s="127"/>
      <c r="F9" s="93">
        <v>1</v>
      </c>
      <c r="G9" s="93">
        <v>0</v>
      </c>
      <c r="H9" s="93">
        <v>12</v>
      </c>
      <c r="I9" s="576" t="str">
        <f>(IF(C9-E7&gt;0,1)+IF(D9-E8&gt;0,1)+IF(F9-E10&gt;0,1)+IF(G9-E11&gt;0,1)+IF(H9-E12&gt;0,1))&amp;"-"&amp;(IF(C9-E7&lt;0,1)+IF(D9-E8&lt;0,1)+IF(F9-E10&lt;0,1)+IF(G9-E11&lt;0,1)+IF(H9-E12&lt;0,1))</f>
        <v>0-5</v>
      </c>
      <c r="J9" s="438" t="str">
        <f>IF(AND(B9&lt;&gt;"",N$6=TRUE),A6&amp;RANK(N9,N$7:N$12,0),"")</f>
        <v>6</v>
      </c>
      <c r="K9" s="584">
        <f t="shared" si="0"/>
        <v>0</v>
      </c>
      <c r="M9" s="584">
        <f>IF(AND(K9=1,K7=1),C9-E7)+IF(AND(K9=1,K8=1),D9-E8)+IF(AND(K9=1,K10=1),F9-E10)+IF(AND(K9=1,K11=1),G9-E11)+IF(AND(K9=1,K12=1),H9-E12)+IF(AND(K9=1,L13=1),#REF!-E13)+IF(AND(K9=2,K7=2),C9-E7)+IF(AND(K9=2,K8=2),D9-E8)+IF(AND(K9=2,K10=2),F9-E10)+IF(AND(K9=2,K11=2),G9-E11)+IF(AND(K9=2,K12=2),H9-E12)+IF(AND(K9=2,L13=2),#REF!-E13)+IF(AND(K9=3,K7=3),C9-E7)+IF(AND(K9=3,K8=3),D9-E8)+IF(AND(K9=3,K10=3),F9-E10)+IF(AND(K9=3,K11=3),G9-E11)+IF(AND(K9=3,K12=3),H9-E12)+IF(AND(K9=3,L13=3),#REF!-E13)+IF(AND(K9=4,K7=4),C9-E7)+IF(AND(K9=4,K8=4),D9-E8)+IF(AND(K9=4,K10=4),F9-E10)+IF(AND(K9=4,K11=4),G9-E11)+IF(AND(K9=4,K12=4),H9-E12)+IF(AND(K9=4,L13=4),#REF!-E13)+IF(AND(K9=5,K7=5),C9-E7)+IF(AND(K9=5,K8=5),D9-E8)+IF(AND(K9=5,K10=5),F9-E10)+IF(AND(K9=5,K11=5),G9-E11)+IF(AND(K9=5,K12=5),H9-E12)+IF(AND(K9=5,L13=5),#REF!-E13)</f>
        <v>0</v>
      </c>
      <c r="N9" s="584">
        <f t="shared" si="1"/>
        <v>0</v>
      </c>
      <c r="O9" s="769"/>
      <c r="P9" s="769"/>
    </row>
    <row r="10" spans="1:16" x14ac:dyDescent="0.2">
      <c r="A10" s="187">
        <v>4</v>
      </c>
      <c r="B10" s="581" t="s">
        <v>187</v>
      </c>
      <c r="C10" s="93">
        <v>13</v>
      </c>
      <c r="D10" s="548">
        <v>13</v>
      </c>
      <c r="E10" s="93">
        <v>13</v>
      </c>
      <c r="F10" s="127"/>
      <c r="G10" s="93">
        <v>1</v>
      </c>
      <c r="H10" s="128">
        <v>13</v>
      </c>
      <c r="I10" s="576" t="str">
        <f>(IF(C10-F7&gt;0,1)+IF(D10-F8&gt;0,1)+IF(E10-F9&gt;0,1)+IF(G10-F11&gt;0,1)+IF(H10-F12&gt;0,1))&amp;"-"&amp;(IF(C10-F7&lt;0,1)+IF(D10-F8&lt;0,1)+IF(E10-F9&lt;0,1)+IF(G10-F11&lt;0,1)+IF(H10-F12&lt;0,1))</f>
        <v>4-1</v>
      </c>
      <c r="J10" s="438" t="str">
        <f>IF(AND(B10&lt;&gt;"",N$6=TRUE),A6&amp;RANK(N10,N$7:N$12,0),"")</f>
        <v>1</v>
      </c>
      <c r="K10" s="584">
        <f t="shared" si="0"/>
        <v>4</v>
      </c>
      <c r="M10" s="584">
        <f>IF(AND(K10=1,K7=1),C10-F7)+IF(AND(K10=1,K8=1),D10-F8)+IF(AND(K10=1,K9=1),E10-F9)+IF(AND(K10=1,K11=1),G10-F11)+IF(AND(K10=1,K12=1),H10-F12)+IF(AND(K10=1,L13=1),#REF!-F13)+IF(AND(K10=2,K7=2),C10-F7)+IF(AND(K10=2,K8=2),D10-F8)+IF(AND(K10=2,K9=2),E10-F9)+IF(AND(K10=2,K11=2),G10-F11)+IF(AND(K10=2,K12=2),H10-F12)+IF(AND(K10=2,L13=2),#REF!-F13)+IF(AND(K10=3,K7=3),C10-F7)+IF(AND(K10=3,K8=3),D10-F8)+IF(AND(K10=3,K9=3),E10-F9)+IF(AND(K10=3,K11=3),G10-F11)+IF(AND(K10=3,K12=3),H10-F12)+IF(AND(K10=3,L13=3),#REF!-F13)+IF(AND(K10=4,K7=4),C10-F7)+IF(AND(K10=4,K8=4),D10-F8)+IF(AND(K10=4,K9=4),E10-F9)+IF(AND(K10=4,K11=4),G10-F11)+IF(AND(K10=4,K12=4),H10-F12)+IF(AND(K10=4,L13=4),#REF!-F13)+IF(AND(K10=5,K7=5),C10-F7)+IF(AND(K10=5,K8=5),D10-F8)+IF(AND(K10=5,K9=5),E10-F9)+IF(AND(K10=5,K11=5),G10-F11)+IF(AND(K10=5,K12=5),H10-F12)+IF(AND(K10=5,L13=5),#REF!-F13)</f>
        <v>0</v>
      </c>
      <c r="N10" s="584">
        <f t="shared" si="1"/>
        <v>4000</v>
      </c>
      <c r="O10" s="769"/>
      <c r="P10" s="769"/>
    </row>
    <row r="11" spans="1:16" x14ac:dyDescent="0.2">
      <c r="A11" s="187">
        <v>5</v>
      </c>
      <c r="B11" s="133" t="s">
        <v>186</v>
      </c>
      <c r="C11" s="316">
        <v>13</v>
      </c>
      <c r="D11" s="316">
        <v>11</v>
      </c>
      <c r="E11" s="93">
        <v>13</v>
      </c>
      <c r="F11" s="93">
        <v>13</v>
      </c>
      <c r="G11" s="127"/>
      <c r="H11" s="93">
        <v>8</v>
      </c>
      <c r="I11" s="602" t="str">
        <f>(IF(C11-G7&gt;0,1)+IF(D11-G8&gt;0,1)+IF(E11-G9&gt;0,1)+IF(F11-G10&gt;0,1)+IF(H11-G12&gt;0,1))&amp;"-"&amp;(IF(C11-G7&lt;0,1)+IF(D11-G8&lt;0,1)+IF(E11-G9&lt;0,1)+IF(F11-G10&lt;0,1)+IF(H11-G12&lt;0,1))</f>
        <v>3-2</v>
      </c>
      <c r="J11" s="438" t="str">
        <f>IF(AND(B11&lt;&gt;"",N$6=TRUE),A6&amp;RANK(N11,N$7:N$12,0),"")</f>
        <v>2</v>
      </c>
      <c r="K11" s="584">
        <f t="shared" si="0"/>
        <v>3</v>
      </c>
      <c r="M11" s="584">
        <f>IF(AND(K11=1,K7=1),C11-G7)+IF(AND(K11=1,K8=1),D11-G8)+IF(AND(K11=1,K9=1),E11-G9)+IF(AND(K11=1,K10=1),F11-G10)+IF(AND(K11=1,K12=1),H11-G12)+IF(AND(K11=1,L13=1),#REF!-G13)+IF(AND(K11=2,K7=2),C11-G7)+IF(AND(K11=2,K8=2),D11-G8)+IF(AND(K11=2,K9=2),E11-G9)+IF(AND(K11=2,K10=2),F11-G10)+IF(AND(K11=2,K12=2),H11-G12)+IF(AND(K11=2,L13=2),#REF!-G13)+IF(AND(K11=3,K7=3),C11-G7)+IF(AND(K11=3,K8=3),D11-G8)+IF(AND(K11=3,K9=3),E11-G9)+IF(AND(K11=3,K10=3),F11-G10)+IF(AND(K11=3,K12=3),H11-G12)+IF(AND(K11=3,L13=3),#REF!-G13)+IF(AND(K11=4,K7=4),C11-G7)+IF(AND(K11=4,K8=4),D11-G8)+IF(AND(K11=4,K9=4),E11-G9)+IF(AND(K11=4,K10=4),F11-G10)+IF(AND(K11=4,K12=4),H11-G12)+IF(AND(K11=4,L13=4),#REF!-G13)+IF(AND(K11=5,K7=5),C11-G7)+IF(AND(K11=5,K8=5),D11-G8)+IF(AND(K11=5,K9=5),E11-G9)+IF(AND(K11=5,K10=5),F11-G10)+IF(AND(K11=5,K12=5),H11-G12)+IF(AND(K11=5,L13=5),#REF!-G13)</f>
        <v>4</v>
      </c>
      <c r="N11" s="584">
        <f t="shared" si="1"/>
        <v>3004</v>
      </c>
      <c r="O11" s="1178" t="s">
        <v>405</v>
      </c>
      <c r="P11" s="770" t="s">
        <v>421</v>
      </c>
    </row>
    <row r="12" spans="1:16" x14ac:dyDescent="0.2">
      <c r="A12" s="187">
        <v>6</v>
      </c>
      <c r="B12" s="133" t="s">
        <v>183</v>
      </c>
      <c r="C12" s="397">
        <v>3</v>
      </c>
      <c r="D12" s="598">
        <v>5</v>
      </c>
      <c r="E12" s="598">
        <v>13</v>
      </c>
      <c r="F12" s="598">
        <v>2</v>
      </c>
      <c r="G12" s="598">
        <v>13</v>
      </c>
      <c r="H12" s="596"/>
      <c r="I12" s="598" t="str">
        <f>(IF(C12-H7&gt;0,1)+IF(D12-H8&gt;0,1)+IF(E12-H9&gt;0,1)+IF(F12-H10&gt;0,1)+IF(G12-H11&gt;0,1))&amp;"-"&amp;(IF(C12-H7&lt;0,1)+IF(D12-H8&lt;0,1)+IF(E12-H9&lt;0,1)+IF(F12-H10&lt;0,1)+IF(G12-H11&lt;0,1))</f>
        <v>2-3</v>
      </c>
      <c r="J12" s="438" t="str">
        <f>IF(AND(B12&lt;&gt;"",N$6=TRUE),A6&amp;RANK(N12,N$7:N$12,0),"")</f>
        <v>5</v>
      </c>
      <c r="K12" s="584">
        <f t="shared" si="0"/>
        <v>2</v>
      </c>
      <c r="M12" s="584">
        <f>IF(AND(K12=1,K7=1),C12-H7)+IF(AND(K12=1,K8=1),D12-H8)+IF(AND(K12=1,K9=1),E12-H9)+IF(AND(K12=1,K10=1),F12-H10)+IF(AND(K12=1,K11=1),G12-H11)+IF(AND(K12=1,L13=1),#REF!-H13)+IF(AND(K12=2,K7=2),C12-H7)+IF(AND(K12=2,K8=2),D12-H8)+IF(AND(K12=2,K9=2),E12-H9)+IF(AND(K12=2,K10=2),F12-H10)+IF(AND(K12=2,K11=2),G12-H11)+IF(AND(K12=2,L13=2),#REF!-H13)+IF(AND(K12=3,K7=3),C12-H7)+IF(AND(K12=3,K8=3),D12-H8)+IF(AND(K12=3,K9=3),E12-H9)+IF(AND(K12=3,K10=3),F12-H10)+IF(AND(K12=3,K11=3),G12-H11)+IF(AND(K12=3,L13=3),#REF!-H13)+IF(AND(K12=4,K7=4),C12-H7)+IF(AND(K12=4,K8=4),D12-H8)+IF(AND(K12=4,K9=4),E12-H9)+IF(AND(K12=4,K10=4),F12-H10)+IF(AND(K12=4,K11=4),G12-H11)+IF(AND(K12=4,L13=4),#REF!-H13)+IF(AND(K12=5,K7=5),C12-H7)+IF(AND(K12=5,K8=5),D12-H8)+IF(AND(K12=5,K9=5),E12-H9)+IF(AND(K12=5,K10=5),F12-H10)+IF(AND(K12=5,K11=5),G12-H11)+IF(AND(K12=5,L13=5),#REF!-H13)</f>
        <v>0</v>
      </c>
      <c r="N12" s="584">
        <f t="shared" si="1"/>
        <v>2000</v>
      </c>
      <c r="O12" s="769"/>
      <c r="P12" s="769"/>
    </row>
    <row r="13" spans="1:16" x14ac:dyDescent="0.2">
      <c r="B13" s="88"/>
    </row>
    <row r="14" spans="1:16" x14ac:dyDescent="0.2">
      <c r="B14" s="213" t="s">
        <v>98</v>
      </c>
      <c r="C14" s="402" t="s">
        <v>520</v>
      </c>
      <c r="D14" s="402" t="s">
        <v>108</v>
      </c>
      <c r="E14" s="402" t="s">
        <v>105</v>
      </c>
    </row>
    <row r="15" spans="1:16" x14ac:dyDescent="0.2">
      <c r="B15" s="213" t="s">
        <v>101</v>
      </c>
      <c r="C15" s="402" t="s">
        <v>106</v>
      </c>
      <c r="D15" s="402" t="s">
        <v>103</v>
      </c>
      <c r="E15" s="402" t="s">
        <v>524</v>
      </c>
    </row>
    <row r="16" spans="1:16" x14ac:dyDescent="0.2">
      <c r="B16" s="213" t="s">
        <v>104</v>
      </c>
      <c r="C16" s="402" t="s">
        <v>99</v>
      </c>
      <c r="D16" s="402" t="s">
        <v>100</v>
      </c>
      <c r="E16" s="402" t="s">
        <v>523</v>
      </c>
    </row>
    <row r="17" spans="2:5" x14ac:dyDescent="0.2">
      <c r="B17" s="213" t="s">
        <v>109</v>
      </c>
      <c r="C17" s="402" t="s">
        <v>102</v>
      </c>
      <c r="D17" s="402" t="s">
        <v>522</v>
      </c>
      <c r="E17" s="402" t="s">
        <v>107</v>
      </c>
    </row>
    <row r="18" spans="2:5" x14ac:dyDescent="0.2">
      <c r="B18" s="213" t="s">
        <v>111</v>
      </c>
      <c r="C18" s="402" t="s">
        <v>92</v>
      </c>
      <c r="D18" s="402" t="s">
        <v>110</v>
      </c>
      <c r="E18" s="402" t="s">
        <v>521</v>
      </c>
    </row>
    <row r="20" spans="2:5" hidden="1" x14ac:dyDescent="0.2">
      <c r="B20" s="88"/>
    </row>
    <row r="21" spans="2:5" hidden="1" x14ac:dyDescent="0.2">
      <c r="B21" s="88"/>
    </row>
    <row r="22" spans="2:5" hidden="1" x14ac:dyDescent="0.2">
      <c r="B22" s="88"/>
    </row>
    <row r="23" spans="2:5" hidden="1" x14ac:dyDescent="0.2">
      <c r="B23" s="88"/>
    </row>
    <row r="24" spans="2:5" hidden="1" x14ac:dyDescent="0.2">
      <c r="B24" s="88"/>
    </row>
    <row r="25" spans="2:5" hidden="1" x14ac:dyDescent="0.2">
      <c r="B25" s="88"/>
    </row>
    <row r="26" spans="2:5" hidden="1" x14ac:dyDescent="0.2">
      <c r="B26" s="88"/>
    </row>
    <row r="27" spans="2:5" hidden="1" x14ac:dyDescent="0.2">
      <c r="B27" s="88"/>
    </row>
    <row r="28" spans="2:5" hidden="1" x14ac:dyDescent="0.2">
      <c r="B28" s="88"/>
    </row>
    <row r="29" spans="2:5" hidden="1" x14ac:dyDescent="0.2">
      <c r="B29" s="88"/>
    </row>
    <row r="30" spans="2:5" hidden="1" x14ac:dyDescent="0.2">
      <c r="B30" s="88"/>
    </row>
    <row r="31" spans="2:5" hidden="1" x14ac:dyDescent="0.2">
      <c r="B31" s="88"/>
    </row>
    <row r="32" spans="2:5" hidden="1" x14ac:dyDescent="0.2">
      <c r="B32" s="88"/>
    </row>
    <row r="33" spans="2:2" hidden="1" x14ac:dyDescent="0.2">
      <c r="B33" s="88"/>
    </row>
    <row r="34" spans="2:2" hidden="1" x14ac:dyDescent="0.2">
      <c r="B34" s="88"/>
    </row>
    <row r="35" spans="2:2" hidden="1" x14ac:dyDescent="0.2">
      <c r="B35" s="88"/>
    </row>
    <row r="36" spans="2:2" hidden="1" x14ac:dyDescent="0.2">
      <c r="B36" s="88"/>
    </row>
    <row r="37" spans="2:2" hidden="1" x14ac:dyDescent="0.2">
      <c r="B37" s="88"/>
    </row>
    <row r="38" spans="2:2" hidden="1" x14ac:dyDescent="0.2">
      <c r="B38" s="88"/>
    </row>
    <row r="39" spans="2:2" hidden="1" x14ac:dyDescent="0.2">
      <c r="B39" s="88"/>
    </row>
    <row r="40" spans="2:2" hidden="1" x14ac:dyDescent="0.2">
      <c r="B40" s="88"/>
    </row>
    <row r="41" spans="2:2" hidden="1" x14ac:dyDescent="0.2">
      <c r="B41" s="88"/>
    </row>
    <row r="42" spans="2:2" hidden="1" x14ac:dyDescent="0.2">
      <c r="B42" s="88"/>
    </row>
    <row r="43" spans="2:2" hidden="1" x14ac:dyDescent="0.2">
      <c r="B43" s="88"/>
    </row>
    <row r="44" spans="2:2" hidden="1" x14ac:dyDescent="0.2">
      <c r="B44" s="88"/>
    </row>
    <row r="45" spans="2:2" hidden="1" x14ac:dyDescent="0.2">
      <c r="B45" s="88"/>
    </row>
    <row r="46" spans="2:2" hidden="1" x14ac:dyDescent="0.2">
      <c r="B46" s="88"/>
    </row>
    <row r="47" spans="2:2" hidden="1" x14ac:dyDescent="0.2">
      <c r="B47" s="88"/>
    </row>
    <row r="48" spans="2:2" hidden="1" x14ac:dyDescent="0.2">
      <c r="B48" s="88"/>
    </row>
    <row r="49" spans="2:8" hidden="1" x14ac:dyDescent="0.2">
      <c r="B49" s="88"/>
    </row>
    <row r="50" spans="2:8" hidden="1" x14ac:dyDescent="0.2">
      <c r="B50" s="88"/>
    </row>
    <row r="51" spans="2:8" hidden="1" x14ac:dyDescent="0.2">
      <c r="B51" s="88"/>
    </row>
    <row r="52" spans="2:8" hidden="1" x14ac:dyDescent="0.2">
      <c r="D52" s="188"/>
      <c r="E52" s="188"/>
      <c r="F52" s="188"/>
      <c r="G52" s="188"/>
      <c r="H52" s="188"/>
    </row>
    <row r="53" spans="2:8" hidden="1" x14ac:dyDescent="0.2">
      <c r="D53" s="188"/>
      <c r="E53" s="188"/>
      <c r="F53" s="188"/>
      <c r="G53" s="188"/>
      <c r="H53" s="188"/>
    </row>
    <row r="54" spans="2:8" hidden="1" x14ac:dyDescent="0.2">
      <c r="D54" s="188"/>
      <c r="E54" s="188"/>
      <c r="F54" s="188"/>
      <c r="G54" s="188"/>
      <c r="H54" s="188"/>
    </row>
    <row r="55" spans="2:8" hidden="1" x14ac:dyDescent="0.2">
      <c r="D55" s="188"/>
      <c r="E55" s="188"/>
      <c r="F55" s="188"/>
      <c r="G55" s="188"/>
      <c r="H55" s="188"/>
    </row>
    <row r="56" spans="2:8" hidden="1" x14ac:dyDescent="0.2">
      <c r="D56" s="188"/>
      <c r="E56" s="188"/>
      <c r="F56" s="188"/>
      <c r="G56" s="188"/>
      <c r="H56" s="188"/>
    </row>
    <row r="57" spans="2:8" hidden="1" x14ac:dyDescent="0.2">
      <c r="D57" s="188"/>
      <c r="E57" s="188"/>
      <c r="F57" s="188"/>
      <c r="G57" s="188"/>
      <c r="H57" s="188"/>
    </row>
    <row r="58" spans="2:8" hidden="1" x14ac:dyDescent="0.2">
      <c r="D58" s="188"/>
      <c r="E58" s="188"/>
      <c r="F58" s="188"/>
      <c r="G58" s="188"/>
      <c r="H58" s="188"/>
    </row>
    <row r="59" spans="2:8" hidden="1" x14ac:dyDescent="0.2">
      <c r="D59" s="188"/>
      <c r="E59" s="188"/>
      <c r="F59" s="188"/>
      <c r="G59" s="188"/>
      <c r="H59" s="188"/>
    </row>
    <row r="60" spans="2:8" hidden="1" x14ac:dyDescent="0.2"/>
    <row r="61" spans="2:8" hidden="1" x14ac:dyDescent="0.2"/>
    <row r="62" spans="2:8" hidden="1" x14ac:dyDescent="0.2"/>
    <row r="63" spans="2:8" hidden="1" x14ac:dyDescent="0.2"/>
    <row r="64" spans="2:8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spans="1:3" hidden="1" x14ac:dyDescent="0.2"/>
    <row r="290" spans="1:3" hidden="1" x14ac:dyDescent="0.2"/>
    <row r="291" spans="1:3" hidden="1" x14ac:dyDescent="0.2"/>
    <row r="292" spans="1:3" hidden="1" x14ac:dyDescent="0.2"/>
    <row r="293" spans="1:3" hidden="1" x14ac:dyDescent="0.2"/>
    <row r="294" spans="1:3" hidden="1" x14ac:dyDescent="0.2"/>
    <row r="295" spans="1:3" hidden="1" x14ac:dyDescent="0.2"/>
    <row r="296" spans="1:3" hidden="1" x14ac:dyDescent="0.2"/>
    <row r="297" spans="1:3" hidden="1" x14ac:dyDescent="0.2"/>
    <row r="298" spans="1:3" hidden="1" x14ac:dyDescent="0.2"/>
    <row r="299" spans="1:3" x14ac:dyDescent="0.2">
      <c r="A299" s="101"/>
      <c r="B299" s="101"/>
      <c r="C299" s="130" t="s">
        <v>263</v>
      </c>
    </row>
    <row r="300" spans="1:3" x14ac:dyDescent="0.2">
      <c r="A300" s="187">
        <v>1</v>
      </c>
      <c r="B300" s="201" t="str">
        <f>IFERROR(INDEX(B$7:B$12,MATCH($A$6&amp;A300,J$7:J$12,0)),"")</f>
        <v>Mait Metsla, Matti Vinni, Oskar Sepp</v>
      </c>
      <c r="C300" s="188">
        <v>40</v>
      </c>
    </row>
    <row r="301" spans="1:3" x14ac:dyDescent="0.2">
      <c r="A301" s="187">
        <v>2</v>
      </c>
      <c r="B301" s="191" t="str">
        <f t="shared" ref="B301:B305" si="2">IFERROR(INDEX(B$7:B$12,MATCH($A$6&amp;A301,J$7:J$12,0)),"")</f>
        <v>Ivar Viljaste, Kristo Viljaste, Sirje Viljaste</v>
      </c>
      <c r="C301" s="188">
        <v>34</v>
      </c>
    </row>
    <row r="302" spans="1:3" x14ac:dyDescent="0.2">
      <c r="A302" s="187">
        <v>3</v>
      </c>
      <c r="B302" s="191" t="str">
        <f t="shared" si="2"/>
        <v>Kenneth Muusikus, Peep Peenema, Ülo Piik</v>
      </c>
      <c r="C302" s="188">
        <v>30</v>
      </c>
    </row>
    <row r="303" spans="1:3" x14ac:dyDescent="0.2">
      <c r="A303" s="187">
        <v>4</v>
      </c>
      <c r="B303" s="191" t="str">
        <f t="shared" si="2"/>
        <v>Boriss Klubov, Elmo Lageda, Jaan Sepp</v>
      </c>
      <c r="C303" s="188">
        <v>26</v>
      </c>
    </row>
    <row r="304" spans="1:3" x14ac:dyDescent="0.2">
      <c r="A304" s="187">
        <v>5</v>
      </c>
      <c r="B304" s="191" t="str">
        <f t="shared" si="2"/>
        <v>Argo Sepp, Ljudmila Varendi, Viktor Švarõgin</v>
      </c>
      <c r="C304" s="188">
        <v>24</v>
      </c>
    </row>
    <row r="305" spans="1:3" x14ac:dyDescent="0.2">
      <c r="A305" s="187">
        <v>6</v>
      </c>
      <c r="B305" s="191" t="str">
        <f t="shared" si="2"/>
        <v>Janek Tarto, Lemmit Toomra, Romek Tarto</v>
      </c>
      <c r="C305" s="188">
        <v>22</v>
      </c>
    </row>
    <row r="306" spans="1:3" x14ac:dyDescent="0.2">
      <c r="B306" s="88"/>
    </row>
    <row r="307" spans="1:3" x14ac:dyDescent="0.2">
      <c r="B307" s="88"/>
    </row>
  </sheetData>
  <conditionalFormatting sqref="B300:B305">
    <cfRule type="containsBlanks" dxfId="1943" priority="42">
      <formula>LEN(TRIM(B300))=0</formula>
    </cfRule>
    <cfRule type="duplicateValues" dxfId="1942" priority="43"/>
  </conditionalFormatting>
  <conditionalFormatting sqref="J7:J12">
    <cfRule type="expression" dxfId="1941" priority="32">
      <formula>FIND(2,J7,1)</formula>
    </cfRule>
    <cfRule type="expression" dxfId="1940" priority="33">
      <formula>FIND(1,J7,1)</formula>
    </cfRule>
  </conditionalFormatting>
  <conditionalFormatting sqref="C8 D7">
    <cfRule type="aboveAverage" dxfId="1939" priority="31"/>
  </conditionalFormatting>
  <conditionalFormatting sqref="E7 C9">
    <cfRule type="aboveAverage" dxfId="1938" priority="30"/>
  </conditionalFormatting>
  <conditionalFormatting sqref="F7 C10">
    <cfRule type="aboveAverage" dxfId="1937" priority="29"/>
  </conditionalFormatting>
  <conditionalFormatting sqref="D9 E8">
    <cfRule type="aboveAverage" dxfId="1936" priority="28"/>
  </conditionalFormatting>
  <conditionalFormatting sqref="C11 G7">
    <cfRule type="aboveAverage" dxfId="1935" priority="27"/>
  </conditionalFormatting>
  <conditionalFormatting sqref="D10 F8">
    <cfRule type="aboveAverage" dxfId="1934" priority="26"/>
  </conditionalFormatting>
  <conditionalFormatting sqref="C12 H7">
    <cfRule type="aboveAverage" dxfId="1933" priority="25"/>
  </conditionalFormatting>
  <conditionalFormatting sqref="D11 G8">
    <cfRule type="aboveAverage" dxfId="1932" priority="24"/>
  </conditionalFormatting>
  <conditionalFormatting sqref="E10 F9">
    <cfRule type="aboveAverage" dxfId="1931" priority="23"/>
  </conditionalFormatting>
  <conditionalFormatting sqref="D12 H8">
    <cfRule type="aboveAverage" dxfId="1930" priority="21"/>
  </conditionalFormatting>
  <conditionalFormatting sqref="E11 G9">
    <cfRule type="aboveAverage" dxfId="1929" priority="20"/>
  </conditionalFormatting>
  <conditionalFormatting sqref="E12 H9">
    <cfRule type="aboveAverage" dxfId="1928" priority="18"/>
  </conditionalFormatting>
  <conditionalFormatting sqref="F11 G10">
    <cfRule type="aboveAverage" dxfId="1927" priority="17"/>
  </conditionalFormatting>
  <conditionalFormatting sqref="F12 H10">
    <cfRule type="aboveAverage" dxfId="1926" priority="15"/>
  </conditionalFormatting>
  <conditionalFormatting sqref="G12 H11">
    <cfRule type="aboveAverage" dxfId="1925" priority="13"/>
  </conditionalFormatting>
  <conditionalFormatting sqref="I7:I12">
    <cfRule type="expression" dxfId="1924" priority="919">
      <formula>IF(AND(I7="2-3",COUNTIF(J$13:J$13,"2-3")&gt;=4),TRUE,FALSE)</formula>
    </cfRule>
    <cfRule type="expression" dxfId="1923" priority="920">
      <formula>IF(AND(I7="3-2",COUNTIF(J$13:J$13,"3-2")&gt;=4),TRUE,FALSE)</formula>
    </cfRule>
    <cfRule type="expression" dxfId="1922" priority="921">
      <formula>B7=""</formula>
    </cfRule>
  </conditionalFormatting>
  <conditionalFormatting sqref="C17:D18">
    <cfRule type="cellIs" dxfId="1921" priority="5" operator="equal">
      <formula>13</formula>
    </cfRule>
  </conditionalFormatting>
  <conditionalFormatting sqref="C16:D16">
    <cfRule type="cellIs" dxfId="1920" priority="4" operator="equal">
      <formula>13</formula>
    </cfRule>
  </conditionalFormatting>
  <pageMargins left="0.78740157480314965" right="0.39370078740157483" top="0.78740157480314965" bottom="0.39370078740157483" header="0.59055118110236227" footer="0"/>
  <pageSetup paperSize="9" fitToHeight="0" orientation="landscape" horizontalDpi="1200" verticalDpi="1200" r:id="rId1"/>
  <headerFooter alignWithMargins="0">
    <oddHeader>&amp;R&amp;"Arial,Regular"&amp;9Page &amp;P of &amp;N</oddHeader>
  </headerFooter>
  <ignoredErrors>
    <ignoredError sqref="O7:O12" numberStoredAsText="1"/>
  </ignoredError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H35"/>
  <sheetViews>
    <sheetView showGridLines="0" showRowColHeaders="0" zoomScaleNormal="100" workbookViewId="0">
      <pane ySplit="2" topLeftCell="A3" activePane="bottomLeft" state="frozen"/>
      <selection activeCell="G1" sqref="G1"/>
      <selection pane="bottomLeft" activeCell="I1" sqref="I1"/>
    </sheetView>
  </sheetViews>
  <sheetFormatPr defaultRowHeight="12.75" x14ac:dyDescent="0.2"/>
  <cols>
    <col min="1" max="1" width="5.5703125" style="139" customWidth="1"/>
    <col min="2" max="2" width="19.7109375" style="139" customWidth="1"/>
    <col min="3" max="6" width="7.85546875" style="139" customWidth="1"/>
    <col min="7" max="8" width="7.85546875" style="139" bestFit="1" customWidth="1"/>
    <col min="9" max="16384" width="9.140625" style="139"/>
  </cols>
  <sheetData>
    <row r="1" spans="1:8" x14ac:dyDescent="0.2">
      <c r="A1" s="86" t="str">
        <f>UPPER((Kalend!E41)&amp;" - "&amp;(Kalend!C41)&amp;" - "&amp;(Kalend!D41))</f>
        <v>K1 - KORBI KARIKAS 1. ETAPP - DUO,S-DUO</v>
      </c>
      <c r="F1" s="51" t="str">
        <f>HYPERLINK("#'Kalend'!I1","Kalender")</f>
        <v>Kalender</v>
      </c>
      <c r="H1" s="51" t="str">
        <f>HYPERLINK("#'V'!AE1","Reiting")</f>
        <v>Reiting</v>
      </c>
    </row>
    <row r="2" spans="1:8" x14ac:dyDescent="0.2">
      <c r="A2" s="186" t="str">
        <f>"Toimumisaeg: "&amp;(Kalend!A41)&amp;" kell "&amp;(Kalend!B41)</f>
        <v>Toimumisaeg: P, 08.04.2018 kell 12:00</v>
      </c>
    </row>
    <row r="3" spans="1:8" x14ac:dyDescent="0.2">
      <c r="A3" s="186" t="str">
        <f>"Toimumiskoht: "&amp;(Kalend!F41)</f>
        <v>Toimumiskoht: Voka petangihall</v>
      </c>
    </row>
    <row r="4" spans="1:8" x14ac:dyDescent="0.2">
      <c r="A4" s="186" t="str">
        <f>"Korraldaja: "&amp;(Kalend!G41)</f>
        <v>Korraldaja: K-Järve SHK, Ilmar Taluste</v>
      </c>
    </row>
    <row r="6" spans="1:8" s="188" customFormat="1" x14ac:dyDescent="0.2">
      <c r="A6" s="945" t="s">
        <v>10</v>
      </c>
      <c r="B6" s="946"/>
      <c r="C6" s="91">
        <v>1</v>
      </c>
      <c r="D6" s="91">
        <v>2</v>
      </c>
      <c r="E6" s="91">
        <v>3</v>
      </c>
      <c r="F6" s="91">
        <v>4</v>
      </c>
      <c r="G6" s="438" t="s">
        <v>559</v>
      </c>
      <c r="H6" s="438" t="s">
        <v>263</v>
      </c>
    </row>
    <row r="7" spans="1:8" s="188" customFormat="1" x14ac:dyDescent="0.2">
      <c r="A7" s="126">
        <v>1</v>
      </c>
      <c r="B7" s="164" t="s">
        <v>553</v>
      </c>
      <c r="C7" s="127"/>
      <c r="D7" s="93">
        <v>13</v>
      </c>
      <c r="E7" s="93">
        <v>8</v>
      </c>
      <c r="F7" s="93">
        <v>13</v>
      </c>
      <c r="G7" s="438">
        <v>2</v>
      </c>
      <c r="H7" s="438">
        <v>6</v>
      </c>
    </row>
    <row r="8" spans="1:8" s="188" customFormat="1" x14ac:dyDescent="0.2">
      <c r="A8" s="126">
        <v>2</v>
      </c>
      <c r="B8" s="581" t="s">
        <v>554</v>
      </c>
      <c r="C8" s="93">
        <v>8</v>
      </c>
      <c r="D8" s="127"/>
      <c r="E8" s="93">
        <v>13</v>
      </c>
      <c r="F8" s="93">
        <v>10</v>
      </c>
      <c r="G8" s="438">
        <v>1</v>
      </c>
      <c r="H8" s="438">
        <v>3</v>
      </c>
    </row>
    <row r="9" spans="1:8" s="188" customFormat="1" x14ac:dyDescent="0.2">
      <c r="A9" s="126">
        <v>3</v>
      </c>
      <c r="B9" s="581" t="s">
        <v>555</v>
      </c>
      <c r="C9" s="93">
        <v>13</v>
      </c>
      <c r="D9" s="548">
        <v>12</v>
      </c>
      <c r="E9" s="127"/>
      <c r="F9" s="93">
        <v>13</v>
      </c>
      <c r="G9" s="438">
        <v>2</v>
      </c>
      <c r="H9" s="438">
        <v>6</v>
      </c>
    </row>
    <row r="10" spans="1:8" s="188" customFormat="1" x14ac:dyDescent="0.2">
      <c r="A10" s="126">
        <v>4</v>
      </c>
      <c r="B10" s="582" t="s">
        <v>556</v>
      </c>
      <c r="C10" s="93">
        <v>6</v>
      </c>
      <c r="D10" s="548">
        <v>13</v>
      </c>
      <c r="E10" s="93">
        <v>10</v>
      </c>
      <c r="F10" s="127"/>
      <c r="G10" s="438">
        <v>1</v>
      </c>
      <c r="H10" s="438">
        <v>3</v>
      </c>
    </row>
    <row r="11" spans="1:8" s="188" customFormat="1" hidden="1" x14ac:dyDescent="0.2">
      <c r="A11" s="126">
        <v>5</v>
      </c>
      <c r="B11" s="582"/>
      <c r="C11" s="93"/>
      <c r="D11" s="93"/>
      <c r="E11" s="93"/>
      <c r="F11" s="93"/>
      <c r="G11" s="93"/>
      <c r="H11" s="93"/>
    </row>
    <row r="12" spans="1:8" s="188" customFormat="1" x14ac:dyDescent="0.2">
      <c r="A12" s="121"/>
      <c r="B12" s="677"/>
      <c r="C12" s="96"/>
      <c r="D12" s="312"/>
      <c r="E12" s="96"/>
      <c r="F12" s="97"/>
      <c r="G12" s="588"/>
      <c r="H12" s="588"/>
    </row>
    <row r="13" spans="1:8" s="186" customFormat="1" x14ac:dyDescent="0.2">
      <c r="A13" s="945" t="s">
        <v>557</v>
      </c>
      <c r="B13" s="946"/>
      <c r="C13" s="91">
        <v>1</v>
      </c>
      <c r="D13" s="91">
        <v>2</v>
      </c>
      <c r="E13" s="91">
        <v>3</v>
      </c>
      <c r="F13" s="91">
        <v>4</v>
      </c>
      <c r="G13" s="438" t="s">
        <v>559</v>
      </c>
      <c r="H13" s="438" t="s">
        <v>263</v>
      </c>
    </row>
    <row r="14" spans="1:8" s="186" customFormat="1" x14ac:dyDescent="0.2">
      <c r="A14" s="126">
        <v>1</v>
      </c>
      <c r="B14" s="581" t="s">
        <v>556</v>
      </c>
      <c r="C14" s="127"/>
      <c r="D14" s="944">
        <v>11</v>
      </c>
      <c r="E14" s="944">
        <v>13</v>
      </c>
      <c r="F14" s="93">
        <v>6</v>
      </c>
      <c r="G14" s="438">
        <v>1</v>
      </c>
      <c r="H14" s="438">
        <v>3</v>
      </c>
    </row>
    <row r="15" spans="1:8" s="186" customFormat="1" x14ac:dyDescent="0.2">
      <c r="A15" s="126">
        <v>2</v>
      </c>
      <c r="B15" s="581" t="s">
        <v>554</v>
      </c>
      <c r="C15" s="93">
        <v>13</v>
      </c>
      <c r="D15" s="127"/>
      <c r="E15" s="93">
        <v>13</v>
      </c>
      <c r="F15" s="93">
        <v>13</v>
      </c>
      <c r="G15" s="438">
        <v>3</v>
      </c>
      <c r="H15" s="438">
        <v>9</v>
      </c>
    </row>
    <row r="16" spans="1:8" s="186" customFormat="1" x14ac:dyDescent="0.2">
      <c r="A16" s="126">
        <v>3</v>
      </c>
      <c r="B16" s="164" t="s">
        <v>553</v>
      </c>
      <c r="C16" s="93">
        <v>10</v>
      </c>
      <c r="D16" s="548">
        <v>5</v>
      </c>
      <c r="E16" s="127"/>
      <c r="F16" s="93">
        <v>4</v>
      </c>
      <c r="G16" s="438">
        <v>0</v>
      </c>
      <c r="H16" s="438">
        <v>0</v>
      </c>
    </row>
    <row r="17" spans="1:8" s="186" customFormat="1" x14ac:dyDescent="0.2">
      <c r="A17" s="126">
        <v>4</v>
      </c>
      <c r="B17" s="581" t="s">
        <v>555</v>
      </c>
      <c r="C17" s="93">
        <v>13</v>
      </c>
      <c r="D17" s="548">
        <v>6</v>
      </c>
      <c r="E17" s="93">
        <v>13</v>
      </c>
      <c r="F17" s="127"/>
      <c r="G17" s="438">
        <v>2</v>
      </c>
      <c r="H17" s="438">
        <v>6</v>
      </c>
    </row>
    <row r="18" spans="1:8" s="186" customFormat="1" hidden="1" x14ac:dyDescent="0.2">
      <c r="A18" s="126">
        <v>5</v>
      </c>
      <c r="B18" s="582"/>
      <c r="C18" s="93"/>
      <c r="D18" s="93"/>
      <c r="E18" s="93"/>
      <c r="F18" s="93"/>
      <c r="G18" s="93"/>
      <c r="H18" s="93"/>
    </row>
    <row r="19" spans="1:8" s="188" customFormat="1" x14ac:dyDescent="0.2">
      <c r="A19" s="121"/>
      <c r="B19" s="677"/>
      <c r="C19" s="96"/>
      <c r="D19" s="312"/>
      <c r="E19" s="96"/>
      <c r="F19" s="97"/>
      <c r="G19" s="588"/>
      <c r="H19" s="588"/>
    </row>
    <row r="20" spans="1:8" s="186" customFormat="1" x14ac:dyDescent="0.2">
      <c r="A20" s="945" t="s">
        <v>558</v>
      </c>
      <c r="B20" s="946"/>
      <c r="C20" s="91">
        <v>1</v>
      </c>
      <c r="D20" s="91">
        <v>2</v>
      </c>
      <c r="E20" s="91">
        <v>3</v>
      </c>
      <c r="F20" s="91">
        <v>4</v>
      </c>
      <c r="G20" s="438" t="s">
        <v>559</v>
      </c>
      <c r="H20" s="438" t="s">
        <v>263</v>
      </c>
    </row>
    <row r="21" spans="1:8" s="186" customFormat="1" x14ac:dyDescent="0.2">
      <c r="A21" s="126">
        <v>1</v>
      </c>
      <c r="B21" s="582" t="s">
        <v>555</v>
      </c>
      <c r="C21" s="127"/>
      <c r="D21" s="93">
        <v>1</v>
      </c>
      <c r="E21" s="93">
        <v>4</v>
      </c>
      <c r="F21" s="93">
        <v>13</v>
      </c>
      <c r="G21" s="438">
        <v>1</v>
      </c>
      <c r="H21" s="438">
        <v>3</v>
      </c>
    </row>
    <row r="22" spans="1:8" s="186" customFormat="1" x14ac:dyDescent="0.2">
      <c r="A22" s="126">
        <v>2</v>
      </c>
      <c r="B22" s="581" t="s">
        <v>556</v>
      </c>
      <c r="C22" s="93">
        <v>13</v>
      </c>
      <c r="D22" s="127"/>
      <c r="E22" s="944">
        <v>13</v>
      </c>
      <c r="F22" s="93">
        <v>1</v>
      </c>
      <c r="G22" s="438">
        <v>2</v>
      </c>
      <c r="H22" s="438">
        <v>6</v>
      </c>
    </row>
    <row r="23" spans="1:8" s="186" customFormat="1" x14ac:dyDescent="0.2">
      <c r="A23" s="126">
        <v>3</v>
      </c>
      <c r="B23" s="581" t="s">
        <v>553</v>
      </c>
      <c r="C23" s="93">
        <v>13</v>
      </c>
      <c r="D23" s="548">
        <v>4</v>
      </c>
      <c r="E23" s="127"/>
      <c r="F23" s="93">
        <v>13</v>
      </c>
      <c r="G23" s="438">
        <v>2</v>
      </c>
      <c r="H23" s="438">
        <v>6</v>
      </c>
    </row>
    <row r="24" spans="1:8" s="186" customFormat="1" x14ac:dyDescent="0.2">
      <c r="A24" s="126">
        <v>4</v>
      </c>
      <c r="B24" s="739" t="s">
        <v>554</v>
      </c>
      <c r="C24" s="93">
        <v>5</v>
      </c>
      <c r="D24" s="548">
        <v>13</v>
      </c>
      <c r="E24" s="93">
        <v>7</v>
      </c>
      <c r="F24" s="127"/>
      <c r="G24" s="438">
        <v>1</v>
      </c>
      <c r="H24" s="438">
        <v>3</v>
      </c>
    </row>
    <row r="25" spans="1:8" s="186" customFormat="1" hidden="1" x14ac:dyDescent="0.2">
      <c r="A25" s="126">
        <v>5</v>
      </c>
      <c r="B25" s="582"/>
      <c r="C25" s="93"/>
      <c r="D25" s="93"/>
      <c r="E25" s="93"/>
      <c r="F25" s="93"/>
      <c r="G25" s="93"/>
    </row>
    <row r="26" spans="1:8" s="186" customFormat="1" x14ac:dyDescent="0.2">
      <c r="A26" s="87"/>
      <c r="B26" s="407"/>
      <c r="C26" s="309"/>
      <c r="D26" s="309"/>
      <c r="E26" s="309"/>
    </row>
    <row r="27" spans="1:8" s="188" customFormat="1" x14ac:dyDescent="0.2">
      <c r="B27" s="213" t="s">
        <v>98</v>
      </c>
      <c r="C27" s="98" t="s">
        <v>99</v>
      </c>
      <c r="D27" s="98" t="s">
        <v>100</v>
      </c>
    </row>
    <row r="28" spans="1:8" s="188" customFormat="1" x14ac:dyDescent="0.2">
      <c r="B28" s="213" t="s">
        <v>101</v>
      </c>
      <c r="C28" s="98" t="s">
        <v>102</v>
      </c>
      <c r="D28" s="98" t="s">
        <v>103</v>
      </c>
    </row>
    <row r="29" spans="1:8" s="188" customFormat="1" x14ac:dyDescent="0.2">
      <c r="B29" s="213" t="s">
        <v>104</v>
      </c>
      <c r="C29" s="98" t="s">
        <v>92</v>
      </c>
      <c r="D29" s="98" t="s">
        <v>105</v>
      </c>
    </row>
    <row r="30" spans="1:8" s="188" customFormat="1" x14ac:dyDescent="0.2">
      <c r="A30" s="121"/>
      <c r="E30" s="97"/>
      <c r="F30" s="97"/>
      <c r="G30" s="97"/>
    </row>
    <row r="31" spans="1:8" x14ac:dyDescent="0.2">
      <c r="C31" s="941" t="s">
        <v>263</v>
      </c>
      <c r="D31" s="264" t="s">
        <v>560</v>
      </c>
    </row>
    <row r="32" spans="1:8" x14ac:dyDescent="0.2">
      <c r="A32" s="1408">
        <v>1</v>
      </c>
      <c r="B32" s="1409" t="s">
        <v>554</v>
      </c>
      <c r="C32" s="1412">
        <v>15</v>
      </c>
      <c r="D32" s="942">
        <v>6</v>
      </c>
    </row>
    <row r="33" spans="1:4" x14ac:dyDescent="0.2">
      <c r="A33" s="1408">
        <v>2</v>
      </c>
      <c r="B33" s="1410" t="s">
        <v>555</v>
      </c>
      <c r="C33" s="1412">
        <v>15</v>
      </c>
      <c r="D33" s="942">
        <v>3</v>
      </c>
    </row>
    <row r="34" spans="1:4" x14ac:dyDescent="0.2">
      <c r="A34" s="1408">
        <v>3</v>
      </c>
      <c r="B34" s="1411" t="s">
        <v>556</v>
      </c>
      <c r="C34" s="1413">
        <v>12</v>
      </c>
      <c r="D34" s="943">
        <v>6</v>
      </c>
    </row>
    <row r="35" spans="1:4" x14ac:dyDescent="0.2">
      <c r="A35" s="1408">
        <v>4</v>
      </c>
      <c r="B35" s="1411" t="s">
        <v>553</v>
      </c>
      <c r="C35" s="1413">
        <v>12</v>
      </c>
      <c r="D35" s="943">
        <v>3</v>
      </c>
    </row>
  </sheetData>
  <conditionalFormatting sqref="E30">
    <cfRule type="aboveAverage" dxfId="1919" priority="170"/>
  </conditionalFormatting>
  <conditionalFormatting sqref="F30">
    <cfRule type="aboveAverage" dxfId="1918" priority="169"/>
  </conditionalFormatting>
  <conditionalFormatting sqref="G30">
    <cfRule type="expression" dxfId="1917" priority="159">
      <formula>FIND(2,G30,1)</formula>
    </cfRule>
    <cfRule type="expression" dxfId="1916" priority="160">
      <formula>FIND(1,G30,1)</formula>
    </cfRule>
  </conditionalFormatting>
  <conditionalFormatting sqref="D14 C15">
    <cfRule type="aboveAverage" dxfId="1915" priority="158"/>
  </conditionalFormatting>
  <conditionalFormatting sqref="E14 C16">
    <cfRule type="aboveAverage" dxfId="1914" priority="157"/>
  </conditionalFormatting>
  <conditionalFormatting sqref="F14 C17">
    <cfRule type="aboveAverage" dxfId="1913" priority="156"/>
  </conditionalFormatting>
  <conditionalFormatting sqref="E15 D16">
    <cfRule type="aboveAverage" dxfId="1912" priority="155"/>
  </conditionalFormatting>
  <conditionalFormatting sqref="G14 C18">
    <cfRule type="aboveAverage" dxfId="1911" priority="154"/>
  </conditionalFormatting>
  <conditionalFormatting sqref="F15 D17">
    <cfRule type="aboveAverage" dxfId="1910" priority="153"/>
  </conditionalFormatting>
  <conditionalFormatting sqref="G15 D18">
    <cfRule type="aboveAverage" dxfId="1909" priority="152"/>
  </conditionalFormatting>
  <conditionalFormatting sqref="F16 E17">
    <cfRule type="aboveAverage" dxfId="1908" priority="151"/>
  </conditionalFormatting>
  <conditionalFormatting sqref="G16 E18">
    <cfRule type="aboveAverage" dxfId="1907" priority="150"/>
  </conditionalFormatting>
  <conditionalFormatting sqref="F18 G17">
    <cfRule type="aboveAverage" dxfId="1906" priority="149"/>
  </conditionalFormatting>
  <conditionalFormatting sqref="D7 C8">
    <cfRule type="aboveAverage" dxfId="1905" priority="148"/>
  </conditionalFormatting>
  <conditionalFormatting sqref="E7 C9">
    <cfRule type="aboveAverage" dxfId="1904" priority="147"/>
  </conditionalFormatting>
  <conditionalFormatting sqref="F7 C10">
    <cfRule type="aboveAverage" dxfId="1903" priority="146"/>
  </conditionalFormatting>
  <conditionalFormatting sqref="E8 D9">
    <cfRule type="aboveAverage" dxfId="1902" priority="145"/>
  </conditionalFormatting>
  <conditionalFormatting sqref="G7 C11">
    <cfRule type="aboveAverage" dxfId="1901" priority="144"/>
  </conditionalFormatting>
  <conditionalFormatting sqref="F8 D10">
    <cfRule type="aboveAverage" dxfId="1900" priority="143"/>
  </conditionalFormatting>
  <conditionalFormatting sqref="G8 D11">
    <cfRule type="aboveAverage" dxfId="1899" priority="142"/>
  </conditionalFormatting>
  <conditionalFormatting sqref="F9 E10">
    <cfRule type="aboveAverage" dxfId="1898" priority="141"/>
  </conditionalFormatting>
  <conditionalFormatting sqref="G9 E11">
    <cfRule type="aboveAverage" dxfId="1897" priority="140"/>
  </conditionalFormatting>
  <conditionalFormatting sqref="F11 G10">
    <cfRule type="aboveAverage" dxfId="1896" priority="139"/>
  </conditionalFormatting>
  <conditionalFormatting sqref="D21 C22">
    <cfRule type="aboveAverage" dxfId="1895" priority="136"/>
  </conditionalFormatting>
  <conditionalFormatting sqref="E21 C23">
    <cfRule type="aboveAverage" dxfId="1894" priority="135"/>
  </conditionalFormatting>
  <conditionalFormatting sqref="F21 C24">
    <cfRule type="aboveAverage" dxfId="1893" priority="134"/>
  </conditionalFormatting>
  <conditionalFormatting sqref="E22 D23">
    <cfRule type="aboveAverage" dxfId="1892" priority="133"/>
  </conditionalFormatting>
  <conditionalFormatting sqref="G21 C25">
    <cfRule type="aboveAverage" dxfId="1891" priority="132"/>
  </conditionalFormatting>
  <conditionalFormatting sqref="F22 D24">
    <cfRule type="aboveAverage" dxfId="1890" priority="131"/>
  </conditionalFormatting>
  <conditionalFormatting sqref="G22 D25">
    <cfRule type="aboveAverage" dxfId="1889" priority="130"/>
  </conditionalFormatting>
  <conditionalFormatting sqref="F23 E24">
    <cfRule type="aboveAverage" dxfId="1888" priority="129"/>
  </conditionalFormatting>
  <conditionalFormatting sqref="G23 E25">
    <cfRule type="aboveAverage" dxfId="1887" priority="128"/>
  </conditionalFormatting>
  <conditionalFormatting sqref="F25 G24">
    <cfRule type="aboveAverage" dxfId="1886" priority="127"/>
  </conditionalFormatting>
  <conditionalFormatting sqref="B9 B14">
    <cfRule type="duplicateValues" dxfId="1885" priority="174"/>
  </conditionalFormatting>
  <conditionalFormatting sqref="H14">
    <cfRule type="aboveAverage" dxfId="1884" priority="12"/>
  </conditionalFormatting>
  <conditionalFormatting sqref="H15">
    <cfRule type="aboveAverage" dxfId="1883" priority="11"/>
  </conditionalFormatting>
  <conditionalFormatting sqref="H16">
    <cfRule type="aboveAverage" dxfId="1882" priority="10"/>
  </conditionalFormatting>
  <conditionalFormatting sqref="H17">
    <cfRule type="aboveAverage" dxfId="1881" priority="9"/>
  </conditionalFormatting>
  <conditionalFormatting sqref="H7">
    <cfRule type="aboveAverage" dxfId="1880" priority="8"/>
  </conditionalFormatting>
  <conditionalFormatting sqref="H8">
    <cfRule type="aboveAverage" dxfId="1879" priority="7"/>
  </conditionalFormatting>
  <conditionalFormatting sqref="H9">
    <cfRule type="aboveAverage" dxfId="1878" priority="6"/>
  </conditionalFormatting>
  <conditionalFormatting sqref="H10">
    <cfRule type="aboveAverage" dxfId="1877" priority="5"/>
  </conditionalFormatting>
  <conditionalFormatting sqref="H21">
    <cfRule type="aboveAverage" dxfId="1876" priority="4"/>
  </conditionalFormatting>
  <conditionalFormatting sqref="H22">
    <cfRule type="aboveAverage" dxfId="1875" priority="3"/>
  </conditionalFormatting>
  <conditionalFormatting sqref="H23">
    <cfRule type="aboveAverage" dxfId="1874" priority="2"/>
  </conditionalFormatting>
  <conditionalFormatting sqref="H24">
    <cfRule type="aboveAverage" dxfId="1873" priority="1"/>
  </conditionalFormatting>
  <pageMargins left="0.78740157480314965" right="0.39370078740157483" top="0.78740157480314965" bottom="0.31496062992125984" header="0.59055118110236227" footer="0"/>
  <pageSetup paperSize="9" fitToHeight="0" orientation="portrait" verticalDpi="1200" r:id="rId1"/>
  <headerFooter>
    <oddHeader>&amp;R&amp;"Arial,Regular"&amp;9Page &amp;P of &amp;N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306"/>
  <sheetViews>
    <sheetView showGridLines="0" showRowColHeaders="0" zoomScaleNormal="100" workbookViewId="0">
      <pane ySplit="2" topLeftCell="A3" activePane="bottomLeft" state="frozen"/>
      <selection activeCell="J1" sqref="J1"/>
      <selection pane="bottomLeft" activeCell="H1" sqref="H1"/>
    </sheetView>
  </sheetViews>
  <sheetFormatPr defaultRowHeight="12.75" x14ac:dyDescent="0.2"/>
  <cols>
    <col min="1" max="1" width="3.28515625" style="88" customWidth="1"/>
    <col min="2" max="2" width="39.85546875" style="87" bestFit="1" customWidth="1"/>
    <col min="3" max="10" width="6.7109375" style="88" customWidth="1"/>
    <col min="11" max="11" width="3.5703125" style="88" hidden="1" customWidth="1"/>
    <col min="12" max="12" width="7.5703125" style="88" hidden="1" customWidth="1"/>
    <col min="13" max="14" width="0" style="88" hidden="1" customWidth="1"/>
    <col min="15" max="15" width="3.140625" style="88" bestFit="1" customWidth="1"/>
    <col min="16" max="16" width="7.5703125" style="88" customWidth="1"/>
    <col min="17" max="16384" width="9.140625" style="88"/>
  </cols>
  <sheetData>
    <row r="1" spans="1:16" x14ac:dyDescent="0.2">
      <c r="A1" s="86" t="str">
        <f>UPPER((Kalend!E43)&amp;" - "&amp;(Kalend!C43)&amp;" - "&amp;(Kalend!D43))</f>
        <v>6 - SHK KV 6. ETAPP - DUO</v>
      </c>
      <c r="D1" s="51" t="str">
        <f>HYPERLINK("#'Kalend'!I1","Kalender")</f>
        <v>Kalender</v>
      </c>
      <c r="E1" s="186"/>
      <c r="F1" s="51" t="str">
        <f>HYPERLINK("#'Reit'!m1","Reiting")</f>
        <v>Reiting</v>
      </c>
      <c r="G1" s="186"/>
    </row>
    <row r="2" spans="1:16" s="186" customFormat="1" x14ac:dyDescent="0.2">
      <c r="A2" s="186" t="str">
        <f>"Toimumisaeg: "&amp;(Kalend!A43)&amp;" kell "&amp;(Kalend!B43)</f>
        <v>Toimumisaeg: P, 15.04.2018 kell 11:00</v>
      </c>
    </row>
    <row r="3" spans="1:16" s="186" customFormat="1" x14ac:dyDescent="0.2">
      <c r="A3" s="186" t="str">
        <f>"Toimumiskoht: "&amp;(Kalend!F43)</f>
        <v>Toimumiskoht: K-Järve petangihall</v>
      </c>
    </row>
    <row r="4" spans="1:16" s="186" customFormat="1" x14ac:dyDescent="0.2">
      <c r="A4" s="186" t="str">
        <f>"Korraldaja: "&amp;(Kalend!G43)</f>
        <v>Korraldaja: K-Järve SHK, Ivar Viljaste</v>
      </c>
    </row>
    <row r="5" spans="1:16" x14ac:dyDescent="0.2">
      <c r="A5" s="32"/>
      <c r="B5" s="32"/>
      <c r="C5" s="32"/>
      <c r="D5" s="32"/>
      <c r="E5" s="32"/>
      <c r="F5" s="32"/>
      <c r="G5" s="32"/>
      <c r="H5" s="595" t="str">
        <f>IF(COUNTIF(J13:J13,"2-3")&gt;=4,"Kontrolli omavaheliste mängude võite!","")</f>
        <v/>
      </c>
      <c r="J5" s="32"/>
      <c r="K5" s="32"/>
      <c r="L5" s="32"/>
      <c r="M5" s="32"/>
      <c r="N5" s="32"/>
    </row>
    <row r="6" spans="1:16" hidden="1" x14ac:dyDescent="0.2">
      <c r="A6" s="105"/>
      <c r="B6" s="126"/>
      <c r="C6" s="91">
        <v>1</v>
      </c>
      <c r="D6" s="91">
        <v>2</v>
      </c>
      <c r="E6" s="91">
        <v>3</v>
      </c>
      <c r="F6" s="91">
        <v>4</v>
      </c>
      <c r="G6" s="91">
        <v>5</v>
      </c>
      <c r="H6" s="91"/>
      <c r="I6" s="438" t="s">
        <v>73</v>
      </c>
      <c r="J6" s="438" t="s">
        <v>21</v>
      </c>
      <c r="K6" s="768" t="s">
        <v>273</v>
      </c>
      <c r="M6" s="650" t="s">
        <v>430</v>
      </c>
      <c r="N6" s="588" t="b">
        <f>OR(AND(COUNTA(B7:B12)=3,COUNTA(C7:H12)=6),AND(COUNTA(B7:B12)=4,COUNTA(C7:H12)=12),AND(COUNTA(B7:B12)=5,COUNTA(C7:H12)=20),AND(COUNTA(B7:B12)=6,COUNTA(C7:H12)=30),AND(COUNTA(B7:B12)=7,COUNTA(C7:H12)=42))</f>
        <v>0</v>
      </c>
    </row>
    <row r="7" spans="1:16" hidden="1" x14ac:dyDescent="0.2">
      <c r="A7" s="187">
        <v>1</v>
      </c>
      <c r="B7" s="164" t="s">
        <v>172</v>
      </c>
      <c r="C7" s="127"/>
      <c r="D7" s="93"/>
      <c r="E7" s="93"/>
      <c r="F7" s="93"/>
      <c r="G7" s="93"/>
      <c r="H7" s="128"/>
      <c r="I7" s="576"/>
      <c r="J7" s="438">
        <v>4</v>
      </c>
      <c r="K7" s="584"/>
      <c r="M7" s="584"/>
      <c r="N7" s="584"/>
      <c r="O7" s="1299"/>
      <c r="P7" s="770"/>
    </row>
    <row r="8" spans="1:16" hidden="1" x14ac:dyDescent="0.2">
      <c r="A8" s="187">
        <v>2</v>
      </c>
      <c r="B8" s="581" t="s">
        <v>314</v>
      </c>
      <c r="C8" s="93"/>
      <c r="D8" s="127"/>
      <c r="E8" s="93"/>
      <c r="F8" s="93"/>
      <c r="G8" s="93"/>
      <c r="H8" s="93"/>
      <c r="I8" s="576"/>
      <c r="J8" s="438">
        <v>3</v>
      </c>
      <c r="K8" s="584"/>
      <c r="M8" s="584"/>
      <c r="N8" s="584"/>
      <c r="O8" s="1299"/>
      <c r="P8" s="770"/>
    </row>
    <row r="9" spans="1:16" hidden="1" x14ac:dyDescent="0.2">
      <c r="A9" s="187">
        <v>3</v>
      </c>
      <c r="B9" s="581" t="s">
        <v>481</v>
      </c>
      <c r="C9" s="93"/>
      <c r="D9" s="548"/>
      <c r="E9" s="127"/>
      <c r="F9" s="93"/>
      <c r="G9" s="93"/>
      <c r="H9" s="93"/>
      <c r="I9" s="576"/>
      <c r="J9" s="438">
        <v>1</v>
      </c>
      <c r="K9" s="584"/>
      <c r="M9" s="584"/>
      <c r="N9" s="584"/>
      <c r="O9" s="660"/>
      <c r="P9" s="769"/>
    </row>
    <row r="10" spans="1:16" hidden="1" x14ac:dyDescent="0.2">
      <c r="A10" s="187">
        <v>4</v>
      </c>
      <c r="B10" s="133" t="s">
        <v>584</v>
      </c>
      <c r="C10" s="93"/>
      <c r="D10" s="548"/>
      <c r="E10" s="93"/>
      <c r="F10" s="127"/>
      <c r="G10" s="93"/>
      <c r="H10" s="128"/>
      <c r="I10" s="576"/>
      <c r="J10" s="438">
        <v>5</v>
      </c>
      <c r="K10" s="584"/>
      <c r="M10" s="584"/>
      <c r="N10" s="584"/>
      <c r="O10" s="660"/>
      <c r="P10" s="769"/>
    </row>
    <row r="11" spans="1:16" hidden="1" x14ac:dyDescent="0.2">
      <c r="A11" s="187">
        <v>5</v>
      </c>
      <c r="B11" s="133" t="s">
        <v>583</v>
      </c>
      <c r="C11" s="93"/>
      <c r="D11" s="93"/>
      <c r="E11" s="93"/>
      <c r="F11" s="93"/>
      <c r="G11" s="127"/>
      <c r="H11" s="93"/>
      <c r="I11" s="576"/>
      <c r="J11" s="438">
        <v>2</v>
      </c>
      <c r="K11" s="584"/>
      <c r="M11" s="584"/>
      <c r="N11" s="584"/>
      <c r="O11" s="1299"/>
      <c r="P11" s="770"/>
    </row>
    <row r="12" spans="1:16" hidden="1" x14ac:dyDescent="0.2">
      <c r="A12" s="187"/>
      <c r="B12" s="133"/>
      <c r="C12" s="397"/>
      <c r="D12" s="598"/>
      <c r="E12" s="598"/>
      <c r="F12" s="598"/>
      <c r="G12" s="598"/>
      <c r="H12" s="596"/>
      <c r="I12" s="598"/>
      <c r="J12" s="438"/>
      <c r="K12" s="584"/>
      <c r="M12" s="584"/>
      <c r="N12" s="584"/>
      <c r="O12" s="769"/>
      <c r="P12" s="769"/>
    </row>
    <row r="13" spans="1:16" hidden="1" x14ac:dyDescent="0.2">
      <c r="B13" s="88"/>
    </row>
    <row r="14" spans="1:16" hidden="1" x14ac:dyDescent="0.2">
      <c r="B14" s="213" t="s">
        <v>98</v>
      </c>
      <c r="C14" s="402" t="s">
        <v>520</v>
      </c>
      <c r="D14" s="402" t="s">
        <v>108</v>
      </c>
      <c r="E14" s="402" t="s">
        <v>105</v>
      </c>
    </row>
    <row r="15" spans="1:16" hidden="1" x14ac:dyDescent="0.2">
      <c r="B15" s="213" t="s">
        <v>101</v>
      </c>
      <c r="C15" s="402" t="s">
        <v>106</v>
      </c>
      <c r="D15" s="402" t="s">
        <v>103</v>
      </c>
      <c r="E15" s="402" t="s">
        <v>524</v>
      </c>
    </row>
    <row r="16" spans="1:16" hidden="1" x14ac:dyDescent="0.2">
      <c r="B16" s="213" t="s">
        <v>104</v>
      </c>
      <c r="C16" s="402" t="s">
        <v>99</v>
      </c>
      <c r="D16" s="402" t="s">
        <v>100</v>
      </c>
      <c r="E16" s="402" t="s">
        <v>523</v>
      </c>
    </row>
    <row r="17" spans="2:5" hidden="1" x14ac:dyDescent="0.2">
      <c r="B17" s="213" t="s">
        <v>109</v>
      </c>
      <c r="C17" s="402" t="s">
        <v>102</v>
      </c>
      <c r="D17" s="402" t="s">
        <v>522</v>
      </c>
      <c r="E17" s="402" t="s">
        <v>107</v>
      </c>
    </row>
    <row r="18" spans="2:5" hidden="1" x14ac:dyDescent="0.2">
      <c r="B18" s="213" t="s">
        <v>111</v>
      </c>
      <c r="C18" s="402" t="s">
        <v>92</v>
      </c>
      <c r="D18" s="402" t="s">
        <v>110</v>
      </c>
      <c r="E18" s="402" t="s">
        <v>521</v>
      </c>
    </row>
    <row r="19" spans="2:5" hidden="1" x14ac:dyDescent="0.2"/>
    <row r="20" spans="2:5" hidden="1" x14ac:dyDescent="0.2">
      <c r="B20" s="88"/>
    </row>
    <row r="21" spans="2:5" hidden="1" x14ac:dyDescent="0.2">
      <c r="B21" s="88"/>
    </row>
    <row r="22" spans="2:5" hidden="1" x14ac:dyDescent="0.2">
      <c r="B22" s="88"/>
    </row>
    <row r="23" spans="2:5" hidden="1" x14ac:dyDescent="0.2">
      <c r="B23" s="88"/>
    </row>
    <row r="24" spans="2:5" hidden="1" x14ac:dyDescent="0.2">
      <c r="B24" s="88"/>
    </row>
    <row r="25" spans="2:5" hidden="1" x14ac:dyDescent="0.2">
      <c r="B25" s="88"/>
    </row>
    <row r="26" spans="2:5" hidden="1" x14ac:dyDescent="0.2">
      <c r="B26" s="88"/>
    </row>
    <row r="27" spans="2:5" hidden="1" x14ac:dyDescent="0.2">
      <c r="B27" s="88"/>
    </row>
    <row r="28" spans="2:5" hidden="1" x14ac:dyDescent="0.2">
      <c r="B28" s="88"/>
    </row>
    <row r="29" spans="2:5" hidden="1" x14ac:dyDescent="0.2">
      <c r="B29" s="88"/>
    </row>
    <row r="30" spans="2:5" hidden="1" x14ac:dyDescent="0.2">
      <c r="B30" s="88"/>
    </row>
    <row r="31" spans="2:5" hidden="1" x14ac:dyDescent="0.2">
      <c r="B31" s="88"/>
    </row>
    <row r="32" spans="2:5" hidden="1" x14ac:dyDescent="0.2">
      <c r="B32" s="88"/>
    </row>
    <row r="33" spans="2:2" hidden="1" x14ac:dyDescent="0.2">
      <c r="B33" s="88"/>
    </row>
    <row r="34" spans="2:2" hidden="1" x14ac:dyDescent="0.2">
      <c r="B34" s="88"/>
    </row>
    <row r="35" spans="2:2" hidden="1" x14ac:dyDescent="0.2">
      <c r="B35" s="88"/>
    </row>
    <row r="36" spans="2:2" hidden="1" x14ac:dyDescent="0.2">
      <c r="B36" s="88"/>
    </row>
    <row r="37" spans="2:2" hidden="1" x14ac:dyDescent="0.2">
      <c r="B37" s="88"/>
    </row>
    <row r="38" spans="2:2" hidden="1" x14ac:dyDescent="0.2">
      <c r="B38" s="88"/>
    </row>
    <row r="39" spans="2:2" hidden="1" x14ac:dyDescent="0.2">
      <c r="B39" s="88"/>
    </row>
    <row r="40" spans="2:2" hidden="1" x14ac:dyDescent="0.2">
      <c r="B40" s="88"/>
    </row>
    <row r="41" spans="2:2" hidden="1" x14ac:dyDescent="0.2">
      <c r="B41" s="88"/>
    </row>
    <row r="42" spans="2:2" hidden="1" x14ac:dyDescent="0.2">
      <c r="B42" s="88"/>
    </row>
    <row r="43" spans="2:2" hidden="1" x14ac:dyDescent="0.2">
      <c r="B43" s="88"/>
    </row>
    <row r="44" spans="2:2" hidden="1" x14ac:dyDescent="0.2">
      <c r="B44" s="88"/>
    </row>
    <row r="45" spans="2:2" hidden="1" x14ac:dyDescent="0.2">
      <c r="B45" s="88"/>
    </row>
    <row r="46" spans="2:2" hidden="1" x14ac:dyDescent="0.2">
      <c r="B46" s="88"/>
    </row>
    <row r="47" spans="2:2" hidden="1" x14ac:dyDescent="0.2">
      <c r="B47" s="88"/>
    </row>
    <row r="48" spans="2:2" hidden="1" x14ac:dyDescent="0.2">
      <c r="B48" s="88"/>
    </row>
    <row r="49" spans="2:8" hidden="1" x14ac:dyDescent="0.2">
      <c r="B49" s="88"/>
    </row>
    <row r="50" spans="2:8" hidden="1" x14ac:dyDescent="0.2">
      <c r="B50" s="88"/>
    </row>
    <row r="51" spans="2:8" hidden="1" x14ac:dyDescent="0.2">
      <c r="B51" s="88"/>
    </row>
    <row r="52" spans="2:8" hidden="1" x14ac:dyDescent="0.2">
      <c r="D52" s="188"/>
      <c r="E52" s="188"/>
      <c r="F52" s="188"/>
      <c r="G52" s="188"/>
      <c r="H52" s="188"/>
    </row>
    <row r="53" spans="2:8" hidden="1" x14ac:dyDescent="0.2">
      <c r="D53" s="188"/>
      <c r="E53" s="188"/>
      <c r="F53" s="188"/>
      <c r="G53" s="188"/>
      <c r="H53" s="188"/>
    </row>
    <row r="54" spans="2:8" hidden="1" x14ac:dyDescent="0.2">
      <c r="D54" s="188"/>
      <c r="E54" s="188"/>
      <c r="F54" s="188"/>
      <c r="G54" s="188"/>
      <c r="H54" s="188"/>
    </row>
    <row r="55" spans="2:8" hidden="1" x14ac:dyDescent="0.2">
      <c r="D55" s="188"/>
      <c r="E55" s="188"/>
      <c r="F55" s="188"/>
      <c r="G55" s="188"/>
      <c r="H55" s="188"/>
    </row>
    <row r="56" spans="2:8" hidden="1" x14ac:dyDescent="0.2">
      <c r="D56" s="188"/>
      <c r="E56" s="188"/>
      <c r="F56" s="188"/>
      <c r="G56" s="188"/>
      <c r="H56" s="188"/>
    </row>
    <row r="57" spans="2:8" hidden="1" x14ac:dyDescent="0.2">
      <c r="D57" s="188"/>
      <c r="E57" s="188"/>
      <c r="F57" s="188"/>
      <c r="G57" s="188"/>
      <c r="H57" s="188"/>
    </row>
    <row r="58" spans="2:8" hidden="1" x14ac:dyDescent="0.2">
      <c r="D58" s="188"/>
      <c r="E58" s="188"/>
      <c r="F58" s="188"/>
      <c r="G58" s="188"/>
      <c r="H58" s="188"/>
    </row>
    <row r="59" spans="2:8" hidden="1" x14ac:dyDescent="0.2">
      <c r="D59" s="188"/>
      <c r="E59" s="188"/>
      <c r="F59" s="188"/>
      <c r="G59" s="188"/>
      <c r="H59" s="188"/>
    </row>
    <row r="60" spans="2:8" hidden="1" x14ac:dyDescent="0.2"/>
    <row r="61" spans="2:8" hidden="1" x14ac:dyDescent="0.2"/>
    <row r="62" spans="2:8" hidden="1" x14ac:dyDescent="0.2"/>
    <row r="63" spans="2:8" hidden="1" x14ac:dyDescent="0.2"/>
    <row r="64" spans="2:8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spans="1:3" hidden="1" x14ac:dyDescent="0.2"/>
    <row r="290" spans="1:3" hidden="1" x14ac:dyDescent="0.2"/>
    <row r="291" spans="1:3" hidden="1" x14ac:dyDescent="0.2"/>
    <row r="292" spans="1:3" hidden="1" x14ac:dyDescent="0.2"/>
    <row r="293" spans="1:3" hidden="1" x14ac:dyDescent="0.2"/>
    <row r="294" spans="1:3" hidden="1" x14ac:dyDescent="0.2"/>
    <row r="295" spans="1:3" hidden="1" x14ac:dyDescent="0.2"/>
    <row r="296" spans="1:3" hidden="1" x14ac:dyDescent="0.2"/>
    <row r="297" spans="1:3" hidden="1" x14ac:dyDescent="0.2"/>
    <row r="298" spans="1:3" hidden="1" x14ac:dyDescent="0.2"/>
    <row r="299" spans="1:3" x14ac:dyDescent="0.2">
      <c r="A299" s="101"/>
      <c r="B299" s="101"/>
      <c r="C299" s="130" t="s">
        <v>263</v>
      </c>
    </row>
    <row r="300" spans="1:3" x14ac:dyDescent="0.2">
      <c r="A300" s="187">
        <v>1</v>
      </c>
      <c r="B300" s="201" t="str">
        <f>IFERROR(INDEX(B$7:B$12,MATCH(A300,J$7:J$12,0)),"")</f>
        <v>Mait Metsla, Matti Vinni</v>
      </c>
      <c r="C300" s="188">
        <v>40</v>
      </c>
    </row>
    <row r="301" spans="1:3" x14ac:dyDescent="0.2">
      <c r="A301" s="187">
        <v>2</v>
      </c>
      <c r="B301" s="191" t="str">
        <f t="shared" ref="B301:B304" si="0">IFERROR(INDEX(B$7:B$12,MATCH(A301,J$7:J$12,0)),"")</f>
        <v>Jaan Sepp, Tõnu Piik</v>
      </c>
      <c r="C301" s="188">
        <v>34</v>
      </c>
    </row>
    <row r="302" spans="1:3" x14ac:dyDescent="0.2">
      <c r="A302" s="187">
        <v>3</v>
      </c>
      <c r="B302" s="191" t="str">
        <f t="shared" si="0"/>
        <v>Janek Tarto, Romek Tarto</v>
      </c>
      <c r="C302" s="188">
        <v>30</v>
      </c>
    </row>
    <row r="303" spans="1:3" x14ac:dyDescent="0.2">
      <c r="A303" s="187">
        <v>4</v>
      </c>
      <c r="B303" s="191" t="str">
        <f t="shared" si="0"/>
        <v>Boriss Klubov, Elmo Lageda</v>
      </c>
      <c r="C303" s="188">
        <v>26</v>
      </c>
    </row>
    <row r="304" spans="1:3" x14ac:dyDescent="0.2">
      <c r="A304" s="187">
        <v>5</v>
      </c>
      <c r="B304" s="191" t="str">
        <f t="shared" si="0"/>
        <v>Ivar Viljaste, Kristo Viljaste</v>
      </c>
      <c r="C304" s="188">
        <v>24</v>
      </c>
    </row>
    <row r="305" spans="2:2" x14ac:dyDescent="0.2">
      <c r="B305" s="88"/>
    </row>
    <row r="306" spans="2:2" x14ac:dyDescent="0.2">
      <c r="B306" s="88"/>
    </row>
  </sheetData>
  <conditionalFormatting sqref="J7:J12">
    <cfRule type="expression" dxfId="1872" priority="18">
      <formula>FIND(2,J7,1)</formula>
    </cfRule>
    <cfRule type="expression" dxfId="1871" priority="19">
      <formula>FIND(1,J7,1)</formula>
    </cfRule>
  </conditionalFormatting>
  <conditionalFormatting sqref="C8 D7">
    <cfRule type="aboveAverage" dxfId="1870" priority="17"/>
  </conditionalFormatting>
  <conditionalFormatting sqref="E7 C9">
    <cfRule type="aboveAverage" dxfId="1869" priority="16"/>
  </conditionalFormatting>
  <conditionalFormatting sqref="F7 C10">
    <cfRule type="aboveAverage" dxfId="1868" priority="15"/>
  </conditionalFormatting>
  <conditionalFormatting sqref="D9 E8">
    <cfRule type="aboveAverage" dxfId="1867" priority="14"/>
  </conditionalFormatting>
  <conditionalFormatting sqref="C11 G7">
    <cfRule type="aboveAverage" dxfId="1866" priority="13"/>
  </conditionalFormatting>
  <conditionalFormatting sqref="D10 F8">
    <cfRule type="aboveAverage" dxfId="1865" priority="12"/>
  </conditionalFormatting>
  <conditionalFormatting sqref="C12 H7">
    <cfRule type="aboveAverage" dxfId="1864" priority="11"/>
  </conditionalFormatting>
  <conditionalFormatting sqref="D11 G8">
    <cfRule type="aboveAverage" dxfId="1863" priority="10"/>
  </conditionalFormatting>
  <conditionalFormatting sqref="E10 F9">
    <cfRule type="aboveAverage" dxfId="1862" priority="9"/>
  </conditionalFormatting>
  <conditionalFormatting sqref="D12 H8">
    <cfRule type="aboveAverage" dxfId="1861" priority="8"/>
  </conditionalFormatting>
  <conditionalFormatting sqref="E11 G9">
    <cfRule type="aboveAverage" dxfId="1860" priority="7"/>
  </conditionalFormatting>
  <conditionalFormatting sqref="E12 H9">
    <cfRule type="aboveAverage" dxfId="1859" priority="6"/>
  </conditionalFormatting>
  <conditionalFormatting sqref="F11 G10">
    <cfRule type="aboveAverage" dxfId="1858" priority="5"/>
  </conditionalFormatting>
  <conditionalFormatting sqref="F12 H10">
    <cfRule type="aboveAverage" dxfId="1857" priority="4"/>
  </conditionalFormatting>
  <conditionalFormatting sqref="G12 H11">
    <cfRule type="aboveAverage" dxfId="1856" priority="3"/>
  </conditionalFormatting>
  <conditionalFormatting sqref="I7:I12">
    <cfRule type="expression" dxfId="1855" priority="22">
      <formula>IF(AND(I7="2-3",COUNTIF(J$13:J$13,"2-3")&gt;=4),TRUE,FALSE)</formula>
    </cfRule>
    <cfRule type="expression" dxfId="1854" priority="23">
      <formula>IF(AND(I7="3-2",COUNTIF(J$13:J$13,"3-2")&gt;=4),TRUE,FALSE)</formula>
    </cfRule>
    <cfRule type="expression" dxfId="1853" priority="24">
      <formula>B7=""</formula>
    </cfRule>
  </conditionalFormatting>
  <conditionalFormatting sqref="C17:D18">
    <cfRule type="cellIs" dxfId="1852" priority="2" operator="equal">
      <formula>13</formula>
    </cfRule>
  </conditionalFormatting>
  <conditionalFormatting sqref="C16:D16">
    <cfRule type="cellIs" dxfId="1851" priority="1" operator="equal">
      <formula>13</formula>
    </cfRule>
  </conditionalFormatting>
  <conditionalFormatting sqref="B300:B304">
    <cfRule type="containsBlanks" dxfId="1850" priority="1074">
      <formula>LEN(TRIM(B300))=0</formula>
    </cfRule>
    <cfRule type="duplicateValues" dxfId="1849" priority="1075"/>
  </conditionalFormatting>
  <pageMargins left="0.78740157480314965" right="0.39370078740157483" top="0.78740157480314965" bottom="0.39370078740157483" header="0.59055118110236227" footer="0"/>
  <pageSetup paperSize="9" fitToHeight="0" orientation="portrait" horizontalDpi="1200" verticalDpi="1200" r:id="rId1"/>
  <headerFooter alignWithMargins="0">
    <oddHeader>&amp;R&amp;"Arial,Regular"&amp;9Page &amp;P of &amp;N</oddHead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307"/>
  <sheetViews>
    <sheetView showGridLines="0" showRowColHeaders="0" zoomScaleNormal="100" workbookViewId="0">
      <pane ySplit="2" topLeftCell="A3" activePane="bottomLeft" state="frozen"/>
      <selection activeCell="X1" sqref="X1"/>
      <selection pane="bottomLeft" activeCell="K1" sqref="K1"/>
    </sheetView>
  </sheetViews>
  <sheetFormatPr defaultRowHeight="12.75" x14ac:dyDescent="0.2"/>
  <cols>
    <col min="1" max="1" width="3.28515625" style="88" customWidth="1"/>
    <col min="2" max="2" width="17.7109375" style="87" customWidth="1"/>
    <col min="3" max="3" width="7.28515625" style="88" customWidth="1"/>
    <col min="4" max="4" width="7.42578125" style="88" bestFit="1" customWidth="1"/>
    <col min="5" max="5" width="9.140625" style="88" customWidth="1"/>
    <col min="6" max="6" width="6.7109375" style="88" customWidth="1"/>
    <col min="7" max="7" width="5.140625" style="88" bestFit="1" customWidth="1"/>
    <col min="8" max="9" width="9.140625" style="88" customWidth="1"/>
    <col min="10" max="16384" width="9.140625" style="88"/>
  </cols>
  <sheetData>
    <row r="1" spans="1:10" x14ac:dyDescent="0.2">
      <c r="A1" s="86" t="str">
        <f>UPPER((Kalend!E45)&amp;" - "&amp;(Kalend!C45)&amp;" - "&amp;(Kalend!D45))</f>
        <v>7 - SHK KV 7. ETAPP (8 PAREMAT) - ÜKSIK</v>
      </c>
      <c r="G1" s="51" t="str">
        <f>HYPERLINK("#'Kalend'!I1","Kalender")</f>
        <v>Kalender</v>
      </c>
      <c r="H1" s="186"/>
      <c r="I1" s="51" t="str">
        <f>HYPERLINK("#'Reit'!m1","Reiting")</f>
        <v>Reiting</v>
      </c>
      <c r="J1" s="186"/>
    </row>
    <row r="2" spans="1:10" s="186" customFormat="1" x14ac:dyDescent="0.2">
      <c r="A2" s="186" t="str">
        <f>"Toimumisaeg: "&amp;(Kalend!A45)&amp;" kell "&amp;(Kalend!B45)</f>
        <v>Toimumisaeg: P, 22.04.2018 kell 11:00</v>
      </c>
    </row>
    <row r="3" spans="1:10" s="186" customFormat="1" x14ac:dyDescent="0.2">
      <c r="A3" s="186" t="str">
        <f>"Toimumiskoht: "&amp;(Kalend!F45)</f>
        <v>Toimumiskoht: K-Järve</v>
      </c>
    </row>
    <row r="4" spans="1:10" s="186" customFormat="1" x14ac:dyDescent="0.2">
      <c r="A4" s="186" t="str">
        <f>"Korraldaja: "&amp;(Kalend!G45)</f>
        <v>Korraldaja: K-Järve SHK, Ivar Viljaste</v>
      </c>
    </row>
    <row r="6" spans="1:10" x14ac:dyDescent="0.2">
      <c r="A6" s="187" t="s">
        <v>66</v>
      </c>
      <c r="B6" s="187"/>
      <c r="C6" s="91" t="s">
        <v>42</v>
      </c>
      <c r="D6" s="91" t="s">
        <v>43</v>
      </c>
      <c r="E6" s="91" t="s">
        <v>44</v>
      </c>
      <c r="F6" s="91" t="s">
        <v>45</v>
      </c>
      <c r="G6" s="91" t="s">
        <v>46</v>
      </c>
    </row>
    <row r="7" spans="1:10" x14ac:dyDescent="0.2">
      <c r="A7" s="187">
        <v>1</v>
      </c>
      <c r="B7" s="133" t="s">
        <v>204</v>
      </c>
      <c r="C7" s="225">
        <v>13</v>
      </c>
      <c r="D7" s="225">
        <v>13</v>
      </c>
      <c r="E7" s="93"/>
      <c r="F7" s="397"/>
      <c r="G7" s="93" t="str">
        <f>IF(AND(COUNT(F7:F10)=2,F7=MAX(F7:F10),COUNT(C7:F7)=3),A6&amp;"2",IF(AND(COUNT(E7:E10)=2,E7=MIN(E7:E10),D7="",F7=""),A6&amp;"4",IF(AND(COUNT(D7:D10)=2,D7=MAX(D7:D10),E7="",F7=""),A6&amp;"1",IF(COUNT(F7:F10)=2,A6&amp;"3",""))))</f>
        <v>A1</v>
      </c>
    </row>
    <row r="8" spans="1:10" x14ac:dyDescent="0.2">
      <c r="A8" s="187">
        <v>2</v>
      </c>
      <c r="B8" s="133" t="s">
        <v>197</v>
      </c>
      <c r="C8" s="398">
        <v>13</v>
      </c>
      <c r="D8" s="225">
        <v>6</v>
      </c>
      <c r="E8" s="93"/>
      <c r="F8" s="397">
        <v>11</v>
      </c>
      <c r="G8" s="93" t="str">
        <f>IF(AND(COUNT(F7:F10)=2,F8=MAX(F7:F10),COUNT(C8:F8)=3),A6&amp;"2",IF(AND(COUNT(E7:E10)=2,E8=MIN(E7:E10),D8="",F8=""),A6&amp;"4",IF(AND(COUNT(D7:D10)=2,D8=MAX(D7:D10),E8="",F8=""),A6&amp;"1",IF(COUNT(F7:F10)=2,A6&amp;"3",""))))</f>
        <v>A3</v>
      </c>
    </row>
    <row r="9" spans="1:10" x14ac:dyDescent="0.2">
      <c r="A9" s="187">
        <v>3</v>
      </c>
      <c r="B9" s="133" t="s">
        <v>192</v>
      </c>
      <c r="C9" s="398">
        <v>10</v>
      </c>
      <c r="D9" s="93"/>
      <c r="E9" s="93">
        <v>12</v>
      </c>
      <c r="F9" s="397"/>
      <c r="G9" s="93" t="str">
        <f>IF(AND(COUNT(F7:F10)=2,F9=MAX(F7:F10),COUNT(C9:F9)=3),A6&amp;"2",IF(AND(COUNT(E7:E10)=2,E9=MIN(E7:E10),D9="",F9=""),A6&amp;"4",IF(AND(COUNT(D7:D10)=2,D9=MAX(D7:D10),E9="",F9=""),A6&amp;"1",IF(COUNT(F7:F10)=2,A6&amp;"3",""))))</f>
        <v>A4</v>
      </c>
    </row>
    <row r="10" spans="1:10" x14ac:dyDescent="0.2">
      <c r="A10" s="187">
        <v>4</v>
      </c>
      <c r="B10" s="211" t="s">
        <v>196</v>
      </c>
      <c r="C10" s="225">
        <v>10</v>
      </c>
      <c r="D10" s="225"/>
      <c r="E10" s="93">
        <v>13</v>
      </c>
      <c r="F10" s="397">
        <v>13</v>
      </c>
      <c r="G10" s="93" t="str">
        <f>IF(AND(COUNT(F7:F10)=2,F10=MAX(F7:F10),COUNT(C10:F10)=3),A6&amp;"2",IF(AND(COUNT(E7:E10)=2,E10=MIN(E7:E10),D10="",F10=""),A6&amp;"4",IF(AND(COUNT(D7:D10)=2,D10=MAX(D7:D10),E10="",F10=""),A6&amp;"1",IF(COUNT(F7:F10)=2,A6&amp;"3",""))))</f>
        <v>A2</v>
      </c>
    </row>
    <row r="11" spans="1:10" x14ac:dyDescent="0.2">
      <c r="A11" s="139"/>
      <c r="B11" s="422" t="s">
        <v>70</v>
      </c>
      <c r="C11" s="139"/>
      <c r="D11" s="139"/>
      <c r="E11" s="139"/>
      <c r="F11" s="139"/>
      <c r="G11" s="422" t="s">
        <v>70</v>
      </c>
    </row>
    <row r="12" spans="1:10" x14ac:dyDescent="0.2">
      <c r="A12" s="187" t="s">
        <v>90</v>
      </c>
      <c r="B12" s="187"/>
      <c r="C12" s="91" t="s">
        <v>42</v>
      </c>
      <c r="D12" s="91" t="s">
        <v>43</v>
      </c>
      <c r="E12" s="91" t="s">
        <v>44</v>
      </c>
      <c r="F12" s="91" t="s">
        <v>45</v>
      </c>
      <c r="G12" s="91" t="s">
        <v>46</v>
      </c>
    </row>
    <row r="13" spans="1:10" x14ac:dyDescent="0.2">
      <c r="A13" s="187">
        <v>1</v>
      </c>
      <c r="B13" s="133" t="s">
        <v>200</v>
      </c>
      <c r="C13" s="225">
        <v>13</v>
      </c>
      <c r="D13" s="225">
        <v>13</v>
      </c>
      <c r="E13" s="93"/>
      <c r="F13" s="397"/>
      <c r="G13" s="93" t="str">
        <f>IF(AND(COUNT(F13:F16)=2,F13=MAX(F13:F16),COUNT(C13:F13)=3),A12&amp;"2",IF(AND(COUNT(E13:E16)=2,E13=MIN(E13:E16),D13="",F13=""),A12&amp;"4",IF(AND(COUNT(D13:D16)=2,D13=MAX(D13:D16),E13="",F13=""),A12&amp;"1",IF(COUNT(F13:F16)=2,A12&amp;"3",""))))</f>
        <v>B1</v>
      </c>
    </row>
    <row r="14" spans="1:10" x14ac:dyDescent="0.2">
      <c r="A14" s="187">
        <v>2</v>
      </c>
      <c r="B14" s="133" t="s">
        <v>203</v>
      </c>
      <c r="C14" s="398">
        <v>5</v>
      </c>
      <c r="D14" s="225"/>
      <c r="E14" s="93">
        <v>0</v>
      </c>
      <c r="F14" s="397"/>
      <c r="G14" s="93" t="str">
        <f>IF(AND(COUNT(F13:F16)=2,F14=MAX(F13:F16),COUNT(C14:F14)=3),A12&amp;"2",IF(AND(COUNT(E13:E16)=2,E14=MIN(E13:E16),D14="",F14=""),A12&amp;"4",IF(AND(COUNT(D13:D16)=2,D14=MAX(D13:D16),E14="",F14=""),A12&amp;"1",IF(COUNT(F13:F16)=2,A12&amp;"3",""))))</f>
        <v>B4</v>
      </c>
    </row>
    <row r="15" spans="1:10" x14ac:dyDescent="0.2">
      <c r="A15" s="187">
        <v>3</v>
      </c>
      <c r="B15" s="133" t="s">
        <v>198</v>
      </c>
      <c r="C15" s="398">
        <v>13</v>
      </c>
      <c r="D15" s="93">
        <v>6</v>
      </c>
      <c r="E15" s="93"/>
      <c r="F15" s="397">
        <v>13</v>
      </c>
      <c r="G15" s="93" t="str">
        <f>IF(AND(COUNT(F13:F16)=2,F15=MAX(F13:F16),COUNT(C15:F15)=3),A12&amp;"2",IF(AND(COUNT(E13:E16)=2,E15=MIN(E13:E16),D15="",F15=""),A12&amp;"4",IF(AND(COUNT(D13:D16)=2,D15=MAX(D13:D16),E15="",F15=""),A12&amp;"1",IF(COUNT(F13:F16)=2,A12&amp;"3",""))))</f>
        <v>B2</v>
      </c>
    </row>
    <row r="16" spans="1:10" x14ac:dyDescent="0.2">
      <c r="A16" s="187">
        <v>4</v>
      </c>
      <c r="B16" s="244" t="s">
        <v>190</v>
      </c>
      <c r="C16" s="225">
        <v>10</v>
      </c>
      <c r="D16" s="225"/>
      <c r="E16" s="93">
        <v>13</v>
      </c>
      <c r="F16" s="397">
        <v>8</v>
      </c>
      <c r="G16" s="93" t="str">
        <f>IF(AND(COUNT(F13:F16)=2,F16=MAX(F13:F16),COUNT(C16:F16)=3),A12&amp;"2",IF(AND(COUNT(E13:E16)=2,E16=MIN(E13:E16),D16="",F16=""),A12&amp;"4",IF(AND(COUNT(D13:D16)=2,D16=MAX(D13:D16),E16="",F16=""),A12&amp;"1",IF(COUNT(F13:F16)=2,A12&amp;"3",""))))</f>
        <v>B3</v>
      </c>
    </row>
    <row r="17" spans="1:9" x14ac:dyDescent="0.2">
      <c r="A17" s="188"/>
      <c r="B17" s="188"/>
      <c r="C17" s="188"/>
      <c r="D17" s="188"/>
      <c r="E17" s="188"/>
      <c r="F17" s="188"/>
      <c r="G17" s="188"/>
      <c r="H17" s="188"/>
      <c r="I17" s="188"/>
    </row>
    <row r="18" spans="1:9" x14ac:dyDescent="0.2">
      <c r="A18" s="100" t="s">
        <v>60</v>
      </c>
      <c r="B18" s="101"/>
      <c r="C18" s="101"/>
      <c r="D18" s="101"/>
      <c r="E18" s="101"/>
      <c r="F18" s="101"/>
      <c r="G18" s="101"/>
      <c r="H18" s="101"/>
    </row>
    <row r="19" spans="1:9" x14ac:dyDescent="0.2">
      <c r="A19" s="100"/>
      <c r="B19" s="101"/>
      <c r="C19" s="101"/>
      <c r="D19" s="101"/>
      <c r="E19" s="101"/>
      <c r="F19" s="101"/>
      <c r="G19" s="101"/>
      <c r="H19" s="101"/>
    </row>
    <row r="20" spans="1:9" x14ac:dyDescent="0.2">
      <c r="A20" s="106" t="s">
        <v>84</v>
      </c>
      <c r="B20" s="399" t="str">
        <f>IFERROR(INDEX(B$7:B$16,MATCH(A20,G$7:G$16,0)),"")</f>
        <v>Matti Vinni</v>
      </c>
      <c r="C20" s="120">
        <v>13</v>
      </c>
      <c r="D20" s="120"/>
      <c r="E20" s="120"/>
    </row>
    <row r="21" spans="1:9" x14ac:dyDescent="0.2">
      <c r="A21" s="107"/>
      <c r="B21" s="219"/>
      <c r="C21" s="400" t="str">
        <f>IF(COUNT(C20,C22)=2,IF(C20&gt;C22,B20,B22),"")</f>
        <v>Matti Vinni</v>
      </c>
      <c r="E21" s="120">
        <v>1</v>
      </c>
    </row>
    <row r="22" spans="1:9" x14ac:dyDescent="0.2">
      <c r="A22" s="107" t="s">
        <v>71</v>
      </c>
      <c r="B22" s="401" t="str">
        <f>IFERROR(INDEX(B$7:B$16,MATCH(A22,G$7:G$16,0)),"")</f>
        <v>Elmo Lageda</v>
      </c>
      <c r="C22" s="110">
        <v>9</v>
      </c>
      <c r="D22" s="220"/>
      <c r="E22" s="120"/>
    </row>
    <row r="23" spans="1:9" ht="13.5" thickBot="1" x14ac:dyDescent="0.25">
      <c r="B23" s="120"/>
      <c r="C23" s="113"/>
      <c r="D23" s="221"/>
      <c r="E23" s="120"/>
      <c r="F23" s="184" t="str">
        <f>IF(COUNT(E21,E25)=2,IF(E21&gt;E25,C21,C25),"")</f>
        <v>Ivar Viljaste</v>
      </c>
    </row>
    <row r="24" spans="1:9" x14ac:dyDescent="0.2">
      <c r="A24" s="107" t="s">
        <v>86</v>
      </c>
      <c r="B24" s="399" t="str">
        <f>IFERROR(INDEX(B$7:B$16,MATCH(A24,G$7:G$16,0)),"")</f>
        <v>Ivar Viljaste</v>
      </c>
      <c r="C24" s="120">
        <v>13</v>
      </c>
      <c r="D24" s="221"/>
      <c r="E24" s="222"/>
      <c r="F24" s="379" t="s">
        <v>275</v>
      </c>
      <c r="G24" s="378"/>
    </row>
    <row r="25" spans="1:9" x14ac:dyDescent="0.2">
      <c r="A25" s="107"/>
      <c r="B25" s="219"/>
      <c r="C25" s="400" t="str">
        <f>IF(COUNT(C24,C26)=2,IF(C24&gt;C26,B24,B26),"")</f>
        <v>Ivar Viljaste</v>
      </c>
      <c r="D25" s="377"/>
      <c r="E25" s="110">
        <v>13</v>
      </c>
    </row>
    <row r="26" spans="1:9" ht="13.5" thickBot="1" x14ac:dyDescent="0.25">
      <c r="A26" s="107" t="s">
        <v>76</v>
      </c>
      <c r="B26" s="401" t="str">
        <f>IFERROR(INDEX(B$7:B$16,MATCH(A26,G$7:G$16,0)),"")</f>
        <v>Jaan Sepp</v>
      </c>
      <c r="C26" s="110">
        <v>3</v>
      </c>
      <c r="D26" s="120"/>
      <c r="E26" s="113"/>
      <c r="F26" s="184" t="str">
        <f>IF(COUNT(E21,E25)=2,IF(E21&lt;E25,C21,C25),"")</f>
        <v>Matti Vinni</v>
      </c>
      <c r="G26" s="119"/>
    </row>
    <row r="27" spans="1:9" x14ac:dyDescent="0.2">
      <c r="A27" s="87"/>
      <c r="B27" s="120"/>
      <c r="C27" s="120"/>
      <c r="D27" s="120"/>
      <c r="E27" s="113"/>
      <c r="F27" s="379" t="s">
        <v>276</v>
      </c>
      <c r="G27" s="99"/>
    </row>
    <row r="28" spans="1:9" x14ac:dyDescent="0.2">
      <c r="A28" s="87"/>
      <c r="B28" s="120"/>
      <c r="C28" s="217" t="str">
        <f>IF(COUNT(C20,C22)=2,IF(C20&lt;C22,B20,B22),"")</f>
        <v>Elmo Lageda</v>
      </c>
      <c r="E28" s="120">
        <v>5</v>
      </c>
      <c r="F28" s="99"/>
      <c r="G28" s="99"/>
    </row>
    <row r="29" spans="1:9" ht="13.5" thickBot="1" x14ac:dyDescent="0.25">
      <c r="A29" s="87"/>
      <c r="B29" s="120"/>
      <c r="C29" s="108"/>
      <c r="D29" s="111"/>
      <c r="E29" s="119"/>
      <c r="F29" s="184" t="str">
        <f>IF(COUNT(E28,E30)=2,IF(E28&gt;E30,C28,C30),"")</f>
        <v>Jaan Sepp</v>
      </c>
      <c r="G29" s="119"/>
    </row>
    <row r="30" spans="1:9" x14ac:dyDescent="0.2">
      <c r="A30" s="87"/>
      <c r="B30" s="120"/>
      <c r="C30" s="399" t="str">
        <f>IF(COUNT(C24,C26)=2,IF(C24&lt;C26,B24,B26),"")</f>
        <v>Jaan Sepp</v>
      </c>
      <c r="D30" s="377"/>
      <c r="E30" s="110">
        <v>13</v>
      </c>
      <c r="F30" s="121" t="s">
        <v>277</v>
      </c>
      <c r="G30" s="99"/>
    </row>
    <row r="31" spans="1:9" x14ac:dyDescent="0.2">
      <c r="A31" s="87"/>
      <c r="B31" s="88"/>
      <c r="F31" s="99"/>
      <c r="G31" s="99"/>
    </row>
    <row r="32" spans="1:9" ht="13.5" thickBot="1" x14ac:dyDescent="0.25">
      <c r="A32" s="87"/>
      <c r="B32" s="88"/>
      <c r="C32" s="99"/>
      <c r="D32" s="99"/>
      <c r="F32" s="119" t="str">
        <f>IF(COUNT(E28,E30)=2,IF(E28&lt;E30,C28,C30),"")</f>
        <v>Elmo Lageda</v>
      </c>
      <c r="G32" s="119"/>
    </row>
    <row r="33" spans="1:8" x14ac:dyDescent="0.2">
      <c r="A33" s="87"/>
      <c r="B33" s="97"/>
      <c r="C33" s="97"/>
      <c r="D33" s="97"/>
      <c r="E33" s="402"/>
      <c r="F33" s="379" t="s">
        <v>50</v>
      </c>
      <c r="G33" s="188"/>
    </row>
    <row r="34" spans="1:8" x14ac:dyDescent="0.2">
      <c r="A34" s="101"/>
      <c r="B34" s="101"/>
      <c r="C34" s="101"/>
      <c r="E34" s="101"/>
      <c r="F34" s="101"/>
      <c r="G34" s="101"/>
    </row>
    <row r="35" spans="1:8" x14ac:dyDescent="0.2">
      <c r="A35" s="100" t="s">
        <v>61</v>
      </c>
      <c r="B35" s="101"/>
      <c r="C35" s="101"/>
      <c r="E35" s="101"/>
      <c r="F35" s="101"/>
      <c r="G35" s="101"/>
    </row>
    <row r="36" spans="1:8" x14ac:dyDescent="0.2">
      <c r="A36" s="101"/>
      <c r="B36" s="101"/>
      <c r="C36" s="101"/>
      <c r="E36" s="101"/>
      <c r="F36" s="101"/>
      <c r="G36" s="101"/>
      <c r="H36" s="101"/>
    </row>
    <row r="37" spans="1:8" x14ac:dyDescent="0.2">
      <c r="A37" s="106" t="s">
        <v>93</v>
      </c>
      <c r="B37" s="399" t="str">
        <f>IFERROR(INDEX(B$7:B$16,MATCH(A37,G$7:G$16,0)),"")</f>
        <v>Boriss Klubov</v>
      </c>
      <c r="C37" s="120">
        <v>9</v>
      </c>
      <c r="D37" s="120"/>
      <c r="E37" s="120"/>
    </row>
    <row r="38" spans="1:8" x14ac:dyDescent="0.2">
      <c r="A38" s="107"/>
      <c r="B38" s="219"/>
      <c r="C38" s="400" t="str">
        <f>IF(COUNT(C37,C39)=2,IF(C37&gt;C39,B37,B39),"")</f>
        <v>Mait Metsla</v>
      </c>
      <c r="E38" s="120">
        <v>8</v>
      </c>
    </row>
    <row r="39" spans="1:8" x14ac:dyDescent="0.2">
      <c r="A39" s="107" t="s">
        <v>189</v>
      </c>
      <c r="B39" s="401" t="str">
        <f>IFERROR(INDEX(B$7:B$16,MATCH(A39,G$7:G$16,0)),"")</f>
        <v>Mait Metsla</v>
      </c>
      <c r="C39" s="110">
        <v>13</v>
      </c>
      <c r="D39" s="220"/>
      <c r="E39" s="120"/>
    </row>
    <row r="40" spans="1:8" ht="13.5" thickBot="1" x14ac:dyDescent="0.25">
      <c r="A40" s="107"/>
      <c r="B40" s="120"/>
      <c r="C40" s="113"/>
      <c r="D40" s="221"/>
      <c r="E40" s="120"/>
      <c r="F40" s="184" t="str">
        <f>IF(COUNT(E38,E42)=2,IF(E38&gt;E42,C38,C42),"")</f>
        <v>Janek Tarto</v>
      </c>
    </row>
    <row r="41" spans="1:8" x14ac:dyDescent="0.2">
      <c r="A41" s="107" t="s">
        <v>94</v>
      </c>
      <c r="B41" s="399" t="str">
        <f>IFERROR(INDEX(B$7:B$16,MATCH(A41,G$7:G$16,0)),"")</f>
        <v>Janek Tarto</v>
      </c>
      <c r="C41" s="120">
        <v>13</v>
      </c>
      <c r="D41" s="221"/>
      <c r="E41" s="222"/>
      <c r="F41" s="379" t="s">
        <v>51</v>
      </c>
      <c r="G41" s="378"/>
    </row>
    <row r="42" spans="1:8" x14ac:dyDescent="0.2">
      <c r="A42" s="107"/>
      <c r="B42" s="219"/>
      <c r="C42" s="400" t="str">
        <f>IF(COUNT(C41,C43)=2,IF(C41&gt;C43,B41,B43),"")</f>
        <v>Janek Tarto</v>
      </c>
      <c r="D42" s="377"/>
      <c r="E42" s="110">
        <v>13</v>
      </c>
    </row>
    <row r="43" spans="1:8" ht="13.5" thickBot="1" x14ac:dyDescent="0.25">
      <c r="A43" s="107" t="s">
        <v>95</v>
      </c>
      <c r="B43" s="401" t="str">
        <f>IFERROR(INDEX(B$7:B$16,MATCH(A43,G$7:G$16,0)),"")</f>
        <v>Romek Tarto</v>
      </c>
      <c r="C43" s="110">
        <v>4</v>
      </c>
      <c r="D43" s="120"/>
      <c r="E43" s="113"/>
      <c r="F43" s="184" t="str">
        <f>IF(COUNT(E38,E42)=2,IF(E38&lt;E42,C38,C42),"")</f>
        <v>Mait Metsla</v>
      </c>
      <c r="G43" s="119"/>
    </row>
    <row r="44" spans="1:8" x14ac:dyDescent="0.2">
      <c r="B44" s="120"/>
      <c r="C44" s="120"/>
      <c r="D44" s="120"/>
      <c r="E44" s="113"/>
      <c r="F44" s="379" t="s">
        <v>52</v>
      </c>
      <c r="G44" s="99"/>
    </row>
    <row r="45" spans="1:8" x14ac:dyDescent="0.2">
      <c r="B45" s="120"/>
      <c r="C45" s="217" t="str">
        <f>IF(COUNT(C37,C39)=2,IF(C37&lt;C39,B37,B39),"")</f>
        <v>Boriss Klubov</v>
      </c>
      <c r="E45" s="120">
        <v>8</v>
      </c>
      <c r="F45" s="99"/>
      <c r="G45" s="99"/>
    </row>
    <row r="46" spans="1:8" ht="13.5" thickBot="1" x14ac:dyDescent="0.25">
      <c r="B46" s="120"/>
      <c r="C46" s="108"/>
      <c r="D46" s="111"/>
      <c r="E46" s="119"/>
      <c r="F46" s="184" t="str">
        <f>IF(COUNT(E45,E47)=2,IF(E45&gt;E47,C45,C47),"")</f>
        <v>Romek Tarto</v>
      </c>
      <c r="G46" s="119"/>
    </row>
    <row r="47" spans="1:8" x14ac:dyDescent="0.2">
      <c r="B47" s="120"/>
      <c r="C47" s="399" t="str">
        <f>IF(COUNT(C41,C43)=2,IF(C41&lt;C43,B41,B43),"")</f>
        <v>Romek Tarto</v>
      </c>
      <c r="D47" s="377"/>
      <c r="E47" s="110">
        <v>13</v>
      </c>
      <c r="F47" s="121" t="s">
        <v>53</v>
      </c>
      <c r="G47" s="99"/>
    </row>
    <row r="48" spans="1:8" x14ac:dyDescent="0.2">
      <c r="B48" s="88"/>
      <c r="F48" s="99"/>
      <c r="G48" s="99"/>
    </row>
    <row r="49" spans="2:8" ht="13.5" thickBot="1" x14ac:dyDescent="0.25">
      <c r="B49" s="88"/>
      <c r="C49" s="99"/>
      <c r="D49" s="99"/>
      <c r="F49" s="119" t="str">
        <f>IF(COUNT(E45,E47)=2,IF(E45&lt;E47,C45,C47),"")</f>
        <v>Boriss Klubov</v>
      </c>
      <c r="G49" s="119"/>
    </row>
    <row r="50" spans="2:8" x14ac:dyDescent="0.2">
      <c r="B50" s="97"/>
      <c r="C50" s="97"/>
      <c r="D50" s="97"/>
      <c r="E50" s="402"/>
      <c r="F50" s="379" t="s">
        <v>54</v>
      </c>
      <c r="G50" s="188"/>
    </row>
    <row r="51" spans="2:8" x14ac:dyDescent="0.2">
      <c r="D51" s="101"/>
      <c r="E51" s="101"/>
      <c r="F51" s="188"/>
      <c r="G51" s="188"/>
      <c r="H51" s="188"/>
    </row>
    <row r="52" spans="2:8" hidden="1" x14ac:dyDescent="0.2">
      <c r="D52" s="188"/>
      <c r="E52" s="188"/>
      <c r="F52" s="188"/>
      <c r="G52" s="188"/>
      <c r="H52" s="188"/>
    </row>
    <row r="53" spans="2:8" hidden="1" x14ac:dyDescent="0.2">
      <c r="D53" s="188"/>
      <c r="E53" s="188"/>
      <c r="F53" s="188"/>
      <c r="G53" s="188"/>
      <c r="H53" s="188"/>
    </row>
    <row r="54" spans="2:8" hidden="1" x14ac:dyDescent="0.2">
      <c r="D54" s="188"/>
      <c r="E54" s="188"/>
      <c r="F54" s="188"/>
      <c r="G54" s="188"/>
      <c r="H54" s="188"/>
    </row>
    <row r="55" spans="2:8" hidden="1" x14ac:dyDescent="0.2">
      <c r="D55" s="188"/>
      <c r="E55" s="188"/>
      <c r="F55" s="188"/>
      <c r="G55" s="188"/>
      <c r="H55" s="188"/>
    </row>
    <row r="56" spans="2:8" hidden="1" x14ac:dyDescent="0.2">
      <c r="D56" s="188"/>
      <c r="E56" s="188"/>
      <c r="F56" s="188"/>
      <c r="G56" s="188"/>
      <c r="H56" s="188"/>
    </row>
    <row r="57" spans="2:8" hidden="1" x14ac:dyDescent="0.2">
      <c r="D57" s="188"/>
      <c r="E57" s="188"/>
      <c r="F57" s="188"/>
      <c r="G57" s="188"/>
      <c r="H57" s="188"/>
    </row>
    <row r="58" spans="2:8" hidden="1" x14ac:dyDescent="0.2">
      <c r="D58" s="188"/>
      <c r="E58" s="188"/>
      <c r="F58" s="188"/>
      <c r="G58" s="188"/>
      <c r="H58" s="188"/>
    </row>
    <row r="59" spans="2:8" hidden="1" x14ac:dyDescent="0.2">
      <c r="D59" s="188"/>
      <c r="E59" s="188"/>
      <c r="F59" s="188"/>
      <c r="G59" s="188"/>
      <c r="H59" s="188"/>
    </row>
    <row r="60" spans="2:8" hidden="1" x14ac:dyDescent="0.2"/>
    <row r="61" spans="2:8" hidden="1" x14ac:dyDescent="0.2"/>
    <row r="62" spans="2:8" hidden="1" x14ac:dyDescent="0.2"/>
    <row r="63" spans="2:8" hidden="1" x14ac:dyDescent="0.2"/>
    <row r="64" spans="2:8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spans="1:3" hidden="1" x14ac:dyDescent="0.2"/>
    <row r="290" spans="1:3" hidden="1" x14ac:dyDescent="0.2"/>
    <row r="291" spans="1:3" hidden="1" x14ac:dyDescent="0.2"/>
    <row r="292" spans="1:3" hidden="1" x14ac:dyDescent="0.2"/>
    <row r="293" spans="1:3" hidden="1" x14ac:dyDescent="0.2"/>
    <row r="294" spans="1:3" hidden="1" x14ac:dyDescent="0.2"/>
    <row r="295" spans="1:3" hidden="1" x14ac:dyDescent="0.2"/>
    <row r="296" spans="1:3" hidden="1" x14ac:dyDescent="0.2"/>
    <row r="297" spans="1:3" hidden="1" x14ac:dyDescent="0.2"/>
    <row r="298" spans="1:3" hidden="1" x14ac:dyDescent="0.2"/>
    <row r="299" spans="1:3" x14ac:dyDescent="0.2">
      <c r="A299" s="101"/>
      <c r="B299" s="101"/>
      <c r="C299" s="130" t="s">
        <v>263</v>
      </c>
    </row>
    <row r="300" spans="1:3" x14ac:dyDescent="0.2">
      <c r="A300" s="187">
        <v>1</v>
      </c>
      <c r="B300" s="201" t="str">
        <f t="shared" ref="B300:B307" si="0">IFERROR(INDEX(F$23:F$49,MATCH(A300&amp;". koht",F$24:F$50,0)),"")</f>
        <v>Ivar Viljaste</v>
      </c>
      <c r="C300" s="188">
        <v>40</v>
      </c>
    </row>
    <row r="301" spans="1:3" x14ac:dyDescent="0.2">
      <c r="A301" s="187">
        <v>2</v>
      </c>
      <c r="B301" s="191" t="str">
        <f t="shared" si="0"/>
        <v>Matti Vinni</v>
      </c>
      <c r="C301" s="188">
        <v>34</v>
      </c>
    </row>
    <row r="302" spans="1:3" x14ac:dyDescent="0.2">
      <c r="A302" s="187">
        <v>3</v>
      </c>
      <c r="B302" s="191" t="str">
        <f t="shared" si="0"/>
        <v>Jaan Sepp</v>
      </c>
      <c r="C302" s="188">
        <v>30</v>
      </c>
    </row>
    <row r="303" spans="1:3" x14ac:dyDescent="0.2">
      <c r="A303" s="187">
        <v>4</v>
      </c>
      <c r="B303" s="191" t="str">
        <f t="shared" si="0"/>
        <v>Elmo Lageda</v>
      </c>
      <c r="C303" s="188">
        <v>26</v>
      </c>
    </row>
    <row r="304" spans="1:3" x14ac:dyDescent="0.2">
      <c r="A304" s="187">
        <v>5</v>
      </c>
      <c r="B304" s="191" t="str">
        <f t="shared" si="0"/>
        <v>Janek Tarto</v>
      </c>
      <c r="C304" s="188">
        <v>24</v>
      </c>
    </row>
    <row r="305" spans="1:3" x14ac:dyDescent="0.2">
      <c r="A305" s="187">
        <v>6</v>
      </c>
      <c r="B305" s="191" t="str">
        <f t="shared" si="0"/>
        <v>Mait Metsla</v>
      </c>
      <c r="C305" s="188">
        <v>22</v>
      </c>
    </row>
    <row r="306" spans="1:3" x14ac:dyDescent="0.2">
      <c r="A306" s="187">
        <v>7</v>
      </c>
      <c r="B306" s="191" t="str">
        <f t="shared" si="0"/>
        <v>Romek Tarto</v>
      </c>
      <c r="C306" s="188">
        <v>20</v>
      </c>
    </row>
    <row r="307" spans="1:3" x14ac:dyDescent="0.2">
      <c r="A307" s="187">
        <v>8</v>
      </c>
      <c r="B307" s="191" t="str">
        <f t="shared" si="0"/>
        <v>Boriss Klubov</v>
      </c>
      <c r="C307" s="188">
        <v>18</v>
      </c>
    </row>
  </sheetData>
  <conditionalFormatting sqref="B10">
    <cfRule type="duplicateValues" dxfId="1848" priority="65" stopIfTrue="1"/>
  </conditionalFormatting>
  <conditionalFormatting sqref="G7:G10">
    <cfRule type="containsText" dxfId="1847" priority="63" operator="containsText" text="2">
      <formula>NOT(ISERROR(SEARCH("2",G7)))</formula>
    </cfRule>
    <cfRule type="containsText" dxfId="1846" priority="64" operator="containsText" text="1">
      <formula>NOT(ISERROR(SEARCH("1",G7)))</formula>
    </cfRule>
  </conditionalFormatting>
  <conditionalFormatting sqref="G10">
    <cfRule type="expression" dxfId="1845" priority="62">
      <formula>B10="-"</formula>
    </cfRule>
  </conditionalFormatting>
  <conditionalFormatting sqref="C7 C10">
    <cfRule type="aboveAverage" dxfId="1844" priority="61"/>
  </conditionalFormatting>
  <conditionalFormatting sqref="C8:C9">
    <cfRule type="aboveAverage" dxfId="1843" priority="60"/>
  </conditionalFormatting>
  <conditionalFormatting sqref="G13:G16">
    <cfRule type="containsText" dxfId="1842" priority="58" operator="containsText" text="2">
      <formula>NOT(ISERROR(SEARCH("2",G13)))</formula>
    </cfRule>
    <cfRule type="containsText" dxfId="1841" priority="59" operator="containsText" text="1">
      <formula>NOT(ISERROR(SEARCH("1",G13)))</formula>
    </cfRule>
  </conditionalFormatting>
  <conditionalFormatting sqref="G16">
    <cfRule type="expression" dxfId="1840" priority="57">
      <formula>B16="-"</formula>
    </cfRule>
  </conditionalFormatting>
  <conditionalFormatting sqref="C13 C16">
    <cfRule type="aboveAverage" dxfId="1839" priority="56"/>
  </conditionalFormatting>
  <conditionalFormatting sqref="C14:C15">
    <cfRule type="aboveAverage" dxfId="1838" priority="55"/>
  </conditionalFormatting>
  <conditionalFormatting sqref="C20 C22">
    <cfRule type="aboveAverage" dxfId="1837" priority="54"/>
  </conditionalFormatting>
  <conditionalFormatting sqref="C24 C26">
    <cfRule type="aboveAverage" dxfId="1836" priority="53"/>
  </conditionalFormatting>
  <conditionalFormatting sqref="E21 E25">
    <cfRule type="aboveAverage" dxfId="1835" priority="52"/>
  </conditionalFormatting>
  <conditionalFormatting sqref="E28 E30">
    <cfRule type="aboveAverage" dxfId="1834" priority="51"/>
  </conditionalFormatting>
  <conditionalFormatting sqref="C20 C22 C24 C26 E21 E25 E28 E30">
    <cfRule type="containsBlanks" dxfId="1833" priority="50">
      <formula>LEN(TRIM(C20))=0</formula>
    </cfRule>
  </conditionalFormatting>
  <conditionalFormatting sqref="C37 C39">
    <cfRule type="aboveAverage" dxfId="1832" priority="49"/>
  </conditionalFormatting>
  <conditionalFormatting sqref="C41 C43">
    <cfRule type="aboveAverage" dxfId="1831" priority="48"/>
  </conditionalFormatting>
  <conditionalFormatting sqref="E38 E42">
    <cfRule type="aboveAverage" dxfId="1830" priority="47"/>
  </conditionalFormatting>
  <conditionalFormatting sqref="E45 E47">
    <cfRule type="aboveAverage" dxfId="1829" priority="46"/>
  </conditionalFormatting>
  <conditionalFormatting sqref="C37 C39 C41 C43 E38 E42 E45 E47">
    <cfRule type="containsBlanks" dxfId="1828" priority="45">
      <formula>LEN(TRIM(C37))=0</formula>
    </cfRule>
  </conditionalFormatting>
  <conditionalFormatting sqref="B300:B307">
    <cfRule type="containsBlanks" dxfId="1827" priority="43">
      <formula>LEN(TRIM(B300))=0</formula>
    </cfRule>
    <cfRule type="duplicateValues" dxfId="1826" priority="44"/>
  </conditionalFormatting>
  <conditionalFormatting sqref="A20:A26">
    <cfRule type="cellIs" dxfId="1825" priority="41" operator="equal">
      <formula>"-"</formula>
    </cfRule>
    <cfRule type="duplicateValues" dxfId="1824" priority="42"/>
  </conditionalFormatting>
  <conditionalFormatting sqref="A37:A43">
    <cfRule type="cellIs" dxfId="1823" priority="39" operator="equal">
      <formula>"-"</formula>
    </cfRule>
    <cfRule type="duplicateValues" dxfId="1822" priority="40"/>
  </conditionalFormatting>
  <conditionalFormatting sqref="E10">
    <cfRule type="expression" dxfId="1821" priority="38">
      <formula>AND(COUNT(E7:E10)&lt;2,IF(ISNUMBER(C10),C7&gt;C10))</formula>
    </cfRule>
  </conditionalFormatting>
  <conditionalFormatting sqref="E7">
    <cfRule type="expression" dxfId="1820" priority="37">
      <formula>AND(COUNT(E7:E10)&lt;2,IF(ISNUMBER(C7),C10&gt;C7))</formula>
    </cfRule>
  </conditionalFormatting>
  <conditionalFormatting sqref="E8">
    <cfRule type="expression" dxfId="1819" priority="36">
      <formula>AND(COUNT(E7:E10)&lt;2,IF(ISNUMBER(C8),C9&gt;C8))</formula>
    </cfRule>
  </conditionalFormatting>
  <conditionalFormatting sqref="E9">
    <cfRule type="expression" dxfId="1818" priority="35">
      <formula>AND(COUNT(E7:E10)&lt;2,IF(ISNUMBER(C9),C8&gt;C9))</formula>
    </cfRule>
  </conditionalFormatting>
  <conditionalFormatting sqref="E7:E10">
    <cfRule type="aboveAverage" dxfId="1817" priority="34"/>
  </conditionalFormatting>
  <conditionalFormatting sqref="F7">
    <cfRule type="expression" dxfId="1816" priority="29">
      <formula>AND(COUNT(F7:F10)&lt;2,IF(COUNT(E7:E10)=2,IF(AND(ISNUMBER(E7),COUNTIF(E7:E10,E7)=1,E7=MAX(E7:E10)),TRUE,FALSE)))</formula>
    </cfRule>
    <cfRule type="expression" dxfId="1815" priority="33">
      <formula>AND(COUNT(F7:F10)&lt;2,IF(COUNT(D7:D10)=2,IF(AND(ISNUMBER(D7),COUNTIF(D7:D10,D7)=1,D7=MIN(D7:D10)),TRUE,FALSE)))</formula>
    </cfRule>
  </conditionalFormatting>
  <conditionalFormatting sqref="F8">
    <cfRule type="expression" dxfId="1814" priority="28">
      <formula>AND(COUNT(F7:F10)&lt;2,IF(COUNT(E7:E10)=2,IF(AND(ISNUMBER(E8),COUNTIF(E7:E10,E8)=1,E8=MAX(E7:E10)),TRUE,FALSE)))</formula>
    </cfRule>
    <cfRule type="expression" dxfId="1813" priority="32">
      <formula>AND(COUNT(F7:F10)&lt;2,IF(COUNT(D7:D10)=2,IF(AND(ISNUMBER(D8),COUNTIF(D7:D10,D8)=1,D8=MIN(D7:D10)),TRUE,FALSE)))</formula>
    </cfRule>
  </conditionalFormatting>
  <conditionalFormatting sqref="F9">
    <cfRule type="expression" dxfId="1812" priority="27">
      <formula>AND(COUNT(F7:F10)&lt;2,IF(COUNT(E7:E10)=2,IF(AND(ISNUMBER(E9),COUNTIF(E7:E10,E9)=1,E9=MAX(E7:E10)),TRUE,FALSE)))</formula>
    </cfRule>
    <cfRule type="expression" dxfId="1811" priority="31">
      <formula>AND(COUNT(F7:F10)&lt;2,IF(COUNT(D7:D10)=2,IF(AND(ISNUMBER(D9),COUNTIF(D7:D10,D9)=1,D9=MIN(D7:D10)),TRUE,FALSE)))</formula>
    </cfRule>
  </conditionalFormatting>
  <conditionalFormatting sqref="F10">
    <cfRule type="expression" dxfId="1810" priority="26">
      <formula>AND(COUNT(F7:F10)&lt;2,IF(COUNT(E7:E10)=2,IF(AND(ISNUMBER(E10),COUNTIF(E7:E10,E10)=1,E10=MAX(E7:E10)),TRUE,FALSE)))</formula>
    </cfRule>
    <cfRule type="expression" dxfId="1809" priority="30">
      <formula>AND(COUNT(F7:F10)&lt;2,IF(COUNT(D7:D10)=2,IF(AND(ISNUMBER(D10),COUNTIF(D7:D10,D10)=1,D10=MIN(D7:D10)),TRUE,FALSE)))</formula>
    </cfRule>
  </conditionalFormatting>
  <conditionalFormatting sqref="F7:F10">
    <cfRule type="aboveAverage" dxfId="1808" priority="25"/>
  </conditionalFormatting>
  <conditionalFormatting sqref="D7">
    <cfRule type="expression" dxfId="1807" priority="24">
      <formula>AND(COUNT(D7:D10)&lt;2,IF(ISNUMBER(C10),C7&gt;C10))</formula>
    </cfRule>
  </conditionalFormatting>
  <conditionalFormatting sqref="D8">
    <cfRule type="expression" dxfId="1806" priority="23">
      <formula>AND(COUNT(D7:D10)&lt;2,IF(ISNUMBER(C9),C8&gt;C9))</formula>
    </cfRule>
  </conditionalFormatting>
  <conditionalFormatting sqref="D9">
    <cfRule type="expression" dxfId="1805" priority="22">
      <formula>AND(COUNT(D7:D10)&lt;2,IF(ISNUMBER(C8),C9&gt;C8))</formula>
    </cfRule>
  </conditionalFormatting>
  <conditionalFormatting sqref="D10">
    <cfRule type="expression" dxfId="1804" priority="21">
      <formula>AND(COUNT(D7:D10)&lt;2,IF(ISNUMBER(C7),C10&gt;C7))</formula>
    </cfRule>
  </conditionalFormatting>
  <conditionalFormatting sqref="D7:D10">
    <cfRule type="aboveAverage" dxfId="1803" priority="20"/>
  </conditionalFormatting>
  <conditionalFormatting sqref="E16">
    <cfRule type="expression" dxfId="1802" priority="19">
      <formula>AND(COUNT(E13:E16)&lt;2,IF(ISNUMBER(C16),C13&gt;C16))</formula>
    </cfRule>
  </conditionalFormatting>
  <conditionalFormatting sqref="E13">
    <cfRule type="expression" dxfId="1801" priority="18">
      <formula>AND(COUNT(E13:E16)&lt;2,IF(ISNUMBER(C13),C16&gt;C13))</formula>
    </cfRule>
  </conditionalFormatting>
  <conditionalFormatting sqref="E14">
    <cfRule type="expression" dxfId="1800" priority="17">
      <formula>AND(COUNT(E13:E16)&lt;2,IF(ISNUMBER(C14),C15&gt;C14))</formula>
    </cfRule>
  </conditionalFormatting>
  <conditionalFormatting sqref="E15">
    <cfRule type="expression" dxfId="1799" priority="16">
      <formula>AND(COUNT(E13:E16)&lt;2,IF(ISNUMBER(C15),C14&gt;C15))</formula>
    </cfRule>
  </conditionalFormatting>
  <conditionalFormatting sqref="E13:E16">
    <cfRule type="aboveAverage" dxfId="1798" priority="15"/>
  </conditionalFormatting>
  <conditionalFormatting sqref="F13">
    <cfRule type="expression" dxfId="1797" priority="10">
      <formula>AND(COUNT(F13:F16)&lt;2,IF(COUNT(E13:E16)=2,IF(AND(ISNUMBER(E13),COUNTIF(E13:E16,E13)=1,E13=MAX(E13:E16)),TRUE,FALSE)))</formula>
    </cfRule>
    <cfRule type="expression" dxfId="1796" priority="14">
      <formula>AND(COUNT(F13:F16)&lt;2,IF(COUNT(D13:D16)=2,IF(AND(ISNUMBER(D13),COUNTIF(D13:D16,D13)=1,D13=MIN(D13:D16)),TRUE,FALSE)))</formula>
    </cfRule>
  </conditionalFormatting>
  <conditionalFormatting sqref="F14">
    <cfRule type="expression" dxfId="1795" priority="9">
      <formula>AND(COUNT(F13:F16)&lt;2,IF(COUNT(E13:E16)=2,IF(AND(ISNUMBER(E14),COUNTIF(E13:E16,E14)=1,E14=MAX(E13:E16)),TRUE,FALSE)))</formula>
    </cfRule>
    <cfRule type="expression" dxfId="1794" priority="13">
      <formula>AND(COUNT(F13:F16)&lt;2,IF(COUNT(D13:D16)=2,IF(AND(ISNUMBER(D14),COUNTIF(D13:D16,D14)=1,D14=MIN(D13:D16)),TRUE,FALSE)))</formula>
    </cfRule>
  </conditionalFormatting>
  <conditionalFormatting sqref="F15">
    <cfRule type="expression" dxfId="1793" priority="8">
      <formula>AND(COUNT(F13:F16)&lt;2,IF(COUNT(E13:E16)=2,IF(AND(ISNUMBER(E15),COUNTIF(E13:E16,E15)=1,E15=MAX(E13:E16)),TRUE,FALSE)))</formula>
    </cfRule>
    <cfRule type="expression" dxfId="1792" priority="12">
      <formula>AND(COUNT(F13:F16)&lt;2,IF(COUNT(D13:D16)=2,IF(AND(ISNUMBER(D15),COUNTIF(D13:D16,D15)=1,D15=MIN(D13:D16)),TRUE,FALSE)))</formula>
    </cfRule>
  </conditionalFormatting>
  <conditionalFormatting sqref="F16">
    <cfRule type="expression" dxfId="1791" priority="7">
      <formula>AND(COUNT(F13:F16)&lt;2,IF(COUNT(E13:E16)=2,IF(AND(ISNUMBER(E16),COUNTIF(E13:E16,E16)=1,E16=MAX(E13:E16)),TRUE,FALSE)))</formula>
    </cfRule>
    <cfRule type="expression" dxfId="1790" priority="11">
      <formula>AND(COUNT(F13:F16)&lt;2,IF(COUNT(D13:D16)=2,IF(AND(ISNUMBER(D16),COUNTIF(D13:D16,D16)=1,D16=MIN(D13:D16)),TRUE,FALSE)))</formula>
    </cfRule>
  </conditionalFormatting>
  <conditionalFormatting sqref="F13:F16">
    <cfRule type="aboveAverage" dxfId="1789" priority="6"/>
  </conditionalFormatting>
  <conditionalFormatting sqref="D13">
    <cfRule type="expression" dxfId="1788" priority="5">
      <formula>AND(COUNT(D13:D16)&lt;2,IF(ISNUMBER(C16),C13&gt;C16))</formula>
    </cfRule>
  </conditionalFormatting>
  <conditionalFormatting sqref="D14">
    <cfRule type="expression" dxfId="1787" priority="4">
      <formula>AND(COUNT(D13:D16)&lt;2,IF(ISNUMBER(C15),C14&gt;C15))</formula>
    </cfRule>
  </conditionalFormatting>
  <conditionalFormatting sqref="D15">
    <cfRule type="expression" dxfId="1786" priority="3">
      <formula>AND(COUNT(D13:D16)&lt;2,IF(ISNUMBER(C14),C15&gt;C14))</formula>
    </cfRule>
  </conditionalFormatting>
  <conditionalFormatting sqref="D16">
    <cfRule type="expression" dxfId="1785" priority="2">
      <formula>AND(COUNT(D13:D16)&lt;2,IF(ISNUMBER(C13),C16&gt;C13))</formula>
    </cfRule>
  </conditionalFormatting>
  <conditionalFormatting sqref="D13:D16">
    <cfRule type="aboveAverage" dxfId="1784" priority="1"/>
  </conditionalFormatting>
  <pageMargins left="0.78740157480314965" right="0.39370078740157483" top="0.78740157480314965" bottom="0.39370078740157483" header="0.59055118110236227" footer="0"/>
  <pageSetup paperSize="9" fitToHeight="0" orientation="portrait" verticalDpi="1200" r:id="rId1"/>
  <headerFooter alignWithMargins="0">
    <oddHeader>&amp;R&amp;"Arial,Regular"&amp;9Page &amp;P of &amp;N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H35"/>
  <sheetViews>
    <sheetView showGridLines="0" showRowColHeaders="0" zoomScaleNormal="100" workbookViewId="0">
      <pane ySplit="2" topLeftCell="A3" activePane="bottomLeft" state="frozen"/>
      <selection activeCell="G1" sqref="G1"/>
      <selection pane="bottomLeft" activeCell="J1" sqref="J1"/>
    </sheetView>
  </sheetViews>
  <sheetFormatPr defaultRowHeight="12.75" x14ac:dyDescent="0.2"/>
  <cols>
    <col min="1" max="1" width="5.5703125" style="139" customWidth="1"/>
    <col min="2" max="2" width="19.7109375" style="139" customWidth="1"/>
    <col min="3" max="6" width="7.85546875" style="139" customWidth="1"/>
    <col min="7" max="8" width="7.85546875" style="139" bestFit="1" customWidth="1"/>
    <col min="9" max="16384" width="9.140625" style="139"/>
  </cols>
  <sheetData>
    <row r="1" spans="1:8" x14ac:dyDescent="0.2">
      <c r="A1" s="86" t="str">
        <f>UPPER((Kalend!E46)&amp;" - "&amp;(Kalend!C46)&amp;" - "&amp;(Kalend!D46))</f>
        <v>K2 - KORBI KARIKAS 2. ETAPP - TRIO,S-TRIO</v>
      </c>
      <c r="F1" s="51" t="str">
        <f>HYPERLINK("#'Kalend'!I1","Kalender")</f>
        <v>Kalender</v>
      </c>
      <c r="H1" s="51" t="str">
        <f>HYPERLINK("#'V'!AE1","Reiting")</f>
        <v>Reiting</v>
      </c>
    </row>
    <row r="2" spans="1:8" x14ac:dyDescent="0.2">
      <c r="A2" s="186" t="str">
        <f>"Toimumisaeg: "&amp;(Kalend!A46)&amp;" kell "&amp;(Kalend!B46)</f>
        <v>Toimumisaeg: P, 29.04.2018 kell 11:00</v>
      </c>
    </row>
    <row r="3" spans="1:8" x14ac:dyDescent="0.2">
      <c r="A3" s="186" t="str">
        <f>"Toimumiskoht: "&amp;(Kalend!F46)</f>
        <v>Toimumiskoht: K-Järve Spordihoone</v>
      </c>
    </row>
    <row r="4" spans="1:8" x14ac:dyDescent="0.2">
      <c r="A4" s="186" t="str">
        <f>"Korraldaja: "&amp;(Kalend!G46)</f>
        <v>Korraldaja: K-Järve SHK, Ilmar Taluste</v>
      </c>
    </row>
    <row r="6" spans="1:8" s="188" customFormat="1" x14ac:dyDescent="0.2">
      <c r="A6" s="945" t="s">
        <v>11</v>
      </c>
      <c r="B6" s="946"/>
      <c r="C6" s="91">
        <v>1</v>
      </c>
      <c r="D6" s="91">
        <v>2</v>
      </c>
      <c r="E6" s="91">
        <v>3</v>
      </c>
      <c r="F6" s="91">
        <v>4</v>
      </c>
      <c r="G6" s="438" t="s">
        <v>559</v>
      </c>
      <c r="H6" s="438" t="s">
        <v>263</v>
      </c>
    </row>
    <row r="7" spans="1:8" s="188" customFormat="1" x14ac:dyDescent="0.2">
      <c r="A7" s="126">
        <v>1</v>
      </c>
      <c r="B7" s="581" t="s">
        <v>554</v>
      </c>
      <c r="C7" s="127"/>
      <c r="D7" s="93">
        <v>13</v>
      </c>
      <c r="E7" s="93">
        <v>13</v>
      </c>
      <c r="F7" s="93">
        <v>13</v>
      </c>
      <c r="G7" s="438">
        <v>3</v>
      </c>
      <c r="H7" s="438">
        <v>15</v>
      </c>
    </row>
    <row r="8" spans="1:8" s="188" customFormat="1" x14ac:dyDescent="0.2">
      <c r="A8" s="126">
        <v>2</v>
      </c>
      <c r="B8" s="581" t="s">
        <v>555</v>
      </c>
      <c r="C8" s="93">
        <v>7</v>
      </c>
      <c r="D8" s="127"/>
      <c r="E8" s="93">
        <v>0</v>
      </c>
      <c r="F8" s="93">
        <v>10</v>
      </c>
      <c r="G8" s="438">
        <v>0</v>
      </c>
      <c r="H8" s="438">
        <v>0</v>
      </c>
    </row>
    <row r="9" spans="1:8" s="188" customFormat="1" x14ac:dyDescent="0.2">
      <c r="A9" s="126">
        <v>3</v>
      </c>
      <c r="B9" s="582" t="s">
        <v>556</v>
      </c>
      <c r="C9" s="93">
        <v>12</v>
      </c>
      <c r="D9" s="548">
        <v>13</v>
      </c>
      <c r="E9" s="127"/>
      <c r="F9" s="93">
        <v>11</v>
      </c>
      <c r="G9" s="438">
        <v>1</v>
      </c>
      <c r="H9" s="438">
        <v>5</v>
      </c>
    </row>
    <row r="10" spans="1:8" s="188" customFormat="1" x14ac:dyDescent="0.2">
      <c r="A10" s="126">
        <v>4</v>
      </c>
      <c r="B10" s="164" t="s">
        <v>553</v>
      </c>
      <c r="C10" s="93">
        <v>6</v>
      </c>
      <c r="D10" s="548">
        <v>13</v>
      </c>
      <c r="E10" s="93">
        <v>13</v>
      </c>
      <c r="F10" s="127"/>
      <c r="G10" s="438">
        <v>2</v>
      </c>
      <c r="H10" s="438">
        <v>10</v>
      </c>
    </row>
    <row r="11" spans="1:8" s="188" customFormat="1" hidden="1" x14ac:dyDescent="0.2">
      <c r="A11" s="126">
        <v>5</v>
      </c>
      <c r="B11" s="582"/>
      <c r="C11" s="93"/>
      <c r="D11" s="93"/>
      <c r="E11" s="93"/>
      <c r="F11" s="93"/>
      <c r="G11" s="93"/>
      <c r="H11" s="93"/>
    </row>
    <row r="12" spans="1:8" s="188" customFormat="1" x14ac:dyDescent="0.2">
      <c r="A12" s="121"/>
      <c r="B12" s="677"/>
      <c r="C12" s="96"/>
      <c r="D12" s="312"/>
      <c r="E12" s="96"/>
      <c r="F12" s="97"/>
      <c r="G12" s="588"/>
      <c r="H12" s="588"/>
    </row>
    <row r="13" spans="1:8" s="186" customFormat="1" x14ac:dyDescent="0.2">
      <c r="A13" s="945" t="s">
        <v>9</v>
      </c>
      <c r="B13" s="946"/>
      <c r="C13" s="91">
        <v>1</v>
      </c>
      <c r="D13" s="91">
        <v>2</v>
      </c>
      <c r="E13" s="91">
        <v>3</v>
      </c>
      <c r="F13" s="91">
        <v>4</v>
      </c>
      <c r="G13" s="438" t="s">
        <v>559</v>
      </c>
      <c r="H13" s="438" t="s">
        <v>263</v>
      </c>
    </row>
    <row r="14" spans="1:8" s="186" customFormat="1" x14ac:dyDescent="0.2">
      <c r="A14" s="126">
        <v>1</v>
      </c>
      <c r="B14" s="581" t="s">
        <v>554</v>
      </c>
      <c r="C14" s="127"/>
      <c r="D14" s="93">
        <v>13</v>
      </c>
      <c r="E14" s="93">
        <v>13</v>
      </c>
      <c r="F14" s="93">
        <v>10</v>
      </c>
      <c r="G14" s="438">
        <v>2</v>
      </c>
      <c r="H14" s="438">
        <v>10</v>
      </c>
    </row>
    <row r="15" spans="1:8" s="186" customFormat="1" x14ac:dyDescent="0.2">
      <c r="A15" s="126">
        <v>2</v>
      </c>
      <c r="B15" s="581" t="s">
        <v>555</v>
      </c>
      <c r="C15" s="93">
        <v>11</v>
      </c>
      <c r="D15" s="127"/>
      <c r="E15" s="93">
        <v>7</v>
      </c>
      <c r="F15" s="93">
        <v>8</v>
      </c>
      <c r="G15" s="438">
        <v>0</v>
      </c>
      <c r="H15" s="438">
        <v>0</v>
      </c>
    </row>
    <row r="16" spans="1:8" s="186" customFormat="1" x14ac:dyDescent="0.2">
      <c r="A16" s="126">
        <v>3</v>
      </c>
      <c r="B16" s="582" t="s">
        <v>556</v>
      </c>
      <c r="C16" s="93">
        <v>7</v>
      </c>
      <c r="D16" s="548">
        <v>13</v>
      </c>
      <c r="E16" s="127"/>
      <c r="F16" s="93">
        <v>0</v>
      </c>
      <c r="G16" s="438">
        <v>1</v>
      </c>
      <c r="H16" s="438">
        <v>5</v>
      </c>
    </row>
    <row r="17" spans="1:8" s="186" customFormat="1" x14ac:dyDescent="0.2">
      <c r="A17" s="126">
        <v>4</v>
      </c>
      <c r="B17" s="164" t="s">
        <v>553</v>
      </c>
      <c r="C17" s="93">
        <v>13</v>
      </c>
      <c r="D17" s="548">
        <v>13</v>
      </c>
      <c r="E17" s="93">
        <v>13</v>
      </c>
      <c r="F17" s="127"/>
      <c r="G17" s="438">
        <v>3</v>
      </c>
      <c r="H17" s="438">
        <v>15</v>
      </c>
    </row>
    <row r="18" spans="1:8" s="186" customFormat="1" hidden="1" x14ac:dyDescent="0.2">
      <c r="A18" s="126">
        <v>5</v>
      </c>
      <c r="B18" s="582"/>
      <c r="C18" s="93"/>
      <c r="D18" s="93"/>
      <c r="E18" s="93"/>
      <c r="F18" s="93"/>
      <c r="G18" s="93"/>
      <c r="H18" s="93"/>
    </row>
    <row r="19" spans="1:8" s="188" customFormat="1" hidden="1" x14ac:dyDescent="0.2">
      <c r="A19" s="121"/>
      <c r="B19" s="677"/>
      <c r="C19" s="96"/>
      <c r="D19" s="312"/>
      <c r="E19" s="96"/>
      <c r="F19" s="97"/>
      <c r="G19" s="588"/>
      <c r="H19" s="588"/>
    </row>
    <row r="20" spans="1:8" s="186" customFormat="1" hidden="1" x14ac:dyDescent="0.2">
      <c r="A20" s="188"/>
      <c r="B20" s="188"/>
      <c r="C20" s="188"/>
      <c r="D20" s="188"/>
      <c r="E20" s="188"/>
      <c r="F20" s="188"/>
      <c r="G20" s="188"/>
      <c r="H20" s="188"/>
    </row>
    <row r="21" spans="1:8" s="186" customFormat="1" hidden="1" x14ac:dyDescent="0.2">
      <c r="A21" s="188"/>
      <c r="B21" s="188"/>
      <c r="C21" s="188"/>
      <c r="D21" s="188"/>
      <c r="E21" s="188"/>
      <c r="F21" s="188"/>
      <c r="G21" s="188"/>
      <c r="H21" s="188"/>
    </row>
    <row r="22" spans="1:8" s="186" customFormat="1" hidden="1" x14ac:dyDescent="0.2">
      <c r="A22" s="188"/>
      <c r="B22" s="188"/>
      <c r="C22" s="188"/>
      <c r="D22" s="188"/>
      <c r="E22" s="188"/>
      <c r="F22" s="188"/>
      <c r="G22" s="188"/>
      <c r="H22" s="188"/>
    </row>
    <row r="23" spans="1:8" s="186" customFormat="1" hidden="1" x14ac:dyDescent="0.2">
      <c r="A23" s="188"/>
      <c r="B23" s="188"/>
      <c r="C23" s="188"/>
      <c r="D23" s="188"/>
      <c r="E23" s="188"/>
      <c r="F23" s="188"/>
      <c r="G23" s="188"/>
      <c r="H23" s="188"/>
    </row>
    <row r="24" spans="1:8" s="186" customFormat="1" hidden="1" x14ac:dyDescent="0.2">
      <c r="A24" s="188"/>
      <c r="B24" s="188"/>
      <c r="C24" s="188"/>
      <c r="D24" s="188"/>
      <c r="E24" s="188"/>
      <c r="F24" s="188"/>
      <c r="G24" s="188"/>
      <c r="H24" s="188"/>
    </row>
    <row r="25" spans="1:8" s="186" customFormat="1" hidden="1" x14ac:dyDescent="0.2">
      <c r="A25" s="126">
        <v>5</v>
      </c>
      <c r="B25" s="582"/>
      <c r="C25" s="93"/>
      <c r="D25" s="93"/>
      <c r="E25" s="93"/>
      <c r="F25" s="93"/>
      <c r="G25" s="93"/>
    </row>
    <row r="26" spans="1:8" s="186" customFormat="1" x14ac:dyDescent="0.2">
      <c r="A26" s="87"/>
      <c r="B26" s="407"/>
      <c r="C26" s="309"/>
      <c r="D26" s="309"/>
      <c r="E26" s="309"/>
    </row>
    <row r="27" spans="1:8" s="188" customFormat="1" x14ac:dyDescent="0.2">
      <c r="B27" s="213" t="s">
        <v>98</v>
      </c>
      <c r="C27" s="98" t="s">
        <v>99</v>
      </c>
      <c r="D27" s="98" t="s">
        <v>100</v>
      </c>
    </row>
    <row r="28" spans="1:8" s="188" customFormat="1" x14ac:dyDescent="0.2">
      <c r="B28" s="213" t="s">
        <v>101</v>
      </c>
      <c r="C28" s="98" t="s">
        <v>102</v>
      </c>
      <c r="D28" s="98" t="s">
        <v>103</v>
      </c>
    </row>
    <row r="29" spans="1:8" s="188" customFormat="1" x14ac:dyDescent="0.2">
      <c r="B29" s="213" t="s">
        <v>104</v>
      </c>
      <c r="C29" s="98" t="s">
        <v>92</v>
      </c>
      <c r="D29" s="98" t="s">
        <v>105</v>
      </c>
    </row>
    <row r="30" spans="1:8" s="188" customFormat="1" x14ac:dyDescent="0.2">
      <c r="A30" s="121"/>
      <c r="E30" s="97"/>
      <c r="F30" s="97"/>
      <c r="G30" s="97"/>
    </row>
    <row r="31" spans="1:8" x14ac:dyDescent="0.2">
      <c r="C31" s="941" t="s">
        <v>263</v>
      </c>
      <c r="D31" s="264" t="s">
        <v>560</v>
      </c>
    </row>
    <row r="32" spans="1:8" x14ac:dyDescent="0.2">
      <c r="A32" s="1408">
        <v>1</v>
      </c>
      <c r="B32" s="1409" t="s">
        <v>554</v>
      </c>
      <c r="C32" s="1412">
        <v>25</v>
      </c>
      <c r="D32" s="942"/>
    </row>
    <row r="33" spans="1:4" x14ac:dyDescent="0.2">
      <c r="A33" s="1408">
        <v>2</v>
      </c>
      <c r="B33" s="1410" t="s">
        <v>555</v>
      </c>
      <c r="C33" s="1414">
        <v>0</v>
      </c>
      <c r="D33" s="654"/>
    </row>
    <row r="34" spans="1:4" x14ac:dyDescent="0.2">
      <c r="A34" s="1408">
        <v>3</v>
      </c>
      <c r="B34" s="1411" t="s">
        <v>556</v>
      </c>
      <c r="C34" s="1414">
        <v>10</v>
      </c>
      <c r="D34" s="654"/>
    </row>
    <row r="35" spans="1:4" x14ac:dyDescent="0.2">
      <c r="A35" s="1408">
        <v>4</v>
      </c>
      <c r="B35" s="1411" t="s">
        <v>553</v>
      </c>
      <c r="C35" s="1412">
        <v>25</v>
      </c>
      <c r="D35" s="942"/>
    </row>
  </sheetData>
  <conditionalFormatting sqref="E30">
    <cfRule type="aboveAverage" dxfId="1783" priority="50"/>
  </conditionalFormatting>
  <conditionalFormatting sqref="F30">
    <cfRule type="aboveAverage" dxfId="1782" priority="49"/>
  </conditionalFormatting>
  <conditionalFormatting sqref="G30">
    <cfRule type="expression" dxfId="1781" priority="47">
      <formula>FIND(2,G30,1)</formula>
    </cfRule>
    <cfRule type="expression" dxfId="1780" priority="48">
      <formula>FIND(1,G30,1)</formula>
    </cfRule>
  </conditionalFormatting>
  <conditionalFormatting sqref="D14 C15">
    <cfRule type="aboveAverage" dxfId="1779" priority="46"/>
  </conditionalFormatting>
  <conditionalFormatting sqref="E14 C16">
    <cfRule type="aboveAverage" dxfId="1778" priority="45"/>
  </conditionalFormatting>
  <conditionalFormatting sqref="F14 C17">
    <cfRule type="aboveAverage" dxfId="1777" priority="44"/>
  </conditionalFormatting>
  <conditionalFormatting sqref="E15 D16">
    <cfRule type="aboveAverage" dxfId="1776" priority="43"/>
  </conditionalFormatting>
  <conditionalFormatting sqref="G14 C18">
    <cfRule type="aboveAverage" dxfId="1775" priority="42"/>
  </conditionalFormatting>
  <conditionalFormatting sqref="F15 D17">
    <cfRule type="aboveAverage" dxfId="1774" priority="41"/>
  </conditionalFormatting>
  <conditionalFormatting sqref="G15 D18">
    <cfRule type="aboveAverage" dxfId="1773" priority="40"/>
  </conditionalFormatting>
  <conditionalFormatting sqref="F16 E17">
    <cfRule type="aboveAverage" dxfId="1772" priority="39"/>
  </conditionalFormatting>
  <conditionalFormatting sqref="G16 E18">
    <cfRule type="aboveAverage" dxfId="1771" priority="38"/>
  </conditionalFormatting>
  <conditionalFormatting sqref="F18 G17">
    <cfRule type="aboveAverage" dxfId="1770" priority="37"/>
  </conditionalFormatting>
  <conditionalFormatting sqref="D7 C8">
    <cfRule type="aboveAverage" dxfId="1769" priority="36"/>
  </conditionalFormatting>
  <conditionalFormatting sqref="E7 C9">
    <cfRule type="aboveAverage" dxfId="1768" priority="35"/>
  </conditionalFormatting>
  <conditionalFormatting sqref="F7 C10">
    <cfRule type="aboveAverage" dxfId="1767" priority="34"/>
  </conditionalFormatting>
  <conditionalFormatting sqref="E8 D9">
    <cfRule type="aboveAverage" dxfId="1766" priority="33"/>
  </conditionalFormatting>
  <conditionalFormatting sqref="G7 C11">
    <cfRule type="aboveAverage" dxfId="1765" priority="32"/>
  </conditionalFormatting>
  <conditionalFormatting sqref="F8 D10">
    <cfRule type="aboveAverage" dxfId="1764" priority="31"/>
  </conditionalFormatting>
  <conditionalFormatting sqref="G8 D11">
    <cfRule type="aboveAverage" dxfId="1763" priority="30"/>
  </conditionalFormatting>
  <conditionalFormatting sqref="F9 E10">
    <cfRule type="aboveAverage" dxfId="1762" priority="29"/>
  </conditionalFormatting>
  <conditionalFormatting sqref="G9 E11">
    <cfRule type="aboveAverage" dxfId="1761" priority="28"/>
  </conditionalFormatting>
  <conditionalFormatting sqref="F11 G10">
    <cfRule type="aboveAverage" dxfId="1760" priority="27"/>
  </conditionalFormatting>
  <conditionalFormatting sqref="C25">
    <cfRule type="aboveAverage" dxfId="1759" priority="22"/>
  </conditionalFormatting>
  <conditionalFormatting sqref="D25">
    <cfRule type="aboveAverage" dxfId="1758" priority="20"/>
  </conditionalFormatting>
  <conditionalFormatting sqref="E25">
    <cfRule type="aboveAverage" dxfId="1757" priority="18"/>
  </conditionalFormatting>
  <conditionalFormatting sqref="F25">
    <cfRule type="aboveAverage" dxfId="1756" priority="17"/>
  </conditionalFormatting>
  <conditionalFormatting sqref="H14">
    <cfRule type="aboveAverage" dxfId="1755" priority="16"/>
  </conditionalFormatting>
  <conditionalFormatting sqref="H15">
    <cfRule type="aboveAverage" dxfId="1754" priority="15"/>
  </conditionalFormatting>
  <conditionalFormatting sqref="H16">
    <cfRule type="aboveAverage" dxfId="1753" priority="14"/>
  </conditionalFormatting>
  <conditionalFormatting sqref="H17">
    <cfRule type="aboveAverage" dxfId="1752" priority="13"/>
  </conditionalFormatting>
  <conditionalFormatting sqref="H7">
    <cfRule type="aboveAverage" dxfId="1751" priority="12"/>
  </conditionalFormatting>
  <conditionalFormatting sqref="H8">
    <cfRule type="aboveAverage" dxfId="1750" priority="11"/>
  </conditionalFormatting>
  <conditionalFormatting sqref="H9">
    <cfRule type="aboveAverage" dxfId="1749" priority="10"/>
  </conditionalFormatting>
  <conditionalFormatting sqref="H10">
    <cfRule type="aboveAverage" dxfId="1748" priority="9"/>
  </conditionalFormatting>
  <conditionalFormatting sqref="B8">
    <cfRule type="duplicateValues" dxfId="1747" priority="3"/>
  </conditionalFormatting>
  <conditionalFormatting sqref="B15">
    <cfRule type="duplicateValues" dxfId="1746" priority="1"/>
  </conditionalFormatting>
  <pageMargins left="0.78740157480314965" right="0.39370078740157483" top="0.78740157480314965" bottom="0.31496062992125984" header="0.59055118110236227" footer="0"/>
  <pageSetup paperSize="9" fitToHeight="0" orientation="portrait" verticalDpi="1200" r:id="rId1"/>
  <headerFooter>
    <oddHeader>&amp;R&amp;"Arial,Regular"&amp;9Page &amp;P of &amp;N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I19"/>
  <sheetViews>
    <sheetView showGridLines="0" showRowColHeaders="0" workbookViewId="0">
      <selection activeCell="J1" sqref="J1"/>
    </sheetView>
  </sheetViews>
  <sheetFormatPr defaultRowHeight="12.75" x14ac:dyDescent="0.2"/>
  <cols>
    <col min="1" max="1" width="5.140625" style="32" bestFit="1" customWidth="1"/>
    <col min="2" max="2" width="19.7109375" style="32" customWidth="1"/>
    <col min="3" max="3" width="6.5703125" style="32" customWidth="1"/>
    <col min="4" max="4" width="7" style="32" bestFit="1" customWidth="1"/>
    <col min="5" max="5" width="7" style="32" customWidth="1"/>
    <col min="6" max="6" width="8.140625" style="32" customWidth="1"/>
    <col min="7" max="12" width="9.140625" style="32" customWidth="1"/>
    <col min="13" max="16384" width="9.140625" style="32"/>
  </cols>
  <sheetData>
    <row r="1" spans="1:9" ht="12.75" customHeight="1" x14ac:dyDescent="0.2">
      <c r="A1" s="193" t="s">
        <v>595</v>
      </c>
      <c r="B1" s="139"/>
      <c r="F1" s="51" t="str">
        <f>HYPERLINK("#'Kalend'!I1","Kalender")</f>
        <v>Kalender</v>
      </c>
      <c r="G1" s="139"/>
      <c r="H1" s="51" t="str">
        <f>HYPERLINK("#'V'!AE1","Reiting")</f>
        <v>Reiting</v>
      </c>
      <c r="I1" s="139"/>
    </row>
    <row r="2" spans="1:9" ht="12.75" customHeight="1" x14ac:dyDescent="0.2">
      <c r="B2" s="139"/>
      <c r="C2" s="139"/>
      <c r="D2" s="139"/>
      <c r="E2" s="139"/>
      <c r="F2" s="139"/>
      <c r="G2" s="139"/>
      <c r="H2" s="139"/>
      <c r="I2" s="139"/>
    </row>
    <row r="3" spans="1:9" x14ac:dyDescent="0.2">
      <c r="A3" s="53"/>
      <c r="B3" s="54" t="s">
        <v>15</v>
      </c>
      <c r="C3" s="56" t="s">
        <v>15</v>
      </c>
      <c r="D3" s="1419" t="str">
        <f>MID(Kalend!A41,4,5)</f>
        <v>08.04</v>
      </c>
      <c r="E3" s="1419" t="str">
        <f>MID(Kalend!A46,4,5)</f>
        <v>29.04</v>
      </c>
      <c r="F3" s="139"/>
      <c r="G3" s="139"/>
      <c r="H3" s="139"/>
      <c r="I3" s="139"/>
    </row>
    <row r="4" spans="1:9" x14ac:dyDescent="0.2">
      <c r="B4" s="940"/>
      <c r="D4" s="1420" t="str">
        <f>HYPERLINK("#'K1'!J1","K1")</f>
        <v>K1</v>
      </c>
      <c r="E4" s="1420" t="str">
        <f>HYPERLINK("#'K2'!J1","K2")</f>
        <v>K2</v>
      </c>
      <c r="F4" s="139"/>
      <c r="G4" s="139"/>
      <c r="H4" s="139"/>
      <c r="I4" s="139"/>
    </row>
    <row r="5" spans="1:9" ht="12.75" customHeight="1" x14ac:dyDescent="0.2">
      <c r="A5" s="451" t="s">
        <v>46</v>
      </c>
      <c r="B5" s="56" t="s">
        <v>68</v>
      </c>
      <c r="C5" s="451" t="s">
        <v>69</v>
      </c>
      <c r="D5" s="1415" t="s">
        <v>23</v>
      </c>
      <c r="E5" s="1415" t="s">
        <v>23</v>
      </c>
    </row>
    <row r="6" spans="1:9" x14ac:dyDescent="0.2">
      <c r="A6" s="1189">
        <f t="shared" ref="A6:A19" si="0">IF(C6&gt;0,RANK(C6,C$6:C$19,0),"")</f>
        <v>1</v>
      </c>
      <c r="B6" s="1416" t="s">
        <v>554</v>
      </c>
      <c r="C6" s="1188">
        <f>(D6+E6*0.00001+E6)</f>
        <v>40.000250000000001</v>
      </c>
      <c r="D6" s="59">
        <v>15</v>
      </c>
      <c r="E6" s="55">
        <v>25</v>
      </c>
      <c r="F6" s="570"/>
    </row>
    <row r="7" spans="1:9" x14ac:dyDescent="0.2">
      <c r="A7" s="1189">
        <f t="shared" si="0"/>
        <v>4</v>
      </c>
      <c r="B7" s="1417" t="s">
        <v>555</v>
      </c>
      <c r="C7" s="1188">
        <f>(D7+E7*0.00001+E7)</f>
        <v>15</v>
      </c>
      <c r="D7" s="59">
        <v>15</v>
      </c>
      <c r="E7" s="59">
        <v>0</v>
      </c>
      <c r="F7" s="570"/>
    </row>
    <row r="8" spans="1:9" ht="12.75" customHeight="1" x14ac:dyDescent="0.2">
      <c r="A8" s="1189">
        <f t="shared" si="0"/>
        <v>3</v>
      </c>
      <c r="B8" s="1418" t="s">
        <v>556</v>
      </c>
      <c r="C8" s="1188">
        <f>(D8+E8*0.00001+E8)</f>
        <v>22.0001</v>
      </c>
      <c r="D8" s="59">
        <v>12</v>
      </c>
      <c r="E8" s="55">
        <v>10</v>
      </c>
      <c r="F8" s="570"/>
    </row>
    <row r="9" spans="1:9" x14ac:dyDescent="0.2">
      <c r="A9" s="1189">
        <f t="shared" si="0"/>
        <v>2</v>
      </c>
      <c r="B9" s="1411" t="s">
        <v>553</v>
      </c>
      <c r="C9" s="1188">
        <f>(D9+E9*0.00001+E9)</f>
        <v>37.000250000000001</v>
      </c>
      <c r="D9" s="59">
        <v>12</v>
      </c>
      <c r="E9" s="55">
        <v>25</v>
      </c>
      <c r="F9" s="570"/>
    </row>
    <row r="10" spans="1:9" hidden="1" x14ac:dyDescent="0.2">
      <c r="A10" s="239" t="str">
        <f t="shared" si="0"/>
        <v/>
      </c>
      <c r="B10" s="229"/>
      <c r="C10" s="172">
        <f t="shared" ref="C10:C19" si="1">(E10*0.00001+E10+D10)</f>
        <v>0</v>
      </c>
      <c r="D10" s="230"/>
      <c r="E10" s="230"/>
      <c r="F10" s="570" t="str">
        <f t="shared" ref="F10:F19" si="2">IF(AND(A10&lt;=2,E10&gt;0),"Finaali","")</f>
        <v/>
      </c>
    </row>
    <row r="11" spans="1:9" hidden="1" x14ac:dyDescent="0.2">
      <c r="A11" s="239" t="str">
        <f t="shared" si="0"/>
        <v/>
      </c>
      <c r="B11" s="60"/>
      <c r="C11" s="172">
        <f t="shared" si="1"/>
        <v>0</v>
      </c>
      <c r="D11" s="59"/>
      <c r="E11" s="55"/>
      <c r="F11" s="570" t="str">
        <f t="shared" si="2"/>
        <v/>
      </c>
    </row>
    <row r="12" spans="1:9" hidden="1" x14ac:dyDescent="0.2">
      <c r="A12" s="239" t="str">
        <f t="shared" si="0"/>
        <v/>
      </c>
      <c r="B12" s="61"/>
      <c r="C12" s="172">
        <f t="shared" si="1"/>
        <v>0</v>
      </c>
      <c r="D12" s="59"/>
      <c r="E12" s="59"/>
      <c r="F12" s="570" t="str">
        <f t="shared" si="2"/>
        <v/>
      </c>
    </row>
    <row r="13" spans="1:9" hidden="1" x14ac:dyDescent="0.2">
      <c r="A13" s="239" t="str">
        <f t="shared" si="0"/>
        <v/>
      </c>
      <c r="B13" s="61"/>
      <c r="C13" s="172">
        <f t="shared" si="1"/>
        <v>0</v>
      </c>
      <c r="D13" s="59"/>
      <c r="E13" s="59"/>
      <c r="F13" s="570" t="str">
        <f t="shared" si="2"/>
        <v/>
      </c>
    </row>
    <row r="14" spans="1:9" hidden="1" x14ac:dyDescent="0.2">
      <c r="A14" s="239" t="str">
        <f t="shared" si="0"/>
        <v/>
      </c>
      <c r="B14" s="61"/>
      <c r="C14" s="172">
        <f t="shared" si="1"/>
        <v>0</v>
      </c>
      <c r="D14" s="59"/>
      <c r="E14" s="55"/>
      <c r="F14" s="570" t="str">
        <f t="shared" si="2"/>
        <v/>
      </c>
    </row>
    <row r="15" spans="1:9" hidden="1" x14ac:dyDescent="0.2">
      <c r="A15" s="239" t="str">
        <f t="shared" si="0"/>
        <v/>
      </c>
      <c r="B15" s="61"/>
      <c r="C15" s="172">
        <f t="shared" si="1"/>
        <v>0</v>
      </c>
      <c r="D15" s="59"/>
      <c r="E15" s="55"/>
      <c r="F15" s="570" t="str">
        <f t="shared" si="2"/>
        <v/>
      </c>
    </row>
    <row r="16" spans="1:9" hidden="1" x14ac:dyDescent="0.2">
      <c r="A16" s="239" t="str">
        <f t="shared" si="0"/>
        <v/>
      </c>
      <c r="B16" s="60"/>
      <c r="C16" s="172">
        <f t="shared" si="1"/>
        <v>0</v>
      </c>
      <c r="D16" s="59"/>
      <c r="E16" s="59"/>
      <c r="F16" s="570" t="str">
        <f t="shared" si="2"/>
        <v/>
      </c>
    </row>
    <row r="17" spans="1:6" hidden="1" x14ac:dyDescent="0.2">
      <c r="A17" s="239" t="str">
        <f t="shared" si="0"/>
        <v/>
      </c>
      <c r="B17" s="60"/>
      <c r="C17" s="172">
        <f t="shared" si="1"/>
        <v>0</v>
      </c>
      <c r="D17" s="59"/>
      <c r="E17" s="55"/>
      <c r="F17" s="570" t="str">
        <f t="shared" si="2"/>
        <v/>
      </c>
    </row>
    <row r="18" spans="1:6" hidden="1" x14ac:dyDescent="0.2">
      <c r="A18" s="239" t="str">
        <f t="shared" si="0"/>
        <v/>
      </c>
      <c r="B18" s="61"/>
      <c r="C18" s="172">
        <f t="shared" si="1"/>
        <v>0</v>
      </c>
      <c r="D18" s="59"/>
      <c r="E18" s="59"/>
      <c r="F18" s="570" t="str">
        <f t="shared" si="2"/>
        <v/>
      </c>
    </row>
    <row r="19" spans="1:6" hidden="1" x14ac:dyDescent="0.2">
      <c r="A19" s="239" t="str">
        <f t="shared" si="0"/>
        <v/>
      </c>
      <c r="B19" s="61"/>
      <c r="C19" s="172">
        <f t="shared" si="1"/>
        <v>0</v>
      </c>
      <c r="D19" s="59"/>
      <c r="E19" s="59"/>
      <c r="F19" s="570" t="str">
        <f t="shared" si="2"/>
        <v/>
      </c>
    </row>
  </sheetData>
  <conditionalFormatting sqref="B10:B19">
    <cfRule type="duplicateValues" dxfId="1745" priority="3" stopIfTrue="1"/>
  </conditionalFormatting>
  <conditionalFormatting sqref="B10:B19">
    <cfRule type="expression" dxfId="1744" priority="2">
      <formula>AND(A10&lt;=2,E10&gt;0)</formula>
    </cfRule>
  </conditionalFormatting>
  <conditionalFormatting sqref="C6:C19">
    <cfRule type="duplicateValues" dxfId="1743" priority="1095"/>
  </conditionalFormatting>
  <pageMargins left="0.39370078740157483" right="0.39370078740157483" top="0.78740157480314965" bottom="0.39370078740157483" header="0.59055118110236227" footer="0"/>
  <pageSetup paperSize="9" fitToHeight="0" orientation="landscape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K24"/>
  <sheetViews>
    <sheetView showGridLines="0" showRowColHeaders="0" zoomScaleNormal="100" workbookViewId="0">
      <pane ySplit="2" topLeftCell="A3" activePane="bottomLeft" state="frozen"/>
      <selection activeCell="J1" sqref="J1"/>
      <selection pane="bottomLeft" activeCell="L1" sqref="L1"/>
    </sheetView>
  </sheetViews>
  <sheetFormatPr defaultRowHeight="12.75" x14ac:dyDescent="0.2"/>
  <cols>
    <col min="1" max="1" width="3.28515625" style="88" customWidth="1"/>
    <col min="2" max="2" width="50" style="87" bestFit="1" customWidth="1"/>
    <col min="3" max="7" width="4.7109375" style="88" customWidth="1"/>
    <col min="8" max="9" width="5.140625" style="88" customWidth="1"/>
    <col min="10" max="10" width="9.140625" style="88"/>
    <col min="11" max="11" width="9.140625" style="88" customWidth="1"/>
    <col min="12" max="16384" width="9.140625" style="88"/>
  </cols>
  <sheetData>
    <row r="1" spans="1:11" x14ac:dyDescent="0.2">
      <c r="A1" s="86" t="str">
        <f>UPPER((Kalend!E13)&amp;" - "&amp;(Kalend!C13)&amp;" - "&amp;(Kalend!D13))</f>
        <v>R-1 - REGIOONIDE KARIKA 1. ETAPP - TRIO</v>
      </c>
      <c r="D1" s="169" t="s">
        <v>89</v>
      </c>
      <c r="G1" s="51" t="str">
        <f>HYPERLINK("#'Kalend'!I1","Kalender")</f>
        <v>Kalender</v>
      </c>
      <c r="J1" s="51" t="str">
        <f>HYPERLINK("http://www.petanque.ee/juhendid/regioonide-karikas-2017-2018/","Juhend")</f>
        <v>Juhend</v>
      </c>
    </row>
    <row r="2" spans="1:11" s="89" customFormat="1" x14ac:dyDescent="0.2">
      <c r="A2" s="89" t="str">
        <f>"Toimumisaeg: "&amp;(Kalend!A13)&amp;" kell "&amp;(Kalend!B13)</f>
        <v>Toimumisaeg: P, 03.12.2017 kell 11:00</v>
      </c>
      <c r="F2" s="88"/>
      <c r="G2" s="88"/>
      <c r="H2" s="88"/>
    </row>
    <row r="3" spans="1:11" s="89" customFormat="1" x14ac:dyDescent="0.2">
      <c r="A3" s="89" t="str">
        <f>"Toimumiskoht: "&amp;(Kalend!F13)</f>
        <v>Toimumiskoht: K-Järve petangihall</v>
      </c>
    </row>
    <row r="4" spans="1:11" s="89" customFormat="1" x14ac:dyDescent="0.2">
      <c r="A4" s="89" t="str">
        <f>"Korraldaja: "&amp;(Kalend!G13)</f>
        <v>Korraldaja: K-Järve SHK, Ivar Viljaste</v>
      </c>
    </row>
    <row r="6" spans="1:11" x14ac:dyDescent="0.2">
      <c r="A6" s="126"/>
      <c r="B6" s="126"/>
      <c r="C6" s="91">
        <v>1</v>
      </c>
      <c r="D6" s="91">
        <v>2</v>
      </c>
      <c r="E6" s="91">
        <v>3</v>
      </c>
      <c r="F6" s="91">
        <v>4</v>
      </c>
      <c r="G6" s="91">
        <v>5</v>
      </c>
      <c r="H6" s="190" t="s">
        <v>73</v>
      </c>
      <c r="I6" s="190" t="s">
        <v>46</v>
      </c>
      <c r="J6" s="188"/>
    </row>
    <row r="7" spans="1:11" x14ac:dyDescent="0.2">
      <c r="A7" s="126">
        <v>1</v>
      </c>
      <c r="B7" s="164" t="s">
        <v>398</v>
      </c>
      <c r="C7" s="127"/>
      <c r="D7" s="128"/>
      <c r="E7" s="128">
        <v>13</v>
      </c>
      <c r="F7" s="128"/>
      <c r="G7" s="316">
        <v>13</v>
      </c>
      <c r="H7" s="395" t="s">
        <v>271</v>
      </c>
      <c r="I7" s="262" t="s">
        <v>82</v>
      </c>
      <c r="J7" s="1179" t="s">
        <v>312</v>
      </c>
      <c r="K7" s="215"/>
    </row>
    <row r="8" spans="1:11" x14ac:dyDescent="0.2">
      <c r="A8" s="126">
        <v>2</v>
      </c>
      <c r="B8" s="164" t="s">
        <v>265</v>
      </c>
      <c r="C8" s="128">
        <v>13</v>
      </c>
      <c r="D8" s="127"/>
      <c r="E8" s="128">
        <v>13</v>
      </c>
      <c r="F8" s="661"/>
      <c r="G8" s="128">
        <v>13</v>
      </c>
      <c r="H8" s="1180" t="s">
        <v>274</v>
      </c>
      <c r="I8" s="262" t="s">
        <v>81</v>
      </c>
      <c r="J8" s="1181" t="s">
        <v>230</v>
      </c>
      <c r="K8" s="215"/>
    </row>
    <row r="9" spans="1:11" x14ac:dyDescent="0.2">
      <c r="A9" s="126">
        <v>3</v>
      </c>
      <c r="B9" s="164" t="s">
        <v>266</v>
      </c>
      <c r="C9" s="128"/>
      <c r="D9" s="128"/>
      <c r="E9" s="127"/>
      <c r="F9" s="128"/>
      <c r="G9" s="128">
        <v>12</v>
      </c>
      <c r="H9" s="263" t="s">
        <v>272</v>
      </c>
      <c r="I9" s="262" t="s">
        <v>273</v>
      </c>
      <c r="J9" s="188"/>
      <c r="K9" s="215"/>
    </row>
    <row r="10" spans="1:11" x14ac:dyDescent="0.2">
      <c r="A10" s="126">
        <v>4</v>
      </c>
      <c r="B10" s="164" t="s">
        <v>267</v>
      </c>
      <c r="C10" s="128">
        <v>13</v>
      </c>
      <c r="D10" s="661">
        <v>13</v>
      </c>
      <c r="E10" s="128">
        <v>13</v>
      </c>
      <c r="F10" s="127"/>
      <c r="G10" s="131">
        <v>10</v>
      </c>
      <c r="H10" s="1180" t="s">
        <v>274</v>
      </c>
      <c r="I10" s="262" t="s">
        <v>80</v>
      </c>
      <c r="J10" s="1181" t="s">
        <v>312</v>
      </c>
      <c r="K10" s="215"/>
    </row>
    <row r="11" spans="1:11" x14ac:dyDescent="0.2">
      <c r="A11" s="126">
        <v>5</v>
      </c>
      <c r="B11" s="164" t="s">
        <v>268</v>
      </c>
      <c r="C11" s="421" t="s">
        <v>282</v>
      </c>
      <c r="D11" s="128">
        <v>12</v>
      </c>
      <c r="E11" s="128">
        <v>13</v>
      </c>
      <c r="F11" s="128">
        <v>13</v>
      </c>
      <c r="G11" s="127"/>
      <c r="H11" s="395" t="s">
        <v>271</v>
      </c>
      <c r="I11" s="262" t="s">
        <v>113</v>
      </c>
      <c r="J11" s="1179" t="s">
        <v>230</v>
      </c>
      <c r="K11" s="215"/>
    </row>
    <row r="12" spans="1:11" x14ac:dyDescent="0.2">
      <c r="A12" s="121"/>
      <c r="B12" s="99"/>
      <c r="C12" s="96"/>
      <c r="D12" s="96"/>
      <c r="E12" s="96"/>
      <c r="F12" s="96"/>
      <c r="G12" s="97"/>
      <c r="H12" s="188"/>
      <c r="I12" s="188"/>
      <c r="J12" s="188"/>
    </row>
    <row r="13" spans="1:11" x14ac:dyDescent="0.2">
      <c r="A13" s="141"/>
      <c r="B13" s="168" t="s">
        <v>98</v>
      </c>
      <c r="C13" s="143" t="s">
        <v>108</v>
      </c>
      <c r="D13" s="396" t="s">
        <v>105</v>
      </c>
      <c r="E13" s="96"/>
      <c r="F13" s="96"/>
      <c r="I13" s="188"/>
      <c r="J13" s="188"/>
    </row>
    <row r="14" spans="1:11" x14ac:dyDescent="0.2">
      <c r="A14" s="141"/>
      <c r="B14" s="168" t="s">
        <v>101</v>
      </c>
      <c r="C14" s="143" t="s">
        <v>106</v>
      </c>
      <c r="D14" s="396" t="s">
        <v>103</v>
      </c>
      <c r="E14" s="96"/>
      <c r="F14" s="96"/>
      <c r="I14" s="188"/>
      <c r="J14" s="188"/>
    </row>
    <row r="15" spans="1:11" x14ac:dyDescent="0.2">
      <c r="A15" s="141"/>
      <c r="B15" s="168" t="s">
        <v>104</v>
      </c>
      <c r="C15" s="396" t="s">
        <v>91</v>
      </c>
      <c r="D15" s="143" t="s">
        <v>110</v>
      </c>
      <c r="E15" s="96"/>
      <c r="F15" s="96"/>
      <c r="I15" s="188"/>
      <c r="J15" s="188"/>
    </row>
    <row r="16" spans="1:11" x14ac:dyDescent="0.2">
      <c r="A16" s="141"/>
      <c r="B16" s="168" t="s">
        <v>109</v>
      </c>
      <c r="C16" s="396" t="s">
        <v>100</v>
      </c>
      <c r="D16" s="396" t="s">
        <v>99</v>
      </c>
      <c r="E16" s="96"/>
      <c r="F16" s="96"/>
      <c r="I16" s="188"/>
      <c r="J16" s="188"/>
    </row>
    <row r="17" spans="1:11" x14ac:dyDescent="0.2">
      <c r="A17" s="141"/>
      <c r="B17" s="168" t="s">
        <v>111</v>
      </c>
      <c r="C17" s="396" t="s">
        <v>102</v>
      </c>
      <c r="D17" s="143" t="s">
        <v>107</v>
      </c>
      <c r="E17" s="96"/>
      <c r="F17" s="96"/>
      <c r="I17" s="188"/>
      <c r="J17" s="188"/>
    </row>
    <row r="18" spans="1:11" x14ac:dyDescent="0.2">
      <c r="A18" s="141"/>
      <c r="B18" s="168"/>
      <c r="C18" s="396"/>
      <c r="D18" s="143"/>
      <c r="E18" s="96"/>
      <c r="F18" s="96"/>
      <c r="I18" s="188"/>
      <c r="J18" s="188"/>
    </row>
    <row r="19" spans="1:11" x14ac:dyDescent="0.2">
      <c r="A19" s="101"/>
      <c r="B19" s="101"/>
      <c r="C19" s="130" t="s">
        <v>263</v>
      </c>
      <c r="D19" s="101"/>
      <c r="E19" s="101"/>
      <c r="F19" s="188"/>
      <c r="G19" s="188"/>
      <c r="H19" s="188"/>
      <c r="I19" s="188"/>
      <c r="J19" s="101"/>
    </row>
    <row r="20" spans="1:11" x14ac:dyDescent="0.2">
      <c r="A20" s="187">
        <v>1</v>
      </c>
      <c r="B20" s="164" t="s">
        <v>267</v>
      </c>
      <c r="C20" s="188">
        <v>20</v>
      </c>
      <c r="D20" s="188"/>
      <c r="E20" s="188"/>
      <c r="F20" s="188"/>
      <c r="G20" s="188"/>
      <c r="H20" s="188"/>
      <c r="I20" s="188"/>
      <c r="J20" s="188"/>
    </row>
    <row r="21" spans="1:11" x14ac:dyDescent="0.2">
      <c r="A21" s="187">
        <v>2</v>
      </c>
      <c r="B21" s="164" t="s">
        <v>265</v>
      </c>
      <c r="C21" s="188">
        <v>18</v>
      </c>
      <c r="D21" s="188"/>
      <c r="E21" s="188"/>
      <c r="F21" s="188"/>
      <c r="G21" s="188"/>
      <c r="H21" s="188"/>
      <c r="I21" s="188"/>
      <c r="J21" s="188"/>
    </row>
    <row r="22" spans="1:11" x14ac:dyDescent="0.2">
      <c r="A22" s="187">
        <v>3</v>
      </c>
      <c r="B22" s="164" t="s">
        <v>398</v>
      </c>
      <c r="C22" s="188">
        <v>16</v>
      </c>
      <c r="D22" s="188"/>
      <c r="E22" s="188"/>
      <c r="F22" s="188"/>
      <c r="G22" s="188"/>
      <c r="H22" s="188"/>
      <c r="I22" s="188"/>
      <c r="J22" s="188"/>
    </row>
    <row r="23" spans="1:11" x14ac:dyDescent="0.2">
      <c r="A23" s="187">
        <v>4</v>
      </c>
      <c r="B23" s="164" t="s">
        <v>268</v>
      </c>
      <c r="C23" s="188">
        <v>14</v>
      </c>
      <c r="D23" s="188"/>
      <c r="E23" s="188"/>
      <c r="F23" s="188"/>
      <c r="G23" s="188"/>
      <c r="H23" s="188"/>
      <c r="I23" s="188"/>
      <c r="J23" s="188"/>
      <c r="K23" s="145"/>
    </row>
    <row r="24" spans="1:11" x14ac:dyDescent="0.2">
      <c r="A24" s="187">
        <v>5</v>
      </c>
      <c r="B24" s="164" t="s">
        <v>266</v>
      </c>
      <c r="C24" s="188">
        <v>13</v>
      </c>
      <c r="D24" s="188"/>
      <c r="E24" s="188"/>
      <c r="F24" s="188"/>
      <c r="G24" s="188"/>
      <c r="H24" s="188"/>
      <c r="I24" s="188"/>
      <c r="J24" s="188"/>
      <c r="K24" s="145"/>
    </row>
  </sheetData>
  <conditionalFormatting sqref="H7:H11 C13:D18">
    <cfRule type="cellIs" dxfId="1742" priority="5" stopIfTrue="1" operator="equal">
      <formula>13</formula>
    </cfRule>
  </conditionalFormatting>
  <conditionalFormatting sqref="I7:I11">
    <cfRule type="cellIs" dxfId="1741" priority="4" stopIfTrue="1" operator="equal">
      <formula>13</formula>
    </cfRule>
  </conditionalFormatting>
  <conditionalFormatting sqref="C7:G11">
    <cfRule type="cellIs" dxfId="1740" priority="2" operator="equal">
      <formula>13</formula>
    </cfRule>
  </conditionalFormatting>
  <pageMargins left="0.39370078740157483" right="0.39370078740157483" top="0.78740157480314965" bottom="0.39370078740157483" header="0.59055118110236227" footer="0"/>
  <pageSetup paperSize="9" fitToHeight="0" orientation="landscape" verticalDpi="1200" r:id="rId1"/>
  <headerFooter alignWithMargins="0">
    <oddHeader>&amp;R&amp;"Arial,Regular"&amp;9Page &amp;P of &amp;N</oddHeader>
  </headerFooter>
  <rowBreaks count="1" manualBreakCount="1">
    <brk id="21" max="16383" man="1"/>
  </rowBreaks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K121"/>
  <sheetViews>
    <sheetView showGridLines="0" showRowColHeaders="0" zoomScaleNormal="100" workbookViewId="0">
      <pane ySplit="2" topLeftCell="A3" activePane="bottomLeft" state="frozen"/>
      <selection activeCell="J1" sqref="J1"/>
      <selection pane="bottomLeft" activeCell="K1" sqref="K1"/>
    </sheetView>
  </sheetViews>
  <sheetFormatPr defaultRowHeight="12.75" x14ac:dyDescent="0.2"/>
  <cols>
    <col min="1" max="1" width="3.5703125" style="88" customWidth="1"/>
    <col min="2" max="2" width="54.140625" style="87" bestFit="1" customWidth="1"/>
    <col min="3" max="8" width="5.140625" style="88" customWidth="1"/>
    <col min="9" max="9" width="5.140625" style="88" bestFit="1" customWidth="1"/>
    <col min="10" max="16384" width="9.140625" style="88"/>
  </cols>
  <sheetData>
    <row r="1" spans="1:11" x14ac:dyDescent="0.2">
      <c r="A1" s="86" t="str">
        <f>UPPER((Kalend!E33)&amp;" - "&amp;(Kalend!C33)&amp;" - "&amp;(Kalend!D33))</f>
        <v>R-2 - REGIOONIDE KARIKA 2. ETAPP - TRIO</v>
      </c>
      <c r="C1" s="169" t="s">
        <v>89</v>
      </c>
      <c r="F1" s="51" t="str">
        <f>HYPERLINK("#'Kalend'!I1","Kalender")</f>
        <v>Kalender</v>
      </c>
      <c r="I1" s="51" t="str">
        <f>HYPERLINK("http://www.petanque.ee/juhendid/regioonide-karikas-2017-2018/","Juhend")</f>
        <v>Juhend</v>
      </c>
    </row>
    <row r="2" spans="1:11" s="89" customFormat="1" x14ac:dyDescent="0.2">
      <c r="A2" s="89" t="str">
        <f>"Toimumisaeg: "&amp;(Kalend!A33)&amp;" kell "&amp;(Kalend!B33)</f>
        <v>Toimumisaeg: P, 25.02.2018 kell 11:00</v>
      </c>
      <c r="F2" s="88"/>
      <c r="G2" s="88"/>
      <c r="H2" s="88"/>
    </row>
    <row r="3" spans="1:11" s="89" customFormat="1" x14ac:dyDescent="0.2">
      <c r="A3" s="89" t="str">
        <f>"Toimumiskoht: "&amp;(Kalend!F33)</f>
        <v>Toimumiskoht: K-Järve petangihall</v>
      </c>
    </row>
    <row r="4" spans="1:11" s="89" customFormat="1" x14ac:dyDescent="0.2">
      <c r="A4" s="89" t="str">
        <f>"Korraldaja: "&amp;(Kalend!G33)</f>
        <v>Korraldaja: K-Järve SHK, Ivar Viljaste</v>
      </c>
    </row>
    <row r="5" spans="1:11" hidden="1" x14ac:dyDescent="0.2"/>
    <row r="6" spans="1:11" hidden="1" x14ac:dyDescent="0.2">
      <c r="A6" s="165" t="s">
        <v>112</v>
      </c>
    </row>
    <row r="8" spans="1:11" s="92" customFormat="1" x14ac:dyDescent="0.2">
      <c r="A8" s="126"/>
      <c r="B8" s="126"/>
      <c r="C8" s="91">
        <v>1</v>
      </c>
      <c r="D8" s="91">
        <v>2</v>
      </c>
      <c r="E8" s="91">
        <v>3</v>
      </c>
      <c r="F8" s="91"/>
      <c r="G8" s="136" t="s">
        <v>73</v>
      </c>
      <c r="H8" s="136" t="s">
        <v>46</v>
      </c>
    </row>
    <row r="9" spans="1:11" s="92" customFormat="1" x14ac:dyDescent="0.2">
      <c r="A9" s="1451">
        <v>1</v>
      </c>
      <c r="B9" s="1461"/>
      <c r="C9" s="1455"/>
      <c r="D9" s="171"/>
      <c r="E9" s="171"/>
      <c r="F9" s="93"/>
      <c r="G9" s="1462"/>
      <c r="H9" s="1463"/>
      <c r="K9" s="94"/>
    </row>
    <row r="10" spans="1:11" s="92" customFormat="1" x14ac:dyDescent="0.2">
      <c r="A10" s="1452"/>
      <c r="B10" s="1454"/>
      <c r="C10" s="1456"/>
      <c r="D10" s="128"/>
      <c r="E10" s="128"/>
      <c r="F10" s="93"/>
      <c r="G10" s="1458"/>
      <c r="H10" s="1460"/>
      <c r="K10" s="94"/>
    </row>
    <row r="11" spans="1:11" s="92" customFormat="1" x14ac:dyDescent="0.2">
      <c r="A11" s="1451">
        <v>2</v>
      </c>
      <c r="B11" s="1453"/>
      <c r="C11" s="171"/>
      <c r="D11" s="1455"/>
      <c r="E11" s="171"/>
      <c r="F11" s="93"/>
      <c r="G11" s="1457"/>
      <c r="H11" s="1459"/>
      <c r="K11" s="94"/>
    </row>
    <row r="12" spans="1:11" s="92" customFormat="1" x14ac:dyDescent="0.2">
      <c r="A12" s="1452"/>
      <c r="B12" s="1454"/>
      <c r="C12" s="128"/>
      <c r="D12" s="1456"/>
      <c r="E12" s="128"/>
      <c r="F12" s="93"/>
      <c r="G12" s="1458"/>
      <c r="H12" s="1460"/>
      <c r="K12" s="94"/>
    </row>
    <row r="13" spans="1:11" s="92" customFormat="1" x14ac:dyDescent="0.2">
      <c r="A13" s="1451">
        <v>3</v>
      </c>
      <c r="B13" s="1453"/>
      <c r="C13" s="171"/>
      <c r="D13" s="171"/>
      <c r="E13" s="1455"/>
      <c r="F13" s="93"/>
      <c r="G13" s="1457"/>
      <c r="H13" s="1459"/>
      <c r="K13" s="94"/>
    </row>
    <row r="14" spans="1:11" s="92" customFormat="1" x14ac:dyDescent="0.2">
      <c r="A14" s="1452"/>
      <c r="B14" s="1454"/>
      <c r="C14" s="128"/>
      <c r="D14" s="128"/>
      <c r="E14" s="1456"/>
      <c r="F14" s="93"/>
      <c r="G14" s="1458"/>
      <c r="H14" s="1460"/>
      <c r="K14" s="94"/>
    </row>
    <row r="15" spans="1:11" s="92" customFormat="1" hidden="1" x14ac:dyDescent="0.2">
      <c r="A15" s="1451">
        <v>4</v>
      </c>
      <c r="B15" s="1453"/>
      <c r="C15" s="171"/>
      <c r="D15" s="171"/>
      <c r="E15" s="171"/>
      <c r="F15" s="1455"/>
      <c r="G15" s="1457"/>
      <c r="H15" s="1459"/>
      <c r="K15" s="94"/>
    </row>
    <row r="16" spans="1:11" s="92" customFormat="1" hidden="1" x14ac:dyDescent="0.2">
      <c r="A16" s="1452"/>
      <c r="B16" s="1454"/>
      <c r="C16" s="128"/>
      <c r="D16" s="128"/>
      <c r="E16" s="128"/>
      <c r="F16" s="1456"/>
      <c r="G16" s="1458"/>
      <c r="H16" s="1460"/>
      <c r="K16" s="94"/>
    </row>
    <row r="17" spans="1:11" s="92" customFormat="1" x14ac:dyDescent="0.2">
      <c r="A17" s="121"/>
      <c r="B17" s="99"/>
      <c r="C17" s="96"/>
      <c r="D17" s="96"/>
      <c r="E17" s="96"/>
      <c r="F17" s="96"/>
      <c r="G17" s="97"/>
      <c r="K17" s="94"/>
    </row>
    <row r="18" spans="1:11" s="92" customFormat="1" x14ac:dyDescent="0.2">
      <c r="A18" s="141"/>
      <c r="B18" s="168" t="s">
        <v>98</v>
      </c>
      <c r="C18" s="143" t="s">
        <v>99</v>
      </c>
      <c r="D18" s="143" t="s">
        <v>100</v>
      </c>
      <c r="E18" s="96"/>
      <c r="F18" s="96"/>
      <c r="G18" s="97"/>
      <c r="K18" s="94"/>
    </row>
    <row r="19" spans="1:11" s="92" customFormat="1" x14ac:dyDescent="0.2">
      <c r="A19" s="141"/>
      <c r="B19" s="168" t="s">
        <v>101</v>
      </c>
      <c r="C19" s="143" t="s">
        <v>102</v>
      </c>
      <c r="D19" s="143" t="s">
        <v>103</v>
      </c>
      <c r="E19" s="96"/>
      <c r="F19" s="96"/>
      <c r="G19" s="97"/>
      <c r="K19" s="94"/>
    </row>
    <row r="20" spans="1:11" s="92" customFormat="1" x14ac:dyDescent="0.2">
      <c r="A20" s="141"/>
      <c r="B20" s="168" t="s">
        <v>104</v>
      </c>
      <c r="C20" s="143" t="s">
        <v>92</v>
      </c>
      <c r="D20" s="143" t="s">
        <v>105</v>
      </c>
      <c r="E20" s="96"/>
      <c r="F20" s="96"/>
      <c r="G20" s="97"/>
      <c r="K20" s="94"/>
    </row>
    <row r="21" spans="1:11" s="101" customFormat="1" x14ac:dyDescent="0.2">
      <c r="F21" s="92"/>
      <c r="G21" s="92"/>
      <c r="H21" s="92"/>
      <c r="I21" s="92"/>
    </row>
    <row r="22" spans="1:11" s="92" customFormat="1" x14ac:dyDescent="0.2">
      <c r="A22" s="90">
        <v>1</v>
      </c>
      <c r="B22" s="187" t="s">
        <v>265</v>
      </c>
    </row>
    <row r="23" spans="1:11" s="92" customFormat="1" x14ac:dyDescent="0.2">
      <c r="A23" s="90">
        <v>2</v>
      </c>
      <c r="B23" s="104" t="s">
        <v>267</v>
      </c>
    </row>
    <row r="24" spans="1:11" s="92" customFormat="1" x14ac:dyDescent="0.2">
      <c r="A24" s="90">
        <v>3</v>
      </c>
      <c r="B24" s="164" t="s">
        <v>495</v>
      </c>
    </row>
    <row r="25" spans="1:11" s="92" customFormat="1" hidden="1" x14ac:dyDescent="0.2">
      <c r="A25" s="90">
        <v>4</v>
      </c>
      <c r="B25" s="104"/>
    </row>
    <row r="26" spans="1:11" s="101" customFormat="1" x14ac:dyDescent="0.2">
      <c r="F26" s="92"/>
      <c r="G26" s="92"/>
      <c r="H26" s="92"/>
      <c r="I26" s="92"/>
    </row>
    <row r="27" spans="1:11" hidden="1" x14ac:dyDescent="0.2">
      <c r="A27" s="165" t="s">
        <v>97</v>
      </c>
    </row>
    <row r="28" spans="1:11" hidden="1" x14ac:dyDescent="0.2"/>
    <row r="29" spans="1:11" s="92" customFormat="1" hidden="1" x14ac:dyDescent="0.2">
      <c r="A29" s="126" t="s">
        <v>66</v>
      </c>
      <c r="B29" s="126"/>
      <c r="C29" s="91">
        <v>1</v>
      </c>
      <c r="D29" s="91">
        <v>2</v>
      </c>
      <c r="E29" s="91">
        <v>3</v>
      </c>
      <c r="F29" s="91">
        <v>4</v>
      </c>
      <c r="G29" s="91">
        <v>5</v>
      </c>
      <c r="H29" s="136" t="s">
        <v>73</v>
      </c>
      <c r="I29" s="136" t="s">
        <v>46</v>
      </c>
    </row>
    <row r="30" spans="1:11" s="92" customFormat="1" hidden="1" x14ac:dyDescent="0.2">
      <c r="A30" s="126">
        <v>1</v>
      </c>
      <c r="B30" s="105"/>
      <c r="C30" s="127"/>
      <c r="D30" s="128"/>
      <c r="E30" s="128"/>
      <c r="F30" s="128"/>
      <c r="G30" s="128"/>
      <c r="H30" s="138"/>
      <c r="I30" s="137"/>
      <c r="K30" s="94"/>
    </row>
    <row r="31" spans="1:11" s="92" customFormat="1" hidden="1" x14ac:dyDescent="0.2">
      <c r="A31" s="126">
        <v>2</v>
      </c>
      <c r="B31" s="105"/>
      <c r="C31" s="128"/>
      <c r="D31" s="127"/>
      <c r="E31" s="128"/>
      <c r="F31" s="128"/>
      <c r="G31" s="128"/>
      <c r="H31" s="138"/>
      <c r="I31" s="137"/>
      <c r="K31" s="94"/>
    </row>
    <row r="32" spans="1:11" s="92" customFormat="1" hidden="1" x14ac:dyDescent="0.2">
      <c r="A32" s="126">
        <v>3</v>
      </c>
      <c r="B32" s="105"/>
      <c r="C32" s="128"/>
      <c r="D32" s="128"/>
      <c r="E32" s="127"/>
      <c r="F32" s="128"/>
      <c r="G32" s="128"/>
      <c r="H32" s="138"/>
      <c r="I32" s="137"/>
      <c r="K32" s="94"/>
    </row>
    <row r="33" spans="1:11" s="92" customFormat="1" hidden="1" x14ac:dyDescent="0.2">
      <c r="A33" s="126">
        <v>4</v>
      </c>
      <c r="B33" s="105"/>
      <c r="C33" s="128"/>
      <c r="D33" s="128"/>
      <c r="E33" s="128"/>
      <c r="F33" s="127"/>
      <c r="G33" s="128"/>
      <c r="H33" s="138"/>
      <c r="I33" s="137"/>
      <c r="K33" s="94"/>
    </row>
    <row r="34" spans="1:11" s="92" customFormat="1" hidden="1" x14ac:dyDescent="0.2">
      <c r="A34" s="126">
        <v>5</v>
      </c>
      <c r="B34" s="105"/>
      <c r="C34" s="128"/>
      <c r="D34" s="128"/>
      <c r="E34" s="128"/>
      <c r="F34" s="128"/>
      <c r="G34" s="127"/>
      <c r="H34" s="138"/>
      <c r="I34" s="137"/>
      <c r="K34" s="94"/>
    </row>
    <row r="35" spans="1:11" s="92" customFormat="1" hidden="1" x14ac:dyDescent="0.2">
      <c r="A35" s="121"/>
      <c r="B35" s="99"/>
      <c r="C35" s="96"/>
      <c r="D35" s="96"/>
      <c r="E35" s="96"/>
      <c r="F35" s="96"/>
      <c r="G35" s="97"/>
      <c r="K35" s="94"/>
    </row>
    <row r="36" spans="1:11" s="92" customFormat="1" hidden="1" x14ac:dyDescent="0.2">
      <c r="A36" s="141"/>
      <c r="B36" s="168" t="s">
        <v>98</v>
      </c>
      <c r="C36" s="143" t="s">
        <v>106</v>
      </c>
      <c r="D36" s="143" t="s">
        <v>103</v>
      </c>
      <c r="E36" s="96"/>
      <c r="F36" s="96"/>
      <c r="G36" s="97"/>
      <c r="K36" s="94"/>
    </row>
    <row r="37" spans="1:11" s="92" customFormat="1" hidden="1" x14ac:dyDescent="0.2">
      <c r="A37" s="141"/>
      <c r="B37" s="168" t="s">
        <v>101</v>
      </c>
      <c r="C37" s="143" t="s">
        <v>102</v>
      </c>
      <c r="D37" s="143" t="s">
        <v>107</v>
      </c>
      <c r="E37" s="96"/>
      <c r="F37" s="96"/>
      <c r="G37" s="97"/>
      <c r="K37" s="94"/>
    </row>
    <row r="38" spans="1:11" s="92" customFormat="1" hidden="1" x14ac:dyDescent="0.2">
      <c r="A38" s="141"/>
      <c r="B38" s="168" t="s">
        <v>104</v>
      </c>
      <c r="C38" s="143" t="s">
        <v>108</v>
      </c>
      <c r="D38" s="143" t="s">
        <v>105</v>
      </c>
      <c r="E38" s="96"/>
      <c r="F38" s="96"/>
      <c r="G38" s="97"/>
      <c r="K38" s="94"/>
    </row>
    <row r="39" spans="1:11" s="92" customFormat="1" hidden="1" x14ac:dyDescent="0.2">
      <c r="A39" s="141"/>
      <c r="B39" s="168" t="s">
        <v>109</v>
      </c>
      <c r="C39" s="143" t="s">
        <v>91</v>
      </c>
      <c r="D39" s="143" t="s">
        <v>110</v>
      </c>
      <c r="E39" s="96"/>
      <c r="F39" s="96"/>
      <c r="G39" s="97"/>
      <c r="K39" s="94"/>
    </row>
    <row r="40" spans="1:11" s="92" customFormat="1" hidden="1" x14ac:dyDescent="0.2">
      <c r="A40" s="141"/>
      <c r="B40" s="168" t="s">
        <v>111</v>
      </c>
      <c r="C40" s="143" t="s">
        <v>100</v>
      </c>
      <c r="D40" s="143" t="s">
        <v>99</v>
      </c>
      <c r="E40" s="96"/>
      <c r="F40" s="96"/>
      <c r="G40" s="97"/>
      <c r="K40" s="94"/>
    </row>
    <row r="41" spans="1:11" s="188" customFormat="1" hidden="1" x14ac:dyDescent="0.2">
      <c r="D41" s="88"/>
      <c r="E41" s="88"/>
    </row>
    <row r="42" spans="1:11" s="188" customFormat="1" hidden="1" x14ac:dyDescent="0.2">
      <c r="A42" s="95" t="s">
        <v>84</v>
      </c>
      <c r="B42" s="88"/>
      <c r="C42" s="120"/>
      <c r="D42" s="88"/>
      <c r="E42" s="88"/>
    </row>
    <row r="43" spans="1:11" s="188" customFormat="1" ht="13.5" hidden="1" thickBot="1" x14ac:dyDescent="0.25">
      <c r="A43" s="95"/>
      <c r="B43" s="111"/>
      <c r="C43" s="226"/>
      <c r="D43" s="119"/>
      <c r="E43" s="119"/>
    </row>
    <row r="44" spans="1:11" s="188" customFormat="1" hidden="1" x14ac:dyDescent="0.2">
      <c r="A44" s="95"/>
      <c r="B44" s="118"/>
      <c r="C44" s="222"/>
      <c r="D44" s="115" t="s">
        <v>47</v>
      </c>
      <c r="E44" s="116"/>
    </row>
    <row r="45" spans="1:11" s="188" customFormat="1" hidden="1" x14ac:dyDescent="0.2">
      <c r="A45" s="227"/>
      <c r="D45" s="88"/>
      <c r="E45" s="88"/>
    </row>
    <row r="46" spans="1:11" s="188" customFormat="1" ht="13.5" hidden="1" thickBot="1" x14ac:dyDescent="0.25">
      <c r="A46" s="95"/>
      <c r="B46" s="88"/>
      <c r="C46" s="99"/>
      <c r="D46" s="217"/>
      <c r="E46" s="119"/>
    </row>
    <row r="47" spans="1:11" s="188" customFormat="1" hidden="1" x14ac:dyDescent="0.2">
      <c r="A47" s="95"/>
      <c r="B47" s="88"/>
      <c r="C47" s="99"/>
      <c r="D47" s="115" t="s">
        <v>48</v>
      </c>
      <c r="E47" s="99"/>
    </row>
    <row r="48" spans="1:11" s="188" customFormat="1" hidden="1" x14ac:dyDescent="0.2">
      <c r="A48" s="95"/>
      <c r="B48" s="88"/>
      <c r="C48" s="113"/>
      <c r="D48" s="99"/>
      <c r="E48" s="99"/>
    </row>
    <row r="49" spans="1:9" s="188" customFormat="1" ht="13.5" hidden="1" thickBot="1" x14ac:dyDescent="0.25">
      <c r="A49" s="95"/>
      <c r="B49" s="111"/>
      <c r="C49" s="119"/>
      <c r="D49" s="184"/>
      <c r="E49" s="119"/>
    </row>
    <row r="50" spans="1:9" s="188" customFormat="1" hidden="1" x14ac:dyDescent="0.2">
      <c r="A50" s="95"/>
      <c r="B50" s="118"/>
      <c r="C50" s="120"/>
      <c r="D50" s="121" t="s">
        <v>49</v>
      </c>
      <c r="E50" s="99"/>
    </row>
    <row r="51" spans="1:9" s="188" customFormat="1" hidden="1" x14ac:dyDescent="0.2">
      <c r="A51" s="95"/>
      <c r="B51" s="88"/>
      <c r="C51" s="88"/>
      <c r="D51" s="99"/>
      <c r="E51" s="99"/>
    </row>
    <row r="52" spans="1:9" s="188" customFormat="1" ht="13.5" hidden="1" thickBot="1" x14ac:dyDescent="0.25">
      <c r="A52" s="95"/>
      <c r="B52" s="99"/>
      <c r="C52" s="88"/>
      <c r="D52" s="119"/>
      <c r="E52" s="119"/>
    </row>
    <row r="53" spans="1:9" s="188" customFormat="1" hidden="1" x14ac:dyDescent="0.2">
      <c r="A53" s="95"/>
      <c r="B53" s="99"/>
      <c r="C53" s="88"/>
      <c r="D53" s="87" t="s">
        <v>50</v>
      </c>
      <c r="E53" s="88"/>
    </row>
    <row r="54" spans="1:9" s="188" customFormat="1" hidden="1" x14ac:dyDescent="0.2">
      <c r="A54" s="95"/>
      <c r="B54" s="94"/>
    </row>
    <row r="55" spans="1:9" s="188" customFormat="1" ht="13.5" hidden="1" thickBot="1" x14ac:dyDescent="0.25">
      <c r="A55" s="95"/>
      <c r="B55" s="228" t="s">
        <v>124</v>
      </c>
      <c r="D55" s="119"/>
      <c r="E55" s="119"/>
    </row>
    <row r="56" spans="1:9" s="188" customFormat="1" hidden="1" x14ac:dyDescent="0.2">
      <c r="A56" s="95"/>
      <c r="B56" s="94"/>
      <c r="D56" s="87" t="s">
        <v>51</v>
      </c>
      <c r="E56" s="88"/>
    </row>
    <row r="57" spans="1:9" s="101" customFormat="1" hidden="1" x14ac:dyDescent="0.2">
      <c r="F57" s="92"/>
      <c r="G57" s="92"/>
      <c r="H57" s="92"/>
      <c r="I57" s="92"/>
    </row>
    <row r="58" spans="1:9" s="92" customFormat="1" hidden="1" x14ac:dyDescent="0.2">
      <c r="A58" s="90">
        <v>1</v>
      </c>
      <c r="B58" s="90"/>
    </row>
    <row r="59" spans="1:9" s="92" customFormat="1" hidden="1" x14ac:dyDescent="0.2">
      <c r="A59" s="90">
        <v>2</v>
      </c>
      <c r="B59" s="104"/>
    </row>
    <row r="60" spans="1:9" s="92" customFormat="1" hidden="1" x14ac:dyDescent="0.2">
      <c r="A60" s="90">
        <v>3</v>
      </c>
      <c r="B60" s="104"/>
    </row>
    <row r="61" spans="1:9" s="92" customFormat="1" hidden="1" x14ac:dyDescent="0.2">
      <c r="A61" s="90">
        <v>4</v>
      </c>
      <c r="B61" s="104"/>
    </row>
    <row r="62" spans="1:9" s="92" customFormat="1" hidden="1" x14ac:dyDescent="0.2">
      <c r="A62" s="90">
        <v>5</v>
      </c>
      <c r="B62" s="104"/>
    </row>
    <row r="63" spans="1:9" hidden="1" x14ac:dyDescent="0.2"/>
    <row r="64" spans="1:9" hidden="1" x14ac:dyDescent="0.2">
      <c r="A64" s="165" t="s">
        <v>96</v>
      </c>
    </row>
    <row r="65" spans="1:8" hidden="1" x14ac:dyDescent="0.2"/>
    <row r="66" spans="1:8" hidden="1" x14ac:dyDescent="0.2">
      <c r="A66" s="126" t="s">
        <v>66</v>
      </c>
      <c r="B66" s="126"/>
      <c r="C66" s="91">
        <v>1</v>
      </c>
      <c r="D66" s="91">
        <v>2</v>
      </c>
      <c r="E66" s="91">
        <v>3</v>
      </c>
      <c r="F66" s="91">
        <v>4</v>
      </c>
      <c r="G66" s="190" t="s">
        <v>73</v>
      </c>
      <c r="H66" s="190" t="s">
        <v>46</v>
      </c>
    </row>
    <row r="67" spans="1:8" hidden="1" x14ac:dyDescent="0.2">
      <c r="A67" s="126">
        <v>1</v>
      </c>
      <c r="B67" s="105"/>
      <c r="C67" s="127"/>
      <c r="D67" s="128"/>
      <c r="E67" s="128"/>
      <c r="F67" s="128"/>
      <c r="G67" s="138"/>
      <c r="H67" s="137"/>
    </row>
    <row r="68" spans="1:8" hidden="1" x14ac:dyDescent="0.2">
      <c r="A68" s="126">
        <v>2</v>
      </c>
      <c r="B68" s="105"/>
      <c r="C68" s="128"/>
      <c r="D68" s="127"/>
      <c r="E68" s="128"/>
      <c r="F68" s="128"/>
      <c r="G68" s="138"/>
      <c r="H68" s="137"/>
    </row>
    <row r="69" spans="1:8" hidden="1" x14ac:dyDescent="0.2">
      <c r="A69" s="126">
        <v>3</v>
      </c>
      <c r="B69" s="105"/>
      <c r="C69" s="128"/>
      <c r="D69" s="128"/>
      <c r="E69" s="127"/>
      <c r="F69" s="128"/>
      <c r="G69" s="138"/>
      <c r="H69" s="137"/>
    </row>
    <row r="70" spans="1:8" hidden="1" x14ac:dyDescent="0.2">
      <c r="A70" s="126">
        <v>4</v>
      </c>
      <c r="B70" s="105"/>
      <c r="C70" s="128"/>
      <c r="D70" s="128"/>
      <c r="E70" s="128"/>
      <c r="F70" s="127"/>
      <c r="G70" s="137"/>
      <c r="H70" s="105"/>
    </row>
    <row r="71" spans="1:8" hidden="1" x14ac:dyDescent="0.2"/>
    <row r="72" spans="1:8" hidden="1" x14ac:dyDescent="0.2">
      <c r="A72" s="126" t="s">
        <v>90</v>
      </c>
      <c r="B72" s="126"/>
      <c r="C72" s="91"/>
      <c r="D72" s="91"/>
      <c r="E72" s="91"/>
      <c r="F72" s="91"/>
      <c r="G72" s="190"/>
      <c r="H72" s="190"/>
    </row>
    <row r="73" spans="1:8" hidden="1" x14ac:dyDescent="0.2">
      <c r="A73" s="126">
        <v>1</v>
      </c>
      <c r="B73" s="105"/>
      <c r="C73" s="127"/>
      <c r="D73" s="128"/>
      <c r="E73" s="128"/>
      <c r="F73" s="128"/>
      <c r="G73" s="138"/>
      <c r="H73" s="137"/>
    </row>
    <row r="74" spans="1:8" hidden="1" x14ac:dyDescent="0.2">
      <c r="A74" s="126">
        <v>2</v>
      </c>
      <c r="B74" s="105"/>
      <c r="C74" s="128"/>
      <c r="D74" s="127"/>
      <c r="E74" s="128"/>
      <c r="F74" s="128"/>
      <c r="G74" s="138"/>
      <c r="H74" s="137"/>
    </row>
    <row r="75" spans="1:8" hidden="1" x14ac:dyDescent="0.2">
      <c r="A75" s="126">
        <v>3</v>
      </c>
      <c r="B75" s="105"/>
      <c r="C75" s="128"/>
      <c r="D75" s="128"/>
      <c r="E75" s="127"/>
      <c r="F75" s="128"/>
      <c r="G75" s="138"/>
      <c r="H75" s="137"/>
    </row>
    <row r="76" spans="1:8" hidden="1" x14ac:dyDescent="0.2">
      <c r="A76" s="126">
        <v>4</v>
      </c>
      <c r="B76" s="105"/>
      <c r="C76" s="128"/>
      <c r="D76" s="128"/>
      <c r="E76" s="128"/>
      <c r="F76" s="127"/>
      <c r="G76" s="138"/>
      <c r="H76" s="137"/>
    </row>
    <row r="77" spans="1:8" hidden="1" x14ac:dyDescent="0.2">
      <c r="A77" s="121"/>
      <c r="B77" s="99"/>
      <c r="C77" s="96"/>
      <c r="D77" s="96"/>
      <c r="E77" s="96"/>
      <c r="F77" s="143"/>
      <c r="G77" s="143"/>
      <c r="H77" s="142"/>
    </row>
    <row r="78" spans="1:8" hidden="1" x14ac:dyDescent="0.2">
      <c r="A78" s="139"/>
      <c r="B78" s="168" t="s">
        <v>98</v>
      </c>
      <c r="C78" s="143" t="s">
        <v>99</v>
      </c>
      <c r="D78" s="143" t="s">
        <v>100</v>
      </c>
      <c r="E78" s="96"/>
      <c r="F78" s="143"/>
      <c r="G78" s="143"/>
      <c r="H78" s="142"/>
    </row>
    <row r="79" spans="1:8" hidden="1" x14ac:dyDescent="0.2">
      <c r="A79" s="139"/>
      <c r="B79" s="168" t="s">
        <v>101</v>
      </c>
      <c r="C79" s="143" t="s">
        <v>102</v>
      </c>
      <c r="D79" s="143" t="s">
        <v>103</v>
      </c>
      <c r="E79" s="96"/>
      <c r="F79" s="143"/>
      <c r="G79" s="143"/>
      <c r="H79" s="142"/>
    </row>
    <row r="80" spans="1:8" hidden="1" x14ac:dyDescent="0.2">
      <c r="A80" s="139"/>
      <c r="B80" s="168" t="s">
        <v>104</v>
      </c>
      <c r="C80" s="143" t="s">
        <v>92</v>
      </c>
      <c r="D80" s="143" t="s">
        <v>105</v>
      </c>
      <c r="E80" s="96"/>
      <c r="F80" s="143"/>
      <c r="G80" s="143"/>
      <c r="H80" s="142"/>
    </row>
    <row r="81" spans="1:11" hidden="1" x14ac:dyDescent="0.2"/>
    <row r="82" spans="1:11" hidden="1" x14ac:dyDescent="0.2">
      <c r="A82" s="144" t="s">
        <v>127</v>
      </c>
      <c r="B82" s="145"/>
      <c r="C82" s="145"/>
      <c r="D82" s="145"/>
      <c r="E82" s="145"/>
      <c r="F82" s="145"/>
      <c r="G82" s="145"/>
      <c r="H82" s="145"/>
      <c r="I82" s="145"/>
      <c r="J82" s="145"/>
      <c r="K82" s="145"/>
    </row>
    <row r="83" spans="1:11" hidden="1" x14ac:dyDescent="0.2">
      <c r="A83" s="144"/>
      <c r="B83" s="145"/>
      <c r="C83" s="145"/>
      <c r="D83" s="145"/>
      <c r="E83" s="145"/>
      <c r="F83" s="145"/>
      <c r="G83" s="145"/>
      <c r="H83" s="145"/>
      <c r="I83" s="145"/>
      <c r="J83" s="145"/>
      <c r="K83" s="145"/>
    </row>
    <row r="84" spans="1:11" hidden="1" x14ac:dyDescent="0.2">
      <c r="A84" s="166"/>
      <c r="B84" s="145"/>
      <c r="C84" s="147"/>
      <c r="D84" s="145"/>
      <c r="E84" s="145"/>
      <c r="F84" s="145"/>
      <c r="G84" s="145"/>
      <c r="H84" s="145"/>
      <c r="I84" s="145"/>
      <c r="J84" s="145"/>
      <c r="K84" s="145"/>
    </row>
    <row r="85" spans="1:11" hidden="1" x14ac:dyDescent="0.2">
      <c r="A85" s="167"/>
      <c r="B85" s="148"/>
      <c r="C85" s="149"/>
      <c r="D85" s="150"/>
      <c r="E85" s="145"/>
      <c r="F85" s="147"/>
      <c r="G85" s="145"/>
      <c r="H85" s="145"/>
      <c r="I85" s="145"/>
      <c r="J85" s="145"/>
      <c r="K85" s="145"/>
    </row>
    <row r="86" spans="1:11" hidden="1" x14ac:dyDescent="0.2">
      <c r="A86" s="166"/>
      <c r="B86" s="102"/>
      <c r="C86" s="160"/>
      <c r="D86" s="145"/>
      <c r="E86" s="151"/>
      <c r="F86" s="145"/>
      <c r="G86" s="145"/>
      <c r="H86" s="145"/>
      <c r="I86" s="145"/>
      <c r="J86" s="145"/>
      <c r="K86" s="145"/>
    </row>
    <row r="87" spans="1:11" hidden="1" x14ac:dyDescent="0.2">
      <c r="A87" s="167"/>
      <c r="B87" s="145"/>
      <c r="C87" s="145"/>
      <c r="D87" s="152"/>
      <c r="E87" s="153"/>
      <c r="F87" s="145"/>
      <c r="G87" s="145"/>
      <c r="H87" s="145"/>
      <c r="I87" s="147"/>
      <c r="J87" s="145"/>
      <c r="K87" s="145"/>
    </row>
    <row r="88" spans="1:11" hidden="1" x14ac:dyDescent="0.2">
      <c r="A88" s="166"/>
      <c r="B88" s="103"/>
      <c r="C88" s="154"/>
      <c r="D88" s="145"/>
      <c r="E88" s="153"/>
      <c r="F88" s="148"/>
      <c r="G88" s="148"/>
      <c r="H88" s="151"/>
      <c r="I88" s="145"/>
      <c r="J88" s="145"/>
      <c r="K88" s="145"/>
    </row>
    <row r="89" spans="1:11" hidden="1" x14ac:dyDescent="0.2">
      <c r="A89" s="167"/>
      <c r="B89" s="148"/>
      <c r="C89" s="155"/>
      <c r="D89" s="145"/>
      <c r="E89" s="156"/>
      <c r="F89" s="154"/>
      <c r="G89" s="152"/>
      <c r="H89" s="153"/>
      <c r="I89" s="145"/>
      <c r="J89" s="145"/>
      <c r="K89" s="145"/>
    </row>
    <row r="90" spans="1:11" hidden="1" x14ac:dyDescent="0.2">
      <c r="A90" s="166"/>
      <c r="B90" s="102"/>
      <c r="C90" s="162"/>
      <c r="D90" s="148"/>
      <c r="E90" s="145"/>
      <c r="F90" s="152"/>
      <c r="G90" s="152"/>
      <c r="H90" s="153"/>
      <c r="I90" s="145"/>
      <c r="J90" s="145"/>
      <c r="K90" s="145"/>
    </row>
    <row r="91" spans="1:11" ht="13.5" hidden="1" thickBot="1" x14ac:dyDescent="0.25">
      <c r="A91" s="167"/>
      <c r="B91" s="145"/>
      <c r="C91" s="145"/>
      <c r="D91" s="145"/>
      <c r="E91" s="145"/>
      <c r="F91" s="152"/>
      <c r="G91" s="152"/>
      <c r="H91" s="153"/>
      <c r="I91" s="145"/>
      <c r="J91" s="145"/>
      <c r="K91" s="145"/>
    </row>
    <row r="92" spans="1:11" hidden="1" x14ac:dyDescent="0.2">
      <c r="A92" s="166"/>
      <c r="B92" s="145"/>
      <c r="C92" s="154"/>
      <c r="D92" s="145"/>
      <c r="E92" s="152"/>
      <c r="F92" s="152"/>
      <c r="G92" s="152"/>
      <c r="H92" s="153"/>
      <c r="I92" s="157"/>
      <c r="J92" s="158" t="s">
        <v>47</v>
      </c>
      <c r="K92" s="159"/>
    </row>
    <row r="93" spans="1:11" hidden="1" x14ac:dyDescent="0.2">
      <c r="A93" s="167"/>
      <c r="B93" s="148"/>
      <c r="C93" s="155"/>
      <c r="D93" s="145"/>
      <c r="E93" s="150"/>
      <c r="F93" s="154"/>
      <c r="G93" s="152"/>
      <c r="H93" s="153"/>
      <c r="I93" s="145"/>
      <c r="J93" s="145"/>
      <c r="K93" s="145"/>
    </row>
    <row r="94" spans="1:11" ht="13.5" hidden="1" thickBot="1" x14ac:dyDescent="0.25">
      <c r="A94" s="166"/>
      <c r="B94" s="150"/>
      <c r="C94" s="162"/>
      <c r="D94" s="148"/>
      <c r="E94" s="238"/>
      <c r="F94" s="152"/>
      <c r="G94" s="152"/>
      <c r="H94" s="153"/>
      <c r="I94" s="145"/>
      <c r="J94" s="161"/>
      <c r="K94" s="161"/>
    </row>
    <row r="95" spans="1:11" hidden="1" x14ac:dyDescent="0.2">
      <c r="A95" s="145"/>
      <c r="B95" s="145"/>
      <c r="C95" s="145"/>
      <c r="D95" s="145"/>
      <c r="E95" s="153"/>
      <c r="F95" s="150"/>
      <c r="G95" s="150"/>
      <c r="H95" s="156"/>
      <c r="I95" s="147"/>
      <c r="J95" s="158" t="s">
        <v>48</v>
      </c>
      <c r="K95" s="145"/>
    </row>
    <row r="96" spans="1:11" hidden="1" x14ac:dyDescent="0.2">
      <c r="A96" s="166"/>
      <c r="B96" s="145"/>
      <c r="C96" s="147"/>
      <c r="D96" s="145"/>
      <c r="E96" s="153"/>
      <c r="F96" s="145"/>
      <c r="G96" s="145"/>
      <c r="H96" s="145"/>
      <c r="I96" s="145"/>
      <c r="J96" s="145"/>
      <c r="K96" s="145"/>
    </row>
    <row r="97" spans="1:11" hidden="1" x14ac:dyDescent="0.2">
      <c r="A97" s="167"/>
      <c r="B97" s="148"/>
      <c r="C97" s="149"/>
      <c r="D97" s="150"/>
      <c r="E97" s="156"/>
      <c r="F97" s="147"/>
      <c r="G97" s="145"/>
      <c r="H97" s="145"/>
      <c r="I97" s="145"/>
      <c r="J97" s="145"/>
      <c r="K97" s="145"/>
    </row>
    <row r="98" spans="1:11" hidden="1" x14ac:dyDescent="0.2">
      <c r="A98" s="166"/>
      <c r="B98" s="150"/>
      <c r="C98" s="160"/>
      <c r="D98" s="145"/>
      <c r="E98" s="237"/>
      <c r="F98" s="145"/>
      <c r="G98" s="145"/>
      <c r="H98" s="145"/>
      <c r="I98" s="145"/>
      <c r="J98" s="145"/>
      <c r="K98" s="145"/>
    </row>
    <row r="99" spans="1:11" hidden="1" x14ac:dyDescent="0.2">
      <c r="A99" s="167"/>
      <c r="B99" s="145"/>
      <c r="C99" s="145"/>
      <c r="D99" s="152"/>
      <c r="E99" s="152"/>
      <c r="F99" s="145"/>
      <c r="G99" s="145"/>
      <c r="H99" s="145"/>
      <c r="I99" s="154"/>
      <c r="J99" s="152"/>
      <c r="K99" s="152"/>
    </row>
    <row r="100" spans="1:11" ht="13.5" hidden="1" thickBot="1" x14ac:dyDescent="0.25">
      <c r="B100" s="88"/>
      <c r="F100" s="148"/>
      <c r="G100" s="148"/>
      <c r="H100" s="151"/>
      <c r="I100" s="161"/>
      <c r="J100" s="161"/>
      <c r="K100" s="161"/>
    </row>
    <row r="101" spans="1:11" hidden="1" x14ac:dyDescent="0.2">
      <c r="B101" s="88"/>
      <c r="F101" s="150"/>
      <c r="G101" s="150"/>
      <c r="H101" s="156"/>
      <c r="I101" s="147"/>
      <c r="J101" s="163" t="s">
        <v>49</v>
      </c>
      <c r="K101" s="152"/>
    </row>
    <row r="102" spans="1:11" hidden="1" x14ac:dyDescent="0.2">
      <c r="B102" s="88"/>
      <c r="F102" s="145"/>
      <c r="G102" s="145"/>
      <c r="H102" s="145"/>
      <c r="I102" s="145"/>
      <c r="J102" s="152"/>
      <c r="K102" s="152"/>
    </row>
    <row r="103" spans="1:11" ht="13.5" hidden="1" thickBot="1" x14ac:dyDescent="0.25">
      <c r="B103" s="88"/>
      <c r="F103" s="145"/>
      <c r="G103" s="152"/>
      <c r="H103" s="152"/>
      <c r="I103" s="145"/>
      <c r="J103" s="161"/>
      <c r="K103" s="161"/>
    </row>
    <row r="104" spans="1:11" hidden="1" x14ac:dyDescent="0.2">
      <c r="A104" s="145"/>
      <c r="B104" s="145"/>
      <c r="C104" s="145"/>
      <c r="D104" s="145"/>
      <c r="E104" s="145"/>
      <c r="F104" s="147"/>
      <c r="G104" s="145"/>
      <c r="H104" s="145"/>
      <c r="I104" s="145"/>
      <c r="J104" s="146" t="s">
        <v>50</v>
      </c>
      <c r="K104" s="145"/>
    </row>
    <row r="105" spans="1:11" hidden="1" x14ac:dyDescent="0.2">
      <c r="A105" s="145"/>
      <c r="B105" s="145"/>
      <c r="C105" s="148"/>
      <c r="D105" s="148"/>
      <c r="E105" s="151"/>
      <c r="F105" s="149"/>
      <c r="G105" s="150"/>
      <c r="H105" s="150"/>
      <c r="I105" s="147"/>
      <c r="J105" s="145"/>
      <c r="K105" s="145"/>
    </row>
    <row r="106" spans="1:11" hidden="1" x14ac:dyDescent="0.2">
      <c r="A106" s="145"/>
      <c r="B106" s="145"/>
      <c r="C106" s="150"/>
      <c r="D106" s="150"/>
      <c r="E106" s="156"/>
      <c r="F106" s="160"/>
      <c r="G106" s="145"/>
      <c r="H106" s="153"/>
      <c r="I106" s="145"/>
      <c r="J106" s="145"/>
      <c r="K106" s="145"/>
    </row>
    <row r="107" spans="1:11" ht="13.5" hidden="1" thickBot="1" x14ac:dyDescent="0.25">
      <c r="A107" s="145"/>
      <c r="B107" s="145"/>
      <c r="C107" s="145"/>
      <c r="D107" s="145"/>
      <c r="E107" s="145"/>
      <c r="F107" s="152"/>
      <c r="G107" s="145"/>
      <c r="H107" s="153"/>
      <c r="I107" s="145"/>
      <c r="J107" s="145"/>
      <c r="K107" s="145"/>
    </row>
    <row r="108" spans="1:11" hidden="1" x14ac:dyDescent="0.2">
      <c r="A108" s="145"/>
      <c r="B108" s="145"/>
      <c r="C108" s="145"/>
      <c r="D108" s="145"/>
      <c r="E108" s="145"/>
      <c r="F108" s="154"/>
      <c r="G108" s="145"/>
      <c r="H108" s="153"/>
      <c r="I108" s="157"/>
      <c r="J108" s="158" t="s">
        <v>126</v>
      </c>
      <c r="K108" s="159"/>
    </row>
    <row r="109" spans="1:11" hidden="1" x14ac:dyDescent="0.2">
      <c r="A109" s="145"/>
      <c r="B109" s="145"/>
      <c r="C109" s="148"/>
      <c r="D109" s="148"/>
      <c r="E109" s="151"/>
      <c r="F109" s="155"/>
      <c r="G109" s="145"/>
      <c r="H109" s="156"/>
      <c r="I109" s="154"/>
      <c r="J109" s="145"/>
      <c r="K109" s="145"/>
    </row>
    <row r="110" spans="1:11" ht="13.5" hidden="1" thickBot="1" x14ac:dyDescent="0.25">
      <c r="A110" s="145"/>
      <c r="B110" s="145"/>
      <c r="C110" s="150"/>
      <c r="D110" s="150"/>
      <c r="E110" s="156"/>
      <c r="F110" s="162"/>
      <c r="G110" s="148"/>
      <c r="H110" s="145"/>
      <c r="I110" s="152"/>
      <c r="J110" s="152"/>
      <c r="K110" s="161"/>
    </row>
    <row r="111" spans="1:11" hidden="1" x14ac:dyDescent="0.2">
      <c r="A111" s="145"/>
      <c r="B111" s="145"/>
      <c r="C111" s="145"/>
      <c r="D111" s="145"/>
      <c r="E111" s="145"/>
      <c r="F111" s="145"/>
      <c r="G111" s="145"/>
      <c r="H111" s="145"/>
      <c r="I111" s="152"/>
      <c r="J111" s="158" t="s">
        <v>126</v>
      </c>
      <c r="K111" s="152"/>
    </row>
    <row r="112" spans="1:11" hidden="1" x14ac:dyDescent="0.2">
      <c r="A112" s="145"/>
      <c r="B112" s="145"/>
      <c r="C112" s="145"/>
      <c r="D112" s="145"/>
      <c r="E112" s="107"/>
      <c r="F112" s="188"/>
      <c r="I112" s="120"/>
    </row>
    <row r="113" spans="1:11" ht="13.5" hidden="1" thickBot="1" x14ac:dyDescent="0.25">
      <c r="A113" s="145"/>
      <c r="B113" s="145"/>
      <c r="C113" s="145"/>
      <c r="D113" s="145"/>
      <c r="E113" s="166"/>
      <c r="F113" s="231"/>
      <c r="G113" s="231"/>
      <c r="H113" s="232"/>
      <c r="I113" s="226"/>
      <c r="J113" s="161"/>
      <c r="K113" s="161"/>
    </row>
    <row r="114" spans="1:11" hidden="1" x14ac:dyDescent="0.2">
      <c r="A114" s="187">
        <v>1</v>
      </c>
      <c r="B114" s="187"/>
      <c r="C114" s="145"/>
      <c r="D114" s="145"/>
      <c r="E114" s="166"/>
      <c r="F114" s="233"/>
      <c r="G114" s="233"/>
      <c r="H114" s="234"/>
      <c r="I114" s="236"/>
      <c r="J114" s="235" t="s">
        <v>53</v>
      </c>
      <c r="K114" s="152"/>
    </row>
    <row r="115" spans="1:11" hidden="1" x14ac:dyDescent="0.2">
      <c r="A115" s="187">
        <v>2</v>
      </c>
      <c r="B115" s="104"/>
      <c r="C115" s="145"/>
      <c r="D115" s="145"/>
    </row>
    <row r="116" spans="1:11" ht="13.5" hidden="1" thickBot="1" x14ac:dyDescent="0.25">
      <c r="A116" s="187">
        <v>3</v>
      </c>
      <c r="B116" s="104"/>
      <c r="J116" s="161"/>
      <c r="K116" s="161"/>
    </row>
    <row r="117" spans="1:11" hidden="1" x14ac:dyDescent="0.2">
      <c r="A117" s="187">
        <v>4</v>
      </c>
      <c r="B117" s="104"/>
      <c r="J117" s="146" t="s">
        <v>54</v>
      </c>
      <c r="K117" s="145"/>
    </row>
    <row r="118" spans="1:11" hidden="1" x14ac:dyDescent="0.2">
      <c r="A118" s="187">
        <v>5</v>
      </c>
      <c r="B118" s="187"/>
    </row>
    <row r="119" spans="1:11" hidden="1" x14ac:dyDescent="0.2">
      <c r="A119" s="187">
        <v>6</v>
      </c>
      <c r="B119" s="104"/>
    </row>
    <row r="120" spans="1:11" hidden="1" x14ac:dyDescent="0.2">
      <c r="A120" s="187">
        <v>7</v>
      </c>
      <c r="B120" s="104"/>
    </row>
    <row r="121" spans="1:11" hidden="1" x14ac:dyDescent="0.2">
      <c r="A121" s="187">
        <v>8</v>
      </c>
      <c r="B121" s="104"/>
    </row>
  </sheetData>
  <mergeCells count="20">
    <mergeCell ref="A11:A12"/>
    <mergeCell ref="B11:B12"/>
    <mergeCell ref="D11:D12"/>
    <mergeCell ref="G11:G12"/>
    <mergeCell ref="H11:H12"/>
    <mergeCell ref="A9:A10"/>
    <mergeCell ref="B9:B10"/>
    <mergeCell ref="C9:C10"/>
    <mergeCell ref="G9:G10"/>
    <mergeCell ref="H9:H10"/>
    <mergeCell ref="A15:A16"/>
    <mergeCell ref="B15:B16"/>
    <mergeCell ref="F15:F16"/>
    <mergeCell ref="G15:G16"/>
    <mergeCell ref="H15:H16"/>
    <mergeCell ref="A13:A14"/>
    <mergeCell ref="B13:B14"/>
    <mergeCell ref="E13:E14"/>
    <mergeCell ref="G13:G14"/>
    <mergeCell ref="H13:H14"/>
  </mergeCells>
  <conditionalFormatting sqref="D41:E41 B42:C42 B46:E53 D45:E45 B44:C44 G67:H69 C67:E69 C70:D70 F70:G70">
    <cfRule type="cellIs" dxfId="1739" priority="28" stopIfTrue="1" operator="equal">
      <formula>13</formula>
    </cfRule>
  </conditionalFormatting>
  <conditionalFormatting sqref="C73:F76">
    <cfRule type="cellIs" dxfId="1738" priority="27" stopIfTrue="1" operator="equal">
      <formula>13</formula>
    </cfRule>
  </conditionalFormatting>
  <conditionalFormatting sqref="H73:H80">
    <cfRule type="cellIs" dxfId="1737" priority="21" stopIfTrue="1" operator="equal">
      <formula>13</formula>
    </cfRule>
  </conditionalFormatting>
  <conditionalFormatting sqref="F77:F80">
    <cfRule type="cellIs" dxfId="1736" priority="20" stopIfTrue="1" operator="equal">
      <formula>13</formula>
    </cfRule>
  </conditionalFormatting>
  <conditionalFormatting sqref="H30:H34">
    <cfRule type="cellIs" dxfId="1735" priority="26" stopIfTrue="1" operator="equal">
      <formula>13</formula>
    </cfRule>
  </conditionalFormatting>
  <conditionalFormatting sqref="G73:G80">
    <cfRule type="cellIs" dxfId="1734" priority="24" stopIfTrue="1" operator="equal">
      <formula>13</formula>
    </cfRule>
  </conditionalFormatting>
  <conditionalFormatting sqref="I30:I34">
    <cfRule type="cellIs" dxfId="1733" priority="23" stopIfTrue="1" operator="equal">
      <formula>13</formula>
    </cfRule>
  </conditionalFormatting>
  <conditionalFormatting sqref="C78:D80">
    <cfRule type="cellIs" dxfId="1732" priority="19" stopIfTrue="1" operator="equal">
      <formula>13</formula>
    </cfRule>
  </conditionalFormatting>
  <conditionalFormatting sqref="C36:D40">
    <cfRule type="cellIs" dxfId="1731" priority="18" stopIfTrue="1" operator="equal">
      <formula>13</formula>
    </cfRule>
  </conditionalFormatting>
  <conditionalFormatting sqref="E18:G20">
    <cfRule type="cellIs" dxfId="1730" priority="17" stopIfTrue="1" operator="equal">
      <formula>13</formula>
    </cfRule>
  </conditionalFormatting>
  <conditionalFormatting sqref="G9">
    <cfRule type="cellIs" dxfId="1729" priority="16" stopIfTrue="1" operator="equal">
      <formula>13</formula>
    </cfRule>
  </conditionalFormatting>
  <conditionalFormatting sqref="H9">
    <cfRule type="cellIs" dxfId="1728" priority="15" stopIfTrue="1" operator="equal">
      <formula>13</formula>
    </cfRule>
  </conditionalFormatting>
  <conditionalFormatting sqref="G11">
    <cfRule type="cellIs" dxfId="1727" priority="14" stopIfTrue="1" operator="equal">
      <formula>13</formula>
    </cfRule>
  </conditionalFormatting>
  <conditionalFormatting sqref="C18:D20">
    <cfRule type="cellIs" dxfId="1726" priority="8" stopIfTrue="1" operator="equal">
      <formula>13</formula>
    </cfRule>
  </conditionalFormatting>
  <conditionalFormatting sqref="G13">
    <cfRule type="cellIs" dxfId="1725" priority="13" stopIfTrue="1" operator="equal">
      <formula>13</formula>
    </cfRule>
  </conditionalFormatting>
  <conditionalFormatting sqref="G15">
    <cfRule type="cellIs" dxfId="1724" priority="12" stopIfTrue="1" operator="equal">
      <formula>13</formula>
    </cfRule>
  </conditionalFormatting>
  <conditionalFormatting sqref="H11">
    <cfRule type="cellIs" dxfId="1723" priority="11" stopIfTrue="1" operator="equal">
      <formula>13</formula>
    </cfRule>
  </conditionalFormatting>
  <conditionalFormatting sqref="H13">
    <cfRule type="cellIs" dxfId="1722" priority="10" stopIfTrue="1" operator="equal">
      <formula>13</formula>
    </cfRule>
  </conditionalFormatting>
  <conditionalFormatting sqref="H15">
    <cfRule type="cellIs" dxfId="1721" priority="9" stopIfTrue="1" operator="equal">
      <formula>13</formula>
    </cfRule>
  </conditionalFormatting>
  <conditionalFormatting sqref="C9:F16 C114:D114 E113 C84:I99">
    <cfRule type="cellIs" dxfId="1720" priority="7" operator="equal">
      <formula>13</formula>
    </cfRule>
  </conditionalFormatting>
  <conditionalFormatting sqref="C30:G34">
    <cfRule type="cellIs" dxfId="1719" priority="6" operator="equal">
      <formula>13</formula>
    </cfRule>
  </conditionalFormatting>
  <conditionalFormatting sqref="C112:D113 C104:I111 F100:I103">
    <cfRule type="cellIs" dxfId="1718" priority="5" operator="equal">
      <formula>13</formula>
    </cfRule>
  </conditionalFormatting>
  <conditionalFormatting sqref="B43:E43 D42:E42 D44:E44">
    <cfRule type="cellIs" dxfId="1717" priority="4" stopIfTrue="1" operator="equal">
      <formula>13</formula>
    </cfRule>
  </conditionalFormatting>
  <conditionalFormatting sqref="D55:E56">
    <cfRule type="cellIs" dxfId="1716" priority="3" stopIfTrue="1" operator="equal">
      <formula>13</formula>
    </cfRule>
  </conditionalFormatting>
  <conditionalFormatting sqref="C67:I114">
    <cfRule type="cellIs" dxfId="1715" priority="2" operator="equal">
      <formula>13</formula>
    </cfRule>
  </conditionalFormatting>
  <conditionalFormatting sqref="B24">
    <cfRule type="expression" dxfId="1714" priority="1">
      <formula>AND(A24&lt;=2,E24&gt;0)</formula>
    </cfRule>
  </conditionalFormatting>
  <pageMargins left="0.39370078740157483" right="0.39370078740157483" top="0.78740157480314965" bottom="0.39370078740157483" header="0.59055118110236227" footer="0"/>
  <pageSetup paperSize="9" scale="94" fitToHeight="0" orientation="landscape" verticalDpi="1200" r:id="rId1"/>
  <headerFooter alignWithMargins="0">
    <oddHeader>&amp;R&amp;"Arial,Regular"&amp;9Page &amp;P of &amp;N</oddHeader>
  </headerFooter>
  <rowBreaks count="1" manualBreakCount="1">
    <brk id="80" max="16383" man="1"/>
  </rowBreaks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K20"/>
  <sheetViews>
    <sheetView showGridLines="0" showRowColHeaders="0" workbookViewId="0">
      <selection activeCell="I1" sqref="I1"/>
    </sheetView>
  </sheetViews>
  <sheetFormatPr defaultRowHeight="12.75" x14ac:dyDescent="0.2"/>
  <cols>
    <col min="1" max="1" width="5.140625" bestFit="1" customWidth="1"/>
    <col min="2" max="2" width="54.140625" bestFit="1" customWidth="1"/>
    <col min="3" max="3" width="6.5703125" customWidth="1"/>
    <col min="4" max="4" width="7" bestFit="1" customWidth="1"/>
    <col min="5" max="5" width="7" customWidth="1"/>
    <col min="6" max="6" width="8.140625" customWidth="1"/>
    <col min="7" max="7" width="9.140625" style="32" customWidth="1"/>
    <col min="8" max="12" width="9.140625" customWidth="1"/>
  </cols>
  <sheetData>
    <row r="1" spans="1:11" ht="12.75" customHeight="1" x14ac:dyDescent="0.2">
      <c r="A1" s="193" t="s">
        <v>67</v>
      </c>
      <c r="C1" s="169" t="s">
        <v>89</v>
      </c>
      <c r="E1" s="129" t="s">
        <v>114</v>
      </c>
      <c r="F1" s="7" t="str">
        <f>HYPERLINK("#'Kalend'!I1","Kalender")</f>
        <v>Kalender</v>
      </c>
      <c r="G1" s="51" t="str">
        <f>HYPERLINK("http://www.petanque.ee/juhendid/regioonide-karikas-2017-2018/","Juhend")</f>
        <v>Juhend</v>
      </c>
    </row>
    <row r="2" spans="1:11" ht="12.75" customHeight="1" x14ac:dyDescent="0.2">
      <c r="F2" s="32"/>
      <c r="H2" s="32"/>
    </row>
    <row r="3" spans="1:11" ht="25.5" customHeight="1" x14ac:dyDescent="0.2">
      <c r="A3" s="53"/>
      <c r="B3" s="54" t="s">
        <v>15</v>
      </c>
      <c r="C3" s="56" t="s">
        <v>15</v>
      </c>
      <c r="D3" s="571" t="str">
        <f>MID(Kalend!A13,4,5)</f>
        <v>03.12</v>
      </c>
      <c r="E3" s="571" t="str">
        <f>MID(Kalend!A33,4,5)</f>
        <v>25.02</v>
      </c>
      <c r="F3" s="32"/>
      <c r="H3" s="32"/>
      <c r="I3" s="32"/>
      <c r="J3" s="32"/>
      <c r="K3" s="32"/>
    </row>
    <row r="4" spans="1:11" x14ac:dyDescent="0.2">
      <c r="B4" s="940"/>
      <c r="D4" s="573" t="str">
        <f>HYPERLINK("#'Reg-1'!L1","Reg-1")</f>
        <v>Reg-1</v>
      </c>
      <c r="E4" s="573" t="str">
        <f>HYPERLINK("#'Reg-2'!J1","Reg-2")</f>
        <v>Reg-2</v>
      </c>
      <c r="F4" s="32"/>
      <c r="H4" s="32"/>
      <c r="I4" s="32"/>
      <c r="J4" s="32"/>
      <c r="K4" s="32"/>
    </row>
    <row r="5" spans="1:11" ht="12.75" customHeight="1" x14ac:dyDescent="0.2">
      <c r="A5" s="451" t="s">
        <v>46</v>
      </c>
      <c r="B5" s="56" t="s">
        <v>68</v>
      </c>
      <c r="C5" s="451" t="s">
        <v>69</v>
      </c>
      <c r="D5" s="572" t="s">
        <v>23</v>
      </c>
      <c r="E5" s="572" t="s">
        <v>23</v>
      </c>
      <c r="F5" s="32"/>
      <c r="H5" s="32"/>
      <c r="I5" s="32"/>
      <c r="J5" s="32"/>
      <c r="K5" s="32"/>
    </row>
    <row r="6" spans="1:11" x14ac:dyDescent="0.2">
      <c r="A6" s="1189">
        <f>IF(C6&gt;0,RANK(C6,C$6:C$20,0),"")</f>
        <v>1</v>
      </c>
      <c r="B6" s="164" t="s">
        <v>265</v>
      </c>
      <c r="C6" s="1188">
        <f>(D6+E6*0.00001+E6)</f>
        <v>38.0002</v>
      </c>
      <c r="D6" s="59">
        <v>18</v>
      </c>
      <c r="E6" s="55">
        <v>20</v>
      </c>
      <c r="F6" s="570" t="str">
        <f>IF(AND(A6&lt;=2,E6&gt;0),"Finaali","")</f>
        <v>Finaali</v>
      </c>
      <c r="H6" s="32"/>
      <c r="I6" s="32"/>
      <c r="J6" s="32"/>
      <c r="K6" s="32"/>
    </row>
    <row r="7" spans="1:11" x14ac:dyDescent="0.2">
      <c r="A7" s="1189">
        <f>IF(C7&gt;0,RANK(C7,C$6:C$20,0),"")</f>
        <v>2</v>
      </c>
      <c r="B7" s="164" t="s">
        <v>267</v>
      </c>
      <c r="C7" s="1188">
        <f>(D7+E7*0.00001+E7)</f>
        <v>36.000160000000001</v>
      </c>
      <c r="D7" s="59">
        <v>20</v>
      </c>
      <c r="E7" s="59">
        <v>16</v>
      </c>
      <c r="F7" s="570" t="str">
        <f>IF(AND(A7&lt;=2,E7&gt;0),"Finaali","")</f>
        <v>Finaali</v>
      </c>
      <c r="G7" s="81" t="s">
        <v>563</v>
      </c>
      <c r="H7" s="32"/>
      <c r="I7" s="32"/>
      <c r="J7" s="32"/>
      <c r="K7" s="32"/>
    </row>
    <row r="8" spans="1:11" ht="12.75" customHeight="1" x14ac:dyDescent="0.2">
      <c r="A8" s="1189">
        <f>IF(C8&gt;0,RANK(C8,C$6:C$20,0),"")</f>
        <v>3</v>
      </c>
      <c r="B8" s="164" t="s">
        <v>495</v>
      </c>
      <c r="C8" s="1188">
        <f>(D8+E8*0.00001+E8)</f>
        <v>34.00018</v>
      </c>
      <c r="D8" s="59">
        <v>16</v>
      </c>
      <c r="E8" s="55">
        <v>18</v>
      </c>
      <c r="F8" s="570" t="str">
        <f>IF(AND(A8&lt;=2,E8&gt;0),"Finaali","")</f>
        <v/>
      </c>
      <c r="H8" s="32"/>
      <c r="I8" s="32"/>
      <c r="J8" s="32"/>
      <c r="K8" s="32"/>
    </row>
    <row r="9" spans="1:11" x14ac:dyDescent="0.2">
      <c r="A9" s="1189">
        <f>IF(C9&gt;0,RANK(C9,C$6:C$20,0),"")</f>
        <v>4</v>
      </c>
      <c r="B9" s="164" t="s">
        <v>268</v>
      </c>
      <c r="C9" s="1188">
        <f>(D9+E9*0.00001+E9)</f>
        <v>14</v>
      </c>
      <c r="D9" s="59">
        <v>14</v>
      </c>
      <c r="E9" s="55"/>
      <c r="F9" s="570" t="str">
        <f>IF(AND(A9&lt;=2,E9&gt;0),"Finaali","")</f>
        <v/>
      </c>
      <c r="H9" s="32"/>
      <c r="I9" s="32"/>
      <c r="J9" s="32"/>
      <c r="K9" s="32"/>
    </row>
    <row r="10" spans="1:11" x14ac:dyDescent="0.2">
      <c r="A10" s="1189">
        <f>IF(C10&gt;0,RANK(C10,C$6:C$20,0),"")</f>
        <v>5</v>
      </c>
      <c r="B10" s="164" t="s">
        <v>266</v>
      </c>
      <c r="C10" s="1188">
        <f>(D10+E10*0.00001+E10)</f>
        <v>13</v>
      </c>
      <c r="D10" s="59">
        <v>13</v>
      </c>
      <c r="E10" s="55"/>
      <c r="F10" s="570" t="str">
        <f>IF(AND(A10&lt;=2,E10&gt;0),"Finaali","")</f>
        <v/>
      </c>
      <c r="H10" s="32"/>
      <c r="I10" s="32"/>
      <c r="J10" s="32"/>
      <c r="K10" s="32"/>
    </row>
    <row r="11" spans="1:11" hidden="1" x14ac:dyDescent="0.2">
      <c r="A11" s="239" t="str">
        <f t="shared" ref="A11:A20" si="0">IF(C11&gt;0,RANK(C11,C$6:C$20,0),"")</f>
        <v/>
      </c>
      <c r="B11" s="229"/>
      <c r="C11" s="172">
        <f t="shared" ref="C11:C20" si="1">(E11*0.00001+E11+D11)</f>
        <v>0</v>
      </c>
      <c r="D11" s="230"/>
      <c r="E11" s="230"/>
      <c r="F11" s="570" t="str">
        <f t="shared" ref="F11:F20" si="2">IF(AND(A11&lt;=2,E11&gt;0),"Finaali","")</f>
        <v/>
      </c>
    </row>
    <row r="12" spans="1:11" hidden="1" x14ac:dyDescent="0.2">
      <c r="A12" s="239" t="str">
        <f t="shared" si="0"/>
        <v/>
      </c>
      <c r="B12" s="60"/>
      <c r="C12" s="172">
        <f t="shared" si="1"/>
        <v>0</v>
      </c>
      <c r="D12" s="59"/>
      <c r="E12" s="55"/>
      <c r="F12" s="570" t="str">
        <f t="shared" si="2"/>
        <v/>
      </c>
    </row>
    <row r="13" spans="1:11" hidden="1" x14ac:dyDescent="0.2">
      <c r="A13" s="239" t="str">
        <f t="shared" si="0"/>
        <v/>
      </c>
      <c r="B13" s="61"/>
      <c r="C13" s="172">
        <f t="shared" si="1"/>
        <v>0</v>
      </c>
      <c r="D13" s="59"/>
      <c r="E13" s="59"/>
      <c r="F13" s="570" t="str">
        <f t="shared" si="2"/>
        <v/>
      </c>
    </row>
    <row r="14" spans="1:11" s="32" customFormat="1" hidden="1" x14ac:dyDescent="0.2">
      <c r="A14" s="239" t="str">
        <f t="shared" si="0"/>
        <v/>
      </c>
      <c r="B14" s="61"/>
      <c r="C14" s="172">
        <f t="shared" si="1"/>
        <v>0</v>
      </c>
      <c r="D14" s="59"/>
      <c r="E14" s="59"/>
      <c r="F14" s="570" t="str">
        <f t="shared" si="2"/>
        <v/>
      </c>
    </row>
    <row r="15" spans="1:11" hidden="1" x14ac:dyDescent="0.2">
      <c r="A15" s="239" t="str">
        <f t="shared" si="0"/>
        <v/>
      </c>
      <c r="B15" s="61"/>
      <c r="C15" s="172">
        <f t="shared" si="1"/>
        <v>0</v>
      </c>
      <c r="D15" s="59"/>
      <c r="E15" s="55"/>
      <c r="F15" s="570" t="str">
        <f t="shared" si="2"/>
        <v/>
      </c>
    </row>
    <row r="16" spans="1:11" hidden="1" x14ac:dyDescent="0.2">
      <c r="A16" s="239" t="str">
        <f t="shared" si="0"/>
        <v/>
      </c>
      <c r="B16" s="61"/>
      <c r="C16" s="172">
        <f t="shared" si="1"/>
        <v>0</v>
      </c>
      <c r="D16" s="59"/>
      <c r="E16" s="55"/>
      <c r="F16" s="570" t="str">
        <f t="shared" si="2"/>
        <v/>
      </c>
    </row>
    <row r="17" spans="1:6" hidden="1" x14ac:dyDescent="0.2">
      <c r="A17" s="239" t="str">
        <f t="shared" si="0"/>
        <v/>
      </c>
      <c r="B17" s="60"/>
      <c r="C17" s="172">
        <f t="shared" si="1"/>
        <v>0</v>
      </c>
      <c r="D17" s="59"/>
      <c r="E17" s="59"/>
      <c r="F17" s="570" t="str">
        <f t="shared" si="2"/>
        <v/>
      </c>
    </row>
    <row r="18" spans="1:6" hidden="1" x14ac:dyDescent="0.2">
      <c r="A18" s="239" t="str">
        <f t="shared" si="0"/>
        <v/>
      </c>
      <c r="B18" s="60"/>
      <c r="C18" s="172">
        <f t="shared" si="1"/>
        <v>0</v>
      </c>
      <c r="D18" s="59"/>
      <c r="E18" s="55"/>
      <c r="F18" s="570" t="str">
        <f t="shared" si="2"/>
        <v/>
      </c>
    </row>
    <row r="19" spans="1:6" hidden="1" x14ac:dyDescent="0.2">
      <c r="A19" s="239" t="str">
        <f t="shared" si="0"/>
        <v/>
      </c>
      <c r="B19" s="61"/>
      <c r="C19" s="172">
        <f t="shared" si="1"/>
        <v>0</v>
      </c>
      <c r="D19" s="59"/>
      <c r="E19" s="59"/>
      <c r="F19" s="570" t="str">
        <f t="shared" si="2"/>
        <v/>
      </c>
    </row>
    <row r="20" spans="1:6" hidden="1" x14ac:dyDescent="0.2">
      <c r="A20" s="239" t="str">
        <f t="shared" si="0"/>
        <v/>
      </c>
      <c r="B20" s="61"/>
      <c r="C20" s="172">
        <f t="shared" si="1"/>
        <v>0</v>
      </c>
      <c r="D20" s="59"/>
      <c r="E20" s="59"/>
      <c r="F20" s="570" t="str">
        <f t="shared" si="2"/>
        <v/>
      </c>
    </row>
  </sheetData>
  <sortState ref="A4:F10">
    <sortCondition descending="1" ref="C6"/>
  </sortState>
  <conditionalFormatting sqref="B11:B20">
    <cfRule type="duplicateValues" dxfId="1713" priority="59" stopIfTrue="1"/>
  </conditionalFormatting>
  <conditionalFormatting sqref="D6:D20">
    <cfRule type="top10" dxfId="1712" priority="842" stopIfTrue="1" rank="1"/>
  </conditionalFormatting>
  <conditionalFormatting sqref="E6:E20">
    <cfRule type="top10" dxfId="1711" priority="844" stopIfTrue="1" rank="1"/>
  </conditionalFormatting>
  <conditionalFormatting sqref="C6:C20">
    <cfRule type="duplicateValues" dxfId="1710" priority="846"/>
  </conditionalFormatting>
  <conditionalFormatting sqref="B6:B20">
    <cfRule type="expression" dxfId="1709" priority="2">
      <formula>AND(A6&lt;=2,E6&gt;0)</formula>
    </cfRule>
  </conditionalFormatting>
  <conditionalFormatting sqref="F6:F20">
    <cfRule type="expression" dxfId="1708" priority="1">
      <formula>AND(A6&lt;=2,E6&gt;0)</formula>
    </cfRule>
  </conditionalFormatting>
  <pageMargins left="0.39370078740157483" right="0.39370078740157483" top="0.78740157480314965" bottom="0.39370078740157483" header="0.59055118110236227" footer="0"/>
  <pageSetup paperSize="9" fitToHeight="0" orientation="landscape" verticalDpi="1200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27"/>
  <sheetViews>
    <sheetView showGridLines="0" showRowColHeaders="0" zoomScaleNormal="100" workbookViewId="0">
      <pane ySplit="2" topLeftCell="A3" activePane="bottomLeft" state="frozen"/>
      <selection activeCell="G1" sqref="G1"/>
      <selection pane="bottomLeft" activeCell="J1" sqref="J1"/>
    </sheetView>
  </sheetViews>
  <sheetFormatPr defaultRowHeight="12.75" x14ac:dyDescent="0.2"/>
  <cols>
    <col min="1" max="1" width="3.5703125" style="139" customWidth="1"/>
    <col min="2" max="2" width="46.28515625" style="139" customWidth="1"/>
    <col min="3" max="10" width="4.7109375" style="139" customWidth="1"/>
    <col min="11" max="12" width="2.7109375" style="139" customWidth="1"/>
    <col min="13" max="16384" width="9.140625" style="139"/>
  </cols>
  <sheetData>
    <row r="1" spans="1:13" x14ac:dyDescent="0.2">
      <c r="A1" s="86" t="str">
        <f>UPPER((Kalend!E42)&amp;" - "&amp;(Kalend!C42)&amp;" - "&amp;(Kalend!D42))</f>
        <v>REG-F - REGIOONIDE KARIKA FINAAL - TRIO</v>
      </c>
      <c r="E1" s="51" t="str">
        <f>HYPERLINK("#'Kalend'!I1","Kalender")</f>
        <v>Kalender</v>
      </c>
      <c r="H1" s="51" t="str">
        <f>HYPERLINK("#Üldreiting!s1","Reiting")</f>
        <v>Reiting</v>
      </c>
    </row>
    <row r="2" spans="1:13" x14ac:dyDescent="0.2">
      <c r="A2" s="186" t="str">
        <f>"Toimumisaeg: "&amp;(Kalend!A42)&amp;" kell "&amp;(Kalend!B42)</f>
        <v>Toimumisaeg: L, 14.04.2018 kell 11:00</v>
      </c>
    </row>
    <row r="3" spans="1:13" x14ac:dyDescent="0.2">
      <c r="A3" s="173" t="str">
        <f>"Toimumiskoht: "&amp;(Kalend!F42)</f>
        <v>Toimumiskoht: Tallinn, Algi 38</v>
      </c>
    </row>
    <row r="4" spans="1:13" x14ac:dyDescent="0.2">
      <c r="A4" s="186" t="str">
        <f>"Korraldaja: "&amp;(Kalend!G42)</f>
        <v>Korraldaja: EPKL</v>
      </c>
    </row>
    <row r="5" spans="1:13" x14ac:dyDescent="0.2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</row>
    <row r="6" spans="1:13" s="188" customFormat="1" x14ac:dyDescent="0.2">
      <c r="A6" s="948"/>
      <c r="B6" s="948"/>
      <c r="C6" s="949">
        <v>1</v>
      </c>
      <c r="D6" s="949">
        <v>2</v>
      </c>
      <c r="E6" s="949">
        <v>3</v>
      </c>
      <c r="F6" s="949">
        <v>4</v>
      </c>
      <c r="G6" s="949">
        <v>5</v>
      </c>
      <c r="H6" s="949">
        <v>6</v>
      </c>
      <c r="I6" s="949" t="s">
        <v>73</v>
      </c>
      <c r="J6" s="950" t="s">
        <v>21</v>
      </c>
    </row>
    <row r="7" spans="1:13" s="188" customFormat="1" ht="25.5" x14ac:dyDescent="0.2">
      <c r="A7" s="951">
        <v>1</v>
      </c>
      <c r="B7" s="952" t="s">
        <v>564</v>
      </c>
      <c r="C7" s="953"/>
      <c r="D7" s="954">
        <v>1</v>
      </c>
      <c r="E7" s="954">
        <v>8</v>
      </c>
      <c r="F7" s="954">
        <v>1</v>
      </c>
      <c r="G7" s="954">
        <v>12</v>
      </c>
      <c r="H7" s="954">
        <v>13</v>
      </c>
      <c r="I7" s="955" t="s">
        <v>99</v>
      </c>
      <c r="J7" s="956">
        <v>6</v>
      </c>
      <c r="K7" s="957"/>
      <c r="M7" s="88"/>
    </row>
    <row r="8" spans="1:13" s="188" customFormat="1" ht="25.5" x14ac:dyDescent="0.2">
      <c r="A8" s="951">
        <v>2</v>
      </c>
      <c r="B8" s="952" t="s">
        <v>565</v>
      </c>
      <c r="C8" s="954">
        <v>13</v>
      </c>
      <c r="D8" s="953"/>
      <c r="E8" s="954">
        <v>11</v>
      </c>
      <c r="F8" s="954">
        <v>13</v>
      </c>
      <c r="G8" s="958">
        <v>11</v>
      </c>
      <c r="H8" s="954">
        <v>4</v>
      </c>
      <c r="I8" s="959" t="s">
        <v>100</v>
      </c>
      <c r="J8" s="956">
        <v>5</v>
      </c>
      <c r="K8" s="960" t="s">
        <v>230</v>
      </c>
      <c r="M8" s="88"/>
    </row>
    <row r="9" spans="1:13" s="188" customFormat="1" ht="25.5" x14ac:dyDescent="0.2">
      <c r="A9" s="951">
        <v>3</v>
      </c>
      <c r="B9" s="952" t="s">
        <v>566</v>
      </c>
      <c r="C9" s="954">
        <v>13</v>
      </c>
      <c r="D9" s="961">
        <v>13</v>
      </c>
      <c r="E9" s="953"/>
      <c r="F9" s="954">
        <v>5</v>
      </c>
      <c r="G9" s="954">
        <v>13</v>
      </c>
      <c r="H9" s="954">
        <v>13</v>
      </c>
      <c r="I9" s="955" t="s">
        <v>567</v>
      </c>
      <c r="J9" s="956">
        <v>1</v>
      </c>
      <c r="K9" s="957"/>
      <c r="M9" s="88"/>
    </row>
    <row r="10" spans="1:13" s="188" customFormat="1" ht="25.5" x14ac:dyDescent="0.2">
      <c r="A10" s="951">
        <v>4</v>
      </c>
      <c r="B10" s="952" t="s">
        <v>568</v>
      </c>
      <c r="C10" s="954">
        <v>13</v>
      </c>
      <c r="D10" s="961">
        <v>10</v>
      </c>
      <c r="E10" s="954">
        <v>13</v>
      </c>
      <c r="F10" s="953"/>
      <c r="G10" s="954">
        <v>13</v>
      </c>
      <c r="H10" s="962">
        <v>7</v>
      </c>
      <c r="I10" s="963" t="s">
        <v>431</v>
      </c>
      <c r="J10" s="956">
        <v>3</v>
      </c>
      <c r="K10" s="964" t="s">
        <v>230</v>
      </c>
      <c r="M10" s="88"/>
    </row>
    <row r="11" spans="1:13" ht="25.5" x14ac:dyDescent="0.2">
      <c r="A11" s="951">
        <v>5</v>
      </c>
      <c r="B11" s="952" t="s">
        <v>570</v>
      </c>
      <c r="C11" s="954">
        <v>13</v>
      </c>
      <c r="D11" s="958">
        <v>13</v>
      </c>
      <c r="E11" s="954">
        <v>0</v>
      </c>
      <c r="F11" s="954">
        <v>6</v>
      </c>
      <c r="G11" s="953"/>
      <c r="H11" s="954">
        <v>12</v>
      </c>
      <c r="I11" s="959" t="s">
        <v>100</v>
      </c>
      <c r="J11" s="956">
        <v>4</v>
      </c>
      <c r="K11" s="960" t="s">
        <v>312</v>
      </c>
      <c r="L11" s="188"/>
      <c r="M11" s="88"/>
    </row>
    <row r="12" spans="1:13" s="188" customFormat="1" ht="25.5" x14ac:dyDescent="0.2">
      <c r="A12" s="951">
        <v>6</v>
      </c>
      <c r="B12" s="952" t="s">
        <v>569</v>
      </c>
      <c r="C12" s="965">
        <v>6</v>
      </c>
      <c r="D12" s="965">
        <v>13</v>
      </c>
      <c r="E12" s="965">
        <v>7</v>
      </c>
      <c r="F12" s="966">
        <v>13</v>
      </c>
      <c r="G12" s="965">
        <v>13</v>
      </c>
      <c r="H12" s="967"/>
      <c r="I12" s="968" t="s">
        <v>431</v>
      </c>
      <c r="J12" s="956">
        <v>2</v>
      </c>
      <c r="K12" s="964" t="s">
        <v>312</v>
      </c>
      <c r="M12" s="88"/>
    </row>
    <row r="13" spans="1:13" s="188" customFormat="1" x14ac:dyDescent="0.2">
      <c r="J13" s="139"/>
      <c r="K13" s="139"/>
      <c r="L13" s="139"/>
    </row>
    <row r="14" spans="1:13" s="188" customFormat="1" x14ac:dyDescent="0.2">
      <c r="B14" s="213" t="s">
        <v>98</v>
      </c>
      <c r="C14" s="592" t="s">
        <v>520</v>
      </c>
      <c r="D14" s="402" t="s">
        <v>108</v>
      </c>
      <c r="E14" s="402" t="s">
        <v>105</v>
      </c>
      <c r="J14" s="139"/>
      <c r="K14" s="139"/>
      <c r="L14" s="139"/>
    </row>
    <row r="15" spans="1:13" s="188" customFormat="1" x14ac:dyDescent="0.2">
      <c r="B15" s="213" t="s">
        <v>101</v>
      </c>
      <c r="C15" s="592" t="s">
        <v>106</v>
      </c>
      <c r="D15" s="592" t="s">
        <v>103</v>
      </c>
      <c r="E15" s="402" t="s">
        <v>524</v>
      </c>
      <c r="J15" s="139"/>
      <c r="K15" s="139"/>
      <c r="L15" s="139"/>
    </row>
    <row r="16" spans="1:13" x14ac:dyDescent="0.2">
      <c r="A16" s="188"/>
      <c r="B16" s="213" t="s">
        <v>104</v>
      </c>
      <c r="C16" s="592" t="s">
        <v>99</v>
      </c>
      <c r="D16" s="402" t="s">
        <v>100</v>
      </c>
      <c r="E16" s="592" t="s">
        <v>523</v>
      </c>
      <c r="F16" s="188"/>
      <c r="G16" s="188"/>
      <c r="H16" s="188"/>
      <c r="I16" s="188"/>
      <c r="M16" s="188"/>
    </row>
    <row r="17" spans="1:12" s="188" customFormat="1" ht="11.25" customHeight="1" x14ac:dyDescent="0.2">
      <c r="B17" s="213" t="s">
        <v>109</v>
      </c>
      <c r="C17" s="592" t="s">
        <v>102</v>
      </c>
      <c r="D17" s="402" t="s">
        <v>522</v>
      </c>
      <c r="E17" s="402" t="s">
        <v>107</v>
      </c>
      <c r="J17" s="139"/>
      <c r="K17" s="139"/>
      <c r="L17" s="139"/>
    </row>
    <row r="18" spans="1:12" s="188" customFormat="1" x14ac:dyDescent="0.2">
      <c r="B18" s="213" t="s">
        <v>111</v>
      </c>
      <c r="C18" s="592" t="s">
        <v>92</v>
      </c>
      <c r="D18" s="402" t="s">
        <v>110</v>
      </c>
      <c r="E18" s="402" t="s">
        <v>521</v>
      </c>
      <c r="J18" s="139"/>
      <c r="K18" s="139"/>
      <c r="L18" s="139"/>
    </row>
    <row r="19" spans="1:12" s="188" customFormat="1" x14ac:dyDescent="0.2"/>
    <row r="20" spans="1:12" s="88" customFormat="1" x14ac:dyDescent="0.2">
      <c r="H20" s="99"/>
      <c r="I20" s="99"/>
    </row>
    <row r="21" spans="1:12" s="88" customFormat="1" x14ac:dyDescent="0.2">
      <c r="F21" s="99"/>
      <c r="G21" s="139"/>
      <c r="H21" s="139"/>
      <c r="I21" s="139"/>
      <c r="J21" s="139"/>
    </row>
    <row r="22" spans="1:12" s="88" customFormat="1" ht="25.5" customHeight="1" x14ac:dyDescent="0.2">
      <c r="A22" s="969">
        <v>1</v>
      </c>
      <c r="B22" s="970" t="s">
        <v>566</v>
      </c>
      <c r="G22" s="139"/>
      <c r="H22" s="139"/>
      <c r="I22" s="139"/>
      <c r="J22" s="139"/>
    </row>
    <row r="23" spans="1:12" ht="25.5" customHeight="1" x14ac:dyDescent="0.2">
      <c r="A23" s="969">
        <v>2</v>
      </c>
      <c r="B23" s="971" t="s">
        <v>569</v>
      </c>
    </row>
    <row r="24" spans="1:12" ht="25.5" customHeight="1" x14ac:dyDescent="0.2">
      <c r="A24" s="969">
        <v>3</v>
      </c>
      <c r="B24" s="972" t="s">
        <v>568</v>
      </c>
    </row>
    <row r="25" spans="1:12" ht="25.5" customHeight="1" x14ac:dyDescent="0.2">
      <c r="A25" s="969">
        <v>4</v>
      </c>
      <c r="B25" s="952" t="s">
        <v>570</v>
      </c>
    </row>
    <row r="26" spans="1:12" ht="25.5" customHeight="1" x14ac:dyDescent="0.2">
      <c r="A26" s="969">
        <v>5</v>
      </c>
      <c r="B26" s="952" t="s">
        <v>565</v>
      </c>
    </row>
    <row r="27" spans="1:12" ht="25.5" customHeight="1" x14ac:dyDescent="0.2">
      <c r="A27" s="969">
        <v>6</v>
      </c>
      <c r="B27" s="952" t="s">
        <v>564</v>
      </c>
    </row>
  </sheetData>
  <conditionalFormatting sqref="J7:J12">
    <cfRule type="expression" dxfId="1707" priority="2">
      <formula>FIND(2,J7,1)</formula>
    </cfRule>
    <cfRule type="expression" dxfId="1706" priority="3">
      <formula>FIND(1,J7,1)</formula>
    </cfRule>
  </conditionalFormatting>
  <conditionalFormatting sqref="I7">
    <cfRule type="aboveAverage" dxfId="1705" priority="4"/>
  </conditionalFormatting>
  <conditionalFormatting sqref="I8">
    <cfRule type="aboveAverage" dxfId="1704" priority="5"/>
  </conditionalFormatting>
  <conditionalFormatting sqref="I9">
    <cfRule type="aboveAverage" dxfId="1703" priority="6"/>
  </conditionalFormatting>
  <conditionalFormatting sqref="I10">
    <cfRule type="aboveAverage" dxfId="1702" priority="7"/>
  </conditionalFormatting>
  <conditionalFormatting sqref="I11">
    <cfRule type="aboveAverage" dxfId="1701" priority="8"/>
  </conditionalFormatting>
  <conditionalFormatting sqref="I12">
    <cfRule type="aboveAverage" dxfId="1700" priority="9"/>
  </conditionalFormatting>
  <conditionalFormatting sqref="C7:H12">
    <cfRule type="cellIs" dxfId="1699" priority="1" operator="equal">
      <formula>13</formula>
    </cfRule>
  </conditionalFormatting>
  <pageMargins left="0.78740157480314965" right="0.39370078740157483" top="0.78740157480314965" bottom="0.31496062992125984" header="0.59055118110236227" footer="0"/>
  <pageSetup paperSize="9" scale="99" fitToHeight="0" orientation="portrait" verticalDpi="1200" r:id="rId1"/>
  <headerFooter>
    <oddHeader>&amp;R&amp;"Arial,Regular"&amp;9Page &amp;P of &amp;N</oddHead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CC00"/>
    <pageSetUpPr fitToPage="1"/>
  </sheetPr>
  <dimension ref="A1:AP66"/>
  <sheetViews>
    <sheetView showGridLines="0" showRowColHeaders="0" zoomScaleNormal="100" workbookViewId="0">
      <pane ySplit="6" topLeftCell="A7" activePane="bottomLeft" state="frozen"/>
      <selection activeCell="F228" sqref="F228"/>
      <selection pane="bottomLeft" activeCell="AI1" sqref="AI1"/>
    </sheetView>
  </sheetViews>
  <sheetFormatPr defaultRowHeight="12.75" x14ac:dyDescent="0.2"/>
  <cols>
    <col min="1" max="1" width="3.28515625" style="327" customWidth="1"/>
    <col min="2" max="2" width="9.140625" style="327" hidden="1" customWidth="1"/>
    <col min="3" max="3" width="3" style="327" bestFit="1" customWidth="1"/>
    <col min="4" max="4" width="6.7109375" style="327" hidden="1" customWidth="1"/>
    <col min="5" max="5" width="3" style="327" customWidth="1"/>
    <col min="6" max="6" width="6.7109375" style="327" hidden="1" customWidth="1"/>
    <col min="7" max="7" width="2.5703125" style="327" bestFit="1" customWidth="1"/>
    <col min="8" max="8" width="8.28515625" style="327" hidden="1" customWidth="1"/>
    <col min="9" max="9" width="3.140625" style="327" customWidth="1"/>
    <col min="10" max="10" width="22.140625" style="330" customWidth="1"/>
    <col min="11" max="11" width="2.28515625" style="345" hidden="1" customWidth="1"/>
    <col min="12" max="12" width="2.7109375" style="345" hidden="1" customWidth="1"/>
    <col min="13" max="13" width="1.85546875" style="345" hidden="1" customWidth="1"/>
    <col min="14" max="14" width="2.28515625" style="345" hidden="1" customWidth="1"/>
    <col min="15" max="15" width="5.140625" style="345" bestFit="1" customWidth="1"/>
    <col min="16" max="16" width="23" style="345" hidden="1" customWidth="1"/>
    <col min="17" max="17" width="28.28515625" style="345" hidden="1" customWidth="1"/>
    <col min="18" max="18" width="9" style="345" hidden="1" customWidth="1"/>
    <col min="19" max="19" width="7.5703125" style="345" hidden="1" customWidth="1"/>
    <col min="20" max="20" width="32" style="345" hidden="1" customWidth="1"/>
    <col min="21" max="21" width="11.28515625" style="345" hidden="1" customWidth="1"/>
    <col min="22" max="22" width="5.42578125" style="345" hidden="1" customWidth="1"/>
    <col min="23" max="31" width="3" style="327" customWidth="1"/>
    <col min="32" max="35" width="3.7109375" style="327" customWidth="1"/>
    <col min="36" max="36" width="8" style="327" hidden="1" customWidth="1"/>
    <col min="37" max="37" width="4.85546875" style="327" hidden="1" customWidth="1"/>
    <col min="38" max="38" width="7.28515625" style="327" hidden="1" customWidth="1"/>
    <col min="39" max="39" width="5.140625" style="327" customWidth="1"/>
    <col min="40" max="42" width="3" style="330" customWidth="1"/>
    <col min="43" max="43" width="0.85546875" style="330" customWidth="1"/>
    <col min="44" max="16384" width="9.140625" style="330"/>
  </cols>
  <sheetData>
    <row r="1" spans="1:42" ht="12.6" customHeight="1" x14ac:dyDescent="0.2">
      <c r="A1" s="343"/>
      <c r="B1" s="343"/>
      <c r="D1" s="343"/>
      <c r="E1" s="328" t="s">
        <v>617</v>
      </c>
      <c r="F1" s="343"/>
      <c r="H1" s="343"/>
      <c r="K1" s="521"/>
      <c r="L1" s="521"/>
      <c r="M1" s="521"/>
      <c r="N1" s="728"/>
      <c r="O1" s="329"/>
      <c r="P1" s="521"/>
      <c r="Q1" s="521"/>
      <c r="R1" s="521"/>
      <c r="S1" s="521"/>
      <c r="T1" s="521"/>
      <c r="U1" s="521"/>
      <c r="V1" s="521"/>
      <c r="W1" s="329"/>
      <c r="X1" s="329"/>
      <c r="Y1" s="329"/>
      <c r="Z1" s="329"/>
      <c r="AA1" s="329"/>
      <c r="AB1" s="329"/>
      <c r="AC1" s="329"/>
      <c r="AD1" s="329"/>
      <c r="AE1" s="330"/>
      <c r="AF1" s="330"/>
      <c r="AG1" s="330"/>
      <c r="AH1" s="330"/>
      <c r="AI1" s="330"/>
      <c r="AJ1" s="333"/>
      <c r="AK1" s="534"/>
      <c r="AL1" s="333"/>
      <c r="AN1" s="331" t="s">
        <v>221</v>
      </c>
      <c r="AO1" s="331"/>
      <c r="AP1" s="332"/>
    </row>
    <row r="2" spans="1:42" ht="12.6" customHeight="1" x14ac:dyDescent="0.2">
      <c r="E2" s="630" t="s">
        <v>581</v>
      </c>
      <c r="K2" s="329"/>
      <c r="L2" s="329"/>
      <c r="M2" s="329"/>
      <c r="N2" s="729"/>
      <c r="O2" s="329"/>
      <c r="P2" s="329">
        <f>COUNTBLANK(N7:N62)</f>
        <v>35</v>
      </c>
      <c r="Q2" s="329"/>
      <c r="R2" s="329"/>
      <c r="S2" s="329"/>
      <c r="T2" s="329"/>
      <c r="U2" s="329"/>
      <c r="V2" s="329"/>
      <c r="W2" s="329"/>
      <c r="X2" s="329"/>
      <c r="Y2" s="329"/>
      <c r="Z2" s="329"/>
      <c r="AA2" s="329"/>
      <c r="AB2" s="329"/>
      <c r="AC2" s="329"/>
      <c r="AD2" s="631"/>
      <c r="AE2" s="631"/>
      <c r="AF2" s="631"/>
      <c r="AG2" s="329"/>
      <c r="AH2" s="329"/>
      <c r="AI2" s="329"/>
      <c r="AJ2" s="329"/>
      <c r="AK2" s="329"/>
      <c r="AL2" s="329"/>
      <c r="AN2" s="333" t="s">
        <v>222</v>
      </c>
      <c r="AO2" s="333"/>
    </row>
    <row r="3" spans="1:42" ht="12.6" customHeight="1" x14ac:dyDescent="0.2">
      <c r="E3" s="630" t="s">
        <v>580</v>
      </c>
      <c r="K3" s="329"/>
      <c r="L3" s="329"/>
      <c r="M3" s="329"/>
      <c r="N3" s="729"/>
      <c r="O3" s="329"/>
      <c r="P3" s="329"/>
      <c r="Q3" s="329"/>
      <c r="R3" s="329"/>
      <c r="S3" s="329"/>
      <c r="T3" s="329"/>
      <c r="U3" s="329"/>
      <c r="V3" s="329"/>
      <c r="W3" s="329"/>
      <c r="X3" s="329"/>
      <c r="Y3" s="329"/>
      <c r="Z3" s="329"/>
      <c r="AA3" s="329"/>
      <c r="AB3" s="329"/>
      <c r="AC3" s="329"/>
      <c r="AD3" s="329"/>
      <c r="AE3" s="329"/>
      <c r="AF3" s="329"/>
      <c r="AG3" s="329"/>
      <c r="AH3" s="329"/>
      <c r="AI3" s="329"/>
      <c r="AJ3" s="329"/>
      <c r="AK3" s="329"/>
      <c r="AL3" s="329"/>
      <c r="AN3" s="334" t="s">
        <v>223</v>
      </c>
      <c r="AO3" s="334"/>
    </row>
    <row r="4" spans="1:42" ht="27" customHeight="1" x14ac:dyDescent="0.2">
      <c r="A4" s="1466" t="s">
        <v>593</v>
      </c>
      <c r="B4" s="1467"/>
      <c r="C4" s="1467"/>
      <c r="D4" s="1467"/>
      <c r="E4" s="1467"/>
      <c r="F4" s="1467"/>
      <c r="G4" s="1467"/>
      <c r="H4" s="1467"/>
      <c r="I4" s="1467"/>
      <c r="J4" s="1467"/>
      <c r="K4" s="1467"/>
      <c r="L4" s="1467"/>
      <c r="M4" s="1467"/>
      <c r="N4" s="1467"/>
      <c r="O4" s="1468"/>
      <c r="P4" s="752" t="s">
        <v>375</v>
      </c>
      <c r="Q4" s="752"/>
      <c r="R4" s="1230" t="s">
        <v>350</v>
      </c>
      <c r="S4" s="752" t="s">
        <v>344</v>
      </c>
      <c r="T4" s="752" t="s">
        <v>348</v>
      </c>
      <c r="U4" s="752"/>
      <c r="V4" s="1231" t="s">
        <v>373</v>
      </c>
      <c r="W4" s="753" t="str">
        <f>MID(Kalend!$A5,4,5)</f>
        <v>28.10</v>
      </c>
      <c r="X4" s="753" t="str">
        <f>MID(Kalend!$A7,4,5)</f>
        <v>04.11</v>
      </c>
      <c r="Y4" s="753" t="str">
        <f>MID(Kalend!$A8,4,5)</f>
        <v>11.11</v>
      </c>
      <c r="Z4" s="753" t="str">
        <f>MID(Kalend!$A10,4,5)</f>
        <v>25.11</v>
      </c>
      <c r="AA4" s="753" t="str">
        <f>MID(Kalend!$A14,4,5)</f>
        <v>09.12</v>
      </c>
      <c r="AB4" s="753" t="str">
        <f>MID(Kalend!$A18,4,5)</f>
        <v>30.12</v>
      </c>
      <c r="AC4" s="753" t="str">
        <f>MID(Kalend!$A24,4,5)</f>
        <v>13.01</v>
      </c>
      <c r="AD4" s="753" t="str">
        <f>MID(Kalend!$A26,4,5)</f>
        <v>27.01</v>
      </c>
      <c r="AE4" s="753" t="str">
        <f>MID(Kalend!$A28,4,5)</f>
        <v>03.02</v>
      </c>
      <c r="AF4" s="753" t="str">
        <f>MID(Kalend!$A29,4,5)</f>
        <v>10.02</v>
      </c>
      <c r="AG4" s="753" t="str">
        <f>MID(Kalend!$A37,4,5)</f>
        <v>24.03</v>
      </c>
      <c r="AH4" s="753" t="str">
        <f>MID(Kalend!$A37,4,5)</f>
        <v>24.03</v>
      </c>
      <c r="AI4" s="753" t="str">
        <f>MID(Kalend!$A40,4,5)</f>
        <v>07.04</v>
      </c>
      <c r="AJ4" s="754"/>
      <c r="AK4" s="753"/>
      <c r="AL4" s="1210"/>
      <c r="AM4" s="1213" t="str">
        <f>MID(Kalend!$A44,4,5)</f>
        <v>21.04</v>
      </c>
      <c r="AN4" s="1464" t="s">
        <v>16</v>
      </c>
      <c r="AO4" s="1464" t="s">
        <v>224</v>
      </c>
      <c r="AP4" s="1465" t="s">
        <v>18</v>
      </c>
    </row>
    <row r="5" spans="1:42" x14ac:dyDescent="0.2">
      <c r="A5" s="1203"/>
      <c r="B5" s="1204"/>
      <c r="C5" s="1204"/>
      <c r="D5" s="1204"/>
      <c r="E5" s="1204"/>
      <c r="F5" s="1204"/>
      <c r="G5" s="1204"/>
      <c r="H5" s="1204"/>
      <c r="I5" s="1205" t="s">
        <v>225</v>
      </c>
      <c r="J5" s="1232"/>
      <c r="K5" s="1202"/>
      <c r="L5" s="1202"/>
      <c r="M5" s="1202"/>
      <c r="N5" s="1202"/>
      <c r="O5" s="741" t="s">
        <v>226</v>
      </c>
      <c r="P5" s="758" t="s">
        <v>376</v>
      </c>
      <c r="Q5" s="759"/>
      <c r="R5" s="1233" t="s">
        <v>349</v>
      </c>
      <c r="S5" s="760"/>
      <c r="T5" s="760"/>
      <c r="U5" s="760"/>
      <c r="V5" s="1234" t="s">
        <v>372</v>
      </c>
      <c r="W5" s="678" t="s">
        <v>22</v>
      </c>
      <c r="X5" s="678" t="s">
        <v>22</v>
      </c>
      <c r="Y5" s="678" t="s">
        <v>22</v>
      </c>
      <c r="Z5" s="678" t="s">
        <v>22</v>
      </c>
      <c r="AA5" s="678" t="s">
        <v>22</v>
      </c>
      <c r="AB5" s="678" t="s">
        <v>22</v>
      </c>
      <c r="AC5" s="678" t="s">
        <v>22</v>
      </c>
      <c r="AD5" s="678" t="s">
        <v>22</v>
      </c>
      <c r="AE5" s="678" t="s">
        <v>22</v>
      </c>
      <c r="AF5" s="678" t="s">
        <v>22</v>
      </c>
      <c r="AG5" s="678" t="s">
        <v>22</v>
      </c>
      <c r="AH5" s="678" t="s">
        <v>22</v>
      </c>
      <c r="AI5" s="678" t="s">
        <v>22</v>
      </c>
      <c r="AJ5" s="1227"/>
      <c r="AK5" s="1228"/>
      <c r="AL5" s="1229" t="s">
        <v>227</v>
      </c>
      <c r="AM5" s="1214" t="s">
        <v>552</v>
      </c>
      <c r="AN5" s="1464"/>
      <c r="AO5" s="1464"/>
      <c r="AP5" s="1465"/>
    </row>
    <row r="6" spans="1:42" ht="12.6" customHeight="1" x14ac:dyDescent="0.2">
      <c r="A6" s="1200" t="s">
        <v>518</v>
      </c>
      <c r="B6" s="761" t="s">
        <v>429</v>
      </c>
      <c r="C6" s="1196" t="s">
        <v>330</v>
      </c>
      <c r="D6" s="1192" t="s">
        <v>578</v>
      </c>
      <c r="E6" s="1194" t="s">
        <v>331</v>
      </c>
      <c r="F6" s="1192" t="s">
        <v>577</v>
      </c>
      <c r="G6" s="1206" t="s">
        <v>328</v>
      </c>
      <c r="H6" s="1192" t="s">
        <v>579</v>
      </c>
      <c r="I6" s="1237" t="s">
        <v>228</v>
      </c>
      <c r="J6" s="762" t="s">
        <v>20</v>
      </c>
      <c r="K6" s="755" t="s">
        <v>331</v>
      </c>
      <c r="L6" s="1197" t="s">
        <v>330</v>
      </c>
      <c r="M6" s="756" t="s">
        <v>328</v>
      </c>
      <c r="N6" s="757" t="s">
        <v>21</v>
      </c>
      <c r="O6" s="763" t="s">
        <v>21</v>
      </c>
      <c r="P6" s="764" t="s">
        <v>347</v>
      </c>
      <c r="Q6" s="764" t="s">
        <v>342</v>
      </c>
      <c r="R6" s="764" t="s">
        <v>377</v>
      </c>
      <c r="S6" s="765" t="s">
        <v>361</v>
      </c>
      <c r="T6" s="764" t="s">
        <v>343</v>
      </c>
      <c r="U6" s="764" t="s">
        <v>378</v>
      </c>
      <c r="V6" s="764" t="s">
        <v>341</v>
      </c>
      <c r="W6" s="1235" t="str">
        <f>HYPERLINK("#V1!K1","V1")</f>
        <v>V1</v>
      </c>
      <c r="X6" s="1235" t="str">
        <f>HYPERLINK("#V2!H1","V2")</f>
        <v>V2</v>
      </c>
      <c r="Y6" s="1235" t="str">
        <f>HYPERLINK("#V3!K1","V3")</f>
        <v>V3</v>
      </c>
      <c r="Z6" s="1235" t="str">
        <f>HYPERLINK("#V4!J1","V4")</f>
        <v>V4</v>
      </c>
      <c r="AA6" s="1235" t="str">
        <f>HYPERLINK("#V5!L1","V5")</f>
        <v>V5</v>
      </c>
      <c r="AB6" s="1235" t="str">
        <f>HYPERLINK("#V6!J1","V6")</f>
        <v>V6</v>
      </c>
      <c r="AC6" s="1235" t="str">
        <f>HYPERLINK("#V7!K1","V7")</f>
        <v>V7</v>
      </c>
      <c r="AD6" s="1235" t="str">
        <f>HYPERLINK("#V8!J1","V8")</f>
        <v>V8</v>
      </c>
      <c r="AE6" s="1235" t="str">
        <f>HYPERLINK("#V9!L1","V9")</f>
        <v>V9</v>
      </c>
      <c r="AF6" s="1235" t="str">
        <f>HYPERLINK("#V10!I1","V10")</f>
        <v>V10</v>
      </c>
      <c r="AG6" s="1235" t="str">
        <f>HYPERLINK("#V11!I1","V11")</f>
        <v>V11</v>
      </c>
      <c r="AH6" s="1235" t="str">
        <f>HYPERLINK("#V12!I1","V12")</f>
        <v>V12</v>
      </c>
      <c r="AI6" s="1235" t="str">
        <f>HYPERLINK("#V13!I1","V13")</f>
        <v>V13</v>
      </c>
      <c r="AJ6" s="766"/>
      <c r="AK6" s="767"/>
      <c r="AL6" s="1211" t="s">
        <v>229</v>
      </c>
      <c r="AM6" s="1236" t="str">
        <f>HYPERLINK("#V-'Fin'!J1","V-Fin")</f>
        <v>V-Fin</v>
      </c>
      <c r="AN6" s="1209"/>
      <c r="AO6" s="1209"/>
      <c r="AP6" s="335"/>
    </row>
    <row r="7" spans="1:42" ht="12.6" customHeight="1" x14ac:dyDescent="0.2">
      <c r="A7" s="1201">
        <f t="shared" ref="A7:A38" si="0">IF(O7&gt;0,IF(N7="k",RANK(B7,B$7:B$62,1)-COUNTBLANK(N$7:N$62),""),"")</f>
        <v>1</v>
      </c>
      <c r="B7" s="740">
        <f t="shared" ref="B7:B38" si="1">IF((N7="k"),R7,R7-1000)</f>
        <v>1</v>
      </c>
      <c r="C7" s="1218">
        <f t="shared" ref="C7:C38" si="2">IF(O7&gt;0,IF(L7="m",RANK(D7,D$7:D$62,1)-COUNTBLANK(L$7:L$62),""),"")</f>
        <v>1</v>
      </c>
      <c r="D7" s="1193">
        <f t="shared" ref="D7:D38" si="3">IF((L7="m"),R7,R7-1000)</f>
        <v>1</v>
      </c>
      <c r="E7" s="1195" t="str">
        <f t="shared" ref="E7:E38" si="4">IF(O7&gt;0,IF(K7="n",RANK(F7,F$7:F$62,1)-COUNTBLANK(K$7:K$62),""),"")</f>
        <v/>
      </c>
      <c r="F7" s="1193">
        <f t="shared" ref="F7:F38" si="5">IF((K7="n"),R7,R7-1000)</f>
        <v>-999</v>
      </c>
      <c r="G7" s="1207" t="str">
        <f t="shared" ref="G7:G38" si="6">IF(O7&gt;0,IF(M7="j",RANK(H7,H$7:H$62,1)-COUNTBLANK(M$7:M$62),""),"")</f>
        <v/>
      </c>
      <c r="H7" s="1193">
        <f>IF((M7="j"),R7,R7-1000)</f>
        <v>-999</v>
      </c>
      <c r="I7" s="741">
        <f t="shared" ref="I7:I38" si="7">IF(O7&gt;0,RANK(R7,R$7:R$62,1),"")</f>
        <v>1</v>
      </c>
      <c r="J7" s="750" t="s">
        <v>83</v>
      </c>
      <c r="K7" s="743"/>
      <c r="L7" s="1198" t="str">
        <f>IF(K7="","m","")</f>
        <v>m</v>
      </c>
      <c r="M7" s="744"/>
      <c r="N7" s="745" t="s">
        <v>230</v>
      </c>
      <c r="O7" s="751">
        <f t="shared" ref="O7:O62" si="8">SUM(W7:AI7)</f>
        <v>94</v>
      </c>
      <c r="P7" s="746" t="str">
        <f>INDEX(ETAPP!B$1:B$32,MATCH(COUNTIF(W7:AI7,PVO!A$1),ETAPP!A$1:A$32,0))&amp;INDEX(ETAPP!B$1:B$32,MATCH(COUNTIF(W7:AI7,PVO!A$2),ETAPP!A$1:A$32,0))&amp;INDEX(ETAPP!B$1:B$32,MATCH(COUNTIF(W7:AI7,PVO!A$3),ETAPP!A$1:A$32,0))&amp;INDEX(ETAPP!B$1:B$32,MATCH(COUNTIF(W7:AI7,PVO!A$4),ETAPP!A$1:A$32,0))&amp;INDEX(ETAPP!B$1:B$32,MATCH(COUNTIF(W7:AI7,PVO!A$5),ETAPP!A$1:A$32,0))&amp;INDEX(ETAPP!B$1:B$32,MATCH(COUNTIF(W7:AI7,PVO!A$6),ETAPP!A$1:A$32,0))&amp;INDEX(ETAPP!B$1:B$32,MATCH(COUNTIF(W7:AI7,PVO!A$7),ETAPP!A$1:A$32,0))&amp;INDEX(ETAPP!B$1:B$32,MATCH(COUNTIF(W7:AI7,PVO!A$8),ETAPP!A$1:A$32,0))&amp;INDEX(ETAPP!B$1:B$32,MATCH(COUNTIF(W7:AI7,PVO!A$9),ETAPP!A$1:A$32,0))&amp;INDEX(ETAPP!B$1:B$32,MATCH(COUNTIF(W7:AI7,PVO!A$10),ETAPP!A$1:A$32,0))&amp;INDEX(ETAPP!B$1:B$32,MATCH(COUNTIF(W7:AI7,PVO!A$11),ETAPP!A$1:A$32,0))&amp;INDEX(ETAPP!B$1:B$32,MATCH(COUNTIF(W7:AI7,PVO!A$12),ETAPP!A$1:A$32,0))&amp;INDEX(ETAPP!B$1:B$32,MATCH(COUNTIF(W7:AI7,PVO!A$13),ETAPP!A$1:A$32,0))&amp;INDEX(ETAPP!B$1:B$32,MATCH(COUNTIF(W7:AI7,PVO!A$14),ETAPP!A$1:A$32,0))&amp;INDEX(ETAPP!B$1:B$32,MATCH(COUNTIF(W7:AI7,PVO!A$15),ETAPP!A$1:A$32,0))&amp;INDEX(ETAPP!B$1:B$32,MATCH(COUNTIF(W7:AI7,PVO!A$16),ETAPP!A$1:A$32,0))&amp;INDEX(ETAPP!B$1:B$32,MATCH(COUNTIF(W7:AI7,PVO!A$17),ETAPP!A$1:A$32,0))&amp;INDEX(ETAPP!B$1:B$32,MATCH(COUNTIF(W7:AI7,PVO!A$18),ETAPP!A$1:A$32,0))&amp;INDEX(ETAPP!B$1:B$32,MATCH(COUNTIF(W7:AI7,PVO!A$19),ETAPP!A$1:A$32,0))</f>
        <v>000A000CAAABAAAA000</v>
      </c>
      <c r="Q7" s="746" t="str">
        <f t="shared" ref="Q7:Q38" si="9">TEXT(O7,"000,0")&amp;"-"&amp;P7</f>
        <v>094,0-000A000CAAABAAAA000</v>
      </c>
      <c r="R7" s="746">
        <f t="shared" ref="R7:R38" si="10">COUNTIF(Q$7:Q$62,"&gt;="&amp;Q7)</f>
        <v>1</v>
      </c>
      <c r="S7" s="746">
        <f t="shared" ref="S7:S38" si="11">COUNTIF(J$7:J$62,"&gt;="&amp;J7)</f>
        <v>34</v>
      </c>
      <c r="T7" s="746" t="str">
        <f t="shared" ref="T7:T38" si="12">TEXT(O7,"000,0")&amp;"-"&amp;P7&amp;"-"&amp;TEXT(S7,"000")</f>
        <v>094,0-000A000CAAABAAAA000-034</v>
      </c>
      <c r="U7" s="746">
        <f t="shared" ref="U7:U38" si="13">COUNTIF(T$7:T$62,"&gt;="&amp;T7)</f>
        <v>1</v>
      </c>
      <c r="V7" s="746">
        <f t="shared" ref="V7:V38" si="14">RANK(U7,U$7:U$62,0)</f>
        <v>56</v>
      </c>
      <c r="W7" s="679">
        <f>IFERROR(INDEX('V1'!C$300:C$400,MATCH("*"&amp;J7&amp;"*",'V1'!B$300:B$400,0)),"  ")</f>
        <v>6</v>
      </c>
      <c r="X7" s="679">
        <f>IFERROR(INDEX('V2'!C$300:C$400,MATCH("*"&amp;J7&amp;"*",'V2'!B$300:B$400,0)),"  ")</f>
        <v>3</v>
      </c>
      <c r="Y7" s="679">
        <f>IFERROR(INDEX('V3'!C$300:C$400,MATCH("*"&amp;J7&amp;"*",'V3'!B$300:B$400,0)),"  ")</f>
        <v>7</v>
      </c>
      <c r="Z7" s="679">
        <f>IFERROR(INDEX('V4'!C$300:C$400,MATCH("*"&amp;J7&amp;"*",'V4'!B$300:B$400,0)),"  ")</f>
        <v>6</v>
      </c>
      <c r="AA7" s="679">
        <f>IFERROR(INDEX('V5'!C$300:C$400,MATCH("*"&amp;J7&amp;"*",'V5'!B$300:B$400,0)),"  ")</f>
        <v>10</v>
      </c>
      <c r="AB7" s="679">
        <f>IFERROR(INDEX('V6'!C$300:C$400,MATCH("*"&amp;J7&amp;"*",'V6'!B$300:B$400,0)),"  ")</f>
        <v>10</v>
      </c>
      <c r="AC7" s="679">
        <f>IFERROR(INDEX('V7'!C$300:C$400,MATCH("*"&amp;J7&amp;"*",'V7'!B$300:B$400,0)),"  ")</f>
        <v>2</v>
      </c>
      <c r="AD7" s="679">
        <f>IFERROR(INDEX('V8'!C$300:C$400,MATCH("*"&amp;J7&amp;"*",'V8'!B$300:B$400,0)),"  ")</f>
        <v>10</v>
      </c>
      <c r="AE7" s="679">
        <f>IFERROR(INDEX('V9'!C$300:C$400,MATCH("*"&amp;J7&amp;"*",'V9'!B$300:B$400,0)),"  ")</f>
        <v>5</v>
      </c>
      <c r="AF7" s="679">
        <f>IFERROR(INDEX('V10'!C$300:C$400,MATCH("*"&amp;J7&amp;"*",'V10'!B$300:B$400,0)),"  ")</f>
        <v>8</v>
      </c>
      <c r="AG7" s="679">
        <f>IFERROR(INDEX('V11'!C$300:C$400,MATCH("*"&amp;J7&amp;"*",'V11'!B$300:B$400,0)),"  ")</f>
        <v>4</v>
      </c>
      <c r="AH7" s="679">
        <f>IFERROR(INDEX('V12'!C$300:C$400,MATCH("*"&amp;J7&amp;"*",'V12'!B$300:B$400,0)),"  ")</f>
        <v>9</v>
      </c>
      <c r="AI7" s="679">
        <f>IFERROR(INDEX('V13'!C$300:C$400,MATCH("*"&amp;J7&amp;"*",'V13'!B$300:B$400,0)),"  ")</f>
        <v>14</v>
      </c>
      <c r="AJ7" s="747">
        <f t="shared" ref="AJ7:AJ38" si="15">IF(COUNTIF(W7:AI7,"&gt;0")+1&gt;3,1,0)</f>
        <v>1</v>
      </c>
      <c r="AK7" s="747">
        <f t="shared" ref="AK7:AK38" si="16">IF(AJ7=1,O7,"")</f>
        <v>94</v>
      </c>
      <c r="AL7" s="1212" t="str">
        <f t="shared" ref="AL7:AL38" si="17">IFERROR("edasi "&amp;RANK(AK7,AK$7:AK$62,0),I7)</f>
        <v>edasi 1</v>
      </c>
      <c r="AM7" s="1215" t="str">
        <f>IFERROR(INDEX('V-Fin'!A$300:AJ$400&amp;".",MATCH("*"&amp;J7&amp;"*",'V-Fin'!B$300:B$400,0)),"  ")</f>
        <v>5.</v>
      </c>
      <c r="AN7" s="337">
        <f t="shared" ref="AN7:AN38" si="18">COUNTIF(W7:AI7,"&gt;=0")</f>
        <v>13</v>
      </c>
      <c r="AO7" s="336">
        <f t="shared" ref="AO7:AO38" si="19">IFERROR(IF(W7+1&gt;LARGE(W$7:W$62,1)-2,1),0)+IFERROR(IF(X7+1&gt;LARGE(X$7:X$62,1)-2,1),0)+IFERROR(IF(Y7+1&gt;LARGE(Y$7:Y$62,1)-2,1),0)+IFERROR(IF(Z7+1&gt;LARGE(Z$7:Z$62,1)-2,1),0)+IFERROR(IF(AA7+1&gt;LARGE(AA$7:AA$62,1)-2,1),0)+IFERROR(IF(AB7+1&gt;LARGE(AB$7:AB$62,1)-2,1),0)+IFERROR(IF(AC7+1&gt;LARGE(AC$7:AC$62,1)-2,1),0)+IFERROR(IF(AD7+1&gt;LARGE(AD$7:AD$62,1)-2,1),0)+IFERROR(IF(AE7+1&gt;LARGE(AE$7:AE$62,1)-2,1),0)+IFERROR(IF(AF7+1&gt;LARGE(AF$7:AF$62,1)-2,1),0)+IFERROR(IF(AG7+1&gt;LARGE(AG$7:AG$62,1)-2,1),0)+IFERROR(IF(AH7+1&gt;LARGE(AH$7:AH$62,1)-2,1),0)+IFERROR(IF(AI7+1&gt;LARGE(AI$7:AI$62,1)-2,1),0)</f>
        <v>2</v>
      </c>
      <c r="AP7" s="336">
        <f t="shared" ref="AP7:AP38" si="20">IF(W7=0,0,IF(W7=IFERROR(LARGE(W$7:W$62,1),0),1,0))+IF(X7=0,0,IF(X7=IFERROR(LARGE(X$7:X$62,1),0),1,0))+IF(Y7=0,0,IF(Y7=IFERROR(LARGE(Y$7:Y$62,1),0),1,0))+IF(Z7=0,0,IF(Z7=IFERROR(LARGE(Z$7:Z$62,1),0),1,0))+IF(AA7=0,0,IF(AA7=IFERROR(LARGE(AA$7:AA$62,1),0),1,0))+IF(AB7=0,0,IF(AB7=IFERROR(LARGE(AB$7:AB$62,1),0),1,0))+IF(AC7=0,0,IF(AC7=IFERROR(LARGE(AC$7:AC$62,1),0),1,0))+IF(AD7=0,0,IF(AD7=IFERROR(LARGE(AD$7:AD$62,1),0),1,0))+IF(AE7=0,0,IF(AE7=IFERROR(LARGE(AE$7:AE$62,1),0),1,0))+IF(AF7=0,0,IF(AF7=IFERROR(LARGE(AF$7:AF$62,1),0),1,0))+IF(AG7=0,0,IF(AG7=IFERROR(LARGE(AG$7:AG$62,1),0),1,0))+IF(AH7=0,0,IF(AH7=IFERROR(LARGE(AH$7:AH$62,1),0),1,0))+IF(AI7=0,0,IF(AI7=IFERROR(LARGE(AI$7:AI$62,1),0),1,0))</f>
        <v>0</v>
      </c>
    </row>
    <row r="8" spans="1:42" ht="12.6" customHeight="1" x14ac:dyDescent="0.2">
      <c r="A8" s="1201" t="str">
        <f t="shared" si="0"/>
        <v/>
      </c>
      <c r="B8" s="740">
        <f t="shared" si="1"/>
        <v>-998</v>
      </c>
      <c r="C8" s="1221">
        <f t="shared" si="2"/>
        <v>2</v>
      </c>
      <c r="D8" s="1193">
        <f t="shared" si="3"/>
        <v>2</v>
      </c>
      <c r="E8" s="1195" t="str">
        <f t="shared" si="4"/>
        <v/>
      </c>
      <c r="F8" s="1193">
        <f t="shared" si="5"/>
        <v>-998</v>
      </c>
      <c r="G8" s="1207" t="str">
        <f t="shared" si="6"/>
        <v/>
      </c>
      <c r="H8" s="1193">
        <f t="shared" ref="H8:H62" si="21">IF((M8="j"),R8,R8-1000)</f>
        <v>-998</v>
      </c>
      <c r="I8" s="741">
        <f t="shared" si="7"/>
        <v>2</v>
      </c>
      <c r="J8" s="750" t="s">
        <v>197</v>
      </c>
      <c r="K8" s="743"/>
      <c r="L8" s="1198" t="str">
        <f t="shared" ref="L8:L62" si="22">IF(K8="","m","")</f>
        <v>m</v>
      </c>
      <c r="M8" s="744"/>
      <c r="N8" s="745"/>
      <c r="O8" s="751">
        <f t="shared" si="8"/>
        <v>89</v>
      </c>
      <c r="P8" s="746" t="str">
        <f>INDEX(ETAPP!B$1:B$32,MATCH(COUNTIF(W8:AI8,PVO!A$1),ETAPP!A$1:A$32,0))&amp;INDEX(ETAPP!B$1:B$32,MATCH(COUNTIF(W8:AI8,PVO!A$2),ETAPP!A$1:A$32,0))&amp;INDEX(ETAPP!B$1:B$32,MATCH(COUNTIF(W8:AI8,PVO!A$3),ETAPP!A$1:A$32,0))&amp;INDEX(ETAPP!B$1:B$32,MATCH(COUNTIF(W8:AI8,PVO!A$4),ETAPP!A$1:A$32,0))&amp;INDEX(ETAPP!B$1:B$32,MATCH(COUNTIF(W8:AI8,PVO!A$5),ETAPP!A$1:A$32,0))&amp;INDEX(ETAPP!B$1:B$32,MATCH(COUNTIF(W8:AI8,PVO!A$6),ETAPP!A$1:A$32,0))&amp;INDEX(ETAPP!B$1:B$32,MATCH(COUNTIF(W8:AI8,PVO!A$7),ETAPP!A$1:A$32,0))&amp;INDEX(ETAPP!B$1:B$32,MATCH(COUNTIF(W8:AI8,PVO!A$8),ETAPP!A$1:A$32,0))&amp;INDEX(ETAPP!B$1:B$32,MATCH(COUNTIF(W8:AI8,PVO!A$9),ETAPP!A$1:A$32,0))&amp;INDEX(ETAPP!B$1:B$32,MATCH(COUNTIF(W8:AI8,PVO!A$10),ETAPP!A$1:A$32,0))&amp;INDEX(ETAPP!B$1:B$32,MATCH(COUNTIF(W8:AI8,PVO!A$11),ETAPP!A$1:A$32,0))&amp;INDEX(ETAPP!B$1:B$32,MATCH(COUNTIF(W8:AI8,PVO!A$12),ETAPP!A$1:A$32,0))&amp;INDEX(ETAPP!B$1:B$32,MATCH(COUNTIF(W8:AI8,PVO!A$13),ETAPP!A$1:A$32,0))&amp;INDEX(ETAPP!B$1:B$32,MATCH(COUNTIF(W8:AI8,PVO!A$14),ETAPP!A$1:A$32,0))&amp;INDEX(ETAPP!B$1:B$32,MATCH(COUNTIF(W8:AI8,PVO!A$15),ETAPP!A$1:A$32,0))&amp;INDEX(ETAPP!B$1:B$32,MATCH(COUNTIF(W8:AI8,PVO!A$16),ETAPP!A$1:A$32,0))&amp;INDEX(ETAPP!B$1:B$32,MATCH(COUNTIF(W8:AI8,PVO!A$17),ETAPP!A$1:A$32,0))&amp;INDEX(ETAPP!B$1:B$32,MATCH(COUNTIF(W8:AI8,PVO!A$18),ETAPP!A$1:A$32,0))&amp;INDEX(ETAPP!B$1:B$32,MATCH(COUNTIF(W8:AI8,PVO!A$19),ETAPP!A$1:A$32,0))</f>
        <v>000000CAB0B0BA0000B</v>
      </c>
      <c r="Q8" s="746" t="str">
        <f t="shared" si="9"/>
        <v>089,0-000000CAB0B0BA0000B</v>
      </c>
      <c r="R8" s="746">
        <f t="shared" si="10"/>
        <v>2</v>
      </c>
      <c r="S8" s="746">
        <f t="shared" si="11"/>
        <v>48</v>
      </c>
      <c r="T8" s="746" t="str">
        <f t="shared" si="12"/>
        <v>089,0-000000CAB0B0BA0000B-048</v>
      </c>
      <c r="U8" s="746">
        <f t="shared" si="13"/>
        <v>2</v>
      </c>
      <c r="V8" s="746">
        <f t="shared" si="14"/>
        <v>55</v>
      </c>
      <c r="W8" s="679">
        <f>IFERROR(INDEX('V1'!C$300:C$400,MATCH("*"&amp;J8&amp;"*",'V1'!B$300:B$400,0)),"  ")</f>
        <v>4</v>
      </c>
      <c r="X8" s="679" t="str">
        <f>IFERROR(INDEX('V2'!C$300:C$400,MATCH("*"&amp;J8&amp;"*",'V2'!B$300:B$400,0)),"  ")</f>
        <v xml:space="preserve">  </v>
      </c>
      <c r="Y8" s="679">
        <f>IFERROR(INDEX('V3'!C$300:C$400,MATCH("*"&amp;J8&amp;"*",'V3'!B$300:B$400,0)),"  ")</f>
        <v>11</v>
      </c>
      <c r="Z8" s="679">
        <f>IFERROR(INDEX('V4'!C$300:C$400,MATCH("*"&amp;J8&amp;"*",'V4'!B$300:B$400,0)),"  ")</f>
        <v>5</v>
      </c>
      <c r="AA8" s="679">
        <f>IFERROR(INDEX('V5'!C$300:C$400,MATCH("*"&amp;J8&amp;"*",'V5'!B$300:B$400,0)),"  ")</f>
        <v>9</v>
      </c>
      <c r="AB8" s="679">
        <f>IFERROR(INDEX('V6'!C$300:C$400,MATCH("*"&amp;J8&amp;"*",'V6'!B$300:B$400,0)),"  ")</f>
        <v>5</v>
      </c>
      <c r="AC8" s="679" t="str">
        <f>IFERROR(INDEX('V7'!C$300:C$400,MATCH("*"&amp;J8&amp;"*",'V7'!B$300:B$400,0)),"  ")</f>
        <v xml:space="preserve">  </v>
      </c>
      <c r="AD8" s="679">
        <f>IFERROR(INDEX('V8'!C$300:C$400,MATCH("*"&amp;J8&amp;"*",'V8'!B$300:B$400,0)),"  ")</f>
        <v>9</v>
      </c>
      <c r="AE8" s="679">
        <f>IFERROR(INDEX('V9'!C$300:C$400,MATCH("*"&amp;J8&amp;"*",'V9'!B$300:B$400,0)),"  ")</f>
        <v>7</v>
      </c>
      <c r="AF8" s="679">
        <f>IFERROR(INDEX('V10'!C$300:C$400,MATCH("*"&amp;J8&amp;"*",'V10'!B$300:B$400,0)),"  ")</f>
        <v>11</v>
      </c>
      <c r="AG8" s="679">
        <f>IFERROR(INDEX('V11'!C$300:C$400,MATCH("*"&amp;J8&amp;"*",'V11'!B$300:B$400,0)),"  ")</f>
        <v>7</v>
      </c>
      <c r="AH8" s="679">
        <f>IFERROR(INDEX('V12'!C$300:C$400,MATCH("*"&amp;J8&amp;"*",'V12'!B$300:B$400,0)),"  ")</f>
        <v>10</v>
      </c>
      <c r="AI8" s="679">
        <f>IFERROR(INDEX('V13'!C$300:C$400,MATCH("*"&amp;J8&amp;"*",'V13'!B$300:B$400,0)),"  ")</f>
        <v>11</v>
      </c>
      <c r="AJ8" s="747">
        <f t="shared" si="15"/>
        <v>1</v>
      </c>
      <c r="AK8" s="747">
        <f t="shared" si="16"/>
        <v>89</v>
      </c>
      <c r="AL8" s="1212" t="str">
        <f t="shared" si="17"/>
        <v>edasi 2</v>
      </c>
      <c r="AM8" s="1215" t="str">
        <f>IFERROR(INDEX('V-Fin'!A$300:AJ$400&amp;".",MATCH("*"&amp;J8&amp;"*",'V-Fin'!B$300:B$400,0)),"  ")</f>
        <v>4.</v>
      </c>
      <c r="AN8" s="337">
        <f t="shared" si="18"/>
        <v>11</v>
      </c>
      <c r="AO8" s="336">
        <f t="shared" si="19"/>
        <v>3</v>
      </c>
      <c r="AP8" s="336">
        <f t="shared" si="20"/>
        <v>2</v>
      </c>
    </row>
    <row r="9" spans="1:42" ht="12.6" customHeight="1" x14ac:dyDescent="0.2">
      <c r="A9" s="1201" t="str">
        <f t="shared" si="0"/>
        <v/>
      </c>
      <c r="B9" s="740">
        <f t="shared" si="1"/>
        <v>-997</v>
      </c>
      <c r="C9" s="1199" t="str">
        <f t="shared" si="2"/>
        <v/>
      </c>
      <c r="D9" s="1193">
        <f t="shared" si="3"/>
        <v>-997</v>
      </c>
      <c r="E9" s="1219">
        <f t="shared" si="4"/>
        <v>1</v>
      </c>
      <c r="F9" s="1193">
        <f t="shared" si="5"/>
        <v>3</v>
      </c>
      <c r="G9" s="1207" t="str">
        <f t="shared" si="6"/>
        <v/>
      </c>
      <c r="H9" s="1193">
        <f t="shared" si="21"/>
        <v>-997</v>
      </c>
      <c r="I9" s="741">
        <f t="shared" si="7"/>
        <v>3</v>
      </c>
      <c r="J9" s="742" t="s">
        <v>205</v>
      </c>
      <c r="K9" s="743" t="s">
        <v>359</v>
      </c>
      <c r="L9" s="1198" t="str">
        <f t="shared" si="22"/>
        <v/>
      </c>
      <c r="M9" s="744"/>
      <c r="N9" s="745"/>
      <c r="O9" s="751">
        <f t="shared" si="8"/>
        <v>86</v>
      </c>
      <c r="P9" s="746" t="str">
        <f>INDEX(ETAPP!B$1:B$32,MATCH(COUNTIF(W9:AI9,PVO!A$1),ETAPP!A$1:A$32,0))&amp;INDEX(ETAPP!B$1:B$32,MATCH(COUNTIF(W9:AI9,PVO!A$2),ETAPP!A$1:A$32,0))&amp;INDEX(ETAPP!B$1:B$32,MATCH(COUNTIF(W9:AI9,PVO!A$3),ETAPP!A$1:A$32,0))&amp;INDEX(ETAPP!B$1:B$32,MATCH(COUNTIF(W9:AI9,PVO!A$4),ETAPP!A$1:A$32,0))&amp;INDEX(ETAPP!B$1:B$32,MATCH(COUNTIF(W9:AI9,PVO!A$5),ETAPP!A$1:A$32,0))&amp;INDEX(ETAPP!B$1:B$32,MATCH(COUNTIF(W9:AI9,PVO!A$6),ETAPP!A$1:A$32,0))&amp;INDEX(ETAPP!B$1:B$32,MATCH(COUNTIF(W9:AI9,PVO!A$7),ETAPP!A$1:A$32,0))&amp;INDEX(ETAPP!B$1:B$32,MATCH(COUNTIF(W9:AI9,PVO!A$8),ETAPP!A$1:A$32,0))&amp;INDEX(ETAPP!B$1:B$32,MATCH(COUNTIF(W9:AI9,PVO!A$9),ETAPP!A$1:A$32,0))&amp;INDEX(ETAPP!B$1:B$32,MATCH(COUNTIF(W9:AI9,PVO!A$10),ETAPP!A$1:A$32,0))&amp;INDEX(ETAPP!B$1:B$32,MATCH(COUNTIF(W9:AI9,PVO!A$11),ETAPP!A$1:A$32,0))&amp;INDEX(ETAPP!B$1:B$32,MATCH(COUNTIF(W9:AI9,PVO!A$12),ETAPP!A$1:A$32,0))&amp;INDEX(ETAPP!B$1:B$32,MATCH(COUNTIF(W9:AI9,PVO!A$13),ETAPP!A$1:A$32,0))&amp;INDEX(ETAPP!B$1:B$32,MATCH(COUNTIF(W9:AI9,PVO!A$14),ETAPP!A$1:A$32,0))&amp;INDEX(ETAPP!B$1:B$32,MATCH(COUNTIF(W9:AI9,PVO!A$15),ETAPP!A$1:A$32,0))&amp;INDEX(ETAPP!B$1:B$32,MATCH(COUNTIF(W9:AI9,PVO!A$16),ETAPP!A$1:A$32,0))&amp;INDEX(ETAPP!B$1:B$32,MATCH(COUNTIF(W9:AI9,PVO!A$17),ETAPP!A$1:A$32,0))&amp;INDEX(ETAPP!B$1:B$32,MATCH(COUNTIF(W9:AI9,PVO!A$18),ETAPP!A$1:A$32,0))&amp;INDEX(ETAPP!B$1:B$32,MATCH(COUNTIF(W9:AI9,PVO!A$19),ETAPP!A$1:A$32,0))</f>
        <v>00B0000C0B0A0A0000D</v>
      </c>
      <c r="Q9" s="746" t="str">
        <f t="shared" si="9"/>
        <v>086,0-00B0000C0B0A0A0000D</v>
      </c>
      <c r="R9" s="746">
        <f t="shared" si="10"/>
        <v>3</v>
      </c>
      <c r="S9" s="746">
        <f t="shared" si="11"/>
        <v>13</v>
      </c>
      <c r="T9" s="746" t="str">
        <f t="shared" si="12"/>
        <v>086,0-00B0000C0B0A0A0000D-013</v>
      </c>
      <c r="U9" s="746">
        <f t="shared" si="13"/>
        <v>3</v>
      </c>
      <c r="V9" s="746">
        <f t="shared" si="14"/>
        <v>54</v>
      </c>
      <c r="W9" s="679" t="str">
        <f>IFERROR(INDEX('V1'!C$300:C$400,MATCH("*"&amp;J9&amp;"*",'V1'!B$300:B$400,0)),"  ")</f>
        <v xml:space="preserve">  </v>
      </c>
      <c r="X9" s="679">
        <f>IFERROR(INDEX('V2'!C$300:C$400,MATCH("*"&amp;J9&amp;"*",'V2'!B$300:B$400,0)),"  ")</f>
        <v>10</v>
      </c>
      <c r="Y9" s="679" t="str">
        <f>IFERROR(INDEX('V3'!C$300:C$400,MATCH("*"&amp;J9&amp;"*",'V3'!B$300:B$400,0)),"  ")</f>
        <v xml:space="preserve">  </v>
      </c>
      <c r="Z9" s="679" t="str">
        <f>IFERROR(INDEX('V4'!C$300:C$400,MATCH("*"&amp;J9&amp;"*",'V4'!B$300:B$400,0)),"  ")</f>
        <v xml:space="preserve">  </v>
      </c>
      <c r="AA9" s="679">
        <f>IFERROR(INDEX('V5'!C$300:C$400,MATCH("*"&amp;J9&amp;"*",'V5'!B$300:B$400,0)),"  ")</f>
        <v>8</v>
      </c>
      <c r="AB9" s="679">
        <f>IFERROR(INDEX('V6'!C$300:C$400,MATCH("*"&amp;J9&amp;"*",'V6'!B$300:B$400,0)),"  ")</f>
        <v>4</v>
      </c>
      <c r="AC9" s="679">
        <f>IFERROR(INDEX('V7'!C$300:C$400,MATCH("*"&amp;J9&amp;"*",'V7'!B$300:B$400,0)),"  ")</f>
        <v>6</v>
      </c>
      <c r="AD9" s="679">
        <f>IFERROR(INDEX('V8'!C$300:C$400,MATCH("*"&amp;J9&amp;"*",'V8'!B$300:B$400,0)),"  ")</f>
        <v>8</v>
      </c>
      <c r="AE9" s="679" t="str">
        <f>IFERROR(INDEX('V9'!C$300:C$400,MATCH("*"&amp;J9&amp;"*",'V9'!B$300:B$400,0)),"  ")</f>
        <v xml:space="preserve">  </v>
      </c>
      <c r="AF9" s="679">
        <f>IFERROR(INDEX('V10'!C$300:C$400,MATCH("*"&amp;J9&amp;"*",'V10'!B$300:B$400,0)),"  ")</f>
        <v>10</v>
      </c>
      <c r="AG9" s="679">
        <f>IFERROR(INDEX('V11'!C$300:C$400,MATCH("*"&amp;J9&amp;"*",'V11'!B$300:B$400,0)),"  ")</f>
        <v>10</v>
      </c>
      <c r="AH9" s="679">
        <f>IFERROR(INDEX('V12'!C$300:C$400,MATCH("*"&amp;J9&amp;"*",'V12'!B$300:B$400,0)),"  ")</f>
        <v>15</v>
      </c>
      <c r="AI9" s="679">
        <f>IFERROR(INDEX('V13'!C$300:C$400,MATCH("*"&amp;J9&amp;"*",'V13'!B$300:B$400,0)),"  ")</f>
        <v>15</v>
      </c>
      <c r="AJ9" s="747">
        <f t="shared" si="15"/>
        <v>1</v>
      </c>
      <c r="AK9" s="747">
        <f t="shared" si="16"/>
        <v>86</v>
      </c>
      <c r="AL9" s="1212" t="str">
        <f t="shared" si="17"/>
        <v>edasi 3</v>
      </c>
      <c r="AM9" s="1215" t="str">
        <f>IFERROR(INDEX('V-Fin'!A$300:AJ$400&amp;".",MATCH("*"&amp;J9&amp;"*",'V-Fin'!B$300:B$400,0)),"  ")</f>
        <v xml:space="preserve">  </v>
      </c>
      <c r="AN9" s="337">
        <f t="shared" si="18"/>
        <v>9</v>
      </c>
      <c r="AO9" s="336">
        <f t="shared" si="19"/>
        <v>5</v>
      </c>
      <c r="AP9" s="336">
        <f t="shared" si="20"/>
        <v>3</v>
      </c>
    </row>
    <row r="10" spans="1:42" ht="12.6" customHeight="1" x14ac:dyDescent="0.2">
      <c r="A10" s="1201" t="str">
        <f t="shared" si="0"/>
        <v/>
      </c>
      <c r="B10" s="740">
        <f t="shared" si="1"/>
        <v>-996</v>
      </c>
      <c r="C10" s="1224">
        <f t="shared" si="2"/>
        <v>3</v>
      </c>
      <c r="D10" s="1193">
        <f t="shared" si="3"/>
        <v>4</v>
      </c>
      <c r="E10" s="1195" t="str">
        <f t="shared" si="4"/>
        <v/>
      </c>
      <c r="F10" s="1193">
        <f t="shared" si="5"/>
        <v>-996</v>
      </c>
      <c r="G10" s="1207" t="str">
        <f t="shared" si="6"/>
        <v/>
      </c>
      <c r="H10" s="1193">
        <f t="shared" si="21"/>
        <v>-996</v>
      </c>
      <c r="I10" s="741">
        <f t="shared" si="7"/>
        <v>4</v>
      </c>
      <c r="J10" s="1401" t="s">
        <v>196</v>
      </c>
      <c r="K10" s="743"/>
      <c r="L10" s="1198" t="str">
        <f t="shared" si="22"/>
        <v>m</v>
      </c>
      <c r="M10" s="744"/>
      <c r="N10" s="745"/>
      <c r="O10" s="751">
        <f t="shared" si="8"/>
        <v>82.5</v>
      </c>
      <c r="P10" s="746" t="str">
        <f>INDEX(ETAPP!B$1:B$32,MATCH(COUNTIF(W10:AI10,PVO!A$1),ETAPP!A$1:A$32,0))&amp;INDEX(ETAPP!B$1:B$32,MATCH(COUNTIF(W10:AI10,PVO!A$2),ETAPP!A$1:A$32,0))&amp;INDEX(ETAPP!B$1:B$32,MATCH(COUNTIF(W10:AI10,PVO!A$3),ETAPP!A$1:A$32,0))&amp;INDEX(ETAPP!B$1:B$32,MATCH(COUNTIF(W10:AI10,PVO!A$4),ETAPP!A$1:A$32,0))&amp;INDEX(ETAPP!B$1:B$32,MATCH(COUNTIF(W10:AI10,PVO!A$5),ETAPP!A$1:A$32,0))&amp;INDEX(ETAPP!B$1:B$32,MATCH(COUNTIF(W10:AI10,PVO!A$6),ETAPP!A$1:A$32,0))&amp;INDEX(ETAPP!B$1:B$32,MATCH(COUNTIF(W10:AI10,PVO!A$7),ETAPP!A$1:A$32,0))&amp;INDEX(ETAPP!B$1:B$32,MATCH(COUNTIF(W10:AI10,PVO!A$8),ETAPP!A$1:A$32,0))&amp;INDEX(ETAPP!B$1:B$32,MATCH(COUNTIF(W10:AI10,PVO!A$9),ETAPP!A$1:A$32,0))&amp;INDEX(ETAPP!B$1:B$32,MATCH(COUNTIF(W10:AI10,PVO!A$10),ETAPP!A$1:A$32,0))&amp;INDEX(ETAPP!B$1:B$32,MATCH(COUNTIF(W10:AI10,PVO!A$11),ETAPP!A$1:A$32,0))&amp;INDEX(ETAPP!B$1:B$32,MATCH(COUNTIF(W10:AI10,PVO!A$12),ETAPP!A$1:A$32,0))&amp;INDEX(ETAPP!B$1:B$32,MATCH(COUNTIF(W10:AI10,PVO!A$13),ETAPP!A$1:A$32,0))&amp;INDEX(ETAPP!B$1:B$32,MATCH(COUNTIF(W10:AI10,PVO!A$14),ETAPP!A$1:A$32,0))&amp;INDEX(ETAPP!B$1:B$32,MATCH(COUNTIF(W10:AI10,PVO!A$15),ETAPP!A$1:A$32,0))&amp;INDEX(ETAPP!B$1:B$32,MATCH(COUNTIF(W10:AI10,PVO!A$16),ETAPP!A$1:A$32,0))&amp;INDEX(ETAPP!B$1:B$32,MATCH(COUNTIF(W10:AI10,PVO!A$17),ETAPP!A$1:A$32,0))&amp;INDEX(ETAPP!B$1:B$32,MATCH(COUNTIF(W10:AI10,PVO!A$18),ETAPP!A$1:A$32,0))&amp;INDEX(ETAPP!B$1:B$32,MATCH(COUNTIF(W10:AI10,PVO!A$19),ETAPP!A$1:A$32,0))</f>
        <v>0000B0ABA0A0A0A000C</v>
      </c>
      <c r="Q10" s="746" t="str">
        <f t="shared" si="9"/>
        <v>082,5-0000B0ABA0A0A0A000C</v>
      </c>
      <c r="R10" s="746">
        <f t="shared" si="10"/>
        <v>4</v>
      </c>
      <c r="S10" s="746">
        <f t="shared" si="11"/>
        <v>38</v>
      </c>
      <c r="T10" s="746" t="str">
        <f t="shared" si="12"/>
        <v>082,5-0000B0ABA0A0A0A000C-038</v>
      </c>
      <c r="U10" s="746">
        <f t="shared" si="13"/>
        <v>4</v>
      </c>
      <c r="V10" s="746">
        <f t="shared" si="14"/>
        <v>53</v>
      </c>
      <c r="W10" s="679">
        <f>IFERROR(INDEX('V1'!C$300:C$400,MATCH("*"&amp;J10&amp;"*",'V1'!B$300:B$400,0)),"  ")</f>
        <v>10</v>
      </c>
      <c r="X10" s="679" t="str">
        <f>IFERROR(INDEX('V2'!C$300:C$400,MATCH("*"&amp;J10&amp;"*",'V2'!B$300:B$400,0)),"  ")</f>
        <v xml:space="preserve">  </v>
      </c>
      <c r="Y10" s="679">
        <f>IFERROR(INDEX('V3'!C$300:C$400,MATCH("*"&amp;J10&amp;"*",'V3'!B$300:B$400,0)),"  ")</f>
        <v>3</v>
      </c>
      <c r="Z10" s="679" t="str">
        <f>IFERROR(INDEX('V4'!C$300:C$400,MATCH("*"&amp;J10&amp;"*",'V4'!B$300:B$400,0)),"  ")</f>
        <v xml:space="preserve">  </v>
      </c>
      <c r="AA10" s="679">
        <f>IFERROR(INDEX('V5'!C$300:C$400,MATCH("*"&amp;J10&amp;"*",'V5'!B$300:B$400,0)),"  ")</f>
        <v>11</v>
      </c>
      <c r="AB10" s="679">
        <f>IFERROR(INDEX('V6'!C$300:C$400,MATCH("*"&amp;J10&amp;"*",'V6'!B$300:B$400,0)),"  ")</f>
        <v>13</v>
      </c>
      <c r="AC10" s="679">
        <f>IFERROR(INDEX('V7'!C$300:C$400,MATCH("*"&amp;J10&amp;"*",'V7'!B$300:B$400,0)),"  ")</f>
        <v>9</v>
      </c>
      <c r="AD10" s="679">
        <f>IFERROR(INDEX('V8'!C$300:C$400,MATCH("*"&amp;J10&amp;"*",'V8'!B$300:B$400,0)),"  ")</f>
        <v>13</v>
      </c>
      <c r="AE10" s="679">
        <f>IFERROR(INDEX('V9'!C$300:C$400,MATCH("*"&amp;J10&amp;"*",'V9'!B$300:B$400,0)),"  ")</f>
        <v>5</v>
      </c>
      <c r="AF10" s="679">
        <f>IFERROR(INDEX('V10'!C$300:C$400,MATCH("*"&amp;J10&amp;"*",'V10'!B$300:B$400,0)),"  ")</f>
        <v>7</v>
      </c>
      <c r="AG10" s="679" t="str">
        <f>IFERROR(INDEX('V11'!C$300:C$400,MATCH("*"&amp;J10&amp;"*",'V11'!B$300:B$400,0)),"  ")</f>
        <v xml:space="preserve">  </v>
      </c>
      <c r="AH10" s="679">
        <f>IFERROR(INDEX('V12'!C$300:C$400,MATCH("*"&amp;J10&amp;"*",'V12'!B$300:B$400,0)),"  ")</f>
        <v>1.5</v>
      </c>
      <c r="AI10" s="679">
        <f>IFERROR(INDEX('V13'!C$300:C$400,MATCH("*"&amp;J10&amp;"*",'V13'!B$300:B$400,0)),"  ")</f>
        <v>10</v>
      </c>
      <c r="AJ10" s="747">
        <f t="shared" si="15"/>
        <v>1</v>
      </c>
      <c r="AK10" s="747">
        <f t="shared" si="16"/>
        <v>82.5</v>
      </c>
      <c r="AL10" s="1212" t="str">
        <f t="shared" si="17"/>
        <v>edasi 4</v>
      </c>
      <c r="AM10" s="1215" t="str">
        <f>IFERROR(INDEX('V-Fin'!A$300:AJ$400&amp;".",MATCH("*"&amp;J10&amp;"*",'V-Fin'!B$300:B$400,0)),"  ")</f>
        <v>8.</v>
      </c>
      <c r="AN10" s="337">
        <f t="shared" si="18"/>
        <v>10</v>
      </c>
      <c r="AO10" s="336">
        <f t="shared" si="19"/>
        <v>5</v>
      </c>
      <c r="AP10" s="336">
        <f t="shared" si="20"/>
        <v>5</v>
      </c>
    </row>
    <row r="11" spans="1:42" ht="12.6" customHeight="1" x14ac:dyDescent="0.2">
      <c r="A11" s="1201">
        <f t="shared" si="0"/>
        <v>2</v>
      </c>
      <c r="B11" s="740">
        <f t="shared" si="1"/>
        <v>5</v>
      </c>
      <c r="C11" s="1199">
        <f t="shared" si="2"/>
        <v>4</v>
      </c>
      <c r="D11" s="1193">
        <f t="shared" si="3"/>
        <v>5</v>
      </c>
      <c r="E11" s="1195" t="str">
        <f t="shared" si="4"/>
        <v/>
      </c>
      <c r="F11" s="1193">
        <f t="shared" si="5"/>
        <v>-995</v>
      </c>
      <c r="G11" s="1207" t="str">
        <f t="shared" si="6"/>
        <v/>
      </c>
      <c r="H11" s="1193">
        <f t="shared" si="21"/>
        <v>-995</v>
      </c>
      <c r="I11" s="741">
        <f t="shared" si="7"/>
        <v>5</v>
      </c>
      <c r="J11" s="1402" t="s">
        <v>246</v>
      </c>
      <c r="K11" s="743"/>
      <c r="L11" s="1198" t="str">
        <f t="shared" si="22"/>
        <v>m</v>
      </c>
      <c r="M11" s="744"/>
      <c r="N11" s="745" t="s">
        <v>230</v>
      </c>
      <c r="O11" s="751">
        <f t="shared" si="8"/>
        <v>80</v>
      </c>
      <c r="P11" s="746" t="str">
        <f>INDEX(ETAPP!B$1:B$32,MATCH(COUNTIF(W11:AI11,PVO!A$1),ETAPP!A$1:A$32,0))&amp;INDEX(ETAPP!B$1:B$32,MATCH(COUNTIF(W11:AI11,PVO!A$2),ETAPP!A$1:A$32,0))&amp;INDEX(ETAPP!B$1:B$32,MATCH(COUNTIF(W11:AI11,PVO!A$3),ETAPP!A$1:A$32,0))&amp;INDEX(ETAPP!B$1:B$32,MATCH(COUNTIF(W11:AI11,PVO!A$4),ETAPP!A$1:A$32,0))&amp;INDEX(ETAPP!B$1:B$32,MATCH(COUNTIF(W11:AI11,PVO!A$5),ETAPP!A$1:A$32,0))&amp;INDEX(ETAPP!B$1:B$32,MATCH(COUNTIF(W11:AI11,PVO!A$6),ETAPP!A$1:A$32,0))&amp;INDEX(ETAPP!B$1:B$32,MATCH(COUNTIF(W11:AI11,PVO!A$7),ETAPP!A$1:A$32,0))&amp;INDEX(ETAPP!B$1:B$32,MATCH(COUNTIF(W11:AI11,PVO!A$8),ETAPP!A$1:A$32,0))&amp;INDEX(ETAPP!B$1:B$32,MATCH(COUNTIF(W11:AI11,PVO!A$9),ETAPP!A$1:A$32,0))&amp;INDEX(ETAPP!B$1:B$32,MATCH(COUNTIF(W11:AI11,PVO!A$10),ETAPP!A$1:A$32,0))&amp;INDEX(ETAPP!B$1:B$32,MATCH(COUNTIF(W11:AI11,PVO!A$11),ETAPP!A$1:A$32,0))&amp;INDEX(ETAPP!B$1:B$32,MATCH(COUNTIF(W11:AI11,PVO!A$12),ETAPP!A$1:A$32,0))&amp;INDEX(ETAPP!B$1:B$32,MATCH(COUNTIF(W11:AI11,PVO!A$13),ETAPP!A$1:A$32,0))&amp;INDEX(ETAPP!B$1:B$32,MATCH(COUNTIF(W11:AI11,PVO!A$14),ETAPP!A$1:A$32,0))&amp;INDEX(ETAPP!B$1:B$32,MATCH(COUNTIF(W11:AI11,PVO!A$15),ETAPP!A$1:A$32,0))&amp;INDEX(ETAPP!B$1:B$32,MATCH(COUNTIF(W11:AI11,PVO!A$16),ETAPP!A$1:A$32,0))&amp;INDEX(ETAPP!B$1:B$32,MATCH(COUNTIF(W11:AI11,PVO!A$17),ETAPP!A$1:A$32,0))&amp;INDEX(ETAPP!B$1:B$32,MATCH(COUNTIF(W11:AI11,PVO!A$18),ETAPP!A$1:A$32,0))&amp;INDEX(ETAPP!B$1:B$32,MATCH(COUNTIF(W11:AI11,PVO!A$19),ETAPP!A$1:A$32,0))</f>
        <v>000AA0000D0AAAAAA0A</v>
      </c>
      <c r="Q11" s="746" t="str">
        <f t="shared" si="9"/>
        <v>080,0-000AA0000D0AAAAAA0A</v>
      </c>
      <c r="R11" s="746">
        <f t="shared" si="10"/>
        <v>5</v>
      </c>
      <c r="S11" s="746">
        <f t="shared" si="11"/>
        <v>29</v>
      </c>
      <c r="T11" s="746" t="str">
        <f t="shared" si="12"/>
        <v>080,0-000AA0000D0AAAAAA0A-029</v>
      </c>
      <c r="U11" s="746">
        <f t="shared" si="13"/>
        <v>5</v>
      </c>
      <c r="V11" s="746">
        <f t="shared" si="14"/>
        <v>52</v>
      </c>
      <c r="W11" s="679">
        <f>IFERROR(INDEX('V1'!C$300:C$400,MATCH("*"&amp;J11&amp;"*",'V1'!B$300:B$400,0)),"  ")</f>
        <v>8</v>
      </c>
      <c r="X11" s="679">
        <f>IFERROR(INDEX('V2'!C$300:C$400,MATCH("*"&amp;J11&amp;"*",'V2'!B$300:B$400,0)),"  ")</f>
        <v>8</v>
      </c>
      <c r="Y11" s="679">
        <f>IFERROR(INDEX('V3'!C$300:C$400,MATCH("*"&amp;J11&amp;"*",'V3'!B$300:B$400,0)),"  ")</f>
        <v>4</v>
      </c>
      <c r="Z11" s="679" t="str">
        <f>IFERROR(INDEX('V4'!C$300:C$400,MATCH("*"&amp;J11&amp;"*",'V4'!B$300:B$400,0)),"  ")</f>
        <v xml:space="preserve">  </v>
      </c>
      <c r="AA11" s="679">
        <f>IFERROR(INDEX('V5'!C$300:C$400,MATCH("*"&amp;J11&amp;"*",'V5'!B$300:B$400,0)),"  ")</f>
        <v>5</v>
      </c>
      <c r="AB11" s="679">
        <f>IFERROR(INDEX('V6'!C$300:C$400,MATCH("*"&amp;J11&amp;"*",'V6'!B$300:B$400,0)),"  ")</f>
        <v>3</v>
      </c>
      <c r="AC11" s="679">
        <f>IFERROR(INDEX('V7'!C$300:C$400,MATCH("*"&amp;J11&amp;"*",'V7'!B$300:B$400,0)),"  ")</f>
        <v>8</v>
      </c>
      <c r="AD11" s="679">
        <f>IFERROR(INDEX('V8'!C$300:C$400,MATCH("*"&amp;J11&amp;"*",'V8'!B$300:B$400,0)),"  ")</f>
        <v>6</v>
      </c>
      <c r="AE11" s="679">
        <f>IFERROR(INDEX('V9'!C$300:C$400,MATCH("*"&amp;J11&amp;"*",'V9'!B$300:B$400,0)),"  ")</f>
        <v>8</v>
      </c>
      <c r="AF11" s="679">
        <f>IFERROR(INDEX('V10'!C$300:C$400,MATCH("*"&amp;J11&amp;"*",'V10'!B$300:B$400,0)),"  ")</f>
        <v>1</v>
      </c>
      <c r="AG11" s="679">
        <f>IFERROR(INDEX('V11'!C$300:C$400,MATCH("*"&amp;J11&amp;"*",'V11'!B$300:B$400,0)),"  ")</f>
        <v>2</v>
      </c>
      <c r="AH11" s="679">
        <f>IFERROR(INDEX('V12'!C$300:C$400,MATCH("*"&amp;J11&amp;"*",'V12'!B$300:B$400,0)),"  ")</f>
        <v>14</v>
      </c>
      <c r="AI11" s="679">
        <f>IFERROR(INDEX('V13'!C$300:C$400,MATCH("*"&amp;J11&amp;"*",'V13'!B$300:B$400,0)),"  ")</f>
        <v>13</v>
      </c>
      <c r="AJ11" s="747">
        <f t="shared" si="15"/>
        <v>1</v>
      </c>
      <c r="AK11" s="747">
        <f t="shared" si="16"/>
        <v>80</v>
      </c>
      <c r="AL11" s="1212" t="str">
        <f t="shared" si="17"/>
        <v>edasi 5</v>
      </c>
      <c r="AM11" s="1215" t="str">
        <f>IFERROR(INDEX('V-Fin'!A$300:AJ$400&amp;".",MATCH("*"&amp;J11&amp;"*",'V-Fin'!B$300:B$400,0)),"  ")</f>
        <v>3.</v>
      </c>
      <c r="AN11" s="337">
        <f t="shared" si="18"/>
        <v>12</v>
      </c>
      <c r="AO11" s="336">
        <f t="shared" si="19"/>
        <v>5</v>
      </c>
      <c r="AP11" s="336">
        <f t="shared" si="20"/>
        <v>0</v>
      </c>
    </row>
    <row r="12" spans="1:42" ht="12.6" customHeight="1" x14ac:dyDescent="0.2">
      <c r="A12" s="1201" t="str">
        <f t="shared" si="0"/>
        <v/>
      </c>
      <c r="B12" s="740">
        <f t="shared" si="1"/>
        <v>-994</v>
      </c>
      <c r="C12" s="1199">
        <f t="shared" si="2"/>
        <v>5</v>
      </c>
      <c r="D12" s="1193">
        <f t="shared" si="3"/>
        <v>6</v>
      </c>
      <c r="E12" s="1195" t="str">
        <f t="shared" si="4"/>
        <v/>
      </c>
      <c r="F12" s="1193">
        <f t="shared" si="5"/>
        <v>-994</v>
      </c>
      <c r="G12" s="1207" t="str">
        <f t="shared" si="6"/>
        <v/>
      </c>
      <c r="H12" s="1193">
        <f t="shared" si="21"/>
        <v>-994</v>
      </c>
      <c r="I12" s="741">
        <f t="shared" si="7"/>
        <v>6</v>
      </c>
      <c r="J12" s="1402" t="s">
        <v>207</v>
      </c>
      <c r="K12" s="743"/>
      <c r="L12" s="1198" t="str">
        <f t="shared" si="22"/>
        <v>m</v>
      </c>
      <c r="M12" s="744"/>
      <c r="N12" s="745"/>
      <c r="O12" s="751">
        <f t="shared" si="8"/>
        <v>76</v>
      </c>
      <c r="P12" s="746" t="str">
        <f>INDEX(ETAPP!B$1:B$32,MATCH(COUNTIF(W12:AI12,PVO!A$1),ETAPP!A$1:A$32,0))&amp;INDEX(ETAPP!B$1:B$32,MATCH(COUNTIF(W12:AI12,PVO!A$2),ETAPP!A$1:A$32,0))&amp;INDEX(ETAPP!B$1:B$32,MATCH(COUNTIF(W12:AI12,PVO!A$3),ETAPP!A$1:A$32,0))&amp;INDEX(ETAPP!B$1:B$32,MATCH(COUNTIF(W12:AI12,PVO!A$4),ETAPP!A$1:A$32,0))&amp;INDEX(ETAPP!B$1:B$32,MATCH(COUNTIF(W12:AI12,PVO!A$5),ETAPP!A$1:A$32,0))&amp;INDEX(ETAPP!B$1:B$32,MATCH(COUNTIF(W12:AI12,PVO!A$6),ETAPP!A$1:A$32,0))&amp;INDEX(ETAPP!B$1:B$32,MATCH(COUNTIF(W12:AI12,PVO!A$7),ETAPP!A$1:A$32,0))&amp;INDEX(ETAPP!B$1:B$32,MATCH(COUNTIF(W12:AI12,PVO!A$8),ETAPP!A$1:A$32,0))&amp;INDEX(ETAPP!B$1:B$32,MATCH(COUNTIF(W12:AI12,PVO!A$9),ETAPP!A$1:A$32,0))&amp;INDEX(ETAPP!B$1:B$32,MATCH(COUNTIF(W12:AI12,PVO!A$10),ETAPP!A$1:A$32,0))&amp;INDEX(ETAPP!B$1:B$32,MATCH(COUNTIF(W12:AI12,PVO!A$11),ETAPP!A$1:A$32,0))&amp;INDEX(ETAPP!B$1:B$32,MATCH(COUNTIF(W12:AI12,PVO!A$12),ETAPP!A$1:A$32,0))&amp;INDEX(ETAPP!B$1:B$32,MATCH(COUNTIF(W12:AI12,PVO!A$13),ETAPP!A$1:A$32,0))&amp;INDEX(ETAPP!B$1:B$32,MATCH(COUNTIF(W12:AI12,PVO!A$14),ETAPP!A$1:A$32,0))&amp;INDEX(ETAPP!B$1:B$32,MATCH(COUNTIF(W12:AI12,PVO!A$15),ETAPP!A$1:A$32,0))&amp;INDEX(ETAPP!B$1:B$32,MATCH(COUNTIF(W12:AI12,PVO!A$16),ETAPP!A$1:A$32,0))&amp;INDEX(ETAPP!B$1:B$32,MATCH(COUNTIF(W12:AI12,PVO!A$17),ETAPP!A$1:A$32,0))&amp;INDEX(ETAPP!B$1:B$32,MATCH(COUNTIF(W12:AI12,PVO!A$18),ETAPP!A$1:A$32,0))&amp;INDEX(ETAPP!B$1:B$32,MATCH(COUNTIF(W12:AI12,PVO!A$19),ETAPP!A$1:A$32,0))</f>
        <v>00B0000B0B0A0A0000E</v>
      </c>
      <c r="Q12" s="746" t="str">
        <f t="shared" si="9"/>
        <v>076,0-00B0000B0B0A0A0000E</v>
      </c>
      <c r="R12" s="746">
        <f t="shared" si="10"/>
        <v>6</v>
      </c>
      <c r="S12" s="746">
        <f t="shared" si="11"/>
        <v>52</v>
      </c>
      <c r="T12" s="746" t="str">
        <f t="shared" si="12"/>
        <v>076,0-00B0000B0B0A0A0000E-052</v>
      </c>
      <c r="U12" s="746">
        <f t="shared" si="13"/>
        <v>6</v>
      </c>
      <c r="V12" s="746">
        <f t="shared" si="14"/>
        <v>51</v>
      </c>
      <c r="W12" s="679" t="str">
        <f>IFERROR(INDEX('V1'!C$300:C$400,MATCH("*"&amp;J12&amp;"*",'V1'!B$300:B$400,0)),"  ")</f>
        <v xml:space="preserve">  </v>
      </c>
      <c r="X12" s="679">
        <f>IFERROR(INDEX('V2'!C$300:C$400,MATCH("*"&amp;J12&amp;"*",'V2'!B$300:B$400,0)),"  ")</f>
        <v>10</v>
      </c>
      <c r="Y12" s="679" t="str">
        <f>IFERROR(INDEX('V3'!C$300:C$400,MATCH("*"&amp;J12&amp;"*",'V3'!B$300:B$400,0)),"  ")</f>
        <v xml:space="preserve">  </v>
      </c>
      <c r="Z12" s="679" t="str">
        <f>IFERROR(INDEX('V4'!C$300:C$400,MATCH("*"&amp;J12&amp;"*",'V4'!B$300:B$400,0)),"  ")</f>
        <v xml:space="preserve">  </v>
      </c>
      <c r="AA12" s="679">
        <f>IFERROR(INDEX('V5'!C$300:C$400,MATCH("*"&amp;J12&amp;"*",'V5'!B$300:B$400,0)),"  ")</f>
        <v>8</v>
      </c>
      <c r="AB12" s="679">
        <f>IFERROR(INDEX('V6'!C$300:C$400,MATCH("*"&amp;J12&amp;"*",'V6'!B$300:B$400,0)),"  ")</f>
        <v>4</v>
      </c>
      <c r="AC12" s="679">
        <f>IFERROR(INDEX('V7'!C$300:C$400,MATCH("*"&amp;J12&amp;"*",'V7'!B$300:B$400,0)),"  ")</f>
        <v>6</v>
      </c>
      <c r="AD12" s="679">
        <f>IFERROR(INDEX('V8'!C$300:C$400,MATCH("*"&amp;J12&amp;"*",'V8'!B$300:B$400,0)),"  ")</f>
        <v>8</v>
      </c>
      <c r="AE12" s="679" t="str">
        <f>IFERROR(INDEX('V9'!C$300:C$400,MATCH("*"&amp;J12&amp;"*",'V9'!B$300:B$400,0)),"  ")</f>
        <v xml:space="preserve">  </v>
      </c>
      <c r="AF12" s="679" t="str">
        <f>IFERROR(INDEX('V10'!C$300:C$400,MATCH("*"&amp;J12&amp;"*",'V10'!B$300:B$400,0)),"  ")</f>
        <v xml:space="preserve">  </v>
      </c>
      <c r="AG12" s="679">
        <f>IFERROR(INDEX('V11'!C$300:C$400,MATCH("*"&amp;J12&amp;"*",'V11'!B$300:B$400,0)),"  ")</f>
        <v>10</v>
      </c>
      <c r="AH12" s="679">
        <f>IFERROR(INDEX('V12'!C$300:C$400,MATCH("*"&amp;J12&amp;"*",'V12'!B$300:B$400,0)),"  ")</f>
        <v>15</v>
      </c>
      <c r="AI12" s="679">
        <f>IFERROR(INDEX('V13'!C$300:C$400,MATCH("*"&amp;J12&amp;"*",'V13'!B$300:B$400,0)),"  ")</f>
        <v>15</v>
      </c>
      <c r="AJ12" s="747">
        <f t="shared" si="15"/>
        <v>1</v>
      </c>
      <c r="AK12" s="747">
        <f t="shared" si="16"/>
        <v>76</v>
      </c>
      <c r="AL12" s="1212" t="str">
        <f t="shared" si="17"/>
        <v>edasi 6</v>
      </c>
      <c r="AM12" s="1215" t="str">
        <f>IFERROR(INDEX('V-Fin'!A$300:AJ$400&amp;".",MATCH("*"&amp;J12&amp;"*",'V-Fin'!B$300:B$400,0)),"  ")</f>
        <v xml:space="preserve">  </v>
      </c>
      <c r="AN12" s="337">
        <f t="shared" si="18"/>
        <v>8</v>
      </c>
      <c r="AO12" s="336">
        <f t="shared" si="19"/>
        <v>4</v>
      </c>
      <c r="AP12" s="336">
        <f t="shared" si="20"/>
        <v>3</v>
      </c>
    </row>
    <row r="13" spans="1:42" ht="12.6" customHeight="1" x14ac:dyDescent="0.2">
      <c r="A13" s="1201" t="str">
        <f t="shared" si="0"/>
        <v/>
      </c>
      <c r="B13" s="740">
        <f t="shared" si="1"/>
        <v>-993</v>
      </c>
      <c r="C13" s="1199">
        <f t="shared" si="2"/>
        <v>6</v>
      </c>
      <c r="D13" s="1193">
        <f t="shared" si="3"/>
        <v>7</v>
      </c>
      <c r="E13" s="1195" t="str">
        <f t="shared" si="4"/>
        <v/>
      </c>
      <c r="F13" s="1193">
        <f t="shared" si="5"/>
        <v>-993</v>
      </c>
      <c r="G13" s="1207" t="str">
        <f t="shared" si="6"/>
        <v/>
      </c>
      <c r="H13" s="1193">
        <f t="shared" si="21"/>
        <v>-993</v>
      </c>
      <c r="I13" s="741">
        <f t="shared" si="7"/>
        <v>7</v>
      </c>
      <c r="J13" s="1402" t="s">
        <v>198</v>
      </c>
      <c r="K13" s="743"/>
      <c r="L13" s="1198" t="str">
        <f t="shared" si="22"/>
        <v>m</v>
      </c>
      <c r="M13" s="744"/>
      <c r="N13" s="745"/>
      <c r="O13" s="751">
        <f t="shared" si="8"/>
        <v>76</v>
      </c>
      <c r="P13" s="746" t="str">
        <f>INDEX(ETAPP!B$1:B$32,MATCH(COUNTIF(W13:AI13,PVO!A$1),ETAPP!A$1:A$32,0))&amp;INDEX(ETAPP!B$1:B$32,MATCH(COUNTIF(W13:AI13,PVO!A$2),ETAPP!A$1:A$32,0))&amp;INDEX(ETAPP!B$1:B$32,MATCH(COUNTIF(W13:AI13,PVO!A$3),ETAPP!A$1:A$32,0))&amp;INDEX(ETAPP!B$1:B$32,MATCH(COUNTIF(W13:AI13,PVO!A$4),ETAPP!A$1:A$32,0))&amp;INDEX(ETAPP!B$1:B$32,MATCH(COUNTIF(W13:AI13,PVO!A$5),ETAPP!A$1:A$32,0))&amp;INDEX(ETAPP!B$1:B$32,MATCH(COUNTIF(W13:AI13,PVO!A$6),ETAPP!A$1:A$32,0))&amp;INDEX(ETAPP!B$1:B$32,MATCH(COUNTIF(W13:AI13,PVO!A$7),ETAPP!A$1:A$32,0))&amp;INDEX(ETAPP!B$1:B$32,MATCH(COUNTIF(W13:AI13,PVO!A$8),ETAPP!A$1:A$32,0))&amp;INDEX(ETAPP!B$1:B$32,MATCH(COUNTIF(W13:AI13,PVO!A$9),ETAPP!A$1:A$32,0))&amp;INDEX(ETAPP!B$1:B$32,MATCH(COUNTIF(W13:AI13,PVO!A$10),ETAPP!A$1:A$32,0))&amp;INDEX(ETAPP!B$1:B$32,MATCH(COUNTIF(W13:AI13,PVO!A$11),ETAPP!A$1:A$32,0))&amp;INDEX(ETAPP!B$1:B$32,MATCH(COUNTIF(W13:AI13,PVO!A$12),ETAPP!A$1:A$32,0))&amp;INDEX(ETAPP!B$1:B$32,MATCH(COUNTIF(W13:AI13,PVO!A$13),ETAPP!A$1:A$32,0))&amp;INDEX(ETAPP!B$1:B$32,MATCH(COUNTIF(W13:AI13,PVO!A$14),ETAPP!A$1:A$32,0))&amp;INDEX(ETAPP!B$1:B$32,MATCH(COUNTIF(W13:AI13,PVO!A$15),ETAPP!A$1:A$32,0))&amp;INDEX(ETAPP!B$1:B$32,MATCH(COUNTIF(W13:AI13,PVO!A$16),ETAPP!A$1:A$32,0))&amp;INDEX(ETAPP!B$1:B$32,MATCH(COUNTIF(W13:AI13,PVO!A$17),ETAPP!A$1:A$32,0))&amp;INDEX(ETAPP!B$1:B$32,MATCH(COUNTIF(W13:AI13,PVO!A$18),ETAPP!A$1:A$32,0))&amp;INDEX(ETAPP!B$1:B$32,MATCH(COUNTIF(W13:AI13,PVO!A$19),ETAPP!A$1:A$32,0))</f>
        <v>000000D0B000BA0000D</v>
      </c>
      <c r="Q13" s="746" t="str">
        <f t="shared" si="9"/>
        <v>076,0-000000D0B000BA0000D</v>
      </c>
      <c r="R13" s="746">
        <f t="shared" si="10"/>
        <v>7</v>
      </c>
      <c r="S13" s="746">
        <f t="shared" si="11"/>
        <v>45</v>
      </c>
      <c r="T13" s="746" t="str">
        <f t="shared" si="12"/>
        <v>076,0-000000D0B000BA0000D-045</v>
      </c>
      <c r="U13" s="746">
        <f t="shared" si="13"/>
        <v>7</v>
      </c>
      <c r="V13" s="746">
        <f t="shared" si="14"/>
        <v>50</v>
      </c>
      <c r="W13" s="679">
        <f>IFERROR(INDEX('V1'!C$300:C$400,MATCH("*"&amp;J13&amp;"*",'V1'!B$300:B$400,0)),"  ")</f>
        <v>4</v>
      </c>
      <c r="X13" s="679" t="str">
        <f>IFERROR(INDEX('V2'!C$300:C$400,MATCH("*"&amp;J13&amp;"*",'V2'!B$300:B$400,0)),"  ")</f>
        <v xml:space="preserve">  </v>
      </c>
      <c r="Y13" s="679">
        <f>IFERROR(INDEX('V3'!C$300:C$400,MATCH("*"&amp;J13&amp;"*",'V3'!B$300:B$400,0)),"  ")</f>
        <v>11</v>
      </c>
      <c r="Z13" s="679">
        <f>IFERROR(INDEX('V4'!C$300:C$400,MATCH("*"&amp;J13&amp;"*",'V4'!B$300:B$400,0)),"  ")</f>
        <v>5</v>
      </c>
      <c r="AA13" s="679">
        <f>IFERROR(INDEX('V5'!C$300:C$400,MATCH("*"&amp;J13&amp;"*",'V5'!B$300:B$400,0)),"  ")</f>
        <v>9</v>
      </c>
      <c r="AB13" s="679">
        <f>IFERROR(INDEX('V6'!C$300:C$400,MATCH("*"&amp;J13&amp;"*",'V6'!B$300:B$400,0)),"  ")</f>
        <v>5</v>
      </c>
      <c r="AC13" s="679" t="str">
        <f>IFERROR(INDEX('V7'!C$300:C$400,MATCH("*"&amp;J13&amp;"*",'V7'!B$300:B$400,0)),"  ")</f>
        <v xml:space="preserve">  </v>
      </c>
      <c r="AD13" s="679">
        <f>IFERROR(INDEX('V8'!C$300:C$400,MATCH("*"&amp;J13&amp;"*",'V8'!B$300:B$400,0)),"  ")</f>
        <v>9</v>
      </c>
      <c r="AE13" s="679" t="str">
        <f>IFERROR(INDEX('V9'!C$300:C$400,MATCH("*"&amp;J13&amp;"*",'V9'!B$300:B$400,0)),"  ")</f>
        <v xml:space="preserve">  </v>
      </c>
      <c r="AF13" s="679">
        <f>IFERROR(INDEX('V10'!C$300:C$400,MATCH("*"&amp;J13&amp;"*",'V10'!B$300:B$400,0)),"  ")</f>
        <v>11</v>
      </c>
      <c r="AG13" s="679">
        <f>IFERROR(INDEX('V11'!C$300:C$400,MATCH("*"&amp;J13&amp;"*",'V11'!B$300:B$400,0)),"  ")</f>
        <v>11</v>
      </c>
      <c r="AH13" s="679">
        <f>IFERROR(INDEX('V12'!C$300:C$400,MATCH("*"&amp;J13&amp;"*",'V12'!B$300:B$400,0)),"  ")</f>
        <v>11</v>
      </c>
      <c r="AI13" s="679" t="str">
        <f>IFERROR(INDEX('V13'!C$300:C$400,MATCH("*"&amp;J13&amp;"*",'V13'!B$300:B$400,0)),"  ")</f>
        <v xml:space="preserve">  </v>
      </c>
      <c r="AJ13" s="747">
        <f t="shared" si="15"/>
        <v>1</v>
      </c>
      <c r="AK13" s="747">
        <f t="shared" si="16"/>
        <v>76</v>
      </c>
      <c r="AL13" s="1212" t="str">
        <f t="shared" si="17"/>
        <v>edasi 6</v>
      </c>
      <c r="AM13" s="1215" t="str">
        <f>IFERROR(INDEX('V-Fin'!A$300:AJ$400&amp;".",MATCH("*"&amp;J13&amp;"*",'V-Fin'!B$300:B$400,0)),"  ")</f>
        <v>1.</v>
      </c>
      <c r="AN13" s="337">
        <f t="shared" si="18"/>
        <v>9</v>
      </c>
      <c r="AO13" s="336">
        <f t="shared" si="19"/>
        <v>4</v>
      </c>
      <c r="AP13" s="336">
        <f t="shared" si="20"/>
        <v>2</v>
      </c>
    </row>
    <row r="14" spans="1:42" ht="12.6" customHeight="1" x14ac:dyDescent="0.2">
      <c r="A14" s="1201" t="str">
        <f t="shared" si="0"/>
        <v/>
      </c>
      <c r="B14" s="740">
        <f t="shared" si="1"/>
        <v>-992</v>
      </c>
      <c r="C14" s="1199">
        <f t="shared" si="2"/>
        <v>7</v>
      </c>
      <c r="D14" s="1193">
        <f t="shared" si="3"/>
        <v>8</v>
      </c>
      <c r="E14" s="1195" t="str">
        <f t="shared" si="4"/>
        <v/>
      </c>
      <c r="F14" s="1193">
        <f t="shared" si="5"/>
        <v>-992</v>
      </c>
      <c r="G14" s="1207" t="str">
        <f t="shared" si="6"/>
        <v/>
      </c>
      <c r="H14" s="1193">
        <f t="shared" si="21"/>
        <v>-992</v>
      </c>
      <c r="I14" s="741">
        <f t="shared" si="7"/>
        <v>8</v>
      </c>
      <c r="J14" s="1402" t="s">
        <v>210</v>
      </c>
      <c r="K14" s="743"/>
      <c r="L14" s="1198" t="str">
        <f t="shared" si="22"/>
        <v>m</v>
      </c>
      <c r="M14" s="744"/>
      <c r="N14" s="745"/>
      <c r="O14" s="751">
        <f t="shared" si="8"/>
        <v>73</v>
      </c>
      <c r="P14" s="746" t="str">
        <f>INDEX(ETAPP!B$1:B$32,MATCH(COUNTIF(W14:AI14,PVO!A$1),ETAPP!A$1:A$32,0))&amp;INDEX(ETAPP!B$1:B$32,MATCH(COUNTIF(W14:AI14,PVO!A$2),ETAPP!A$1:A$32,0))&amp;INDEX(ETAPP!B$1:B$32,MATCH(COUNTIF(W14:AI14,PVO!A$3),ETAPP!A$1:A$32,0))&amp;INDEX(ETAPP!B$1:B$32,MATCH(COUNTIF(W14:AI14,PVO!A$4),ETAPP!A$1:A$32,0))&amp;INDEX(ETAPP!B$1:B$32,MATCH(COUNTIF(W14:AI14,PVO!A$5),ETAPP!A$1:A$32,0))&amp;INDEX(ETAPP!B$1:B$32,MATCH(COUNTIF(W14:AI14,PVO!A$6),ETAPP!A$1:A$32,0))&amp;INDEX(ETAPP!B$1:B$32,MATCH(COUNTIF(W14:AI14,PVO!A$7),ETAPP!A$1:A$32,0))&amp;INDEX(ETAPP!B$1:B$32,MATCH(COUNTIF(W14:AI14,PVO!A$8),ETAPP!A$1:A$32,0))&amp;INDEX(ETAPP!B$1:B$32,MATCH(COUNTIF(W14:AI14,PVO!A$9),ETAPP!A$1:A$32,0))&amp;INDEX(ETAPP!B$1:B$32,MATCH(COUNTIF(W14:AI14,PVO!A$10),ETAPP!A$1:A$32,0))&amp;INDEX(ETAPP!B$1:B$32,MATCH(COUNTIF(W14:AI14,PVO!A$11),ETAPP!A$1:A$32,0))&amp;INDEX(ETAPP!B$1:B$32,MATCH(COUNTIF(W14:AI14,PVO!A$12),ETAPP!A$1:A$32,0))&amp;INDEX(ETAPP!B$1:B$32,MATCH(COUNTIF(W14:AI14,PVO!A$13),ETAPP!A$1:A$32,0))&amp;INDEX(ETAPP!B$1:B$32,MATCH(COUNTIF(W14:AI14,PVO!A$14),ETAPP!A$1:A$32,0))&amp;INDEX(ETAPP!B$1:B$32,MATCH(COUNTIF(W14:AI14,PVO!A$15),ETAPP!A$1:A$32,0))&amp;INDEX(ETAPP!B$1:B$32,MATCH(COUNTIF(W14:AI14,PVO!A$16),ETAPP!A$1:A$32,0))&amp;INDEX(ETAPP!B$1:B$32,MATCH(COUNTIF(W14:AI14,PVO!A$17),ETAPP!A$1:A$32,0))&amp;INDEX(ETAPP!B$1:B$32,MATCH(COUNTIF(W14:AI14,PVO!A$18),ETAPP!A$1:A$32,0))&amp;INDEX(ETAPP!B$1:B$32,MATCH(COUNTIF(W14:AI14,PVO!A$19),ETAPP!A$1:A$32,0))</f>
        <v>00000000AADACAA000A</v>
      </c>
      <c r="Q14" s="746" t="str">
        <f t="shared" si="9"/>
        <v>073,0-00000000AADACAA000A</v>
      </c>
      <c r="R14" s="746">
        <f t="shared" si="10"/>
        <v>8</v>
      </c>
      <c r="S14" s="746">
        <f t="shared" si="11"/>
        <v>7</v>
      </c>
      <c r="T14" s="746" t="str">
        <f t="shared" si="12"/>
        <v>073,0-00000000AADACAA000A-007</v>
      </c>
      <c r="U14" s="746">
        <f t="shared" si="13"/>
        <v>8</v>
      </c>
      <c r="V14" s="746">
        <f t="shared" si="14"/>
        <v>49</v>
      </c>
      <c r="W14" s="679">
        <f>IFERROR(INDEX('V1'!C$300:C$400,MATCH("*"&amp;J14&amp;"*",'V1'!B$300:B$400,0)),"  ")</f>
        <v>7</v>
      </c>
      <c r="X14" s="679">
        <f>IFERROR(INDEX('V2'!C$300:C$400,MATCH("*"&amp;J14&amp;"*",'V2'!B$300:B$400,0)),"  ")</f>
        <v>4</v>
      </c>
      <c r="Y14" s="679">
        <f>IFERROR(INDEX('V3'!C$300:C$400,MATCH("*"&amp;J14&amp;"*",'V3'!B$300:B$400,0)),"  ")</f>
        <v>5</v>
      </c>
      <c r="Z14" s="679">
        <f>IFERROR(INDEX('V4'!C$300:C$400,MATCH("*"&amp;J14&amp;"*",'V4'!B$300:B$400,0)),"  ")</f>
        <v>8</v>
      </c>
      <c r="AA14" s="679" t="str">
        <f>IFERROR(INDEX('V5'!C$300:C$400,MATCH("*"&amp;J14&amp;"*",'V5'!B$300:B$400,0)),"  ")</f>
        <v xml:space="preserve">  </v>
      </c>
      <c r="AB14" s="679">
        <f>IFERROR(INDEX('V6'!C$300:C$400,MATCH("*"&amp;J14&amp;"*",'V6'!B$300:B$400,0)),"  ")</f>
        <v>7</v>
      </c>
      <c r="AC14" s="679">
        <f>IFERROR(INDEX('V7'!C$300:C$400,MATCH("*"&amp;J14&amp;"*",'V7'!B$300:B$400,0)),"  ")</f>
        <v>3</v>
      </c>
      <c r="AD14" s="679">
        <f>IFERROR(INDEX('V8'!C$300:C$400,MATCH("*"&amp;J14&amp;"*",'V8'!B$300:B$400,0)),"  ")</f>
        <v>5</v>
      </c>
      <c r="AE14" s="679">
        <f>IFERROR(INDEX('V9'!C$300:C$400,MATCH("*"&amp;J14&amp;"*",'V9'!B$300:B$400,0)),"  ")</f>
        <v>6</v>
      </c>
      <c r="AF14" s="679">
        <f>IFERROR(INDEX('V10'!C$300:C$400,MATCH("*"&amp;J14&amp;"*",'V10'!B$300:B$400,0)),"  ")</f>
        <v>9</v>
      </c>
      <c r="AG14" s="679">
        <f>IFERROR(INDEX('V11'!C$300:C$400,MATCH("*"&amp;J14&amp;"*",'V11'!B$300:B$400,0)),"  ")</f>
        <v>5</v>
      </c>
      <c r="AH14" s="679">
        <f>IFERROR(INDEX('V12'!C$300:C$400,MATCH("*"&amp;J14&amp;"*",'V12'!B$300:B$400,0)),"  ")</f>
        <v>7</v>
      </c>
      <c r="AI14" s="679">
        <f>IFERROR(INDEX('V13'!C$300:C$400,MATCH("*"&amp;J14&amp;"*",'V13'!B$300:B$400,0)),"  ")</f>
        <v>7</v>
      </c>
      <c r="AJ14" s="747">
        <f t="shared" si="15"/>
        <v>1</v>
      </c>
      <c r="AK14" s="747">
        <f t="shared" si="16"/>
        <v>73</v>
      </c>
      <c r="AL14" s="1212" t="str">
        <f t="shared" si="17"/>
        <v>edasi 8</v>
      </c>
      <c r="AM14" s="1215" t="str">
        <f>IFERROR(INDEX('V-Fin'!A$300:AJ$400&amp;".",MATCH("*"&amp;J14&amp;"*",'V-Fin'!B$300:B$400,0)),"  ")</f>
        <v>7.</v>
      </c>
      <c r="AN14" s="337">
        <f t="shared" si="18"/>
        <v>12</v>
      </c>
      <c r="AO14" s="336">
        <f t="shared" si="19"/>
        <v>2</v>
      </c>
      <c r="AP14" s="336">
        <f t="shared" si="20"/>
        <v>0</v>
      </c>
    </row>
    <row r="15" spans="1:42" ht="12.6" customHeight="1" x14ac:dyDescent="0.2">
      <c r="A15" s="1201" t="str">
        <f t="shared" si="0"/>
        <v/>
      </c>
      <c r="B15" s="740">
        <f t="shared" si="1"/>
        <v>-991</v>
      </c>
      <c r="C15" s="1199" t="str">
        <f t="shared" si="2"/>
        <v/>
      </c>
      <c r="D15" s="1193">
        <f t="shared" si="3"/>
        <v>-991</v>
      </c>
      <c r="E15" s="1222">
        <f t="shared" si="4"/>
        <v>2</v>
      </c>
      <c r="F15" s="1193">
        <f t="shared" si="5"/>
        <v>9</v>
      </c>
      <c r="G15" s="1207" t="str">
        <f t="shared" si="6"/>
        <v/>
      </c>
      <c r="H15" s="1193">
        <f t="shared" si="21"/>
        <v>-991</v>
      </c>
      <c r="I15" s="741">
        <f t="shared" si="7"/>
        <v>9</v>
      </c>
      <c r="J15" s="1402" t="s">
        <v>209</v>
      </c>
      <c r="K15" s="743" t="s">
        <v>359</v>
      </c>
      <c r="L15" s="1198" t="str">
        <f t="shared" si="22"/>
        <v/>
      </c>
      <c r="M15" s="744"/>
      <c r="N15" s="745"/>
      <c r="O15" s="751">
        <f t="shared" si="8"/>
        <v>72</v>
      </c>
      <c r="P15" s="746" t="str">
        <f>INDEX(ETAPP!B$1:B$32,MATCH(COUNTIF(W15:AI15,PVO!A$1),ETAPP!A$1:A$32,0))&amp;INDEX(ETAPP!B$1:B$32,MATCH(COUNTIF(W15:AI15,PVO!A$2),ETAPP!A$1:A$32,0))&amp;INDEX(ETAPP!B$1:B$32,MATCH(COUNTIF(W15:AI15,PVO!A$3),ETAPP!A$1:A$32,0))&amp;INDEX(ETAPP!B$1:B$32,MATCH(COUNTIF(W15:AI15,PVO!A$4),ETAPP!A$1:A$32,0))&amp;INDEX(ETAPP!B$1:B$32,MATCH(COUNTIF(W15:AI15,PVO!A$5),ETAPP!A$1:A$32,0))&amp;INDEX(ETAPP!B$1:B$32,MATCH(COUNTIF(W15:AI15,PVO!A$6),ETAPP!A$1:A$32,0))&amp;INDEX(ETAPP!B$1:B$32,MATCH(COUNTIF(W15:AI15,PVO!A$7),ETAPP!A$1:A$32,0))&amp;INDEX(ETAPP!B$1:B$32,MATCH(COUNTIF(W15:AI15,PVO!A$8),ETAPP!A$1:A$32,0))&amp;INDEX(ETAPP!B$1:B$32,MATCH(COUNTIF(W15:AI15,PVO!A$9),ETAPP!A$1:A$32,0))&amp;INDEX(ETAPP!B$1:B$32,MATCH(COUNTIF(W15:AI15,PVO!A$10),ETAPP!A$1:A$32,0))&amp;INDEX(ETAPP!B$1:B$32,MATCH(COUNTIF(W15:AI15,PVO!A$11),ETAPP!A$1:A$32,0))&amp;INDEX(ETAPP!B$1:B$32,MATCH(COUNTIF(W15:AI15,PVO!A$12),ETAPP!A$1:A$32,0))&amp;INDEX(ETAPP!B$1:B$32,MATCH(COUNTIF(W15:AI15,PVO!A$13),ETAPP!A$1:A$32,0))&amp;INDEX(ETAPP!B$1:B$32,MATCH(COUNTIF(W15:AI15,PVO!A$14),ETAPP!A$1:A$32,0))&amp;INDEX(ETAPP!B$1:B$32,MATCH(COUNTIF(W15:AI15,PVO!A$15),ETAPP!A$1:A$32,0))&amp;INDEX(ETAPP!B$1:B$32,MATCH(COUNTIF(W15:AI15,PVO!A$16),ETAPP!A$1:A$32,0))&amp;INDEX(ETAPP!B$1:B$32,MATCH(COUNTIF(W15:AI15,PVO!A$17),ETAPP!A$1:A$32,0))&amp;INDEX(ETAPP!B$1:B$32,MATCH(COUNTIF(W15:AI15,PVO!A$18),ETAPP!A$1:A$32,0))&amp;INDEX(ETAPP!B$1:B$32,MATCH(COUNTIF(W15:AI15,PVO!A$19),ETAPP!A$1:A$32,0))</f>
        <v>00000AA00BAC00ABA0A</v>
      </c>
      <c r="Q15" s="746" t="str">
        <f t="shared" si="9"/>
        <v>072,0-00000AA00BAC00ABA0A</v>
      </c>
      <c r="R15" s="746">
        <f t="shared" si="10"/>
        <v>9</v>
      </c>
      <c r="S15" s="746">
        <f t="shared" si="11"/>
        <v>28</v>
      </c>
      <c r="T15" s="746" t="str">
        <f t="shared" si="12"/>
        <v>072,0-00000AA00BAC00ABA0A-028</v>
      </c>
      <c r="U15" s="746">
        <f t="shared" si="13"/>
        <v>9</v>
      </c>
      <c r="V15" s="746">
        <f t="shared" si="14"/>
        <v>48</v>
      </c>
      <c r="W15" s="679">
        <f>IFERROR(INDEX('V1'!C$300:C$400,MATCH("*"&amp;J15&amp;"*",'V1'!B$300:B$400,0)),"  ")</f>
        <v>7</v>
      </c>
      <c r="X15" s="679">
        <f>IFERROR(INDEX('V2'!C$300:C$400,MATCH("*"&amp;J15&amp;"*",'V2'!B$300:B$400,0)),"  ")</f>
        <v>6</v>
      </c>
      <c r="Y15" s="679">
        <f>IFERROR(INDEX('V3'!C$300:C$400,MATCH("*"&amp;J15&amp;"*",'V3'!B$300:B$400,0)),"  ")</f>
        <v>3</v>
      </c>
      <c r="Z15" s="679">
        <f>IFERROR(INDEX('V4'!C$300:C$400,MATCH("*"&amp;J15&amp;"*",'V4'!B$300:B$400,0)),"  ")</f>
        <v>1</v>
      </c>
      <c r="AA15" s="679" t="str">
        <f>IFERROR(INDEX('V5'!C$300:C$400,MATCH("*"&amp;J15&amp;"*",'V5'!B$300:B$400,0)),"  ")</f>
        <v xml:space="preserve">  </v>
      </c>
      <c r="AB15" s="679">
        <f>IFERROR(INDEX('V6'!C$300:C$400,MATCH("*"&amp;J15&amp;"*",'V6'!B$300:B$400,0)),"  ")</f>
        <v>8</v>
      </c>
      <c r="AC15" s="679">
        <f>IFERROR(INDEX('V7'!C$300:C$400,MATCH("*"&amp;J15&amp;"*",'V7'!B$300:B$400,0)),"  ")</f>
        <v>2</v>
      </c>
      <c r="AD15" s="679">
        <f>IFERROR(INDEX('V8'!C$300:C$400,MATCH("*"&amp;J15&amp;"*",'V8'!B$300:B$400,0)),"  ")</f>
        <v>12</v>
      </c>
      <c r="AE15" s="679">
        <f>IFERROR(INDEX('V9'!C$300:C$400,MATCH("*"&amp;J15&amp;"*",'V9'!B$300:B$400,0)),"  ")</f>
        <v>11</v>
      </c>
      <c r="AF15" s="679">
        <f>IFERROR(INDEX('V10'!C$300:C$400,MATCH("*"&amp;J15&amp;"*",'V10'!B$300:B$400,0)),"  ")</f>
        <v>2</v>
      </c>
      <c r="AG15" s="679">
        <f>IFERROR(INDEX('V11'!C$300:C$400,MATCH("*"&amp;J15&amp;"*",'V11'!B$300:B$400,0)),"  ")</f>
        <v>8</v>
      </c>
      <c r="AH15" s="679">
        <f>IFERROR(INDEX('V12'!C$300:C$400,MATCH("*"&amp;J15&amp;"*",'V12'!B$300:B$400,0)),"  ")</f>
        <v>6</v>
      </c>
      <c r="AI15" s="679">
        <f>IFERROR(INDEX('V13'!C$300:C$400,MATCH("*"&amp;J15&amp;"*",'V13'!B$300:B$400,0)),"  ")</f>
        <v>6</v>
      </c>
      <c r="AJ15" s="747">
        <f t="shared" si="15"/>
        <v>1</v>
      </c>
      <c r="AK15" s="747">
        <f t="shared" si="16"/>
        <v>72</v>
      </c>
      <c r="AL15" s="1212" t="str">
        <f t="shared" si="17"/>
        <v>edasi 9</v>
      </c>
      <c r="AM15" s="1215" t="str">
        <f>IFERROR(INDEX('V-Fin'!A$300:AJ$400&amp;".",MATCH("*"&amp;J15&amp;"*",'V-Fin'!B$300:B$400,0)),"  ")</f>
        <v>8.</v>
      </c>
      <c r="AN15" s="337">
        <f t="shared" si="18"/>
        <v>12</v>
      </c>
      <c r="AO15" s="336">
        <f t="shared" si="19"/>
        <v>2</v>
      </c>
      <c r="AP15" s="336">
        <f t="shared" si="20"/>
        <v>1</v>
      </c>
    </row>
    <row r="16" spans="1:42" ht="12.6" customHeight="1" x14ac:dyDescent="0.2">
      <c r="A16" s="1201" t="str">
        <f t="shared" si="0"/>
        <v/>
      </c>
      <c r="B16" s="740">
        <f t="shared" si="1"/>
        <v>-990</v>
      </c>
      <c r="C16" s="1199">
        <f t="shared" si="2"/>
        <v>8</v>
      </c>
      <c r="D16" s="1193">
        <f t="shared" si="3"/>
        <v>10</v>
      </c>
      <c r="E16" s="1195" t="str">
        <f t="shared" si="4"/>
        <v/>
      </c>
      <c r="F16" s="1193">
        <f t="shared" si="5"/>
        <v>-990</v>
      </c>
      <c r="G16" s="1207" t="str">
        <f t="shared" si="6"/>
        <v/>
      </c>
      <c r="H16" s="1193">
        <f t="shared" si="21"/>
        <v>-990</v>
      </c>
      <c r="I16" s="741">
        <f t="shared" si="7"/>
        <v>10</v>
      </c>
      <c r="J16" s="1401" t="s">
        <v>232</v>
      </c>
      <c r="K16" s="743"/>
      <c r="L16" s="1198" t="str">
        <f t="shared" si="22"/>
        <v>m</v>
      </c>
      <c r="M16" s="744"/>
      <c r="N16" s="745"/>
      <c r="O16" s="751">
        <f t="shared" si="8"/>
        <v>70.5</v>
      </c>
      <c r="P16" s="746" t="str">
        <f>INDEX(ETAPP!B$1:B$32,MATCH(COUNTIF(W16:AI16,PVO!A$1),ETAPP!A$1:A$32,0))&amp;INDEX(ETAPP!B$1:B$32,MATCH(COUNTIF(W16:AI16,PVO!A$2),ETAPP!A$1:A$32,0))&amp;INDEX(ETAPP!B$1:B$32,MATCH(COUNTIF(W16:AI16,PVO!A$3),ETAPP!A$1:A$32,0))&amp;INDEX(ETAPP!B$1:B$32,MATCH(COUNTIF(W16:AI16,PVO!A$4),ETAPP!A$1:A$32,0))&amp;INDEX(ETAPP!B$1:B$32,MATCH(COUNTIF(W16:AI16,PVO!A$5),ETAPP!A$1:A$32,0))&amp;INDEX(ETAPP!B$1:B$32,MATCH(COUNTIF(W16:AI16,PVO!A$6),ETAPP!A$1:A$32,0))&amp;INDEX(ETAPP!B$1:B$32,MATCH(COUNTIF(W16:AI16,PVO!A$7),ETAPP!A$1:A$32,0))&amp;INDEX(ETAPP!B$1:B$32,MATCH(COUNTIF(W16:AI16,PVO!A$8),ETAPP!A$1:A$32,0))&amp;INDEX(ETAPP!B$1:B$32,MATCH(COUNTIF(W16:AI16,PVO!A$9),ETAPP!A$1:A$32,0))&amp;INDEX(ETAPP!B$1:B$32,MATCH(COUNTIF(W16:AI16,PVO!A$10),ETAPP!A$1:A$32,0))&amp;INDEX(ETAPP!B$1:B$32,MATCH(COUNTIF(W16:AI16,PVO!A$11),ETAPP!A$1:A$32,0))&amp;INDEX(ETAPP!B$1:B$32,MATCH(COUNTIF(W16:AI16,PVO!A$12),ETAPP!A$1:A$32,0))&amp;INDEX(ETAPP!B$1:B$32,MATCH(COUNTIF(W16:AI16,PVO!A$13),ETAPP!A$1:A$32,0))&amp;INDEX(ETAPP!B$1:B$32,MATCH(COUNTIF(W16:AI16,PVO!A$14),ETAPP!A$1:A$32,0))&amp;INDEX(ETAPP!B$1:B$32,MATCH(COUNTIF(W16:AI16,PVO!A$15),ETAPP!A$1:A$32,0))&amp;INDEX(ETAPP!B$1:B$32,MATCH(COUNTIF(W16:AI16,PVO!A$16),ETAPP!A$1:A$32,0))&amp;INDEX(ETAPP!B$1:B$32,MATCH(COUNTIF(W16:AI16,PVO!A$17),ETAPP!A$1:A$32,0))&amp;INDEX(ETAPP!B$1:B$32,MATCH(COUNTIF(W16:AI16,PVO!A$18),ETAPP!A$1:A$32,0))&amp;INDEX(ETAPP!B$1:B$32,MATCH(COUNTIF(W16:AI16,PVO!A$19),ETAPP!A$1:A$32,0))</f>
        <v>00000A00B0C0BAA0A0A</v>
      </c>
      <c r="Q16" s="746" t="str">
        <f t="shared" si="9"/>
        <v>070,5-00000A00B0C0BAA0A0A</v>
      </c>
      <c r="R16" s="746">
        <f t="shared" si="10"/>
        <v>10</v>
      </c>
      <c r="S16" s="746">
        <f t="shared" si="11"/>
        <v>5</v>
      </c>
      <c r="T16" s="746" t="str">
        <f t="shared" si="12"/>
        <v>070,5-00000A00B0C0BAA0A0A-005</v>
      </c>
      <c r="U16" s="746">
        <f t="shared" si="13"/>
        <v>10</v>
      </c>
      <c r="V16" s="746">
        <f t="shared" si="14"/>
        <v>47</v>
      </c>
      <c r="W16" s="679">
        <f>IFERROR(INDEX('V1'!C$300:C$400,MATCH("*"&amp;J16&amp;"*",'V1'!B$300:B$400,0)),"  ")</f>
        <v>9</v>
      </c>
      <c r="X16" s="679">
        <f>IFERROR(INDEX('V2'!C$300:C$400,MATCH("*"&amp;J16&amp;"*",'V2'!B$300:B$400,0)),"  ")</f>
        <v>7</v>
      </c>
      <c r="Y16" s="679">
        <f>IFERROR(INDEX('V3'!C$300:C$400,MATCH("*"&amp;J16&amp;"*",'V3'!B$300:B$400,0)),"  ")</f>
        <v>1</v>
      </c>
      <c r="Z16" s="679">
        <f>IFERROR(INDEX('V4'!C$300:C$400,MATCH("*"&amp;J16&amp;"*",'V4'!B$300:B$400,0)),"  ")</f>
        <v>7</v>
      </c>
      <c r="AA16" s="679">
        <f>IFERROR(INDEX('V5'!C$300:C$400,MATCH("*"&amp;J16&amp;"*",'V5'!B$300:B$400,0)),"  ")</f>
        <v>3</v>
      </c>
      <c r="AB16" s="679">
        <f>IFERROR(INDEX('V6'!C$300:C$400,MATCH("*"&amp;J16&amp;"*",'V6'!B$300:B$400,0)),"  ")</f>
        <v>9</v>
      </c>
      <c r="AC16" s="679">
        <f>IFERROR(INDEX('V7'!C$300:C$400,MATCH("*"&amp;J16&amp;"*",'V7'!B$300:B$400,0)),"  ")</f>
        <v>5</v>
      </c>
      <c r="AD16" s="679">
        <f>IFERROR(INDEX('V8'!C$300:C$400,MATCH("*"&amp;J16&amp;"*",'V8'!B$300:B$400,0)),"  ")</f>
        <v>7</v>
      </c>
      <c r="AE16" s="679">
        <f>IFERROR(INDEX('V9'!C$300:C$400,MATCH("*"&amp;J16&amp;"*",'V9'!B$300:B$400,0)),"  ")</f>
        <v>4</v>
      </c>
      <c r="AF16" s="679" t="str">
        <f>IFERROR(INDEX('V10'!C$300:C$400,MATCH("*"&amp;J16&amp;"*",'V10'!B$300:B$400,0)),"  ")</f>
        <v xml:space="preserve">  </v>
      </c>
      <c r="AG16" s="679">
        <f>IFERROR(INDEX('V11'!C$300:C$400,MATCH("*"&amp;J16&amp;"*",'V11'!B$300:B$400,0)),"  ")</f>
        <v>12</v>
      </c>
      <c r="AH16" s="679">
        <f>IFERROR(INDEX('V12'!C$300:C$400,MATCH("*"&amp;J16&amp;"*",'V12'!B$300:B$400,0)),"  ")</f>
        <v>1.5</v>
      </c>
      <c r="AI16" s="679">
        <f>IFERROR(INDEX('V13'!C$300:C$400,MATCH("*"&amp;J16&amp;"*",'V13'!B$300:B$400,0)),"  ")</f>
        <v>5</v>
      </c>
      <c r="AJ16" s="747">
        <f t="shared" si="15"/>
        <v>1</v>
      </c>
      <c r="AK16" s="747">
        <f t="shared" si="16"/>
        <v>70.5</v>
      </c>
      <c r="AL16" s="1212" t="str">
        <f t="shared" si="17"/>
        <v>edasi 10</v>
      </c>
      <c r="AM16" s="1215" t="str">
        <f>IFERROR(INDEX('V-Fin'!A$300:AJ$400&amp;".",MATCH("*"&amp;J16&amp;"*",'V-Fin'!B$300:B$400,0)),"  ")</f>
        <v xml:space="preserve">  </v>
      </c>
      <c r="AN16" s="337">
        <f t="shared" si="18"/>
        <v>12</v>
      </c>
      <c r="AO16" s="336">
        <f t="shared" si="19"/>
        <v>3</v>
      </c>
      <c r="AP16" s="336">
        <f t="shared" si="20"/>
        <v>1</v>
      </c>
    </row>
    <row r="17" spans="1:42" ht="12.6" customHeight="1" thickBot="1" x14ac:dyDescent="0.25">
      <c r="A17" s="1240" t="str">
        <f t="shared" si="0"/>
        <v/>
      </c>
      <c r="B17" s="1241">
        <f t="shared" si="1"/>
        <v>-989</v>
      </c>
      <c r="C17" s="1242">
        <f t="shared" si="2"/>
        <v>9</v>
      </c>
      <c r="D17" s="1241">
        <f t="shared" si="3"/>
        <v>11</v>
      </c>
      <c r="E17" s="1243" t="str">
        <f t="shared" si="4"/>
        <v/>
      </c>
      <c r="F17" s="1241">
        <f t="shared" si="5"/>
        <v>-989</v>
      </c>
      <c r="G17" s="1244" t="str">
        <f t="shared" si="6"/>
        <v/>
      </c>
      <c r="H17" s="1241">
        <f t="shared" si="21"/>
        <v>-989</v>
      </c>
      <c r="I17" s="1245">
        <f t="shared" si="7"/>
        <v>11</v>
      </c>
      <c r="J17" s="1403" t="s">
        <v>212</v>
      </c>
      <c r="K17" s="1246"/>
      <c r="L17" s="1247" t="str">
        <f t="shared" si="22"/>
        <v>m</v>
      </c>
      <c r="M17" s="1248"/>
      <c r="N17" s="1247"/>
      <c r="O17" s="1249">
        <f t="shared" si="8"/>
        <v>66</v>
      </c>
      <c r="P17" s="1250" t="str">
        <f>INDEX(ETAPP!B$1:B$32,MATCH(COUNTIF(W17:AI17,PVO!A$1),ETAPP!A$1:A$32,0))&amp;INDEX(ETAPP!B$1:B$32,MATCH(COUNTIF(W17:AI17,PVO!A$2),ETAPP!A$1:A$32,0))&amp;INDEX(ETAPP!B$1:B$32,MATCH(COUNTIF(W17:AI17,PVO!A$3),ETAPP!A$1:A$32,0))&amp;INDEX(ETAPP!B$1:B$32,MATCH(COUNTIF(W17:AI17,PVO!A$4),ETAPP!A$1:A$32,0))&amp;INDEX(ETAPP!B$1:B$32,MATCH(COUNTIF(W17:AI17,PVO!A$5),ETAPP!A$1:A$32,0))&amp;INDEX(ETAPP!B$1:B$32,MATCH(COUNTIF(W17:AI17,PVO!A$6),ETAPP!A$1:A$32,0))&amp;INDEX(ETAPP!B$1:B$32,MATCH(COUNTIF(W17:AI17,PVO!A$7),ETAPP!A$1:A$32,0))&amp;INDEX(ETAPP!B$1:B$32,MATCH(COUNTIF(W17:AI17,PVO!A$8),ETAPP!A$1:A$32,0))&amp;INDEX(ETAPP!B$1:B$32,MATCH(COUNTIF(W17:AI17,PVO!A$9),ETAPP!A$1:A$32,0))&amp;INDEX(ETAPP!B$1:B$32,MATCH(COUNTIF(W17:AI17,PVO!A$10),ETAPP!A$1:A$32,0))&amp;INDEX(ETAPP!B$1:B$32,MATCH(COUNTIF(W17:AI17,PVO!A$11),ETAPP!A$1:A$32,0))&amp;INDEX(ETAPP!B$1:B$32,MATCH(COUNTIF(W17:AI17,PVO!A$12),ETAPP!A$1:A$32,0))&amp;INDEX(ETAPP!B$1:B$32,MATCH(COUNTIF(W17:AI17,PVO!A$13),ETAPP!A$1:A$32,0))&amp;INDEX(ETAPP!B$1:B$32,MATCH(COUNTIF(W17:AI17,PVO!A$14),ETAPP!A$1:A$32,0))&amp;INDEX(ETAPP!B$1:B$32,MATCH(COUNTIF(W17:AI17,PVO!A$15),ETAPP!A$1:A$32,0))&amp;INDEX(ETAPP!B$1:B$32,MATCH(COUNTIF(W17:AI17,PVO!A$16),ETAPP!A$1:A$32,0))&amp;INDEX(ETAPP!B$1:B$32,MATCH(COUNTIF(W17:AI17,PVO!A$17),ETAPP!A$1:A$32,0))&amp;INDEX(ETAPP!B$1:B$32,MATCH(COUNTIF(W17:AI17,PVO!A$18),ETAPP!A$1:A$32,0))&amp;INDEX(ETAPP!B$1:B$32,MATCH(COUNTIF(W17:AI17,PVO!A$19),ETAPP!A$1:A$32,0))</f>
        <v>00000AA0B00A0CAB00B</v>
      </c>
      <c r="Q17" s="1250" t="str">
        <f t="shared" si="9"/>
        <v>066,0-00000AA0B00A0CAB00B</v>
      </c>
      <c r="R17" s="1250">
        <f t="shared" si="10"/>
        <v>11</v>
      </c>
      <c r="S17" s="1250">
        <f t="shared" si="11"/>
        <v>31</v>
      </c>
      <c r="T17" s="1250" t="str">
        <f t="shared" si="12"/>
        <v>066,0-00000AA0B00A0CAB00B-031</v>
      </c>
      <c r="U17" s="1250">
        <f t="shared" si="13"/>
        <v>11</v>
      </c>
      <c r="V17" s="1250">
        <f t="shared" si="14"/>
        <v>46</v>
      </c>
      <c r="W17" s="1251">
        <f>IFERROR(INDEX('V1'!C$300:C$400,MATCH("*"&amp;J17&amp;"*",'V1'!B$300:B$400,0)),"  ")</f>
        <v>3</v>
      </c>
      <c r="X17" s="1251">
        <f>IFERROR(INDEX('V2'!C$300:C$400,MATCH("*"&amp;J17&amp;"*",'V2'!B$300:B$400,0)),"  ")</f>
        <v>4</v>
      </c>
      <c r="Y17" s="1251" t="str">
        <f>IFERROR(INDEX('V3'!C$300:C$400,MATCH("*"&amp;J17&amp;"*",'V3'!B$300:B$400,0)),"  ")</f>
        <v xml:space="preserve">  </v>
      </c>
      <c r="Z17" s="1251">
        <f>IFERROR(INDEX('V4'!C$300:C$400,MATCH("*"&amp;J17&amp;"*",'V4'!B$300:B$400,0)),"  ")</f>
        <v>9</v>
      </c>
      <c r="AA17" s="1251">
        <f>IFERROR(INDEX('V5'!C$300:C$400,MATCH("*"&amp;J17&amp;"*",'V5'!B$300:B$400,0)),"  ")</f>
        <v>4</v>
      </c>
      <c r="AB17" s="1251">
        <f>IFERROR(INDEX('V6'!C$300:C$400,MATCH("*"&amp;J17&amp;"*",'V6'!B$300:B$400,0)),"  ")</f>
        <v>6</v>
      </c>
      <c r="AC17" s="1251">
        <f>IFERROR(INDEX('V7'!C$300:C$400,MATCH("*"&amp;J17&amp;"*",'V7'!B$300:B$400,0)),"  ")</f>
        <v>2</v>
      </c>
      <c r="AD17" s="1251">
        <f>IFERROR(INDEX('V8'!C$300:C$400,MATCH("*"&amp;J17&amp;"*",'V8'!B$300:B$400,0)),"  ")</f>
        <v>11</v>
      </c>
      <c r="AE17" s="1251">
        <f>IFERROR(INDEX('V9'!C$300:C$400,MATCH("*"&amp;J17&amp;"*",'V9'!B$300:B$400,0)),"  ")</f>
        <v>2</v>
      </c>
      <c r="AF17" s="1251">
        <f>IFERROR(INDEX('V10'!C$300:C$400,MATCH("*"&amp;J17&amp;"*",'V10'!B$300:B$400,0)),"  ")</f>
        <v>4</v>
      </c>
      <c r="AG17" s="1251">
        <f>IFERROR(INDEX('V11'!C$300:C$400,MATCH("*"&amp;J17&amp;"*",'V11'!B$300:B$400,0)),"  ")</f>
        <v>9</v>
      </c>
      <c r="AH17" s="1251" t="str">
        <f>IFERROR(INDEX('V12'!C$300:C$400,MATCH("*"&amp;J17&amp;"*",'V12'!B$300:B$400,0)),"  ")</f>
        <v xml:space="preserve">  </v>
      </c>
      <c r="AI17" s="1251">
        <f>IFERROR(INDEX('V13'!C$300:C$400,MATCH("*"&amp;J17&amp;"*",'V13'!B$300:B$400,0)),"  ")</f>
        <v>12</v>
      </c>
      <c r="AJ17" s="1252">
        <f t="shared" si="15"/>
        <v>1</v>
      </c>
      <c r="AK17" s="1252">
        <f t="shared" si="16"/>
        <v>66</v>
      </c>
      <c r="AL17" s="1253" t="str">
        <f t="shared" si="17"/>
        <v>edasi 11</v>
      </c>
      <c r="AM17" s="1305" t="str">
        <f>IFERROR(INDEX('V-Fin'!A$300:AJ$400&amp;".",MATCH("*"&amp;J17&amp;"*",'V-Fin'!B$300:B$400,0)),"  ")</f>
        <v>2.</v>
      </c>
      <c r="AN17" s="1388">
        <f t="shared" si="18"/>
        <v>11</v>
      </c>
      <c r="AO17" s="337">
        <f t="shared" si="19"/>
        <v>2</v>
      </c>
      <c r="AP17" s="337">
        <f t="shared" si="20"/>
        <v>1</v>
      </c>
    </row>
    <row r="18" spans="1:42" ht="12.6" customHeight="1" x14ac:dyDescent="0.2">
      <c r="A18" s="1268" t="str">
        <f t="shared" si="0"/>
        <v/>
      </c>
      <c r="B18" s="1193">
        <f t="shared" si="1"/>
        <v>-988</v>
      </c>
      <c r="C18" s="1199">
        <f t="shared" si="2"/>
        <v>10</v>
      </c>
      <c r="D18" s="1193">
        <f t="shared" si="3"/>
        <v>12</v>
      </c>
      <c r="E18" s="1195" t="str">
        <f t="shared" si="4"/>
        <v/>
      </c>
      <c r="F18" s="1193">
        <f t="shared" si="5"/>
        <v>-988</v>
      </c>
      <c r="G18" s="1207" t="str">
        <f t="shared" si="6"/>
        <v/>
      </c>
      <c r="H18" s="1193">
        <f t="shared" si="21"/>
        <v>-988</v>
      </c>
      <c r="I18" s="1269">
        <f t="shared" si="7"/>
        <v>12</v>
      </c>
      <c r="J18" s="1404" t="s">
        <v>208</v>
      </c>
      <c r="K18" s="1279"/>
      <c r="L18" s="1280" t="str">
        <f t="shared" si="22"/>
        <v>m</v>
      </c>
      <c r="M18" s="1281"/>
      <c r="N18" s="1280"/>
      <c r="O18" s="1282">
        <f t="shared" si="8"/>
        <v>62</v>
      </c>
      <c r="P18" s="1283" t="str">
        <f>INDEX(ETAPP!B$1:B$32,MATCH(COUNTIF(W18:AI18,PVO!A$1),ETAPP!A$1:A$32,0))&amp;INDEX(ETAPP!B$1:B$32,MATCH(COUNTIF(W18:AI18,PVO!A$2),ETAPP!A$1:A$32,0))&amp;INDEX(ETAPP!B$1:B$32,MATCH(COUNTIF(W18:AI18,PVO!A$3),ETAPP!A$1:A$32,0))&amp;INDEX(ETAPP!B$1:B$32,MATCH(COUNTIF(W18:AI18,PVO!A$4),ETAPP!A$1:A$32,0))&amp;INDEX(ETAPP!B$1:B$32,MATCH(COUNTIF(W18:AI18,PVO!A$5),ETAPP!A$1:A$32,0))&amp;INDEX(ETAPP!B$1:B$32,MATCH(COUNTIF(W18:AI18,PVO!A$6),ETAPP!A$1:A$32,0))&amp;INDEX(ETAPP!B$1:B$32,MATCH(COUNTIF(W18:AI18,PVO!A$7),ETAPP!A$1:A$32,0))&amp;INDEX(ETAPP!B$1:B$32,MATCH(COUNTIF(W18:AI18,PVO!A$8),ETAPP!A$1:A$32,0))&amp;INDEX(ETAPP!B$1:B$32,MATCH(COUNTIF(W18:AI18,PVO!A$9),ETAPP!A$1:A$32,0))&amp;INDEX(ETAPP!B$1:B$32,MATCH(COUNTIF(W18:AI18,PVO!A$10),ETAPP!A$1:A$32,0))&amp;INDEX(ETAPP!B$1:B$32,MATCH(COUNTIF(W18:AI18,PVO!A$11),ETAPP!A$1:A$32,0))&amp;INDEX(ETAPP!B$1:B$32,MATCH(COUNTIF(W18:AI18,PVO!A$12),ETAPP!A$1:A$32,0))&amp;INDEX(ETAPP!B$1:B$32,MATCH(COUNTIF(W18:AI18,PVO!A$13),ETAPP!A$1:A$32,0))&amp;INDEX(ETAPP!B$1:B$32,MATCH(COUNTIF(W18:AI18,PVO!A$14),ETAPP!A$1:A$32,0))&amp;INDEX(ETAPP!B$1:B$32,MATCH(COUNTIF(W18:AI18,PVO!A$15),ETAPP!A$1:A$32,0))&amp;INDEX(ETAPP!B$1:B$32,MATCH(COUNTIF(W18:AI18,PVO!A$16),ETAPP!A$1:A$32,0))&amp;INDEX(ETAPP!B$1:B$32,MATCH(COUNTIF(W18:AI18,PVO!A$17),ETAPP!A$1:A$32,0))&amp;INDEX(ETAPP!B$1:B$32,MATCH(COUNTIF(W18:AI18,PVO!A$18),ETAPP!A$1:A$32,0))&amp;INDEX(ETAPP!B$1:B$32,MATCH(COUNTIF(W18:AI18,PVO!A$19),ETAPP!A$1:A$32,0))</f>
        <v>000A0AA00A0BA00000F</v>
      </c>
      <c r="Q18" s="1283" t="str">
        <f t="shared" si="9"/>
        <v>062,0-000A0AA00A0BA00000F</v>
      </c>
      <c r="R18" s="1283">
        <f t="shared" si="10"/>
        <v>12</v>
      </c>
      <c r="S18" s="1283">
        <f t="shared" si="11"/>
        <v>1</v>
      </c>
      <c r="T18" s="1283" t="str">
        <f t="shared" si="12"/>
        <v>062,0-000A0AA00A0BA00000F-001</v>
      </c>
      <c r="U18" s="1283">
        <f t="shared" si="13"/>
        <v>12</v>
      </c>
      <c r="V18" s="1283">
        <f t="shared" si="14"/>
        <v>45</v>
      </c>
      <c r="W18" s="1284" t="str">
        <f>IFERROR(INDEX('V1'!C$300:C$400,MATCH("*"&amp;J18&amp;"*",'V1'!B$300:B$400,0)),"  ")</f>
        <v xml:space="preserve">  </v>
      </c>
      <c r="X18" s="1284">
        <f>IFERROR(INDEX('V2'!C$300:C$400,MATCH("*"&amp;J18&amp;"*",'V2'!B$300:B$400,0)),"  ")</f>
        <v>6</v>
      </c>
      <c r="Y18" s="1284">
        <f>IFERROR(INDEX('V3'!C$300:C$400,MATCH("*"&amp;J18&amp;"*",'V3'!B$300:B$400,0)),"  ")</f>
        <v>5</v>
      </c>
      <c r="Z18" s="1284" t="str">
        <f>IFERROR(INDEX('V4'!C$300:C$400,MATCH("*"&amp;J18&amp;"*",'V4'!B$300:B$400,0)),"  ")</f>
        <v xml:space="preserve">  </v>
      </c>
      <c r="AA18" s="1284" t="str">
        <f>IFERROR(INDEX('V5'!C$300:C$400,MATCH("*"&amp;J18&amp;"*",'V5'!B$300:B$400,0)),"  ")</f>
        <v xml:space="preserve">  </v>
      </c>
      <c r="AB18" s="1284" t="str">
        <f>IFERROR(INDEX('V6'!C$300:C$400,MATCH("*"&amp;J18&amp;"*",'V6'!B$300:B$400,0)),"  ")</f>
        <v xml:space="preserve">  </v>
      </c>
      <c r="AC18" s="1284" t="str">
        <f>IFERROR(INDEX('V7'!C$300:C$400,MATCH("*"&amp;J18&amp;"*",'V7'!B$300:B$400,0)),"  ")</f>
        <v xml:space="preserve">  </v>
      </c>
      <c r="AD18" s="1284">
        <f>IFERROR(INDEX('V8'!C$300:C$400,MATCH("*"&amp;J18&amp;"*",'V8'!B$300:B$400,0)),"  ")</f>
        <v>12</v>
      </c>
      <c r="AE18" s="1284">
        <f>IFERROR(INDEX('V9'!C$300:C$400,MATCH("*"&amp;J18&amp;"*",'V9'!B$300:B$400,0)),"  ")</f>
        <v>11</v>
      </c>
      <c r="AF18" s="1284" t="str">
        <f>IFERROR(INDEX('V10'!C$300:C$400,MATCH("*"&amp;J18&amp;"*",'V10'!B$300:B$400,0)),"  ")</f>
        <v xml:space="preserve">  </v>
      </c>
      <c r="AG18" s="1284">
        <f>IFERROR(INDEX('V11'!C$300:C$400,MATCH("*"&amp;J18&amp;"*",'V11'!B$300:B$400,0)),"  ")</f>
        <v>8</v>
      </c>
      <c r="AH18" s="1284">
        <f>IFERROR(INDEX('V12'!C$300:C$400,MATCH("*"&amp;J18&amp;"*",'V12'!B$300:B$400,0)),"  ")</f>
        <v>6</v>
      </c>
      <c r="AI18" s="1284">
        <f>IFERROR(INDEX('V13'!C$300:C$400,MATCH("*"&amp;J18&amp;"*",'V13'!B$300:B$400,0)),"  ")</f>
        <v>14</v>
      </c>
      <c r="AJ18" s="1285">
        <f t="shared" si="15"/>
        <v>1</v>
      </c>
      <c r="AK18" s="1285">
        <f t="shared" si="16"/>
        <v>62</v>
      </c>
      <c r="AL18" s="1286" t="str">
        <f t="shared" si="17"/>
        <v>edasi 12</v>
      </c>
      <c r="AM18" s="1287" t="str">
        <f>IFERROR(INDEX('V-Fin'!A$300:AJ$400&amp;".",MATCH("*"&amp;J18&amp;"*",'V-Fin'!B$300:B$400,0)),"  ")</f>
        <v>6.</v>
      </c>
      <c r="AN18" s="1389">
        <f t="shared" si="18"/>
        <v>7</v>
      </c>
      <c r="AO18" s="1288">
        <f t="shared" si="19"/>
        <v>3</v>
      </c>
      <c r="AP18" s="1288">
        <f t="shared" si="20"/>
        <v>1</v>
      </c>
    </row>
    <row r="19" spans="1:42" ht="12.6" customHeight="1" x14ac:dyDescent="0.2">
      <c r="A19" s="1268" t="str">
        <f t="shared" si="0"/>
        <v/>
      </c>
      <c r="B19" s="1193">
        <f t="shared" si="1"/>
        <v>-987</v>
      </c>
      <c r="C19" s="1199" t="str">
        <f t="shared" si="2"/>
        <v/>
      </c>
      <c r="D19" s="1193">
        <f t="shared" si="3"/>
        <v>-987</v>
      </c>
      <c r="E19" s="1225">
        <f t="shared" si="4"/>
        <v>3</v>
      </c>
      <c r="F19" s="1193">
        <f t="shared" si="5"/>
        <v>13</v>
      </c>
      <c r="G19" s="1207" t="str">
        <f t="shared" si="6"/>
        <v/>
      </c>
      <c r="H19" s="1193">
        <f t="shared" si="21"/>
        <v>-987</v>
      </c>
      <c r="I19" s="1269">
        <f t="shared" si="7"/>
        <v>13</v>
      </c>
      <c r="J19" s="1405" t="s">
        <v>253</v>
      </c>
      <c r="K19" s="1271" t="s">
        <v>359</v>
      </c>
      <c r="L19" s="1198" t="str">
        <f t="shared" si="22"/>
        <v/>
      </c>
      <c r="M19" s="1272"/>
      <c r="N19" s="1198"/>
      <c r="O19" s="1273">
        <f t="shared" si="8"/>
        <v>61</v>
      </c>
      <c r="P19" s="1274" t="str">
        <f>INDEX(ETAPP!B$1:B$32,MATCH(COUNTIF(W19:AI19,PVO!A$1),ETAPP!A$1:A$32,0))&amp;INDEX(ETAPP!B$1:B$32,MATCH(COUNTIF(W19:AI19,PVO!A$2),ETAPP!A$1:A$32,0))&amp;INDEX(ETAPP!B$1:B$32,MATCH(COUNTIF(W19:AI19,PVO!A$3),ETAPP!A$1:A$32,0))&amp;INDEX(ETAPP!B$1:B$32,MATCH(COUNTIF(W19:AI19,PVO!A$4),ETAPP!A$1:A$32,0))&amp;INDEX(ETAPP!B$1:B$32,MATCH(COUNTIF(W19:AI19,PVO!A$5),ETAPP!A$1:A$32,0))&amp;INDEX(ETAPP!B$1:B$32,MATCH(COUNTIF(W19:AI19,PVO!A$6),ETAPP!A$1:A$32,0))&amp;INDEX(ETAPP!B$1:B$32,MATCH(COUNTIF(W19:AI19,PVO!A$7),ETAPP!A$1:A$32,0))&amp;INDEX(ETAPP!B$1:B$32,MATCH(COUNTIF(W19:AI19,PVO!A$8),ETAPP!A$1:A$32,0))&amp;INDEX(ETAPP!B$1:B$32,MATCH(COUNTIF(W19:AI19,PVO!A$9),ETAPP!A$1:A$32,0))&amp;INDEX(ETAPP!B$1:B$32,MATCH(COUNTIF(W19:AI19,PVO!A$10),ETAPP!A$1:A$32,0))&amp;INDEX(ETAPP!B$1:B$32,MATCH(COUNTIF(W19:AI19,PVO!A$11),ETAPP!A$1:A$32,0))&amp;INDEX(ETAPP!B$1:B$32,MATCH(COUNTIF(W19:AI19,PVO!A$12),ETAPP!A$1:A$32,0))&amp;INDEX(ETAPP!B$1:B$32,MATCH(COUNTIF(W19:AI19,PVO!A$13),ETAPP!A$1:A$32,0))&amp;INDEX(ETAPP!B$1:B$32,MATCH(COUNTIF(W19:AI19,PVO!A$14),ETAPP!A$1:A$32,0))&amp;INDEX(ETAPP!B$1:B$32,MATCH(COUNTIF(W19:AI19,PVO!A$15),ETAPP!A$1:A$32,0))&amp;INDEX(ETAPP!B$1:B$32,MATCH(COUNTIF(W19:AI19,PVO!A$16),ETAPP!A$1:A$32,0))&amp;INDEX(ETAPP!B$1:B$32,MATCH(COUNTIF(W19:AI19,PVO!A$17),ETAPP!A$1:A$32,0))&amp;INDEX(ETAPP!B$1:B$32,MATCH(COUNTIF(W19:AI19,PVO!A$18),ETAPP!A$1:A$32,0))&amp;INDEX(ETAPP!B$1:B$32,MATCH(COUNTIF(W19:AI19,PVO!A$19),ETAPP!A$1:A$32,0))</f>
        <v>000A000C000AAA00B0D</v>
      </c>
      <c r="Q19" s="1274" t="str">
        <f t="shared" si="9"/>
        <v>061,0-000A000C000AAA00B0D</v>
      </c>
      <c r="R19" s="1274">
        <f t="shared" si="10"/>
        <v>13</v>
      </c>
      <c r="S19" s="1274">
        <f t="shared" si="11"/>
        <v>30</v>
      </c>
      <c r="T19" s="1274" t="str">
        <f t="shared" si="12"/>
        <v>061,0-000A000C000AAA00B0D-030</v>
      </c>
      <c r="U19" s="1274">
        <f t="shared" si="13"/>
        <v>13</v>
      </c>
      <c r="V19" s="1274">
        <f t="shared" si="14"/>
        <v>44</v>
      </c>
      <c r="W19" s="1275" t="str">
        <f>IFERROR(INDEX('V1'!C$300:C$400,MATCH("*"&amp;J19&amp;"*",'V1'!B$300:B$400,0)),"  ")</f>
        <v xml:space="preserve">  </v>
      </c>
      <c r="X19" s="1275">
        <f>IFERROR(INDEX('V2'!C$300:C$400,MATCH("*"&amp;J19&amp;"*",'V2'!B$300:B$400,0)),"  ")</f>
        <v>5</v>
      </c>
      <c r="Y19" s="1275">
        <f>IFERROR(INDEX('V3'!C$300:C$400,MATCH("*"&amp;J19&amp;"*",'V3'!B$300:B$400,0)),"  ")</f>
        <v>10</v>
      </c>
      <c r="Z19" s="1275">
        <f>IFERROR(INDEX('V4'!C$300:C$400,MATCH("*"&amp;J19&amp;"*",'V4'!B$300:B$400,0)),"  ")</f>
        <v>6</v>
      </c>
      <c r="AA19" s="1275">
        <f>IFERROR(INDEX('V5'!C$300:C$400,MATCH("*"&amp;J19&amp;"*",'V5'!B$300:B$400,0)),"  ")</f>
        <v>1</v>
      </c>
      <c r="AB19" s="1275">
        <f>IFERROR(INDEX('V6'!C$300:C$400,MATCH("*"&amp;J19&amp;"*",'V6'!B$300:B$400,0)),"  ")</f>
        <v>10</v>
      </c>
      <c r="AC19" s="1275" t="str">
        <f>IFERROR(INDEX('V7'!C$300:C$400,MATCH("*"&amp;J19&amp;"*",'V7'!B$300:B$400,0)),"  ")</f>
        <v xml:space="preserve">  </v>
      </c>
      <c r="AD19" s="1275">
        <f>IFERROR(INDEX('V8'!C$300:C$400,MATCH("*"&amp;J19&amp;"*",'V8'!B$300:B$400,0)),"  ")</f>
        <v>10</v>
      </c>
      <c r="AE19" s="1275">
        <f>IFERROR(INDEX('V9'!C$300:C$400,MATCH("*"&amp;J19&amp;"*",'V9'!B$300:B$400,0)),"  ")</f>
        <v>1</v>
      </c>
      <c r="AF19" s="1275" t="str">
        <f>IFERROR(INDEX('V10'!C$300:C$400,MATCH("*"&amp;J19&amp;"*",'V10'!B$300:B$400,0)),"  ")</f>
        <v xml:space="preserve">  </v>
      </c>
      <c r="AG19" s="1275">
        <f>IFERROR(INDEX('V11'!C$300:C$400,MATCH("*"&amp;J19&amp;"*",'V11'!B$300:B$400,0)),"  ")</f>
        <v>4</v>
      </c>
      <c r="AH19" s="1275" t="str">
        <f>IFERROR(INDEX('V12'!C$300:C$400,MATCH("*"&amp;J19&amp;"*",'V12'!B$300:B$400,0)),"  ")</f>
        <v xml:space="preserve">  </v>
      </c>
      <c r="AI19" s="1275">
        <f>IFERROR(INDEX('V13'!C$300:C$400,MATCH("*"&amp;J19&amp;"*",'V13'!B$300:B$400,0)),"  ")</f>
        <v>14</v>
      </c>
      <c r="AJ19" s="1276">
        <f t="shared" si="15"/>
        <v>1</v>
      </c>
      <c r="AK19" s="1276">
        <f t="shared" si="16"/>
        <v>61</v>
      </c>
      <c r="AL19" s="1212" t="str">
        <f t="shared" si="17"/>
        <v>edasi 13</v>
      </c>
      <c r="AM19" s="1306" t="str">
        <f>IFERROR(INDEX('V-Fin'!A$300:AJ$400&amp;".",MATCH("*"&amp;J19&amp;"*",'V-Fin'!B$300:B$400,0)),"  ")</f>
        <v>6.</v>
      </c>
      <c r="AN19" s="1388">
        <f t="shared" si="18"/>
        <v>9</v>
      </c>
      <c r="AO19" s="337">
        <f t="shared" si="19"/>
        <v>2</v>
      </c>
      <c r="AP19" s="337">
        <f t="shared" si="20"/>
        <v>0</v>
      </c>
    </row>
    <row r="20" spans="1:42" ht="12.6" customHeight="1" x14ac:dyDescent="0.2">
      <c r="A20" s="1268" t="str">
        <f t="shared" si="0"/>
        <v/>
      </c>
      <c r="B20" s="1193">
        <f t="shared" si="1"/>
        <v>-986</v>
      </c>
      <c r="C20" s="1199">
        <f t="shared" si="2"/>
        <v>11</v>
      </c>
      <c r="D20" s="1193">
        <f t="shared" si="3"/>
        <v>14</v>
      </c>
      <c r="E20" s="1195" t="str">
        <f t="shared" si="4"/>
        <v/>
      </c>
      <c r="F20" s="1193">
        <f t="shared" si="5"/>
        <v>-986</v>
      </c>
      <c r="G20" s="1207" t="str">
        <f t="shared" si="6"/>
        <v/>
      </c>
      <c r="H20" s="1193">
        <f t="shared" si="21"/>
        <v>-986</v>
      </c>
      <c r="I20" s="1269">
        <f t="shared" si="7"/>
        <v>14</v>
      </c>
      <c r="J20" s="1406" t="s">
        <v>203</v>
      </c>
      <c r="K20" s="1271"/>
      <c r="L20" s="1198" t="str">
        <f t="shared" si="22"/>
        <v>m</v>
      </c>
      <c r="M20" s="1272"/>
      <c r="N20" s="1198"/>
      <c r="O20" s="1273">
        <f t="shared" si="8"/>
        <v>59</v>
      </c>
      <c r="P20" s="1274" t="str">
        <f>INDEX(ETAPP!B$1:B$32,MATCH(COUNTIF(W20:AI20,PVO!A$1),ETAPP!A$1:A$32,0))&amp;INDEX(ETAPP!B$1:B$32,MATCH(COUNTIF(W20:AI20,PVO!A$2),ETAPP!A$1:A$32,0))&amp;INDEX(ETAPP!B$1:B$32,MATCH(COUNTIF(W20:AI20,PVO!A$3),ETAPP!A$1:A$32,0))&amp;INDEX(ETAPP!B$1:B$32,MATCH(COUNTIF(W20:AI20,PVO!A$4),ETAPP!A$1:A$32,0))&amp;INDEX(ETAPP!B$1:B$32,MATCH(COUNTIF(W20:AI20,PVO!A$5),ETAPP!A$1:A$32,0))&amp;INDEX(ETAPP!B$1:B$32,MATCH(COUNTIF(W20:AI20,PVO!A$6),ETAPP!A$1:A$32,0))&amp;INDEX(ETAPP!B$1:B$32,MATCH(COUNTIF(W20:AI20,PVO!A$7),ETAPP!A$1:A$32,0))&amp;INDEX(ETAPP!B$1:B$32,MATCH(COUNTIF(W20:AI20,PVO!A$8),ETAPP!A$1:A$32,0))&amp;INDEX(ETAPP!B$1:B$32,MATCH(COUNTIF(W20:AI20,PVO!A$9),ETAPP!A$1:A$32,0))&amp;INDEX(ETAPP!B$1:B$32,MATCH(COUNTIF(W20:AI20,PVO!A$10),ETAPP!A$1:A$32,0))&amp;INDEX(ETAPP!B$1:B$32,MATCH(COUNTIF(W20:AI20,PVO!A$11),ETAPP!A$1:A$32,0))&amp;INDEX(ETAPP!B$1:B$32,MATCH(COUNTIF(W20:AI20,PVO!A$12),ETAPP!A$1:A$32,0))&amp;INDEX(ETAPP!B$1:B$32,MATCH(COUNTIF(W20:AI20,PVO!A$13),ETAPP!A$1:A$32,0))&amp;INDEX(ETAPP!B$1:B$32,MATCH(COUNTIF(W20:AI20,PVO!A$14),ETAPP!A$1:A$32,0))&amp;INDEX(ETAPP!B$1:B$32,MATCH(COUNTIF(W20:AI20,PVO!A$15),ETAPP!A$1:A$32,0))&amp;INDEX(ETAPP!B$1:B$32,MATCH(COUNTIF(W20:AI20,PVO!A$16),ETAPP!A$1:A$32,0))&amp;INDEX(ETAPP!B$1:B$32,MATCH(COUNTIF(W20:AI20,PVO!A$17),ETAPP!A$1:A$32,0))&amp;INDEX(ETAPP!B$1:B$32,MATCH(COUNTIF(W20:AI20,PVO!A$18),ETAPP!A$1:A$32,0))&amp;INDEX(ETAPP!B$1:B$32,MATCH(COUNTIF(W20:AI20,PVO!A$19),ETAPP!A$1:A$32,0))</f>
        <v>000000AAAAC0000000F</v>
      </c>
      <c r="Q20" s="1274" t="str">
        <f t="shared" si="9"/>
        <v>059,0-000000AAAAC0000000F</v>
      </c>
      <c r="R20" s="1274">
        <f t="shared" si="10"/>
        <v>14</v>
      </c>
      <c r="S20" s="1274">
        <f t="shared" si="11"/>
        <v>24</v>
      </c>
      <c r="T20" s="1274" t="str">
        <f t="shared" si="12"/>
        <v>059,0-000000AAAAC0000000F-024</v>
      </c>
      <c r="U20" s="1274">
        <f t="shared" si="13"/>
        <v>14</v>
      </c>
      <c r="V20" s="1274">
        <f t="shared" si="14"/>
        <v>43</v>
      </c>
      <c r="W20" s="1275" t="str">
        <f>IFERROR(INDEX('V1'!C$300:C$400,MATCH("*"&amp;J20&amp;"*",'V1'!B$300:B$400,0)),"  ")</f>
        <v xml:space="preserve">  </v>
      </c>
      <c r="X20" s="1275" t="str">
        <f>IFERROR(INDEX('V2'!C$300:C$400,MATCH("*"&amp;J20&amp;"*",'V2'!B$300:B$400,0)),"  ")</f>
        <v xml:space="preserve">  </v>
      </c>
      <c r="Y20" s="1275">
        <f>IFERROR(INDEX('V3'!C$300:C$400,MATCH("*"&amp;J20&amp;"*",'V3'!B$300:B$400,0)),"  ")</f>
        <v>9</v>
      </c>
      <c r="Z20" s="1275">
        <f>IFERROR(INDEX('V4'!C$300:C$400,MATCH("*"&amp;J20&amp;"*",'V4'!B$300:B$400,0)),"  ")</f>
        <v>8</v>
      </c>
      <c r="AA20" s="1275" t="str">
        <f>IFERROR(INDEX('V5'!C$300:C$400,MATCH("*"&amp;J20&amp;"*",'V5'!B$300:B$400,0)),"  ")</f>
        <v xml:space="preserve">  </v>
      </c>
      <c r="AB20" s="1275">
        <f>IFERROR(INDEX('V6'!C$300:C$400,MATCH("*"&amp;J20&amp;"*",'V6'!B$300:B$400,0)),"  ")</f>
        <v>7</v>
      </c>
      <c r="AC20" s="1275" t="str">
        <f>IFERROR(INDEX('V7'!C$300:C$400,MATCH("*"&amp;J20&amp;"*",'V7'!B$300:B$400,0)),"  ")</f>
        <v xml:space="preserve">  </v>
      </c>
      <c r="AD20" s="1275" t="str">
        <f>IFERROR(INDEX('V8'!C$300:C$400,MATCH("*"&amp;J20&amp;"*",'V8'!B$300:B$400,0)),"  ")</f>
        <v xml:space="preserve">  </v>
      </c>
      <c r="AE20" s="1275">
        <f>IFERROR(INDEX('V9'!C$300:C$400,MATCH("*"&amp;J20&amp;"*",'V9'!B$300:B$400,0)),"  ")</f>
        <v>7</v>
      </c>
      <c r="AF20" s="1275" t="str">
        <f>IFERROR(INDEX('V10'!C$300:C$400,MATCH("*"&amp;J20&amp;"*",'V10'!B$300:B$400,0)),"  ")</f>
        <v xml:space="preserve">  </v>
      </c>
      <c r="AG20" s="1275">
        <f>IFERROR(INDEX('V11'!C$300:C$400,MATCH("*"&amp;J20&amp;"*",'V11'!B$300:B$400,0)),"  ")</f>
        <v>7</v>
      </c>
      <c r="AH20" s="1275">
        <f>IFERROR(INDEX('V12'!C$300:C$400,MATCH("*"&amp;J20&amp;"*",'V12'!B$300:B$400,0)),"  ")</f>
        <v>10</v>
      </c>
      <c r="AI20" s="1275">
        <f>IFERROR(INDEX('V13'!C$300:C$400,MATCH("*"&amp;J20&amp;"*",'V13'!B$300:B$400,0)),"  ")</f>
        <v>11</v>
      </c>
      <c r="AJ20" s="1276">
        <f t="shared" si="15"/>
        <v>1</v>
      </c>
      <c r="AK20" s="1276">
        <f t="shared" si="16"/>
        <v>59</v>
      </c>
      <c r="AL20" s="1212" t="str">
        <f t="shared" si="17"/>
        <v>edasi 14</v>
      </c>
      <c r="AM20" s="1306" t="str">
        <f>IFERROR(INDEX('V-Fin'!A$300:AJ$400&amp;".",MATCH("*"&amp;J20&amp;"*",'V-Fin'!B$300:B$400,0)),"  ")</f>
        <v>1.</v>
      </c>
      <c r="AN20" s="1388">
        <f t="shared" si="18"/>
        <v>7</v>
      </c>
      <c r="AO20" s="337">
        <f t="shared" si="19"/>
        <v>2</v>
      </c>
      <c r="AP20" s="337">
        <f t="shared" si="20"/>
        <v>0</v>
      </c>
    </row>
    <row r="21" spans="1:42" ht="12.6" customHeight="1" x14ac:dyDescent="0.2">
      <c r="A21" s="1268" t="str">
        <f t="shared" si="0"/>
        <v/>
      </c>
      <c r="B21" s="1193">
        <f t="shared" si="1"/>
        <v>-985</v>
      </c>
      <c r="C21" s="1199">
        <f t="shared" si="2"/>
        <v>12</v>
      </c>
      <c r="D21" s="1193">
        <f t="shared" si="3"/>
        <v>15</v>
      </c>
      <c r="E21" s="1195" t="str">
        <f t="shared" si="4"/>
        <v/>
      </c>
      <c r="F21" s="1193">
        <f t="shared" si="5"/>
        <v>-985</v>
      </c>
      <c r="G21" s="1220">
        <f t="shared" si="6"/>
        <v>1</v>
      </c>
      <c r="H21" s="1193">
        <f t="shared" si="21"/>
        <v>15</v>
      </c>
      <c r="I21" s="1269">
        <f t="shared" si="7"/>
        <v>15</v>
      </c>
      <c r="J21" s="1406" t="s">
        <v>202</v>
      </c>
      <c r="K21" s="1271"/>
      <c r="L21" s="1198" t="str">
        <f t="shared" si="22"/>
        <v>m</v>
      </c>
      <c r="M21" s="1272" t="s">
        <v>360</v>
      </c>
      <c r="N21" s="1198"/>
      <c r="O21" s="1273">
        <f t="shared" si="8"/>
        <v>56.5</v>
      </c>
      <c r="P21" s="1274" t="str">
        <f>INDEX(ETAPP!B$1:B$32,MATCH(COUNTIF(W21:AI21,PVO!A$1),ETAPP!A$1:A$32,0))&amp;INDEX(ETAPP!B$1:B$32,MATCH(COUNTIF(W21:AI21,PVO!A$2),ETAPP!A$1:A$32,0))&amp;INDEX(ETAPP!B$1:B$32,MATCH(COUNTIF(W21:AI21,PVO!A$3),ETAPP!A$1:A$32,0))&amp;INDEX(ETAPP!B$1:B$32,MATCH(COUNTIF(W21:AI21,PVO!A$4),ETAPP!A$1:A$32,0))&amp;INDEX(ETAPP!B$1:B$32,MATCH(COUNTIF(W21:AI21,PVO!A$5),ETAPP!A$1:A$32,0))&amp;INDEX(ETAPP!B$1:B$32,MATCH(COUNTIF(W21:AI21,PVO!A$6),ETAPP!A$1:A$32,0))&amp;INDEX(ETAPP!B$1:B$32,MATCH(COUNTIF(W21:AI21,PVO!A$7),ETAPP!A$1:A$32,0))&amp;INDEX(ETAPP!B$1:B$32,MATCH(COUNTIF(W21:AI21,PVO!A$8),ETAPP!A$1:A$32,0))&amp;INDEX(ETAPP!B$1:B$32,MATCH(COUNTIF(W21:AI21,PVO!A$9),ETAPP!A$1:A$32,0))&amp;INDEX(ETAPP!B$1:B$32,MATCH(COUNTIF(W21:AI21,PVO!A$10),ETAPP!A$1:A$32,0))&amp;INDEX(ETAPP!B$1:B$32,MATCH(COUNTIF(W21:AI21,PVO!A$11),ETAPP!A$1:A$32,0))&amp;INDEX(ETAPP!B$1:B$32,MATCH(COUNTIF(W21:AI21,PVO!A$12),ETAPP!A$1:A$32,0))&amp;INDEX(ETAPP!B$1:B$32,MATCH(COUNTIF(W21:AI21,PVO!A$13),ETAPP!A$1:A$32,0))&amp;INDEX(ETAPP!B$1:B$32,MATCH(COUNTIF(W21:AI21,PVO!A$14),ETAPP!A$1:A$32,0))&amp;INDEX(ETAPP!B$1:B$32,MATCH(COUNTIF(W21:AI21,PVO!A$15),ETAPP!A$1:A$32,0))&amp;INDEX(ETAPP!B$1:B$32,MATCH(COUNTIF(W21:AI21,PVO!A$16),ETAPP!A$1:A$32,0))&amp;INDEX(ETAPP!B$1:B$32,MATCH(COUNTIF(W21:AI21,PVO!A$17),ETAPP!A$1:A$32,0))&amp;INDEX(ETAPP!B$1:B$32,MATCH(COUNTIF(W21:AI21,PVO!A$18),ETAPP!A$1:A$32,0))&amp;INDEX(ETAPP!B$1:B$32,MATCH(COUNTIF(W21:AI21,PVO!A$19),ETAPP!A$1:A$32,0))</f>
        <v>0000B00BA000000000G</v>
      </c>
      <c r="Q21" s="1274" t="str">
        <f t="shared" si="9"/>
        <v>056,5-0000B00BA000000000G</v>
      </c>
      <c r="R21" s="1274">
        <f t="shared" si="10"/>
        <v>15</v>
      </c>
      <c r="S21" s="1274">
        <f t="shared" si="11"/>
        <v>16</v>
      </c>
      <c r="T21" s="1274" t="str">
        <f t="shared" si="12"/>
        <v>056,5-0000B00BA000000000G-016</v>
      </c>
      <c r="U21" s="1274">
        <f t="shared" si="13"/>
        <v>15</v>
      </c>
      <c r="V21" s="1274">
        <f t="shared" si="14"/>
        <v>42</v>
      </c>
      <c r="W21" s="1275">
        <f>IFERROR(INDEX('V1'!C$300:C$400,MATCH("*"&amp;J21&amp;"*",'V1'!B$300:B$400,0)),"  ")</f>
        <v>10</v>
      </c>
      <c r="X21" s="1275" t="str">
        <f>IFERROR(INDEX('V2'!C$300:C$400,MATCH("*"&amp;J21&amp;"*",'V2'!B$300:B$400,0)),"  ")</f>
        <v xml:space="preserve">  </v>
      </c>
      <c r="Y21" s="1275" t="str">
        <f>IFERROR(INDEX('V3'!C$300:C$400,MATCH("*"&amp;J21&amp;"*",'V3'!B$300:B$400,0)),"  ")</f>
        <v xml:space="preserve">  </v>
      </c>
      <c r="Z21" s="1275" t="str">
        <f>IFERROR(INDEX('V4'!C$300:C$400,MATCH("*"&amp;J21&amp;"*",'V4'!B$300:B$400,0)),"  ")</f>
        <v xml:space="preserve">  </v>
      </c>
      <c r="AA21" s="1275" t="str">
        <f>IFERROR(INDEX('V5'!C$300:C$400,MATCH("*"&amp;J21&amp;"*",'V5'!B$300:B$400,0)),"  ")</f>
        <v xml:space="preserve">  </v>
      </c>
      <c r="AB21" s="1275">
        <f>IFERROR(INDEX('V6'!C$300:C$400,MATCH("*"&amp;J21&amp;"*",'V6'!B$300:B$400,0)),"  ")</f>
        <v>13</v>
      </c>
      <c r="AC21" s="1275">
        <f>IFERROR(INDEX('V7'!C$300:C$400,MATCH("*"&amp;J21&amp;"*",'V7'!B$300:B$400,0)),"  ")</f>
        <v>9</v>
      </c>
      <c r="AD21" s="1275">
        <f>IFERROR(INDEX('V8'!C$300:C$400,MATCH("*"&amp;J21&amp;"*",'V8'!B$300:B$400,0)),"  ")</f>
        <v>13</v>
      </c>
      <c r="AE21" s="1275" t="str">
        <f>IFERROR(INDEX('V9'!C$300:C$400,MATCH("*"&amp;J21&amp;"*",'V9'!B$300:B$400,0)),"  ")</f>
        <v xml:space="preserve">  </v>
      </c>
      <c r="AF21" s="1275" t="str">
        <f>IFERROR(INDEX('V10'!C$300:C$400,MATCH("*"&amp;J21&amp;"*",'V10'!B$300:B$400,0)),"  ")</f>
        <v xml:space="preserve">  </v>
      </c>
      <c r="AG21" s="1275" t="str">
        <f>IFERROR(INDEX('V11'!C$300:C$400,MATCH("*"&amp;J21&amp;"*",'V11'!B$300:B$400,0)),"  ")</f>
        <v xml:space="preserve">  </v>
      </c>
      <c r="AH21" s="1275">
        <f>IFERROR(INDEX('V12'!C$300:C$400,MATCH("*"&amp;J21&amp;"*",'V12'!B$300:B$400,0)),"  ")</f>
        <v>1.5</v>
      </c>
      <c r="AI21" s="1275">
        <f>IFERROR(INDEX('V13'!C$300:C$400,MATCH("*"&amp;J21&amp;"*",'V13'!B$300:B$400,0)),"  ")</f>
        <v>10</v>
      </c>
      <c r="AJ21" s="1276">
        <f t="shared" si="15"/>
        <v>1</v>
      </c>
      <c r="AK21" s="1276">
        <f t="shared" si="16"/>
        <v>56.5</v>
      </c>
      <c r="AL21" s="1212" t="str">
        <f t="shared" si="17"/>
        <v>edasi 15</v>
      </c>
      <c r="AM21" s="1306" t="str">
        <f>IFERROR(INDEX('V-Fin'!A$300:AJ$400&amp;".",MATCH("*"&amp;J21&amp;"*",'V-Fin'!B$300:B$400,0)),"  ")</f>
        <v>2.</v>
      </c>
      <c r="AN21" s="1388">
        <f t="shared" si="18"/>
        <v>6</v>
      </c>
      <c r="AO21" s="337">
        <f t="shared" si="19"/>
        <v>4</v>
      </c>
      <c r="AP21" s="337">
        <f t="shared" si="20"/>
        <v>4</v>
      </c>
    </row>
    <row r="22" spans="1:42" ht="12.6" customHeight="1" x14ac:dyDescent="0.2">
      <c r="A22" s="1268">
        <f t="shared" si="0"/>
        <v>3</v>
      </c>
      <c r="B22" s="1193">
        <f t="shared" si="1"/>
        <v>16</v>
      </c>
      <c r="C22" s="1199">
        <f t="shared" si="2"/>
        <v>13</v>
      </c>
      <c r="D22" s="1193">
        <f t="shared" si="3"/>
        <v>16</v>
      </c>
      <c r="E22" s="1195" t="str">
        <f t="shared" si="4"/>
        <v/>
      </c>
      <c r="F22" s="1193">
        <f t="shared" si="5"/>
        <v>-984</v>
      </c>
      <c r="G22" s="1223">
        <f t="shared" si="6"/>
        <v>2</v>
      </c>
      <c r="H22" s="1193">
        <f t="shared" si="21"/>
        <v>16</v>
      </c>
      <c r="I22" s="1269">
        <f t="shared" si="7"/>
        <v>16</v>
      </c>
      <c r="J22" s="1405" t="s">
        <v>242</v>
      </c>
      <c r="K22" s="1271"/>
      <c r="L22" s="1198" t="str">
        <f t="shared" si="22"/>
        <v>m</v>
      </c>
      <c r="M22" s="1272" t="s">
        <v>360</v>
      </c>
      <c r="N22" s="1198" t="s">
        <v>230</v>
      </c>
      <c r="O22" s="1273">
        <f t="shared" si="8"/>
        <v>55</v>
      </c>
      <c r="P22" s="1274" t="str">
        <f>INDEX(ETAPP!B$1:B$32,MATCH(COUNTIF(W22:AI22,PVO!A$1),ETAPP!A$1:A$32,0))&amp;INDEX(ETAPP!B$1:B$32,MATCH(COUNTIF(W22:AI22,PVO!A$2),ETAPP!A$1:A$32,0))&amp;INDEX(ETAPP!B$1:B$32,MATCH(COUNTIF(W22:AI22,PVO!A$3),ETAPP!A$1:A$32,0))&amp;INDEX(ETAPP!B$1:B$32,MATCH(COUNTIF(W22:AI22,PVO!A$4),ETAPP!A$1:A$32,0))&amp;INDEX(ETAPP!B$1:B$32,MATCH(COUNTIF(W22:AI22,PVO!A$5),ETAPP!A$1:A$32,0))&amp;INDEX(ETAPP!B$1:B$32,MATCH(COUNTIF(W22:AI22,PVO!A$6),ETAPP!A$1:A$32,0))&amp;INDEX(ETAPP!B$1:B$32,MATCH(COUNTIF(W22:AI22,PVO!A$7),ETAPP!A$1:A$32,0))&amp;INDEX(ETAPP!B$1:B$32,MATCH(COUNTIF(W22:AI22,PVO!A$8),ETAPP!A$1:A$32,0))&amp;INDEX(ETAPP!B$1:B$32,MATCH(COUNTIF(W22:AI22,PVO!A$9),ETAPP!A$1:A$32,0))&amp;INDEX(ETAPP!B$1:B$32,MATCH(COUNTIF(W22:AI22,PVO!A$10),ETAPP!A$1:A$32,0))&amp;INDEX(ETAPP!B$1:B$32,MATCH(COUNTIF(W22:AI22,PVO!A$11),ETAPP!A$1:A$32,0))&amp;INDEX(ETAPP!B$1:B$32,MATCH(COUNTIF(W22:AI22,PVO!A$12),ETAPP!A$1:A$32,0))&amp;INDEX(ETAPP!B$1:B$32,MATCH(COUNTIF(W22:AI22,PVO!A$13),ETAPP!A$1:A$32,0))&amp;INDEX(ETAPP!B$1:B$32,MATCH(COUNTIF(W22:AI22,PVO!A$14),ETAPP!A$1:A$32,0))&amp;INDEX(ETAPP!B$1:B$32,MATCH(COUNTIF(W22:AI22,PVO!A$15),ETAPP!A$1:A$32,0))&amp;INDEX(ETAPP!B$1:B$32,MATCH(COUNTIF(W22:AI22,PVO!A$16),ETAPP!A$1:A$32,0))&amp;INDEX(ETAPP!B$1:B$32,MATCH(COUNTIF(W22:AI22,PVO!A$17),ETAPP!A$1:A$32,0))&amp;INDEX(ETAPP!B$1:B$32,MATCH(COUNTIF(W22:AI22,PVO!A$18),ETAPP!A$1:A$32,0))&amp;INDEX(ETAPP!B$1:B$32,MATCH(COUNTIF(W22:AI22,PVO!A$19),ETAPP!A$1:A$32,0))</f>
        <v>0000000AAAAAB0AA00D</v>
      </c>
      <c r="Q22" s="1274" t="str">
        <f t="shared" si="9"/>
        <v>055,0-0000000AAAAAB0AA00D</v>
      </c>
      <c r="R22" s="1274">
        <f t="shared" si="10"/>
        <v>16</v>
      </c>
      <c r="S22" s="1274">
        <f t="shared" si="11"/>
        <v>42</v>
      </c>
      <c r="T22" s="1274" t="str">
        <f t="shared" si="12"/>
        <v>055,0-0000000AAAAAB0AA00D-042</v>
      </c>
      <c r="U22" s="1274">
        <f t="shared" si="13"/>
        <v>16</v>
      </c>
      <c r="V22" s="1274">
        <f t="shared" si="14"/>
        <v>41</v>
      </c>
      <c r="W22" s="1275">
        <f>IFERROR(INDEX('V1'!C$300:C$400,MATCH("*"&amp;J22&amp;"*",'V1'!B$300:B$400,0)),"  ")</f>
        <v>5</v>
      </c>
      <c r="X22" s="1275" t="str">
        <f>IFERROR(INDEX('V2'!C$300:C$400,MATCH("*"&amp;J22&amp;"*",'V2'!B$300:B$400,0)),"  ")</f>
        <v xml:space="preserve">  </v>
      </c>
      <c r="Y22" s="1275">
        <f>IFERROR(INDEX('V3'!C$300:C$400,MATCH("*"&amp;J22&amp;"*",'V3'!B$300:B$400,0)),"  ")</f>
        <v>10</v>
      </c>
      <c r="Z22" s="1275">
        <f>IFERROR(INDEX('V4'!C$300:C$400,MATCH("*"&amp;J22&amp;"*",'V4'!B$300:B$400,0)),"  ")</f>
        <v>2</v>
      </c>
      <c r="AA22" s="1275" t="str">
        <f>IFERROR(INDEX('V5'!C$300:C$400,MATCH("*"&amp;J22&amp;"*",'V5'!B$300:B$400,0)),"  ")</f>
        <v xml:space="preserve">  </v>
      </c>
      <c r="AB22" s="1275">
        <f>IFERROR(INDEX('V6'!C$300:C$400,MATCH("*"&amp;J22&amp;"*",'V6'!B$300:B$400,0)),"  ")</f>
        <v>8</v>
      </c>
      <c r="AC22" s="1275">
        <f>IFERROR(INDEX('V7'!C$300:C$400,MATCH("*"&amp;J22&amp;"*",'V7'!B$300:B$400,0)),"  ")</f>
        <v>7</v>
      </c>
      <c r="AD22" s="1275">
        <f>IFERROR(INDEX('V8'!C$300:C$400,MATCH("*"&amp;J22&amp;"*",'V8'!B$300:B$400,0)),"  ")</f>
        <v>3</v>
      </c>
      <c r="AE22" s="1275">
        <f>IFERROR(INDEX('V9'!C$300:C$400,MATCH("*"&amp;J22&amp;"*",'V9'!B$300:B$400,0)),"  ")</f>
        <v>9</v>
      </c>
      <c r="AF22" s="1275">
        <f>IFERROR(INDEX('V10'!C$300:C$400,MATCH("*"&amp;J22&amp;"*",'V10'!B$300:B$400,0)),"  ")</f>
        <v>6</v>
      </c>
      <c r="AG22" s="1275" t="str">
        <f>IFERROR(INDEX('V11'!C$300:C$400,MATCH("*"&amp;J22&amp;"*",'V11'!B$300:B$400,0)),"  ")</f>
        <v xml:space="preserve">  </v>
      </c>
      <c r="AH22" s="1275">
        <f>IFERROR(INDEX('V12'!C$300:C$400,MATCH("*"&amp;J22&amp;"*",'V12'!B$300:B$400,0)),"  ")</f>
        <v>5</v>
      </c>
      <c r="AI22" s="1275" t="str">
        <f>IFERROR(INDEX('V13'!C$300:C$400,MATCH("*"&amp;J22&amp;"*",'V13'!B$300:B$400,0)),"  ")</f>
        <v xml:space="preserve">  </v>
      </c>
      <c r="AJ22" s="1276">
        <f t="shared" si="15"/>
        <v>1</v>
      </c>
      <c r="AK22" s="1276">
        <f t="shared" si="16"/>
        <v>55</v>
      </c>
      <c r="AL22" s="1212" t="str">
        <f t="shared" si="17"/>
        <v>edasi 16</v>
      </c>
      <c r="AM22" s="1306" t="str">
        <f>IFERROR(INDEX('V-Fin'!A$300:AJ$400&amp;".",MATCH("*"&amp;J22&amp;"*",'V-Fin'!B$300:B$400,0)),"  ")</f>
        <v>7.</v>
      </c>
      <c r="AN22" s="1388">
        <f t="shared" si="18"/>
        <v>9</v>
      </c>
      <c r="AO22" s="337">
        <f t="shared" si="19"/>
        <v>3</v>
      </c>
      <c r="AP22" s="337">
        <f t="shared" si="20"/>
        <v>0</v>
      </c>
    </row>
    <row r="23" spans="1:42" ht="12.6" customHeight="1" x14ac:dyDescent="0.2">
      <c r="A23" s="1268">
        <f t="shared" si="0"/>
        <v>4</v>
      </c>
      <c r="B23" s="1193">
        <f t="shared" si="1"/>
        <v>17</v>
      </c>
      <c r="C23" s="1199">
        <f t="shared" si="2"/>
        <v>14</v>
      </c>
      <c r="D23" s="1193">
        <f t="shared" si="3"/>
        <v>17</v>
      </c>
      <c r="E23" s="1195" t="str">
        <f t="shared" si="4"/>
        <v/>
      </c>
      <c r="F23" s="1193">
        <f t="shared" si="5"/>
        <v>-983</v>
      </c>
      <c r="G23" s="1207" t="str">
        <f t="shared" si="6"/>
        <v/>
      </c>
      <c r="H23" s="1193">
        <f t="shared" si="21"/>
        <v>-983</v>
      </c>
      <c r="I23" s="1269">
        <f t="shared" si="7"/>
        <v>17</v>
      </c>
      <c r="J23" s="1406" t="s">
        <v>615</v>
      </c>
      <c r="K23" s="1271"/>
      <c r="L23" s="1198" t="str">
        <f t="shared" si="22"/>
        <v>m</v>
      </c>
      <c r="M23" s="1272"/>
      <c r="N23" s="1198" t="s">
        <v>230</v>
      </c>
      <c r="O23" s="1273">
        <f t="shared" si="8"/>
        <v>54</v>
      </c>
      <c r="P23" s="1274" t="str">
        <f>INDEX(ETAPP!B$1:B$32,MATCH(COUNTIF(W23:AI23,PVO!A$1),ETAPP!A$1:A$32,0))&amp;INDEX(ETAPP!B$1:B$32,MATCH(COUNTIF(W23:AI23,PVO!A$2),ETAPP!A$1:A$32,0))&amp;INDEX(ETAPP!B$1:B$32,MATCH(COUNTIF(W23:AI23,PVO!A$3),ETAPP!A$1:A$32,0))&amp;INDEX(ETAPP!B$1:B$32,MATCH(COUNTIF(W23:AI23,PVO!A$4),ETAPP!A$1:A$32,0))&amp;INDEX(ETAPP!B$1:B$32,MATCH(COUNTIF(W23:AI23,PVO!A$5),ETAPP!A$1:A$32,0))&amp;INDEX(ETAPP!B$1:B$32,MATCH(COUNTIF(W23:AI23,PVO!A$6),ETAPP!A$1:A$32,0))&amp;INDEX(ETAPP!B$1:B$32,MATCH(COUNTIF(W23:AI23,PVO!A$7),ETAPP!A$1:A$32,0))&amp;INDEX(ETAPP!B$1:B$32,MATCH(COUNTIF(W23:AI23,PVO!A$8),ETAPP!A$1:A$32,0))&amp;INDEX(ETAPP!B$1:B$32,MATCH(COUNTIF(W23:AI23,PVO!A$9),ETAPP!A$1:A$32,0))&amp;INDEX(ETAPP!B$1:B$32,MATCH(COUNTIF(W23:AI23,PVO!A$10),ETAPP!A$1:A$32,0))&amp;INDEX(ETAPP!B$1:B$32,MATCH(COUNTIF(W23:AI23,PVO!A$11),ETAPP!A$1:A$32,0))&amp;INDEX(ETAPP!B$1:B$32,MATCH(COUNTIF(W23:AI23,PVO!A$12),ETAPP!A$1:A$32,0))&amp;INDEX(ETAPP!B$1:B$32,MATCH(COUNTIF(W23:AI23,PVO!A$13),ETAPP!A$1:A$32,0))&amp;INDEX(ETAPP!B$1:B$32,MATCH(COUNTIF(W23:AI23,PVO!A$14),ETAPP!A$1:A$32,0))&amp;INDEX(ETAPP!B$1:B$32,MATCH(COUNTIF(W23:AI23,PVO!A$15),ETAPP!A$1:A$32,0))&amp;INDEX(ETAPP!B$1:B$32,MATCH(COUNTIF(W23:AI23,PVO!A$16),ETAPP!A$1:A$32,0))&amp;INDEX(ETAPP!B$1:B$32,MATCH(COUNTIF(W23:AI23,PVO!A$17),ETAPP!A$1:A$32,0))&amp;INDEX(ETAPP!B$1:B$32,MATCH(COUNTIF(W23:AI23,PVO!A$18),ETAPP!A$1:A$32,0))&amp;INDEX(ETAPP!B$1:B$32,MATCH(COUNTIF(W23:AI23,PVO!A$19),ETAPP!A$1:A$32,0))</f>
        <v>000AA0000B0A000AC0D</v>
      </c>
      <c r="Q23" s="1274" t="str">
        <f t="shared" si="9"/>
        <v>054,0-000AA0000B0A000AC0D</v>
      </c>
      <c r="R23" s="1274">
        <f t="shared" si="10"/>
        <v>17</v>
      </c>
      <c r="S23" s="1274">
        <f t="shared" si="11"/>
        <v>15</v>
      </c>
      <c r="T23" s="1274" t="str">
        <f t="shared" si="12"/>
        <v>054,0-000AA0000B0A000AC0D-015</v>
      </c>
      <c r="U23" s="1274">
        <f t="shared" si="13"/>
        <v>17</v>
      </c>
      <c r="V23" s="1274">
        <f t="shared" si="14"/>
        <v>40</v>
      </c>
      <c r="W23" s="1275" t="str">
        <f>IFERROR(INDEX('V1'!C$300:C$400,MATCH("*"&amp;J23&amp;"*",'V1'!B$300:B$400,0)),"  ")</f>
        <v xml:space="preserve">  </v>
      </c>
      <c r="X23" s="1275">
        <f>IFERROR(INDEX('V2'!C$300:C$400,MATCH("*"&amp;J23&amp;"*",'V2'!B$300:B$400,0)),"  ")</f>
        <v>1</v>
      </c>
      <c r="Y23" s="1275" t="str">
        <f>IFERROR(INDEX('V3'!C$300:C$400,MATCH("*"&amp;J23&amp;"*",'V3'!B$300:B$400,0)),"  ")</f>
        <v xml:space="preserve">  </v>
      </c>
      <c r="Z23" s="1275">
        <f>IFERROR(INDEX('V4'!C$300:C$400,MATCH("*"&amp;J23&amp;"*",'V4'!B$300:B$400,0)),"  ")</f>
        <v>2</v>
      </c>
      <c r="AA23" s="1275">
        <f>IFERROR(INDEX('V5'!C$300:C$400,MATCH("*"&amp;J23&amp;"*",'V5'!B$300:B$400,0)),"  ")</f>
        <v>1</v>
      </c>
      <c r="AB23" s="1275" t="str">
        <f>IFERROR(INDEX('V6'!C$300:C$400,MATCH("*"&amp;J23&amp;"*",'V6'!B$300:B$400,0)),"  ")</f>
        <v xml:space="preserve">  </v>
      </c>
      <c r="AC23" s="1275">
        <f>IFERROR(INDEX('V7'!C$300:C$400,MATCH("*"&amp;J23&amp;"*",'V7'!B$300:B$400,0)),"  ")</f>
        <v>8</v>
      </c>
      <c r="AD23" s="1275">
        <f>IFERROR(INDEX('V8'!C$300:C$400,MATCH("*"&amp;J23&amp;"*",'V8'!B$300:B$400,0)),"  ")</f>
        <v>6</v>
      </c>
      <c r="AE23" s="1275">
        <f>IFERROR(INDEX('V9'!C$300:C$400,MATCH("*"&amp;J23&amp;"*",'V9'!B$300:B$400,0)),"  ")</f>
        <v>8</v>
      </c>
      <c r="AF23" s="1275">
        <f>IFERROR(INDEX('V10'!C$300:C$400,MATCH("*"&amp;J23&amp;"*",'V10'!B$300:B$400,0)),"  ")</f>
        <v>1</v>
      </c>
      <c r="AG23" s="1275" t="str">
        <f>IFERROR(INDEX('V11'!C$300:C$400,MATCH("*"&amp;J23&amp;"*",'V11'!B$300:B$400,0)),"  ")</f>
        <v xml:space="preserve">  </v>
      </c>
      <c r="AH23" s="1275">
        <f>IFERROR(INDEX('V12'!C$300:C$400,MATCH("*"&amp;J23&amp;"*",'V12'!B$300:B$400,0)),"  ")</f>
        <v>14</v>
      </c>
      <c r="AI23" s="1275">
        <f>IFERROR(INDEX('V13'!C$300:C$400,MATCH("*"&amp;J23&amp;"*",'V13'!B$300:B$400,0)),"  ")</f>
        <v>13</v>
      </c>
      <c r="AJ23" s="1276">
        <f t="shared" si="15"/>
        <v>1</v>
      </c>
      <c r="AK23" s="1276">
        <f t="shared" si="16"/>
        <v>54</v>
      </c>
      <c r="AL23" s="1212" t="str">
        <f t="shared" si="17"/>
        <v>edasi 17</v>
      </c>
      <c r="AM23" s="1306" t="str">
        <f>IFERROR(INDEX('V-Fin'!A$300:AJ$400&amp;".",MATCH("*"&amp;J23&amp;"*",'V-Fin'!B$300:B$400,0)),"  ")</f>
        <v xml:space="preserve">  </v>
      </c>
      <c r="AN23" s="1388">
        <f t="shared" si="18"/>
        <v>9</v>
      </c>
      <c r="AO23" s="337">
        <f t="shared" si="19"/>
        <v>3</v>
      </c>
      <c r="AP23" s="337">
        <f t="shared" si="20"/>
        <v>0</v>
      </c>
    </row>
    <row r="24" spans="1:42" ht="12.6" customHeight="1" x14ac:dyDescent="0.2">
      <c r="A24" s="1268">
        <f t="shared" si="0"/>
        <v>5</v>
      </c>
      <c r="B24" s="1193">
        <f t="shared" si="1"/>
        <v>18</v>
      </c>
      <c r="C24" s="1199">
        <f t="shared" si="2"/>
        <v>15</v>
      </c>
      <c r="D24" s="1193">
        <f t="shared" si="3"/>
        <v>18</v>
      </c>
      <c r="E24" s="1195" t="str">
        <f t="shared" si="4"/>
        <v/>
      </c>
      <c r="F24" s="1193">
        <f t="shared" si="5"/>
        <v>-982</v>
      </c>
      <c r="G24" s="1207" t="str">
        <f t="shared" si="6"/>
        <v/>
      </c>
      <c r="H24" s="1193">
        <f t="shared" si="21"/>
        <v>-982</v>
      </c>
      <c r="I24" s="1269">
        <f t="shared" si="7"/>
        <v>18</v>
      </c>
      <c r="J24" s="1270" t="s">
        <v>239</v>
      </c>
      <c r="K24" s="1271"/>
      <c r="L24" s="1198" t="str">
        <f t="shared" si="22"/>
        <v>m</v>
      </c>
      <c r="M24" s="1272"/>
      <c r="N24" s="1198" t="s">
        <v>230</v>
      </c>
      <c r="O24" s="1273">
        <f t="shared" si="8"/>
        <v>53</v>
      </c>
      <c r="P24" s="1274" t="str">
        <f>INDEX(ETAPP!B$1:B$32,MATCH(COUNTIF(W24:AI24,PVO!A$1),ETAPP!A$1:A$32,0))&amp;INDEX(ETAPP!B$1:B$32,MATCH(COUNTIF(W24:AI24,PVO!A$2),ETAPP!A$1:A$32,0))&amp;INDEX(ETAPP!B$1:B$32,MATCH(COUNTIF(W24:AI24,PVO!A$3),ETAPP!A$1:A$32,0))&amp;INDEX(ETAPP!B$1:B$32,MATCH(COUNTIF(W24:AI24,PVO!A$4),ETAPP!A$1:A$32,0))&amp;INDEX(ETAPP!B$1:B$32,MATCH(COUNTIF(W24:AI24,PVO!A$5),ETAPP!A$1:A$32,0))&amp;INDEX(ETAPP!B$1:B$32,MATCH(COUNTIF(W24:AI24,PVO!A$6),ETAPP!A$1:A$32,0))&amp;INDEX(ETAPP!B$1:B$32,MATCH(COUNTIF(W24:AI24,PVO!A$7),ETAPP!A$1:A$32,0))&amp;INDEX(ETAPP!B$1:B$32,MATCH(COUNTIF(W24:AI24,PVO!A$8),ETAPP!A$1:A$32,0))&amp;INDEX(ETAPP!B$1:B$32,MATCH(COUNTIF(W24:AI24,PVO!A$9),ETAPP!A$1:A$32,0))&amp;INDEX(ETAPP!B$1:B$32,MATCH(COUNTIF(W24:AI24,PVO!A$10),ETAPP!A$1:A$32,0))&amp;INDEX(ETAPP!B$1:B$32,MATCH(COUNTIF(W24:AI24,PVO!A$11),ETAPP!A$1:A$32,0))&amp;INDEX(ETAPP!B$1:B$32,MATCH(COUNTIF(W24:AI24,PVO!A$12),ETAPP!A$1:A$32,0))&amp;INDEX(ETAPP!B$1:B$32,MATCH(COUNTIF(W24:AI24,PVO!A$13),ETAPP!A$1:A$32,0))&amp;INDEX(ETAPP!B$1:B$32,MATCH(COUNTIF(W24:AI24,PVO!A$14),ETAPP!A$1:A$32,0))&amp;INDEX(ETAPP!B$1:B$32,MATCH(COUNTIF(W24:AI24,PVO!A$15),ETAPP!A$1:A$32,0))&amp;INDEX(ETAPP!B$1:B$32,MATCH(COUNTIF(W24:AI24,PVO!A$16),ETAPP!A$1:A$32,0))&amp;INDEX(ETAPP!B$1:B$32,MATCH(COUNTIF(W24:AI24,PVO!A$17),ETAPP!A$1:A$32,0))&amp;INDEX(ETAPP!B$1:B$32,MATCH(COUNTIF(W24:AI24,PVO!A$18),ETAPP!A$1:A$32,0))&amp;INDEX(ETAPP!B$1:B$32,MATCH(COUNTIF(W24:AI24,PVO!A$19),ETAPP!A$1:A$32,0))</f>
        <v>00000A000C000BABB0B</v>
      </c>
      <c r="Q24" s="1274" t="str">
        <f t="shared" si="9"/>
        <v>053,0-00000A000C000BABB0B</v>
      </c>
      <c r="R24" s="1274">
        <f t="shared" si="10"/>
        <v>18</v>
      </c>
      <c r="S24" s="1274">
        <f t="shared" si="11"/>
        <v>46</v>
      </c>
      <c r="T24" s="1274" t="str">
        <f t="shared" si="12"/>
        <v>053,0-00000A000C000BABB0B-046</v>
      </c>
      <c r="U24" s="1274">
        <f t="shared" si="13"/>
        <v>18</v>
      </c>
      <c r="V24" s="1274">
        <f t="shared" si="14"/>
        <v>39</v>
      </c>
      <c r="W24" s="1275">
        <f>IFERROR(INDEX('V1'!C$300:C$400,MATCH("*"&amp;J24&amp;"*",'V1'!B$300:B$400,0)),"  ")</f>
        <v>8</v>
      </c>
      <c r="X24" s="1275">
        <f>IFERROR(INDEX('V2'!C$300:C$400,MATCH("*"&amp;J24&amp;"*",'V2'!B$300:B$400,0)),"  ")</f>
        <v>8</v>
      </c>
      <c r="Y24" s="1275">
        <f>IFERROR(INDEX('V3'!C$300:C$400,MATCH("*"&amp;J24&amp;"*",'V3'!B$300:B$400,0)),"  ")</f>
        <v>4</v>
      </c>
      <c r="Z24" s="1275">
        <f>IFERROR(INDEX('V4'!C$300:C$400,MATCH("*"&amp;J24&amp;"*",'V4'!B$300:B$400,0)),"  ")</f>
        <v>1</v>
      </c>
      <c r="AA24" s="1275" t="str">
        <f>IFERROR(INDEX('V5'!C$300:C$400,MATCH("*"&amp;J24&amp;"*",'V5'!B$300:B$400,0)),"  ")</f>
        <v xml:space="preserve">  </v>
      </c>
      <c r="AB24" s="1275">
        <f>IFERROR(INDEX('V6'!C$300:C$400,MATCH("*"&amp;J24&amp;"*",'V6'!B$300:B$400,0)),"  ")</f>
        <v>1</v>
      </c>
      <c r="AC24" s="1275">
        <f>IFERROR(INDEX('V7'!C$300:C$400,MATCH("*"&amp;J24&amp;"*",'V7'!B$300:B$400,0)),"  ")</f>
        <v>4</v>
      </c>
      <c r="AD24" s="1275">
        <f>IFERROR(INDEX('V8'!C$300:C$400,MATCH("*"&amp;J24&amp;"*",'V8'!B$300:B$400,0)),"  ")</f>
        <v>2</v>
      </c>
      <c r="AE24" s="1275" t="str">
        <f>IFERROR(INDEX('V9'!C$300:C$400,MATCH("*"&amp;J24&amp;"*",'V9'!B$300:B$400,0)),"  ")</f>
        <v xml:space="preserve">  </v>
      </c>
      <c r="AF24" s="1275">
        <f>IFERROR(INDEX('V10'!C$300:C$400,MATCH("*"&amp;J24&amp;"*",'V10'!B$300:B$400,0)),"  ")</f>
        <v>8</v>
      </c>
      <c r="AG24" s="1275">
        <f>IFERROR(INDEX('V11'!C$300:C$400,MATCH("*"&amp;J24&amp;"*",'V11'!B$300:B$400,0)),"  ")</f>
        <v>2</v>
      </c>
      <c r="AH24" s="1275">
        <f>IFERROR(INDEX('V12'!C$300:C$400,MATCH("*"&amp;J24&amp;"*",'V12'!B$300:B$400,0)),"  ")</f>
        <v>12</v>
      </c>
      <c r="AI24" s="1275">
        <f>IFERROR(INDEX('V13'!C$300:C$400,MATCH("*"&amp;J24&amp;"*",'V13'!B$300:B$400,0)),"  ")</f>
        <v>3</v>
      </c>
      <c r="AJ24" s="1276">
        <f t="shared" si="15"/>
        <v>1</v>
      </c>
      <c r="AK24" s="1276">
        <f t="shared" si="16"/>
        <v>53</v>
      </c>
      <c r="AL24" s="1212" t="str">
        <f t="shared" si="17"/>
        <v>edasi 18</v>
      </c>
      <c r="AM24" s="1306" t="str">
        <f>IFERROR(INDEX('V-Fin'!A$300:AJ$400&amp;".",MATCH("*"&amp;J24&amp;"*",'V-Fin'!B$300:B$400,0)),"  ")</f>
        <v>5.</v>
      </c>
      <c r="AN24" s="1388">
        <f t="shared" si="18"/>
        <v>11</v>
      </c>
      <c r="AO24" s="337">
        <f t="shared" si="19"/>
        <v>2</v>
      </c>
      <c r="AP24" s="337">
        <f t="shared" si="20"/>
        <v>0</v>
      </c>
    </row>
    <row r="25" spans="1:42" ht="12.6" customHeight="1" x14ac:dyDescent="0.2">
      <c r="A25" s="1268" t="str">
        <f t="shared" si="0"/>
        <v/>
      </c>
      <c r="B25" s="1193">
        <f t="shared" si="1"/>
        <v>-981</v>
      </c>
      <c r="C25" s="1199">
        <f t="shared" si="2"/>
        <v>16</v>
      </c>
      <c r="D25" s="1193">
        <f t="shared" si="3"/>
        <v>19</v>
      </c>
      <c r="E25" s="1195" t="str">
        <f t="shared" si="4"/>
        <v/>
      </c>
      <c r="F25" s="1193">
        <f t="shared" si="5"/>
        <v>-981</v>
      </c>
      <c r="G25" s="1207" t="str">
        <f t="shared" si="6"/>
        <v/>
      </c>
      <c r="H25" s="1193">
        <f t="shared" si="21"/>
        <v>-981</v>
      </c>
      <c r="I25" s="1269">
        <f t="shared" si="7"/>
        <v>19</v>
      </c>
      <c r="J25" s="1277" t="s">
        <v>191</v>
      </c>
      <c r="K25" s="1271"/>
      <c r="L25" s="1198" t="str">
        <f t="shared" si="22"/>
        <v>m</v>
      </c>
      <c r="M25" s="1272"/>
      <c r="N25" s="1198"/>
      <c r="O25" s="1273">
        <f t="shared" si="8"/>
        <v>52</v>
      </c>
      <c r="P25" s="1274" t="str">
        <f>INDEX(ETAPP!B$1:B$32,MATCH(COUNTIF(W25:AI25,PVO!A$1),ETAPP!A$1:A$32,0))&amp;INDEX(ETAPP!B$1:B$32,MATCH(COUNTIF(W25:AI25,PVO!A$2),ETAPP!A$1:A$32,0))&amp;INDEX(ETAPP!B$1:B$32,MATCH(COUNTIF(W25:AI25,PVO!A$3),ETAPP!A$1:A$32,0))&amp;INDEX(ETAPP!B$1:B$32,MATCH(COUNTIF(W25:AI25,PVO!A$4),ETAPP!A$1:A$32,0))&amp;INDEX(ETAPP!B$1:B$32,MATCH(COUNTIF(W25:AI25,PVO!A$5),ETAPP!A$1:A$32,0))&amp;INDEX(ETAPP!B$1:B$32,MATCH(COUNTIF(W25:AI25,PVO!A$6),ETAPP!A$1:A$32,0))&amp;INDEX(ETAPP!B$1:B$32,MATCH(COUNTIF(W25:AI25,PVO!A$7),ETAPP!A$1:A$32,0))&amp;INDEX(ETAPP!B$1:B$32,MATCH(COUNTIF(W25:AI25,PVO!A$8),ETAPP!A$1:A$32,0))&amp;INDEX(ETAPP!B$1:B$32,MATCH(COUNTIF(W25:AI25,PVO!A$9),ETAPP!A$1:A$32,0))&amp;INDEX(ETAPP!B$1:B$32,MATCH(COUNTIF(W25:AI25,PVO!A$10),ETAPP!A$1:A$32,0))&amp;INDEX(ETAPP!B$1:B$32,MATCH(COUNTIF(W25:AI25,PVO!A$11),ETAPP!A$1:A$32,0))&amp;INDEX(ETAPP!B$1:B$32,MATCH(COUNTIF(W25:AI25,PVO!A$12),ETAPP!A$1:A$32,0))&amp;INDEX(ETAPP!B$1:B$32,MATCH(COUNTIF(W25:AI25,PVO!A$13),ETAPP!A$1:A$32,0))&amp;INDEX(ETAPP!B$1:B$32,MATCH(COUNTIF(W25:AI25,PVO!A$14),ETAPP!A$1:A$32,0))&amp;INDEX(ETAPP!B$1:B$32,MATCH(COUNTIF(W25:AI25,PVO!A$15),ETAPP!A$1:A$32,0))&amp;INDEX(ETAPP!B$1:B$32,MATCH(COUNTIF(W25:AI25,PVO!A$16),ETAPP!A$1:A$32,0))&amp;INDEX(ETAPP!B$1:B$32,MATCH(COUNTIF(W25:AI25,PVO!A$17),ETAPP!A$1:A$32,0))&amp;INDEX(ETAPP!B$1:B$32,MATCH(COUNTIF(W25:AI25,PVO!A$18),ETAPP!A$1:A$32,0))&amp;INDEX(ETAPP!B$1:B$32,MATCH(COUNTIF(W25:AI25,PVO!A$19),ETAPP!A$1:A$32,0))</f>
        <v>00000AA0B0000BA000F</v>
      </c>
      <c r="Q25" s="1274" t="str">
        <f t="shared" si="9"/>
        <v>052,0-00000AA0B0000BA000F</v>
      </c>
      <c r="R25" s="1274">
        <f t="shared" si="10"/>
        <v>19</v>
      </c>
      <c r="S25" s="1274">
        <f t="shared" si="11"/>
        <v>26</v>
      </c>
      <c r="T25" s="1274" t="str">
        <f t="shared" si="12"/>
        <v>052,0-00000AA0B0000BA000F-026</v>
      </c>
      <c r="U25" s="1274">
        <f t="shared" si="13"/>
        <v>19</v>
      </c>
      <c r="V25" s="1274">
        <f t="shared" si="14"/>
        <v>38</v>
      </c>
      <c r="W25" s="1275">
        <f>IFERROR(INDEX('V1'!C$300:C$400,MATCH("*"&amp;J25&amp;"*",'V1'!B$300:B$400,0)),"  ")</f>
        <v>3</v>
      </c>
      <c r="X25" s="1275" t="str">
        <f>IFERROR(INDEX('V2'!C$300:C$400,MATCH("*"&amp;J25&amp;"*",'V2'!B$300:B$400,0)),"  ")</f>
        <v xml:space="preserve">  </v>
      </c>
      <c r="Y25" s="1275" t="str">
        <f>IFERROR(INDEX('V3'!C$300:C$400,MATCH("*"&amp;J25&amp;"*",'V3'!B$300:B$400,0)),"  ")</f>
        <v xml:space="preserve">  </v>
      </c>
      <c r="Z25" s="1275">
        <f>IFERROR(INDEX('V4'!C$300:C$400,MATCH("*"&amp;J25&amp;"*",'V4'!B$300:B$400,0)),"  ")</f>
        <v>9</v>
      </c>
      <c r="AA25" s="1275">
        <f>IFERROR(INDEX('V5'!C$300:C$400,MATCH("*"&amp;J25&amp;"*",'V5'!B$300:B$400,0)),"  ")</f>
        <v>4</v>
      </c>
      <c r="AB25" s="1275" t="str">
        <f>IFERROR(INDEX('V6'!C$300:C$400,MATCH("*"&amp;J25&amp;"*",'V6'!B$300:B$400,0)),"  ")</f>
        <v xml:space="preserve">  </v>
      </c>
      <c r="AC25" s="1275" t="str">
        <f>IFERROR(INDEX('V7'!C$300:C$400,MATCH("*"&amp;J25&amp;"*",'V7'!B$300:B$400,0)),"  ")</f>
        <v xml:space="preserve">  </v>
      </c>
      <c r="AD25" s="1275">
        <f>IFERROR(INDEX('V8'!C$300:C$400,MATCH("*"&amp;J25&amp;"*",'V8'!B$300:B$400,0)),"  ")</f>
        <v>11</v>
      </c>
      <c r="AE25" s="1275" t="str">
        <f>IFERROR(INDEX('V9'!C$300:C$400,MATCH("*"&amp;J25&amp;"*",'V9'!B$300:B$400,0)),"  ")</f>
        <v xml:space="preserve">  </v>
      </c>
      <c r="AF25" s="1275">
        <f>IFERROR(INDEX('V10'!C$300:C$400,MATCH("*"&amp;J25&amp;"*",'V10'!B$300:B$400,0)),"  ")</f>
        <v>4</v>
      </c>
      <c r="AG25" s="1275">
        <f>IFERROR(INDEX('V11'!C$300:C$400,MATCH("*"&amp;J25&amp;"*",'V11'!B$300:B$400,0)),"  ")</f>
        <v>9</v>
      </c>
      <c r="AH25" s="1275" t="str">
        <f>IFERROR(INDEX('V12'!C$300:C$400,MATCH("*"&amp;J25&amp;"*",'V12'!B$300:B$400,0)),"  ")</f>
        <v xml:space="preserve">  </v>
      </c>
      <c r="AI25" s="1275">
        <f>IFERROR(INDEX('V13'!C$300:C$400,MATCH("*"&amp;J25&amp;"*",'V13'!B$300:B$400,0)),"  ")</f>
        <v>12</v>
      </c>
      <c r="AJ25" s="1276">
        <f t="shared" si="15"/>
        <v>1</v>
      </c>
      <c r="AK25" s="1276">
        <f t="shared" si="16"/>
        <v>52</v>
      </c>
      <c r="AL25" s="1212" t="str">
        <f t="shared" si="17"/>
        <v>edasi 19</v>
      </c>
      <c r="AM25" s="1306" t="str">
        <f>IFERROR(INDEX('V-Fin'!A$300:AJ$400&amp;".",MATCH("*"&amp;J25&amp;"*",'V-Fin'!B$300:B$400,0)),"  ")</f>
        <v>3.</v>
      </c>
      <c r="AN25" s="1388">
        <f t="shared" si="18"/>
        <v>7</v>
      </c>
      <c r="AO25" s="337">
        <f t="shared" si="19"/>
        <v>2</v>
      </c>
      <c r="AP25" s="337">
        <f t="shared" si="20"/>
        <v>1</v>
      </c>
    </row>
    <row r="26" spans="1:42" ht="12.6" customHeight="1" x14ac:dyDescent="0.2">
      <c r="A26" s="1268" t="str">
        <f t="shared" si="0"/>
        <v/>
      </c>
      <c r="B26" s="1193">
        <f t="shared" si="1"/>
        <v>-979</v>
      </c>
      <c r="C26" s="1199" t="str">
        <f t="shared" si="2"/>
        <v/>
      </c>
      <c r="D26" s="1193">
        <f t="shared" si="3"/>
        <v>-979</v>
      </c>
      <c r="E26" s="1195">
        <f t="shared" si="4"/>
        <v>4</v>
      </c>
      <c r="F26" s="1193">
        <f t="shared" si="5"/>
        <v>21</v>
      </c>
      <c r="G26" s="1207" t="str">
        <f t="shared" si="6"/>
        <v/>
      </c>
      <c r="H26" s="1193">
        <f t="shared" si="21"/>
        <v>-979</v>
      </c>
      <c r="I26" s="1269">
        <f t="shared" si="7"/>
        <v>20</v>
      </c>
      <c r="J26" s="1277" t="s">
        <v>195</v>
      </c>
      <c r="K26" s="1271" t="s">
        <v>359</v>
      </c>
      <c r="L26" s="1198" t="str">
        <f t="shared" si="22"/>
        <v/>
      </c>
      <c r="M26" s="1272"/>
      <c r="N26" s="1198"/>
      <c r="O26" s="1273">
        <f t="shared" si="8"/>
        <v>51</v>
      </c>
      <c r="P26" s="1274" t="str">
        <f>INDEX(ETAPP!B$1:B$32,MATCH(COUNTIF(W26:AI26,PVO!A$1),ETAPP!A$1:A$32,0))&amp;INDEX(ETAPP!B$1:B$32,MATCH(COUNTIF(W26:AI26,PVO!A$2),ETAPP!A$1:A$32,0))&amp;INDEX(ETAPP!B$1:B$32,MATCH(COUNTIF(W26:AI26,PVO!A$3),ETAPP!A$1:A$32,0))&amp;INDEX(ETAPP!B$1:B$32,MATCH(COUNTIF(W26:AI26,PVO!A$4),ETAPP!A$1:A$32,0))&amp;INDEX(ETAPP!B$1:B$32,MATCH(COUNTIF(W26:AI26,PVO!A$5),ETAPP!A$1:A$32,0))&amp;INDEX(ETAPP!B$1:B$32,MATCH(COUNTIF(W26:AI26,PVO!A$6),ETAPP!A$1:A$32,0))&amp;INDEX(ETAPP!B$1:B$32,MATCH(COUNTIF(W26:AI26,PVO!A$7),ETAPP!A$1:A$32,0))&amp;INDEX(ETAPP!B$1:B$32,MATCH(COUNTIF(W26:AI26,PVO!A$8),ETAPP!A$1:A$32,0))&amp;INDEX(ETAPP!B$1:B$32,MATCH(COUNTIF(W26:AI26,PVO!A$9),ETAPP!A$1:A$32,0))&amp;INDEX(ETAPP!B$1:B$32,MATCH(COUNTIF(W26:AI26,PVO!A$10),ETAPP!A$1:A$32,0))&amp;INDEX(ETAPP!B$1:B$32,MATCH(COUNTIF(W26:AI26,PVO!A$11),ETAPP!A$1:A$32,0))&amp;INDEX(ETAPP!B$1:B$32,MATCH(COUNTIF(W26:AI26,PVO!A$12),ETAPP!A$1:A$32,0))&amp;INDEX(ETAPP!B$1:B$32,MATCH(COUNTIF(W26:AI26,PVO!A$13),ETAPP!A$1:A$32,0))&amp;INDEX(ETAPP!B$1:B$32,MATCH(COUNTIF(W26:AI26,PVO!A$14),ETAPP!A$1:A$32,0))&amp;INDEX(ETAPP!B$1:B$32,MATCH(COUNTIF(W26:AI26,PVO!A$15),ETAPP!A$1:A$32,0))&amp;INDEX(ETAPP!B$1:B$32,MATCH(COUNTIF(W26:AI26,PVO!A$16),ETAPP!A$1:A$32,0))&amp;INDEX(ETAPP!B$1:B$32,MATCH(COUNTIF(W26:AI26,PVO!A$17),ETAPP!A$1:A$32,0))&amp;INDEX(ETAPP!B$1:B$32,MATCH(COUNTIF(W26:AI26,PVO!A$18),ETAPP!A$1:A$32,0))&amp;INDEX(ETAPP!B$1:B$32,MATCH(COUNTIF(W26:AI26,PVO!A$19),ETAPP!A$1:A$32,0))</f>
        <v>0000AA00A0A0A0AA00F</v>
      </c>
      <c r="Q26" s="1274" t="str">
        <f t="shared" si="9"/>
        <v>051,0-0000AA00A0A0A0AA00F</v>
      </c>
      <c r="R26" s="1274">
        <f t="shared" si="10"/>
        <v>21</v>
      </c>
      <c r="S26" s="1274">
        <f t="shared" si="11"/>
        <v>25</v>
      </c>
      <c r="T26" s="1274" t="str">
        <f t="shared" si="12"/>
        <v>051,0-0000AA00A0A0A0AA00F-025</v>
      </c>
      <c r="U26" s="1274">
        <f t="shared" si="13"/>
        <v>20</v>
      </c>
      <c r="V26" s="1274">
        <f t="shared" si="14"/>
        <v>37</v>
      </c>
      <c r="W26" s="1275">
        <f>IFERROR(INDEX('V1'!C$300:C$400,MATCH("*"&amp;J26&amp;"*",'V1'!B$300:B$400,0)),"  ")</f>
        <v>2</v>
      </c>
      <c r="X26" s="1275" t="str">
        <f>IFERROR(INDEX('V2'!C$300:C$400,MATCH("*"&amp;J26&amp;"*",'V2'!B$300:B$400,0)),"  ")</f>
        <v xml:space="preserve">  </v>
      </c>
      <c r="Y26" s="1275" t="str">
        <f>IFERROR(INDEX('V3'!C$300:C$400,MATCH("*"&amp;J26&amp;"*",'V3'!B$300:B$400,0)),"  ")</f>
        <v xml:space="preserve">  </v>
      </c>
      <c r="Z26" s="1275" t="str">
        <f>IFERROR(INDEX('V4'!C$300:C$400,MATCH("*"&amp;J26&amp;"*",'V4'!B$300:B$400,0)),"  ")</f>
        <v xml:space="preserve">  </v>
      </c>
      <c r="AA26" s="1275">
        <f>IFERROR(INDEX('V5'!C$300:C$400,MATCH("*"&amp;J26&amp;"*",'V5'!B$300:B$400,0)),"  ")</f>
        <v>7</v>
      </c>
      <c r="AB26" s="1275">
        <f>IFERROR(INDEX('V6'!C$300:C$400,MATCH("*"&amp;J26&amp;"*",'V6'!B$300:B$400,0)),"  ")</f>
        <v>12</v>
      </c>
      <c r="AC26" s="1275" t="str">
        <f>IFERROR(INDEX('V7'!C$300:C$400,MATCH("*"&amp;J26&amp;"*",'V7'!B$300:B$400,0)),"  ")</f>
        <v xml:space="preserve">  </v>
      </c>
      <c r="AD26" s="1275" t="str">
        <f>IFERROR(INDEX('V8'!C$300:C$400,MATCH("*"&amp;J26&amp;"*",'V8'!B$300:B$400,0)),"  ")</f>
        <v xml:space="preserve">  </v>
      </c>
      <c r="AE26" s="1275">
        <f>IFERROR(INDEX('V9'!C$300:C$400,MATCH("*"&amp;J26&amp;"*",'V9'!B$300:B$400,0)),"  ")</f>
        <v>3</v>
      </c>
      <c r="AF26" s="1275">
        <f>IFERROR(INDEX('V10'!C$300:C$400,MATCH("*"&amp;J26&amp;"*",'V10'!B$300:B$400,0)),"  ")</f>
        <v>5</v>
      </c>
      <c r="AG26" s="1275" t="str">
        <f>IFERROR(INDEX('V11'!C$300:C$400,MATCH("*"&amp;J26&amp;"*",'V11'!B$300:B$400,0)),"  ")</f>
        <v xml:space="preserve">  </v>
      </c>
      <c r="AH26" s="1275">
        <f>IFERROR(INDEX('V12'!C$300:C$400,MATCH("*"&amp;J26&amp;"*",'V12'!B$300:B$400,0)),"  ")</f>
        <v>13</v>
      </c>
      <c r="AI26" s="1275">
        <f>IFERROR(INDEX('V13'!C$300:C$400,MATCH("*"&amp;J26&amp;"*",'V13'!B$300:B$400,0)),"  ")</f>
        <v>9</v>
      </c>
      <c r="AJ26" s="1276">
        <f t="shared" si="15"/>
        <v>1</v>
      </c>
      <c r="AK26" s="1276">
        <f t="shared" si="16"/>
        <v>51</v>
      </c>
      <c r="AL26" s="1212" t="str">
        <f t="shared" si="17"/>
        <v>edasi 20</v>
      </c>
      <c r="AM26" s="1306" t="str">
        <f>IFERROR(INDEX('V-Fin'!A$300:AJ$400&amp;".",MATCH("*"&amp;J26&amp;"*",'V-Fin'!B$300:B$400,0)),"  ")</f>
        <v xml:space="preserve">  </v>
      </c>
      <c r="AN26" s="1388">
        <f t="shared" si="18"/>
        <v>7</v>
      </c>
      <c r="AO26" s="337">
        <f t="shared" si="19"/>
        <v>2</v>
      </c>
      <c r="AP26" s="337">
        <f t="shared" si="20"/>
        <v>0</v>
      </c>
    </row>
    <row r="27" spans="1:42" ht="12.6" customHeight="1" x14ac:dyDescent="0.2">
      <c r="A27" s="1268" t="str">
        <f t="shared" si="0"/>
        <v/>
      </c>
      <c r="B27" s="1193">
        <f t="shared" si="1"/>
        <v>-979</v>
      </c>
      <c r="C27" s="1199">
        <f t="shared" si="2"/>
        <v>17</v>
      </c>
      <c r="D27" s="1193">
        <f t="shared" si="3"/>
        <v>21</v>
      </c>
      <c r="E27" s="1195" t="str">
        <f t="shared" si="4"/>
        <v/>
      </c>
      <c r="F27" s="1193">
        <f t="shared" si="5"/>
        <v>-979</v>
      </c>
      <c r="G27" s="1207" t="str">
        <f t="shared" si="6"/>
        <v/>
      </c>
      <c r="H27" s="1193">
        <f t="shared" si="21"/>
        <v>-979</v>
      </c>
      <c r="I27" s="1269">
        <f t="shared" si="7"/>
        <v>20</v>
      </c>
      <c r="J27" s="1277" t="s">
        <v>193</v>
      </c>
      <c r="K27" s="1271"/>
      <c r="L27" s="1198" t="str">
        <f t="shared" si="22"/>
        <v>m</v>
      </c>
      <c r="M27" s="1272"/>
      <c r="N27" s="1198"/>
      <c r="O27" s="1273">
        <f t="shared" si="8"/>
        <v>51</v>
      </c>
      <c r="P27" s="1274" t="str">
        <f>INDEX(ETAPP!B$1:B$32,MATCH(COUNTIF(W27:AI27,PVO!A$1),ETAPP!A$1:A$32,0))&amp;INDEX(ETAPP!B$1:B$32,MATCH(COUNTIF(W27:AI27,PVO!A$2),ETAPP!A$1:A$32,0))&amp;INDEX(ETAPP!B$1:B$32,MATCH(COUNTIF(W27:AI27,PVO!A$3),ETAPP!A$1:A$32,0))&amp;INDEX(ETAPP!B$1:B$32,MATCH(COUNTIF(W27:AI27,PVO!A$4),ETAPP!A$1:A$32,0))&amp;INDEX(ETAPP!B$1:B$32,MATCH(COUNTIF(W27:AI27,PVO!A$5),ETAPP!A$1:A$32,0))&amp;INDEX(ETAPP!B$1:B$32,MATCH(COUNTIF(W27:AI27,PVO!A$6),ETAPP!A$1:A$32,0))&amp;INDEX(ETAPP!B$1:B$32,MATCH(COUNTIF(W27:AI27,PVO!A$7),ETAPP!A$1:A$32,0))&amp;INDEX(ETAPP!B$1:B$32,MATCH(COUNTIF(W27:AI27,PVO!A$8),ETAPP!A$1:A$32,0))&amp;INDEX(ETAPP!B$1:B$32,MATCH(COUNTIF(W27:AI27,PVO!A$9),ETAPP!A$1:A$32,0))&amp;INDEX(ETAPP!B$1:B$32,MATCH(COUNTIF(W27:AI27,PVO!A$10),ETAPP!A$1:A$32,0))&amp;INDEX(ETAPP!B$1:B$32,MATCH(COUNTIF(W27:AI27,PVO!A$11),ETAPP!A$1:A$32,0))&amp;INDEX(ETAPP!B$1:B$32,MATCH(COUNTIF(W27:AI27,PVO!A$12),ETAPP!A$1:A$32,0))&amp;INDEX(ETAPP!B$1:B$32,MATCH(COUNTIF(W27:AI27,PVO!A$13),ETAPP!A$1:A$32,0))&amp;INDEX(ETAPP!B$1:B$32,MATCH(COUNTIF(W27:AI27,PVO!A$14),ETAPP!A$1:A$32,0))&amp;INDEX(ETAPP!B$1:B$32,MATCH(COUNTIF(W27:AI27,PVO!A$15),ETAPP!A$1:A$32,0))&amp;INDEX(ETAPP!B$1:B$32,MATCH(COUNTIF(W27:AI27,PVO!A$16),ETAPP!A$1:A$32,0))&amp;INDEX(ETAPP!B$1:B$32,MATCH(COUNTIF(W27:AI27,PVO!A$17),ETAPP!A$1:A$32,0))&amp;INDEX(ETAPP!B$1:B$32,MATCH(COUNTIF(W27:AI27,PVO!A$18),ETAPP!A$1:A$32,0))&amp;INDEX(ETAPP!B$1:B$32,MATCH(COUNTIF(W27:AI27,PVO!A$19),ETAPP!A$1:A$32,0))</f>
        <v>0000AA00A0A0A0AA00F</v>
      </c>
      <c r="Q27" s="1274" t="str">
        <f t="shared" si="9"/>
        <v>051,0-0000AA00A0A0A0AA00F</v>
      </c>
      <c r="R27" s="1274">
        <f t="shared" si="10"/>
        <v>21</v>
      </c>
      <c r="S27" s="1274">
        <f t="shared" si="11"/>
        <v>4</v>
      </c>
      <c r="T27" s="1274" t="str">
        <f t="shared" si="12"/>
        <v>051,0-0000AA00A0A0A0AA00F-004</v>
      </c>
      <c r="U27" s="1274">
        <f t="shared" si="13"/>
        <v>21</v>
      </c>
      <c r="V27" s="1274">
        <f t="shared" si="14"/>
        <v>36</v>
      </c>
      <c r="W27" s="1275">
        <f>IFERROR(INDEX('V1'!C$300:C$400,MATCH("*"&amp;J27&amp;"*",'V1'!B$300:B$400,0)),"  ")</f>
        <v>2</v>
      </c>
      <c r="X27" s="1275" t="str">
        <f>IFERROR(INDEX('V2'!C$300:C$400,MATCH("*"&amp;J27&amp;"*",'V2'!B$300:B$400,0)),"  ")</f>
        <v xml:space="preserve">  </v>
      </c>
      <c r="Y27" s="1275" t="str">
        <f>IFERROR(INDEX('V3'!C$300:C$400,MATCH("*"&amp;J27&amp;"*",'V3'!B$300:B$400,0)),"  ")</f>
        <v xml:space="preserve">  </v>
      </c>
      <c r="Z27" s="1275" t="str">
        <f>IFERROR(INDEX('V4'!C$300:C$400,MATCH("*"&amp;J27&amp;"*",'V4'!B$300:B$400,0)),"  ")</f>
        <v xml:space="preserve">  </v>
      </c>
      <c r="AA27" s="1275">
        <f>IFERROR(INDEX('V5'!C$300:C$400,MATCH("*"&amp;J27&amp;"*",'V5'!B$300:B$400,0)),"  ")</f>
        <v>7</v>
      </c>
      <c r="AB27" s="1275">
        <f>IFERROR(INDEX('V6'!C$300:C$400,MATCH("*"&amp;J27&amp;"*",'V6'!B$300:B$400,0)),"  ")</f>
        <v>12</v>
      </c>
      <c r="AC27" s="1275" t="str">
        <f>IFERROR(INDEX('V7'!C$300:C$400,MATCH("*"&amp;J27&amp;"*",'V7'!B$300:B$400,0)),"  ")</f>
        <v xml:space="preserve">  </v>
      </c>
      <c r="AD27" s="1275" t="str">
        <f>IFERROR(INDEX('V8'!C$300:C$400,MATCH("*"&amp;J27&amp;"*",'V8'!B$300:B$400,0)),"  ")</f>
        <v xml:space="preserve">  </v>
      </c>
      <c r="AE27" s="1275">
        <f>IFERROR(INDEX('V9'!C$300:C$400,MATCH("*"&amp;J27&amp;"*",'V9'!B$300:B$400,0)),"  ")</f>
        <v>3</v>
      </c>
      <c r="AF27" s="1275">
        <f>IFERROR(INDEX('V10'!C$300:C$400,MATCH("*"&amp;J27&amp;"*",'V10'!B$300:B$400,0)),"  ")</f>
        <v>5</v>
      </c>
      <c r="AG27" s="1275" t="str">
        <f>IFERROR(INDEX('V11'!C$300:C$400,MATCH("*"&amp;J27&amp;"*",'V11'!B$300:B$400,0)),"  ")</f>
        <v xml:space="preserve">  </v>
      </c>
      <c r="AH27" s="1275">
        <f>IFERROR(INDEX('V12'!C$300:C$400,MATCH("*"&amp;J27&amp;"*",'V12'!B$300:B$400,0)),"  ")</f>
        <v>13</v>
      </c>
      <c r="AI27" s="1275">
        <f>IFERROR(INDEX('V13'!C$300:C$400,MATCH("*"&amp;J27&amp;"*",'V13'!B$300:B$400,0)),"  ")</f>
        <v>9</v>
      </c>
      <c r="AJ27" s="1276">
        <f t="shared" si="15"/>
        <v>1</v>
      </c>
      <c r="AK27" s="1276">
        <f t="shared" si="16"/>
        <v>51</v>
      </c>
      <c r="AL27" s="1212" t="str">
        <f t="shared" si="17"/>
        <v>edasi 20</v>
      </c>
      <c r="AM27" s="1306" t="str">
        <f>IFERROR(INDEX('V-Fin'!A$300:AJ$400&amp;".",MATCH("*"&amp;J27&amp;"*",'V-Fin'!B$300:B$400,0)),"  ")</f>
        <v xml:space="preserve">  </v>
      </c>
      <c r="AN27" s="1388">
        <f t="shared" si="18"/>
        <v>7</v>
      </c>
      <c r="AO27" s="337">
        <f t="shared" si="19"/>
        <v>2</v>
      </c>
      <c r="AP27" s="337">
        <f t="shared" si="20"/>
        <v>0</v>
      </c>
    </row>
    <row r="28" spans="1:42" ht="12.6" customHeight="1" thickBot="1" x14ac:dyDescent="0.25">
      <c r="A28" s="1268">
        <f t="shared" si="0"/>
        <v>6</v>
      </c>
      <c r="B28" s="1193">
        <f t="shared" si="1"/>
        <v>22</v>
      </c>
      <c r="C28" s="1199">
        <f t="shared" si="2"/>
        <v>18</v>
      </c>
      <c r="D28" s="1193">
        <f t="shared" si="3"/>
        <v>22</v>
      </c>
      <c r="E28" s="1195" t="str">
        <f t="shared" si="4"/>
        <v/>
      </c>
      <c r="F28" s="1193">
        <f t="shared" si="5"/>
        <v>-978</v>
      </c>
      <c r="G28" s="1207" t="str">
        <f t="shared" si="6"/>
        <v/>
      </c>
      <c r="H28" s="1193">
        <f t="shared" si="21"/>
        <v>-978</v>
      </c>
      <c r="I28" s="1269">
        <f t="shared" si="7"/>
        <v>22</v>
      </c>
      <c r="J28" s="1289" t="s">
        <v>252</v>
      </c>
      <c r="K28" s="1290"/>
      <c r="L28" s="1291" t="str">
        <f t="shared" si="22"/>
        <v>m</v>
      </c>
      <c r="M28" s="1292"/>
      <c r="N28" s="1291" t="s">
        <v>230</v>
      </c>
      <c r="O28" s="1293">
        <f t="shared" si="8"/>
        <v>44</v>
      </c>
      <c r="P28" s="1294" t="str">
        <f>INDEX(ETAPP!B$1:B$32,MATCH(COUNTIF(W28:AI28,PVO!A$1),ETAPP!A$1:A$32,0))&amp;INDEX(ETAPP!B$1:B$32,MATCH(COUNTIF(W28:AI28,PVO!A$2),ETAPP!A$1:A$32,0))&amp;INDEX(ETAPP!B$1:B$32,MATCH(COUNTIF(W28:AI28,PVO!A$3),ETAPP!A$1:A$32,0))&amp;INDEX(ETAPP!B$1:B$32,MATCH(COUNTIF(W28:AI28,PVO!A$4),ETAPP!A$1:A$32,0))&amp;INDEX(ETAPP!B$1:B$32,MATCH(COUNTIF(W28:AI28,PVO!A$5),ETAPP!A$1:A$32,0))&amp;INDEX(ETAPP!B$1:B$32,MATCH(COUNTIF(W28:AI28,PVO!A$6),ETAPP!A$1:A$32,0))&amp;INDEX(ETAPP!B$1:B$32,MATCH(COUNTIF(W28:AI28,PVO!A$7),ETAPP!A$1:A$32,0))&amp;INDEX(ETAPP!B$1:B$32,MATCH(COUNTIF(W28:AI28,PVO!A$8),ETAPP!A$1:A$32,0))&amp;INDEX(ETAPP!B$1:B$32,MATCH(COUNTIF(W28:AI28,PVO!A$9),ETAPP!A$1:A$32,0))&amp;INDEX(ETAPP!B$1:B$32,MATCH(COUNTIF(W28:AI28,PVO!A$10),ETAPP!A$1:A$32,0))&amp;INDEX(ETAPP!B$1:B$32,MATCH(COUNTIF(W28:AI28,PVO!A$11),ETAPP!A$1:A$32,0))&amp;INDEX(ETAPP!B$1:B$32,MATCH(COUNTIF(W28:AI28,PVO!A$12),ETAPP!A$1:A$32,0))&amp;INDEX(ETAPP!B$1:B$32,MATCH(COUNTIF(W28:AI28,PVO!A$13),ETAPP!A$1:A$32,0))&amp;INDEX(ETAPP!B$1:B$32,MATCH(COUNTIF(W28:AI28,PVO!A$14),ETAPP!A$1:A$32,0))&amp;INDEX(ETAPP!B$1:B$32,MATCH(COUNTIF(W28:AI28,PVO!A$15),ETAPP!A$1:A$32,0))&amp;INDEX(ETAPP!B$1:B$32,MATCH(COUNTIF(W28:AI28,PVO!A$16),ETAPP!A$1:A$32,0))&amp;INDEX(ETAPP!B$1:B$32,MATCH(COUNTIF(W28:AI28,PVO!A$17),ETAPP!A$1:A$32,0))&amp;INDEX(ETAPP!B$1:B$32,MATCH(COUNTIF(W28:AI28,PVO!A$18),ETAPP!A$1:A$32,0))&amp;INDEX(ETAPP!B$1:B$32,MATCH(COUNTIF(W28:AI28,PVO!A$19),ETAPP!A$1:A$32,0))</f>
        <v>00000000AAABA0A000F</v>
      </c>
      <c r="Q28" s="1294" t="str">
        <f t="shared" si="9"/>
        <v>044,0-00000000AAABA0A000F</v>
      </c>
      <c r="R28" s="1294">
        <f t="shared" si="10"/>
        <v>22</v>
      </c>
      <c r="S28" s="1294">
        <f t="shared" si="11"/>
        <v>12</v>
      </c>
      <c r="T28" s="1294" t="str">
        <f t="shared" si="12"/>
        <v>044,0-00000000AAABA0A000F-012</v>
      </c>
      <c r="U28" s="1294">
        <f t="shared" si="13"/>
        <v>22</v>
      </c>
      <c r="V28" s="1294">
        <f t="shared" si="14"/>
        <v>35</v>
      </c>
      <c r="W28" s="1295" t="str">
        <f>IFERROR(INDEX('V1'!C$300:C$400,MATCH("*"&amp;J28&amp;"*",'V1'!B$300:B$400,0)),"  ")</f>
        <v xml:space="preserve">  </v>
      </c>
      <c r="X28" s="1295" t="str">
        <f>IFERROR(INDEX('V2'!C$300:C$400,MATCH("*"&amp;J28&amp;"*",'V2'!B$300:B$400,0)),"  ")</f>
        <v xml:space="preserve">  </v>
      </c>
      <c r="Y28" s="1295">
        <f>IFERROR(INDEX('V3'!C$300:C$400,MATCH("*"&amp;J28&amp;"*",'V3'!B$300:B$400,0)),"  ")</f>
        <v>8</v>
      </c>
      <c r="Z28" s="1295" t="str">
        <f>IFERROR(INDEX('V4'!C$300:C$400,MATCH("*"&amp;J28&amp;"*",'V4'!B$300:B$400,0)),"  ")</f>
        <v xml:space="preserve">  </v>
      </c>
      <c r="AA28" s="1295">
        <f>IFERROR(INDEX('V5'!C$300:C$400,MATCH("*"&amp;J28&amp;"*",'V5'!B$300:B$400,0)),"  ")</f>
        <v>5</v>
      </c>
      <c r="AB28" s="1295" t="str">
        <f>IFERROR(INDEX('V6'!C$300:C$400,MATCH("*"&amp;J28&amp;"*",'V6'!B$300:B$400,0)),"  ")</f>
        <v xml:space="preserve">  </v>
      </c>
      <c r="AC28" s="1295">
        <f>IFERROR(INDEX('V7'!C$300:C$400,MATCH("*"&amp;J28&amp;"*",'V7'!B$300:B$400,0)),"  ")</f>
        <v>7</v>
      </c>
      <c r="AD28" s="1295">
        <f>IFERROR(INDEX('V8'!C$300:C$400,MATCH("*"&amp;J28&amp;"*",'V8'!B$300:B$400,0)),"  ")</f>
        <v>3</v>
      </c>
      <c r="AE28" s="1295">
        <f>IFERROR(INDEX('V9'!C$300:C$400,MATCH("*"&amp;J28&amp;"*",'V9'!B$300:B$400,0)),"  ")</f>
        <v>9</v>
      </c>
      <c r="AF28" s="1295">
        <f>IFERROR(INDEX('V10'!C$300:C$400,MATCH("*"&amp;J28&amp;"*",'V10'!B$300:B$400,0)),"  ")</f>
        <v>6</v>
      </c>
      <c r="AG28" s="1295" t="str">
        <f>IFERROR(INDEX('V11'!C$300:C$400,MATCH("*"&amp;J28&amp;"*",'V11'!B$300:B$400,0)),"  ")</f>
        <v xml:space="preserve">  </v>
      </c>
      <c r="AH28" s="1295" t="str">
        <f>IFERROR(INDEX('V12'!C$300:C$400,MATCH("*"&amp;J28&amp;"*",'V12'!B$300:B$400,0)),"  ")</f>
        <v xml:space="preserve">  </v>
      </c>
      <c r="AI28" s="1295">
        <f>IFERROR(INDEX('V13'!C$300:C$400,MATCH("*"&amp;J28&amp;"*",'V13'!B$300:B$400,0)),"  ")</f>
        <v>6</v>
      </c>
      <c r="AJ28" s="1296">
        <f t="shared" si="15"/>
        <v>1</v>
      </c>
      <c r="AK28" s="1296">
        <f t="shared" si="16"/>
        <v>44</v>
      </c>
      <c r="AL28" s="1297" t="str">
        <f t="shared" si="17"/>
        <v>edasi 22</v>
      </c>
      <c r="AM28" s="1307" t="str">
        <f>IFERROR(INDEX('V-Fin'!A$300:AJ$400&amp;".",MATCH("*"&amp;J28&amp;"*",'V-Fin'!B$300:B$400,0)),"  ")</f>
        <v>4.</v>
      </c>
      <c r="AN28" s="1390">
        <f t="shared" si="18"/>
        <v>7</v>
      </c>
      <c r="AO28" s="1298">
        <f t="shared" si="19"/>
        <v>2</v>
      </c>
      <c r="AP28" s="1298">
        <f t="shared" si="20"/>
        <v>0</v>
      </c>
    </row>
    <row r="29" spans="1:42" ht="12.6" customHeight="1" x14ac:dyDescent="0.2">
      <c r="A29" s="1254" t="str">
        <f t="shared" si="0"/>
        <v/>
      </c>
      <c r="B29" s="1255">
        <f t="shared" si="1"/>
        <v>-977</v>
      </c>
      <c r="C29" s="1256" t="str">
        <f t="shared" si="2"/>
        <v/>
      </c>
      <c r="D29" s="1255">
        <f t="shared" si="3"/>
        <v>-977</v>
      </c>
      <c r="E29" s="1257">
        <f t="shared" si="4"/>
        <v>5</v>
      </c>
      <c r="F29" s="1255">
        <f t="shared" si="5"/>
        <v>23</v>
      </c>
      <c r="G29" s="1258" t="str">
        <f t="shared" si="6"/>
        <v/>
      </c>
      <c r="H29" s="1255">
        <f t="shared" si="21"/>
        <v>-977</v>
      </c>
      <c r="I29" s="1259">
        <f t="shared" si="7"/>
        <v>23</v>
      </c>
      <c r="J29" s="1239" t="s">
        <v>233</v>
      </c>
      <c r="K29" s="1260" t="s">
        <v>359</v>
      </c>
      <c r="L29" s="1261" t="str">
        <f t="shared" si="22"/>
        <v/>
      </c>
      <c r="M29" s="1262"/>
      <c r="N29" s="1261"/>
      <c r="O29" s="1263">
        <f t="shared" si="8"/>
        <v>43</v>
      </c>
      <c r="P29" s="1264" t="str">
        <f>INDEX(ETAPP!B$1:B$32,MATCH(COUNTIF(W29:AI29,PVO!A$1),ETAPP!A$1:A$32,0))&amp;INDEX(ETAPP!B$1:B$32,MATCH(COUNTIF(W29:AI29,PVO!A$2),ETAPP!A$1:A$32,0))&amp;INDEX(ETAPP!B$1:B$32,MATCH(COUNTIF(W29:AI29,PVO!A$3),ETAPP!A$1:A$32,0))&amp;INDEX(ETAPP!B$1:B$32,MATCH(COUNTIF(W29:AI29,PVO!A$4),ETAPP!A$1:A$32,0))&amp;INDEX(ETAPP!B$1:B$32,MATCH(COUNTIF(W29:AI29,PVO!A$5),ETAPP!A$1:A$32,0))&amp;INDEX(ETAPP!B$1:B$32,MATCH(COUNTIF(W29:AI29,PVO!A$6),ETAPP!A$1:A$32,0))&amp;INDEX(ETAPP!B$1:B$32,MATCH(COUNTIF(W29:AI29,PVO!A$7),ETAPP!A$1:A$32,0))&amp;INDEX(ETAPP!B$1:B$32,MATCH(COUNTIF(W29:AI29,PVO!A$8),ETAPP!A$1:A$32,0))&amp;INDEX(ETAPP!B$1:B$32,MATCH(COUNTIF(W29:AI29,PVO!A$9),ETAPP!A$1:A$32,0))&amp;INDEX(ETAPP!B$1:B$32,MATCH(COUNTIF(W29:AI29,PVO!A$10),ETAPP!A$1:A$32,0))&amp;INDEX(ETAPP!B$1:B$32,MATCH(COUNTIF(W29:AI29,PVO!A$11),ETAPP!A$1:A$32,0))&amp;INDEX(ETAPP!B$1:B$32,MATCH(COUNTIF(W29:AI29,PVO!A$12),ETAPP!A$1:A$32,0))&amp;INDEX(ETAPP!B$1:B$32,MATCH(COUNTIF(W29:AI29,PVO!A$13),ETAPP!A$1:A$32,0))&amp;INDEX(ETAPP!B$1:B$32,MATCH(COUNTIF(W29:AI29,PVO!A$14),ETAPP!A$1:A$32,0))&amp;INDEX(ETAPP!B$1:B$32,MATCH(COUNTIF(W29:AI29,PVO!A$15),ETAPP!A$1:A$32,0))&amp;INDEX(ETAPP!B$1:B$32,MATCH(COUNTIF(W29:AI29,PVO!A$16),ETAPP!A$1:A$32,0))&amp;INDEX(ETAPP!B$1:B$32,MATCH(COUNTIF(W29:AI29,PVO!A$17),ETAPP!A$1:A$32,0))&amp;INDEX(ETAPP!B$1:B$32,MATCH(COUNTIF(W29:AI29,PVO!A$18),ETAPP!A$1:A$32,0))&amp;INDEX(ETAPP!B$1:B$32,MATCH(COUNTIF(W29:AI29,PVO!A$19),ETAPP!A$1:A$32,0))</f>
        <v>000000CA0000000000D</v>
      </c>
      <c r="Q29" s="1264" t="str">
        <f t="shared" si="9"/>
        <v>043,0-000000CA0000000000D</v>
      </c>
      <c r="R29" s="1264">
        <f t="shared" si="10"/>
        <v>23</v>
      </c>
      <c r="S29" s="1264">
        <f t="shared" si="11"/>
        <v>55</v>
      </c>
      <c r="T29" s="1264" t="str">
        <f t="shared" si="12"/>
        <v>043,0-000000CA0000000000D-055</v>
      </c>
      <c r="U29" s="1264">
        <f t="shared" si="13"/>
        <v>23</v>
      </c>
      <c r="V29" s="1264">
        <f t="shared" si="14"/>
        <v>34</v>
      </c>
      <c r="W29" s="1265" t="str">
        <f>IFERROR(INDEX('V1'!C$300:C$400,MATCH("*"&amp;J29&amp;"*",'V1'!B$300:B$400,0)),"  ")</f>
        <v xml:space="preserve">  </v>
      </c>
      <c r="X29" s="1265" t="str">
        <f>IFERROR(INDEX('V2'!C$300:C$400,MATCH("*"&amp;J29&amp;"*",'V2'!B$300:B$400,0)),"  ")</f>
        <v xml:space="preserve">  </v>
      </c>
      <c r="Y29" s="1265" t="str">
        <f>IFERROR(INDEX('V3'!C$300:C$400,MATCH("*"&amp;J29&amp;"*",'V3'!B$300:B$400,0)),"  ")</f>
        <v xml:space="preserve">  </v>
      </c>
      <c r="Z29" s="1265" t="str">
        <f>IFERROR(INDEX('V4'!C$300:C$400,MATCH("*"&amp;J29&amp;"*",'V4'!B$300:B$400,0)),"  ")</f>
        <v xml:space="preserve">  </v>
      </c>
      <c r="AA29" s="1265" t="str">
        <f>IFERROR(INDEX('V5'!C$300:C$400,MATCH("*"&amp;J29&amp;"*",'V5'!B$300:B$400,0)),"  ")</f>
        <v xml:space="preserve">  </v>
      </c>
      <c r="AB29" s="1265">
        <f>IFERROR(INDEX('V6'!C$300:C$400,MATCH("*"&amp;J29&amp;"*",'V6'!B$300:B$400,0)),"  ")</f>
        <v>11</v>
      </c>
      <c r="AC29" s="1265" t="str">
        <f>IFERROR(INDEX('V7'!C$300:C$400,MATCH("*"&amp;J29&amp;"*",'V7'!B$300:B$400,0)),"  ")</f>
        <v xml:space="preserve">  </v>
      </c>
      <c r="AD29" s="1265" t="str">
        <f>IFERROR(INDEX('V8'!C$300:C$400,MATCH("*"&amp;J29&amp;"*",'V8'!B$300:B$400,0)),"  ")</f>
        <v xml:space="preserve">  </v>
      </c>
      <c r="AE29" s="1265" t="str">
        <f>IFERROR(INDEX('V9'!C$300:C$400,MATCH("*"&amp;J29&amp;"*",'V9'!B$300:B$400,0)),"  ")</f>
        <v xml:space="preserve">  </v>
      </c>
      <c r="AF29" s="1265">
        <f>IFERROR(INDEX('V10'!C$300:C$400,MATCH("*"&amp;J29&amp;"*",'V10'!B$300:B$400,0)),"  ")</f>
        <v>10</v>
      </c>
      <c r="AG29" s="1265">
        <f>IFERROR(INDEX('V11'!C$300:C$400,MATCH("*"&amp;J29&amp;"*",'V11'!B$300:B$400,0)),"  ")</f>
        <v>11</v>
      </c>
      <c r="AH29" s="1265">
        <f>IFERROR(INDEX('V12'!C$300:C$400,MATCH("*"&amp;J29&amp;"*",'V12'!B$300:B$400,0)),"  ")</f>
        <v>11</v>
      </c>
      <c r="AI29" s="1265" t="str">
        <f>IFERROR(INDEX('V13'!C$300:C$400,MATCH("*"&amp;J29&amp;"*",'V13'!B$300:B$400,0)),"  ")</f>
        <v xml:space="preserve">  </v>
      </c>
      <c r="AJ29" s="1266">
        <f t="shared" si="15"/>
        <v>1</v>
      </c>
      <c r="AK29" s="1266">
        <f t="shared" si="16"/>
        <v>43</v>
      </c>
      <c r="AL29" s="1267" t="str">
        <f t="shared" si="17"/>
        <v>edasi 23</v>
      </c>
      <c r="AM29" s="1238" t="str">
        <f>IFERROR(INDEX('V-Fin'!A$300:AJ$400&amp;".",MATCH("*"&amp;J29&amp;"*",'V-Fin'!B$300:B$400,0)),"  ")</f>
        <v xml:space="preserve">  </v>
      </c>
      <c r="AN29" s="1388">
        <f t="shared" si="18"/>
        <v>4</v>
      </c>
      <c r="AO29" s="337">
        <f t="shared" si="19"/>
        <v>3</v>
      </c>
      <c r="AP29" s="337">
        <f t="shared" si="20"/>
        <v>0</v>
      </c>
    </row>
    <row r="30" spans="1:42" ht="12.6" customHeight="1" x14ac:dyDescent="0.2">
      <c r="A30" s="1201">
        <f t="shared" si="0"/>
        <v>7</v>
      </c>
      <c r="B30" s="740">
        <f t="shared" si="1"/>
        <v>24</v>
      </c>
      <c r="C30" s="1199">
        <f t="shared" si="2"/>
        <v>19</v>
      </c>
      <c r="D30" s="1193">
        <f t="shared" si="3"/>
        <v>24</v>
      </c>
      <c r="E30" s="1195" t="str">
        <f t="shared" si="4"/>
        <v/>
      </c>
      <c r="F30" s="1193">
        <f t="shared" si="5"/>
        <v>-976</v>
      </c>
      <c r="G30" s="1207" t="str">
        <f t="shared" si="6"/>
        <v/>
      </c>
      <c r="H30" s="1193">
        <f t="shared" si="21"/>
        <v>-976</v>
      </c>
      <c r="I30" s="741">
        <f t="shared" si="7"/>
        <v>24</v>
      </c>
      <c r="J30" s="750" t="s">
        <v>240</v>
      </c>
      <c r="K30" s="743"/>
      <c r="L30" s="1198" t="str">
        <f t="shared" si="22"/>
        <v>m</v>
      </c>
      <c r="M30" s="744"/>
      <c r="N30" s="745" t="s">
        <v>230</v>
      </c>
      <c r="O30" s="751">
        <f t="shared" si="8"/>
        <v>41</v>
      </c>
      <c r="P30" s="746" t="str">
        <f>INDEX(ETAPP!B$1:B$32,MATCH(COUNTIF(W30:AI30,PVO!A$1),ETAPP!A$1:A$32,0))&amp;INDEX(ETAPP!B$1:B$32,MATCH(COUNTIF(W30:AI30,PVO!A$2),ETAPP!A$1:A$32,0))&amp;INDEX(ETAPP!B$1:B$32,MATCH(COUNTIF(W30:AI30,PVO!A$3),ETAPP!A$1:A$32,0))&amp;INDEX(ETAPP!B$1:B$32,MATCH(COUNTIF(W30:AI30,PVO!A$4),ETAPP!A$1:A$32,0))&amp;INDEX(ETAPP!B$1:B$32,MATCH(COUNTIF(W30:AI30,PVO!A$5),ETAPP!A$1:A$32,0))&amp;INDEX(ETAPP!B$1:B$32,MATCH(COUNTIF(W30:AI30,PVO!A$6),ETAPP!A$1:A$32,0))&amp;INDEX(ETAPP!B$1:B$32,MATCH(COUNTIF(W30:AI30,PVO!A$7),ETAPP!A$1:A$32,0))&amp;INDEX(ETAPP!B$1:B$32,MATCH(COUNTIF(W30:AI30,PVO!A$8),ETAPP!A$1:A$32,0))&amp;INDEX(ETAPP!B$1:B$32,MATCH(COUNTIF(W30:AI30,PVO!A$9),ETAPP!A$1:A$32,0))&amp;INDEX(ETAPP!B$1:B$32,MATCH(COUNTIF(W30:AI30,PVO!A$10),ETAPP!A$1:A$32,0))&amp;INDEX(ETAPP!B$1:B$32,MATCH(COUNTIF(W30:AI30,PVO!A$11),ETAPP!A$1:A$32,0))&amp;INDEX(ETAPP!B$1:B$32,MATCH(COUNTIF(W30:AI30,PVO!A$12),ETAPP!A$1:A$32,0))&amp;INDEX(ETAPP!B$1:B$32,MATCH(COUNTIF(W30:AI30,PVO!A$13),ETAPP!A$1:A$32,0))&amp;INDEX(ETAPP!B$1:B$32,MATCH(COUNTIF(W30:AI30,PVO!A$14),ETAPP!A$1:A$32,0))&amp;INDEX(ETAPP!B$1:B$32,MATCH(COUNTIF(W30:AI30,PVO!A$15),ETAPP!A$1:A$32,0))&amp;INDEX(ETAPP!B$1:B$32,MATCH(COUNTIF(W30:AI30,PVO!A$16),ETAPP!A$1:A$32,0))&amp;INDEX(ETAPP!B$1:B$32,MATCH(COUNTIF(W30:AI30,PVO!A$17),ETAPP!A$1:A$32,0))&amp;INDEX(ETAPP!B$1:B$32,MATCH(COUNTIF(W30:AI30,PVO!A$18),ETAPP!A$1:A$32,0))&amp;INDEX(ETAPP!B$1:B$32,MATCH(COUNTIF(W30:AI30,PVO!A$19),ETAPP!A$1:A$32,0))</f>
        <v>0000000A00A0AB0CE00</v>
      </c>
      <c r="Q30" s="746" t="str">
        <f t="shared" si="9"/>
        <v>041,0-0000000A00A0AB0CE00</v>
      </c>
      <c r="R30" s="746">
        <f t="shared" si="10"/>
        <v>24</v>
      </c>
      <c r="S30" s="746">
        <f t="shared" si="11"/>
        <v>40</v>
      </c>
      <c r="T30" s="746" t="str">
        <f t="shared" si="12"/>
        <v>041,0-0000000A00A0AB0CE00-040</v>
      </c>
      <c r="U30" s="746">
        <f t="shared" si="13"/>
        <v>24</v>
      </c>
      <c r="V30" s="746">
        <f t="shared" si="14"/>
        <v>33</v>
      </c>
      <c r="W30" s="679">
        <f>IFERROR(INDEX('V1'!C$300:C$400,MATCH("*"&amp;J30&amp;"*",'V1'!B$300:B$400,0)),"  ")</f>
        <v>1</v>
      </c>
      <c r="X30" s="679">
        <f>IFERROR(INDEX('V2'!C$300:C$400,MATCH("*"&amp;J30&amp;"*",'V2'!B$300:B$400,0)),"  ")</f>
        <v>5</v>
      </c>
      <c r="Y30" s="679">
        <f>IFERROR(INDEX('V3'!C$300:C$400,MATCH("*"&amp;J30&amp;"*",'V3'!B$300:B$400,0)),"  ")</f>
        <v>2</v>
      </c>
      <c r="Z30" s="679">
        <f>IFERROR(INDEX('V4'!C$300:C$400,MATCH("*"&amp;J30&amp;"*",'V4'!B$300:B$400,0)),"  ")</f>
        <v>4</v>
      </c>
      <c r="AA30" s="679">
        <f>IFERROR(INDEX('V5'!C$300:C$400,MATCH("*"&amp;J30&amp;"*",'V5'!B$300:B$400,0)),"  ")</f>
        <v>1</v>
      </c>
      <c r="AB30" s="679">
        <f>IFERROR(INDEX('V6'!C$300:C$400,MATCH("*"&amp;J30&amp;"*",'V6'!B$300:B$400,0)),"  ")</f>
        <v>1</v>
      </c>
      <c r="AC30" s="679">
        <f>IFERROR(INDEX('V7'!C$300:C$400,MATCH("*"&amp;J30&amp;"*",'V7'!B$300:B$400,0)),"  ")</f>
        <v>1</v>
      </c>
      <c r="AD30" s="679">
        <f>IFERROR(INDEX('V8'!C$300:C$400,MATCH("*"&amp;J30&amp;"*",'V8'!B$300:B$400,0)),"  ")</f>
        <v>2</v>
      </c>
      <c r="AE30" s="679">
        <f>IFERROR(INDEX('V9'!C$300:C$400,MATCH("*"&amp;J30&amp;"*",'V9'!B$300:B$400,0)),"  ")</f>
        <v>10</v>
      </c>
      <c r="AF30" s="679">
        <f>IFERROR(INDEX('V10'!C$300:C$400,MATCH("*"&amp;J30&amp;"*",'V10'!B$300:B$400,0)),"  ")</f>
        <v>7</v>
      </c>
      <c r="AG30" s="679">
        <f>IFERROR(INDEX('V11'!C$300:C$400,MATCH("*"&amp;J30&amp;"*",'V11'!B$300:B$400,0)),"  ")</f>
        <v>1</v>
      </c>
      <c r="AH30" s="679">
        <f>IFERROR(INDEX('V12'!C$300:C$400,MATCH("*"&amp;J30&amp;"*",'V12'!B$300:B$400,0)),"  ")</f>
        <v>2</v>
      </c>
      <c r="AI30" s="679">
        <f>IFERROR(INDEX('V13'!C$300:C$400,MATCH("*"&amp;J30&amp;"*",'V13'!B$300:B$400,0)),"  ")</f>
        <v>4</v>
      </c>
      <c r="AJ30" s="747">
        <f t="shared" si="15"/>
        <v>1</v>
      </c>
      <c r="AK30" s="747">
        <f t="shared" si="16"/>
        <v>41</v>
      </c>
      <c r="AL30" s="1212" t="str">
        <f t="shared" si="17"/>
        <v>edasi 24</v>
      </c>
      <c r="AM30" s="1215" t="str">
        <f>IFERROR(INDEX('V-Fin'!A$300:AJ$400&amp;".",MATCH("*"&amp;J30&amp;"*",'V-Fin'!B$300:B$400,0)),"  ")</f>
        <v>8.</v>
      </c>
      <c r="AN30" s="337">
        <f t="shared" si="18"/>
        <v>13</v>
      </c>
      <c r="AO30" s="336">
        <f t="shared" si="19"/>
        <v>1</v>
      </c>
      <c r="AP30" s="336">
        <f t="shared" si="20"/>
        <v>0</v>
      </c>
    </row>
    <row r="31" spans="1:42" ht="12.6" customHeight="1" x14ac:dyDescent="0.2">
      <c r="A31" s="1201">
        <f t="shared" si="0"/>
        <v>8</v>
      </c>
      <c r="B31" s="740">
        <f t="shared" si="1"/>
        <v>25</v>
      </c>
      <c r="C31" s="1199">
        <f t="shared" si="2"/>
        <v>20</v>
      </c>
      <c r="D31" s="1193">
        <f t="shared" si="3"/>
        <v>25</v>
      </c>
      <c r="E31" s="1195" t="str">
        <f t="shared" si="4"/>
        <v/>
      </c>
      <c r="F31" s="1193">
        <f t="shared" si="5"/>
        <v>-975</v>
      </c>
      <c r="G31" s="1207" t="str">
        <f t="shared" si="6"/>
        <v/>
      </c>
      <c r="H31" s="1193">
        <f t="shared" si="21"/>
        <v>-975</v>
      </c>
      <c r="I31" s="741">
        <f t="shared" si="7"/>
        <v>25</v>
      </c>
      <c r="J31" s="750" t="s">
        <v>243</v>
      </c>
      <c r="K31" s="743"/>
      <c r="L31" s="1198" t="str">
        <f t="shared" si="22"/>
        <v>m</v>
      </c>
      <c r="M31" s="744"/>
      <c r="N31" s="745" t="s">
        <v>230</v>
      </c>
      <c r="O31" s="751">
        <f t="shared" si="8"/>
        <v>41</v>
      </c>
      <c r="P31" s="746" t="str">
        <f>INDEX(ETAPP!B$1:B$32,MATCH(COUNTIF(W31:AI31,PVO!A$1),ETAPP!A$1:A$32,0))&amp;INDEX(ETAPP!B$1:B$32,MATCH(COUNTIF(W31:AI31,PVO!A$2),ETAPP!A$1:A$32,0))&amp;INDEX(ETAPP!B$1:B$32,MATCH(COUNTIF(W31:AI31,PVO!A$3),ETAPP!A$1:A$32,0))&amp;INDEX(ETAPP!B$1:B$32,MATCH(COUNTIF(W31:AI31,PVO!A$4),ETAPP!A$1:A$32,0))&amp;INDEX(ETAPP!B$1:B$32,MATCH(COUNTIF(W31:AI31,PVO!A$5),ETAPP!A$1:A$32,0))&amp;INDEX(ETAPP!B$1:B$32,MATCH(COUNTIF(W31:AI31,PVO!A$6),ETAPP!A$1:A$32,0))&amp;INDEX(ETAPP!B$1:B$32,MATCH(COUNTIF(W31:AI31,PVO!A$7),ETAPP!A$1:A$32,0))&amp;INDEX(ETAPP!B$1:B$32,MATCH(COUNTIF(W31:AI31,PVO!A$8),ETAPP!A$1:A$32,0))&amp;INDEX(ETAPP!B$1:B$32,MATCH(COUNTIF(W31:AI31,PVO!A$9),ETAPP!A$1:A$32,0))&amp;INDEX(ETAPP!B$1:B$32,MATCH(COUNTIF(W31:AI31,PVO!A$10),ETAPP!A$1:A$32,0))&amp;INDEX(ETAPP!B$1:B$32,MATCH(COUNTIF(W31:AI31,PVO!A$11),ETAPP!A$1:A$32,0))&amp;INDEX(ETAPP!B$1:B$32,MATCH(COUNTIF(W31:AI31,PVO!A$12),ETAPP!A$1:A$32,0))&amp;INDEX(ETAPP!B$1:B$32,MATCH(COUNTIF(W31:AI31,PVO!A$13),ETAPP!A$1:A$32,0))&amp;INDEX(ETAPP!B$1:B$32,MATCH(COUNTIF(W31:AI31,PVO!A$14),ETAPP!A$1:A$32,0))&amp;INDEX(ETAPP!B$1:B$32,MATCH(COUNTIF(W31:AI31,PVO!A$15),ETAPP!A$1:A$32,0))&amp;INDEX(ETAPP!B$1:B$32,MATCH(COUNTIF(W31:AI31,PVO!A$16),ETAPP!A$1:A$32,0))&amp;INDEX(ETAPP!B$1:B$32,MATCH(COUNTIF(W31:AI31,PVO!A$17),ETAPP!A$1:A$32,0))&amp;INDEX(ETAPP!B$1:B$32,MATCH(COUNTIF(W31:AI31,PVO!A$18),ETAPP!A$1:A$32,0))&amp;INDEX(ETAPP!B$1:B$32,MATCH(COUNTIF(W31:AI31,PVO!A$19),ETAPP!A$1:A$32,0))</f>
        <v>00000000000BACACC00</v>
      </c>
      <c r="Q31" s="746" t="str">
        <f t="shared" si="9"/>
        <v>041,0-00000000000BACACC00</v>
      </c>
      <c r="R31" s="746">
        <f t="shared" si="10"/>
        <v>25</v>
      </c>
      <c r="S31" s="746">
        <f t="shared" si="11"/>
        <v>44</v>
      </c>
      <c r="T31" s="746" t="str">
        <f t="shared" si="12"/>
        <v>041,0-00000000000BACACC00-044</v>
      </c>
      <c r="U31" s="746">
        <f t="shared" si="13"/>
        <v>25</v>
      </c>
      <c r="V31" s="746">
        <f t="shared" si="14"/>
        <v>32</v>
      </c>
      <c r="W31" s="679">
        <f>IFERROR(INDEX('V1'!C$300:C$400,MATCH("*"&amp;J31&amp;"*",'V1'!B$300:B$400,0)),"  ")</f>
        <v>6</v>
      </c>
      <c r="X31" s="679">
        <f>IFERROR(INDEX('V2'!C$300:C$400,MATCH("*"&amp;J31&amp;"*",'V2'!B$300:B$400,0)),"  ")</f>
        <v>2</v>
      </c>
      <c r="Y31" s="679">
        <f>IFERROR(INDEX('V3'!C$300:C$400,MATCH("*"&amp;J31&amp;"*",'V3'!B$300:B$400,0)),"  ")</f>
        <v>6</v>
      </c>
      <c r="Z31" s="679">
        <f>IFERROR(INDEX('V4'!C$300:C$400,MATCH("*"&amp;J31&amp;"*",'V4'!B$300:B$400,0)),"  ")</f>
        <v>4</v>
      </c>
      <c r="AA31" s="679">
        <f>IFERROR(INDEX('V5'!C$300:C$400,MATCH("*"&amp;J31&amp;"*",'V5'!B$300:B$400,0)),"  ")</f>
        <v>2</v>
      </c>
      <c r="AB31" s="679">
        <f>IFERROR(INDEX('V6'!C$300:C$400,MATCH("*"&amp;J31&amp;"*",'V6'!B$300:B$400,0)),"  ")</f>
        <v>2</v>
      </c>
      <c r="AC31" s="679">
        <f>IFERROR(INDEX('V7'!C$300:C$400,MATCH("*"&amp;J31&amp;"*",'V7'!B$300:B$400,0)),"  ")</f>
        <v>4</v>
      </c>
      <c r="AD31" s="679">
        <f>IFERROR(INDEX('V8'!C$300:C$400,MATCH("*"&amp;J31&amp;"*",'V8'!B$300:B$400,0)),"  ")</f>
        <v>1</v>
      </c>
      <c r="AE31" s="679">
        <f>IFERROR(INDEX('V9'!C$300:C$400,MATCH("*"&amp;J31&amp;"*",'V9'!B$300:B$400,0)),"  ")</f>
        <v>1</v>
      </c>
      <c r="AF31" s="679">
        <f>IFERROR(INDEX('V10'!C$300:C$400,MATCH("*"&amp;J31&amp;"*",'V10'!B$300:B$400,0)),"  ")</f>
        <v>3</v>
      </c>
      <c r="AG31" s="679">
        <f>IFERROR(INDEX('V11'!C$300:C$400,MATCH("*"&amp;J31&amp;"*",'V11'!B$300:B$400,0)),"  ")</f>
        <v>5</v>
      </c>
      <c r="AH31" s="679">
        <f>IFERROR(INDEX('V12'!C$300:C$400,MATCH("*"&amp;J31&amp;"*",'V12'!B$300:B$400,0)),"  ")</f>
        <v>4</v>
      </c>
      <c r="AI31" s="679">
        <f>IFERROR(INDEX('V13'!C$300:C$400,MATCH("*"&amp;J31&amp;"*",'V13'!B$300:B$400,0)),"  ")</f>
        <v>1</v>
      </c>
      <c r="AJ31" s="747">
        <f t="shared" si="15"/>
        <v>1</v>
      </c>
      <c r="AK31" s="747">
        <f t="shared" si="16"/>
        <v>41</v>
      </c>
      <c r="AL31" s="1212" t="str">
        <f t="shared" si="17"/>
        <v>edasi 24</v>
      </c>
      <c r="AM31" s="1215" t="str">
        <f>IFERROR(INDEX('V-Fin'!A$300:AJ$400&amp;".",MATCH("*"&amp;J31&amp;"*",'V-Fin'!B$300:B$400,0)),"  ")</f>
        <v>6.</v>
      </c>
      <c r="AN31" s="337">
        <f t="shared" si="18"/>
        <v>13</v>
      </c>
      <c r="AO31" s="336">
        <f t="shared" si="19"/>
        <v>0</v>
      </c>
      <c r="AP31" s="336">
        <f t="shared" si="20"/>
        <v>0</v>
      </c>
    </row>
    <row r="32" spans="1:42" ht="12.6" customHeight="1" x14ac:dyDescent="0.2">
      <c r="A32" s="1201">
        <f t="shared" si="0"/>
        <v>9</v>
      </c>
      <c r="B32" s="740">
        <f t="shared" si="1"/>
        <v>26</v>
      </c>
      <c r="C32" s="1199">
        <f t="shared" si="2"/>
        <v>21</v>
      </c>
      <c r="D32" s="1193">
        <f t="shared" si="3"/>
        <v>26</v>
      </c>
      <c r="E32" s="1195" t="str">
        <f t="shared" si="4"/>
        <v/>
      </c>
      <c r="F32" s="1193">
        <f t="shared" si="5"/>
        <v>-974</v>
      </c>
      <c r="G32" s="1207" t="str">
        <f t="shared" si="6"/>
        <v/>
      </c>
      <c r="H32" s="1193">
        <f t="shared" si="21"/>
        <v>-974</v>
      </c>
      <c r="I32" s="741">
        <f t="shared" si="7"/>
        <v>26</v>
      </c>
      <c r="J32" s="742" t="s">
        <v>237</v>
      </c>
      <c r="K32" s="743"/>
      <c r="L32" s="1198" t="str">
        <f t="shared" si="22"/>
        <v>m</v>
      </c>
      <c r="M32" s="744"/>
      <c r="N32" s="745" t="s">
        <v>230</v>
      </c>
      <c r="O32" s="751">
        <f t="shared" si="8"/>
        <v>32</v>
      </c>
      <c r="P32" s="746" t="str">
        <f>INDEX(ETAPP!B$1:B$32,MATCH(COUNTIF(W32:AI32,PVO!A$1),ETAPP!A$1:A$32,0))&amp;INDEX(ETAPP!B$1:B$32,MATCH(COUNTIF(W32:AI32,PVO!A$2),ETAPP!A$1:A$32,0))&amp;INDEX(ETAPP!B$1:B$32,MATCH(COUNTIF(W32:AI32,PVO!A$3),ETAPP!A$1:A$32,0))&amp;INDEX(ETAPP!B$1:B$32,MATCH(COUNTIF(W32:AI32,PVO!A$4),ETAPP!A$1:A$32,0))&amp;INDEX(ETAPP!B$1:B$32,MATCH(COUNTIF(W32:AI32,PVO!A$5),ETAPP!A$1:A$32,0))&amp;INDEX(ETAPP!B$1:B$32,MATCH(COUNTIF(W32:AI32,PVO!A$6),ETAPP!A$1:A$32,0))&amp;INDEX(ETAPP!B$1:B$32,MATCH(COUNTIF(W32:AI32,PVO!A$7),ETAPP!A$1:A$32,0))&amp;INDEX(ETAPP!B$1:B$32,MATCH(COUNTIF(W32:AI32,PVO!A$8),ETAPP!A$1:A$32,0))&amp;INDEX(ETAPP!B$1:B$32,MATCH(COUNTIF(W32:AI32,PVO!A$9),ETAPP!A$1:A$32,0))&amp;INDEX(ETAPP!B$1:B$32,MATCH(COUNTIF(W32:AI32,PVO!A$10),ETAPP!A$1:A$32,0))&amp;INDEX(ETAPP!B$1:B$32,MATCH(COUNTIF(W32:AI32,PVO!A$11),ETAPP!A$1:A$32,0))&amp;INDEX(ETAPP!B$1:B$32,MATCH(COUNTIF(W32:AI32,PVO!A$12),ETAPP!A$1:A$32,0))&amp;INDEX(ETAPP!B$1:B$32,MATCH(COUNTIF(W32:AI32,PVO!A$13),ETAPP!A$1:A$32,0))&amp;INDEX(ETAPP!B$1:B$32,MATCH(COUNTIF(W32:AI32,PVO!A$14),ETAPP!A$1:A$32,0))&amp;INDEX(ETAPP!B$1:B$32,MATCH(COUNTIF(W32:AI32,PVO!A$15),ETAPP!A$1:A$32,0))&amp;INDEX(ETAPP!B$1:B$32,MATCH(COUNTIF(W32:AI32,PVO!A$16),ETAPP!A$1:A$32,0))&amp;INDEX(ETAPP!B$1:B$32,MATCH(COUNTIF(W32:AI32,PVO!A$17),ETAPP!A$1:A$32,0))&amp;INDEX(ETAPP!B$1:B$32,MATCH(COUNTIF(W32:AI32,PVO!A$18),ETAPP!A$1:A$32,0))&amp;INDEX(ETAPP!B$1:B$32,MATCH(COUNTIF(W32:AI32,PVO!A$19),ETAPP!A$1:A$32,0))</f>
        <v>00000000000B0BACC0B</v>
      </c>
      <c r="Q32" s="746" t="str">
        <f t="shared" si="9"/>
        <v>032,0-00000000000B0BACC0B</v>
      </c>
      <c r="R32" s="746">
        <f t="shared" si="10"/>
        <v>26</v>
      </c>
      <c r="S32" s="746">
        <f t="shared" si="11"/>
        <v>11</v>
      </c>
      <c r="T32" s="746" t="str">
        <f t="shared" si="12"/>
        <v>032,0-00000000000B0BACC0B-011</v>
      </c>
      <c r="U32" s="746">
        <f t="shared" si="13"/>
        <v>26</v>
      </c>
      <c r="V32" s="746">
        <f t="shared" si="14"/>
        <v>31</v>
      </c>
      <c r="W32" s="679">
        <f>IFERROR(INDEX('V1'!C$300:C$400,MATCH("*"&amp;J32&amp;"*",'V1'!B$300:B$400,0)),"  ")</f>
        <v>6</v>
      </c>
      <c r="X32" s="679">
        <f>IFERROR(INDEX('V2'!C$300:C$400,MATCH("*"&amp;J32&amp;"*",'V2'!B$300:B$400,0)),"  ")</f>
        <v>2</v>
      </c>
      <c r="Y32" s="679">
        <f>IFERROR(INDEX('V3'!C$300:C$400,MATCH("*"&amp;J32&amp;"*",'V3'!B$300:B$400,0)),"  ")</f>
        <v>6</v>
      </c>
      <c r="Z32" s="679" t="str">
        <f>IFERROR(INDEX('V4'!C$300:C$400,MATCH("*"&amp;J32&amp;"*",'V4'!B$300:B$400,0)),"  ")</f>
        <v xml:space="preserve">  </v>
      </c>
      <c r="AA32" s="679">
        <f>IFERROR(INDEX('V5'!C$300:C$400,MATCH("*"&amp;J32&amp;"*",'V5'!B$300:B$400,0)),"  ")</f>
        <v>2</v>
      </c>
      <c r="AB32" s="679">
        <f>IFERROR(INDEX('V6'!C$300:C$400,MATCH("*"&amp;J32&amp;"*",'V6'!B$300:B$400,0)),"  ")</f>
        <v>2</v>
      </c>
      <c r="AC32" s="679">
        <f>IFERROR(INDEX('V7'!C$300:C$400,MATCH("*"&amp;J32&amp;"*",'V7'!B$300:B$400,0)),"  ")</f>
        <v>1</v>
      </c>
      <c r="AD32" s="679">
        <f>IFERROR(INDEX('V8'!C$300:C$400,MATCH("*"&amp;J32&amp;"*",'V8'!B$300:B$400,0)),"  ")</f>
        <v>1</v>
      </c>
      <c r="AE32" s="679" t="str">
        <f>IFERROR(INDEX('V9'!C$300:C$400,MATCH("*"&amp;J32&amp;"*",'V9'!B$300:B$400,0)),"  ")</f>
        <v xml:space="preserve">  </v>
      </c>
      <c r="AF32" s="679">
        <f>IFERROR(INDEX('V10'!C$300:C$400,MATCH("*"&amp;J32&amp;"*",'V10'!B$300:B$400,0)),"  ")</f>
        <v>3</v>
      </c>
      <c r="AG32" s="679">
        <f>IFERROR(INDEX('V11'!C$300:C$400,MATCH("*"&amp;J32&amp;"*",'V11'!B$300:B$400,0)),"  ")</f>
        <v>4</v>
      </c>
      <c r="AH32" s="679">
        <f>IFERROR(INDEX('V12'!C$300:C$400,MATCH("*"&amp;J32&amp;"*",'V12'!B$300:B$400,0)),"  ")</f>
        <v>4</v>
      </c>
      <c r="AI32" s="679">
        <f>IFERROR(INDEX('V13'!C$300:C$400,MATCH("*"&amp;J32&amp;"*",'V13'!B$300:B$400,0)),"  ")</f>
        <v>1</v>
      </c>
      <c r="AJ32" s="747">
        <f t="shared" si="15"/>
        <v>1</v>
      </c>
      <c r="AK32" s="747">
        <f t="shared" si="16"/>
        <v>32</v>
      </c>
      <c r="AL32" s="1212" t="str">
        <f t="shared" si="17"/>
        <v>edasi 26</v>
      </c>
      <c r="AM32" s="1215" t="str">
        <f>IFERROR(INDEX('V-Fin'!A$300:AJ$400&amp;".",MATCH("*"&amp;J32&amp;"*",'V-Fin'!B$300:B$400,0)),"  ")</f>
        <v>5.</v>
      </c>
      <c r="AN32" s="337">
        <f t="shared" si="18"/>
        <v>11</v>
      </c>
      <c r="AO32" s="336">
        <f t="shared" si="19"/>
        <v>0</v>
      </c>
      <c r="AP32" s="336">
        <f t="shared" si="20"/>
        <v>0</v>
      </c>
    </row>
    <row r="33" spans="1:42" ht="12.6" customHeight="1" x14ac:dyDescent="0.2">
      <c r="A33" s="1201" t="str">
        <f t="shared" si="0"/>
        <v/>
      </c>
      <c r="B33" s="740">
        <f t="shared" si="1"/>
        <v>-973</v>
      </c>
      <c r="C33" s="1199" t="str">
        <f t="shared" si="2"/>
        <v/>
      </c>
      <c r="D33" s="1193">
        <f t="shared" si="3"/>
        <v>-973</v>
      </c>
      <c r="E33" s="1195">
        <f t="shared" si="4"/>
        <v>6</v>
      </c>
      <c r="F33" s="1193">
        <f t="shared" si="5"/>
        <v>27</v>
      </c>
      <c r="G33" s="1207" t="str">
        <f t="shared" si="6"/>
        <v/>
      </c>
      <c r="H33" s="1193">
        <f t="shared" si="21"/>
        <v>-973</v>
      </c>
      <c r="I33" s="741">
        <f t="shared" si="7"/>
        <v>27</v>
      </c>
      <c r="J33" s="750" t="s">
        <v>264</v>
      </c>
      <c r="K33" s="743" t="s">
        <v>359</v>
      </c>
      <c r="L33" s="1198" t="str">
        <f t="shared" si="22"/>
        <v/>
      </c>
      <c r="M33" s="744"/>
      <c r="N33" s="745"/>
      <c r="O33" s="751">
        <f t="shared" si="8"/>
        <v>31.5</v>
      </c>
      <c r="P33" s="746" t="str">
        <f>INDEX(ETAPP!B$1:B$32,MATCH(COUNTIF(W33:AI33,PVO!A$1),ETAPP!A$1:A$32,0))&amp;INDEX(ETAPP!B$1:B$32,MATCH(COUNTIF(W33:AI33,PVO!A$2),ETAPP!A$1:A$32,0))&amp;INDEX(ETAPP!B$1:B$32,MATCH(COUNTIF(W33:AI33,PVO!A$3),ETAPP!A$1:A$32,0))&amp;INDEX(ETAPP!B$1:B$32,MATCH(COUNTIF(W33:AI33,PVO!A$4),ETAPP!A$1:A$32,0))&amp;INDEX(ETAPP!B$1:B$32,MATCH(COUNTIF(W33:AI33,PVO!A$5),ETAPP!A$1:A$32,0))&amp;INDEX(ETAPP!B$1:B$32,MATCH(COUNTIF(W33:AI33,PVO!A$6),ETAPP!A$1:A$32,0))&amp;INDEX(ETAPP!B$1:B$32,MATCH(COUNTIF(W33:AI33,PVO!A$7),ETAPP!A$1:A$32,0))&amp;INDEX(ETAPP!B$1:B$32,MATCH(COUNTIF(W33:AI33,PVO!A$8),ETAPP!A$1:A$32,0))&amp;INDEX(ETAPP!B$1:B$32,MATCH(COUNTIF(W33:AI33,PVO!A$9),ETAPP!A$1:A$32,0))&amp;INDEX(ETAPP!B$1:B$32,MATCH(COUNTIF(W33:AI33,PVO!A$10),ETAPP!A$1:A$32,0))&amp;INDEX(ETAPP!B$1:B$32,MATCH(COUNTIF(W33:AI33,PVO!A$11),ETAPP!A$1:A$32,0))&amp;INDEX(ETAPP!B$1:B$32,MATCH(COUNTIF(W33:AI33,PVO!A$12),ETAPP!A$1:A$32,0))&amp;INDEX(ETAPP!B$1:B$32,MATCH(COUNTIF(W33:AI33,PVO!A$13),ETAPP!A$1:A$32,0))&amp;INDEX(ETAPP!B$1:B$32,MATCH(COUNTIF(W33:AI33,PVO!A$14),ETAPP!A$1:A$32,0))&amp;INDEX(ETAPP!B$1:B$32,MATCH(COUNTIF(W33:AI33,PVO!A$15),ETAPP!A$1:A$32,0))&amp;INDEX(ETAPP!B$1:B$32,MATCH(COUNTIF(W33:AI33,PVO!A$16),ETAPP!A$1:A$32,0))&amp;INDEX(ETAPP!B$1:B$32,MATCH(COUNTIF(W33:AI33,PVO!A$17),ETAPP!A$1:A$32,0))&amp;INDEX(ETAPP!B$1:B$32,MATCH(COUNTIF(W33:AI33,PVO!A$18),ETAPP!A$1:A$32,0))&amp;INDEX(ETAPP!B$1:B$32,MATCH(COUNTIF(W33:AI33,PVO!A$19),ETAPP!A$1:A$32,0))</f>
        <v>00000000B0A00A00A0G</v>
      </c>
      <c r="Q33" s="746" t="str">
        <f t="shared" si="9"/>
        <v>031,5-00000000B0A00A00A0G</v>
      </c>
      <c r="R33" s="746">
        <f t="shared" si="10"/>
        <v>27</v>
      </c>
      <c r="S33" s="746">
        <f t="shared" si="11"/>
        <v>43</v>
      </c>
      <c r="T33" s="746" t="str">
        <f t="shared" si="12"/>
        <v>031,5-00000000B0A00A00A0G-043</v>
      </c>
      <c r="U33" s="746">
        <f t="shared" si="13"/>
        <v>27</v>
      </c>
      <c r="V33" s="746">
        <f t="shared" si="14"/>
        <v>30</v>
      </c>
      <c r="W33" s="679">
        <f>IFERROR(INDEX('V1'!C$300:C$400,MATCH("*"&amp;J33&amp;"*",'V1'!B$300:B$400,0)),"  ")</f>
        <v>9</v>
      </c>
      <c r="X33" s="679" t="str">
        <f>IFERROR(INDEX('V2'!C$300:C$400,MATCH("*"&amp;J33&amp;"*",'V2'!B$300:B$400,0)),"  ")</f>
        <v xml:space="preserve">  </v>
      </c>
      <c r="Y33" s="679">
        <f>IFERROR(INDEX('V3'!C$300:C$400,MATCH("*"&amp;J33&amp;"*",'V3'!B$300:B$400,0)),"  ")</f>
        <v>1</v>
      </c>
      <c r="Z33" s="679" t="str">
        <f>IFERROR(INDEX('V4'!C$300:C$400,MATCH("*"&amp;J33&amp;"*",'V4'!B$300:B$400,0)),"  ")</f>
        <v xml:space="preserve">  </v>
      </c>
      <c r="AA33" s="679" t="str">
        <f>IFERROR(INDEX('V5'!C$300:C$400,MATCH("*"&amp;J33&amp;"*",'V5'!B$300:B$400,0)),"  ")</f>
        <v xml:space="preserve">  </v>
      </c>
      <c r="AB33" s="679">
        <f>IFERROR(INDEX('V6'!C$300:C$400,MATCH("*"&amp;J33&amp;"*",'V6'!B$300:B$400,0)),"  ")</f>
        <v>9</v>
      </c>
      <c r="AC33" s="679" t="str">
        <f>IFERROR(INDEX('V7'!C$300:C$400,MATCH("*"&amp;J33&amp;"*",'V7'!B$300:B$400,0)),"  ")</f>
        <v xml:space="preserve">  </v>
      </c>
      <c r="AD33" s="679">
        <f>IFERROR(INDEX('V8'!C$300:C$400,MATCH("*"&amp;J33&amp;"*",'V8'!B$300:B$400,0)),"  ")</f>
        <v>7</v>
      </c>
      <c r="AE33" s="679">
        <f>IFERROR(INDEX('V9'!C$300:C$400,MATCH("*"&amp;J33&amp;"*",'V9'!B$300:B$400,0)),"  ")</f>
        <v>4</v>
      </c>
      <c r="AF33" s="679" t="str">
        <f>IFERROR(INDEX('V10'!C$300:C$400,MATCH("*"&amp;J33&amp;"*",'V10'!B$300:B$400,0)),"  ")</f>
        <v xml:space="preserve">  </v>
      </c>
      <c r="AG33" s="679" t="str">
        <f>IFERROR(INDEX('V11'!C$300:C$400,MATCH("*"&amp;J33&amp;"*",'V11'!B$300:B$400,0)),"  ")</f>
        <v xml:space="preserve">  </v>
      </c>
      <c r="AH33" s="679">
        <f>IFERROR(INDEX('V12'!C$300:C$400,MATCH("*"&amp;J33&amp;"*",'V12'!B$300:B$400,0)),"  ")</f>
        <v>1.5</v>
      </c>
      <c r="AI33" s="679" t="str">
        <f>IFERROR(INDEX('V13'!C$300:C$400,MATCH("*"&amp;J33&amp;"*",'V13'!B$300:B$400,0)),"  ")</f>
        <v xml:space="preserve">  </v>
      </c>
      <c r="AJ33" s="747">
        <f t="shared" si="15"/>
        <v>1</v>
      </c>
      <c r="AK33" s="747">
        <f t="shared" si="16"/>
        <v>31.5</v>
      </c>
      <c r="AL33" s="1212" t="str">
        <f t="shared" si="17"/>
        <v>edasi 27</v>
      </c>
      <c r="AM33" s="1215" t="str">
        <f>IFERROR(INDEX('V-Fin'!A$300:AJ$400&amp;".",MATCH("*"&amp;J33&amp;"*",'V-Fin'!B$300:B$400,0)),"  ")</f>
        <v xml:space="preserve">  </v>
      </c>
      <c r="AN33" s="337">
        <f t="shared" si="18"/>
        <v>6</v>
      </c>
      <c r="AO33" s="336">
        <f t="shared" si="19"/>
        <v>1</v>
      </c>
      <c r="AP33" s="336">
        <f t="shared" si="20"/>
        <v>0</v>
      </c>
    </row>
    <row r="34" spans="1:42" ht="12.6" customHeight="1" x14ac:dyDescent="0.2">
      <c r="A34" s="1201" t="str">
        <f t="shared" si="0"/>
        <v/>
      </c>
      <c r="B34" s="740">
        <f t="shared" si="1"/>
        <v>-972</v>
      </c>
      <c r="C34" s="1199">
        <f t="shared" si="2"/>
        <v>22</v>
      </c>
      <c r="D34" s="1193">
        <f t="shared" si="3"/>
        <v>28</v>
      </c>
      <c r="E34" s="1195" t="str">
        <f t="shared" si="4"/>
        <v/>
      </c>
      <c r="F34" s="1193">
        <f t="shared" si="5"/>
        <v>-972</v>
      </c>
      <c r="G34" s="1207" t="str">
        <f t="shared" si="6"/>
        <v/>
      </c>
      <c r="H34" s="1193">
        <f t="shared" si="21"/>
        <v>-972</v>
      </c>
      <c r="I34" s="741">
        <f t="shared" si="7"/>
        <v>28</v>
      </c>
      <c r="J34" s="750" t="s">
        <v>412</v>
      </c>
      <c r="K34" s="743"/>
      <c r="L34" s="1198" t="str">
        <f t="shared" si="22"/>
        <v>m</v>
      </c>
      <c r="M34" s="744"/>
      <c r="N34" s="745"/>
      <c r="O34" s="751">
        <f t="shared" si="8"/>
        <v>30</v>
      </c>
      <c r="P34" s="746" t="str">
        <f>INDEX(ETAPP!B$1:B$32,MATCH(COUNTIF(W34:AI34,PVO!A$1),ETAPP!A$1:A$32,0))&amp;INDEX(ETAPP!B$1:B$32,MATCH(COUNTIF(W34:AI34,PVO!A$2),ETAPP!A$1:A$32,0))&amp;INDEX(ETAPP!B$1:B$32,MATCH(COUNTIF(W34:AI34,PVO!A$3),ETAPP!A$1:A$32,0))&amp;INDEX(ETAPP!B$1:B$32,MATCH(COUNTIF(W34:AI34,PVO!A$4),ETAPP!A$1:A$32,0))&amp;INDEX(ETAPP!B$1:B$32,MATCH(COUNTIF(W34:AI34,PVO!A$5),ETAPP!A$1:A$32,0))&amp;INDEX(ETAPP!B$1:B$32,MATCH(COUNTIF(W34:AI34,PVO!A$6),ETAPP!A$1:A$32,0))&amp;INDEX(ETAPP!B$1:B$32,MATCH(COUNTIF(W34:AI34,PVO!A$7),ETAPP!A$1:A$32,0))&amp;INDEX(ETAPP!B$1:B$32,MATCH(COUNTIF(W34:AI34,PVO!A$8),ETAPP!A$1:A$32,0))&amp;INDEX(ETAPP!B$1:B$32,MATCH(COUNTIF(W34:AI34,PVO!A$9),ETAPP!A$1:A$32,0))&amp;INDEX(ETAPP!B$1:B$32,MATCH(COUNTIF(W34:AI34,PVO!A$10),ETAPP!A$1:A$32,0))&amp;INDEX(ETAPP!B$1:B$32,MATCH(COUNTIF(W34:AI34,PVO!A$11),ETAPP!A$1:A$32,0))&amp;INDEX(ETAPP!B$1:B$32,MATCH(COUNTIF(W34:AI34,PVO!A$12),ETAPP!A$1:A$32,0))&amp;INDEX(ETAPP!B$1:B$32,MATCH(COUNTIF(W34:AI34,PVO!A$13),ETAPP!A$1:A$32,0))&amp;INDEX(ETAPP!B$1:B$32,MATCH(COUNTIF(W34:AI34,PVO!A$14),ETAPP!A$1:A$32,0))&amp;INDEX(ETAPP!B$1:B$32,MATCH(COUNTIF(W34:AI34,PVO!A$15),ETAPP!A$1:A$32,0))&amp;INDEX(ETAPP!B$1:B$32,MATCH(COUNTIF(W34:AI34,PVO!A$16),ETAPP!A$1:A$32,0))&amp;INDEX(ETAPP!B$1:B$32,MATCH(COUNTIF(W34:AI34,PVO!A$17),ETAPP!A$1:A$32,0))&amp;INDEX(ETAPP!B$1:B$32,MATCH(COUNTIF(W34:AI34,PVO!A$18),ETAPP!A$1:A$32,0))&amp;INDEX(ETAPP!B$1:B$32,MATCH(COUNTIF(W34:AI34,PVO!A$19),ETAPP!A$1:A$32,0))</f>
        <v>00000000A0AAA0A000C</v>
      </c>
      <c r="Q34" s="746" t="str">
        <f t="shared" si="9"/>
        <v>030,0-00000000A0AAA0A000C</v>
      </c>
      <c r="R34" s="746">
        <f t="shared" si="10"/>
        <v>28</v>
      </c>
      <c r="S34" s="746">
        <f t="shared" si="11"/>
        <v>51</v>
      </c>
      <c r="T34" s="746" t="str">
        <f t="shared" si="12"/>
        <v>030,0-00000000A0AAA0A000C-051</v>
      </c>
      <c r="U34" s="746">
        <f t="shared" si="13"/>
        <v>28</v>
      </c>
      <c r="V34" s="746">
        <f t="shared" si="14"/>
        <v>29</v>
      </c>
      <c r="W34" s="679" t="str">
        <f>IFERROR(INDEX('V1'!C$300:C$400,MATCH("*"&amp;J34&amp;"*",'V1'!B$300:B$400,0)),"  ")</f>
        <v xml:space="preserve">  </v>
      </c>
      <c r="X34" s="679" t="str">
        <f>IFERROR(INDEX('V2'!C$300:C$400,MATCH("*"&amp;J34&amp;"*",'V2'!B$300:B$400,0)),"  ")</f>
        <v xml:space="preserve">  </v>
      </c>
      <c r="Y34" s="679" t="str">
        <f>IFERROR(INDEX('V3'!C$300:C$400,MATCH("*"&amp;J34&amp;"*",'V3'!B$300:B$400,0)),"  ")</f>
        <v xml:space="preserve">  </v>
      </c>
      <c r="Z34" s="679" t="str">
        <f>IFERROR(INDEX('V4'!C$300:C$400,MATCH("*"&amp;J34&amp;"*",'V4'!B$300:B$400,0)),"  ")</f>
        <v xml:space="preserve">  </v>
      </c>
      <c r="AA34" s="679" t="str">
        <f>IFERROR(INDEX('V5'!C$300:C$400,MATCH("*"&amp;J34&amp;"*",'V5'!B$300:B$400,0)),"  ")</f>
        <v xml:space="preserve">  </v>
      </c>
      <c r="AB34" s="679" t="str">
        <f>IFERROR(INDEX('V6'!C$300:C$400,MATCH("*"&amp;J34&amp;"*",'V6'!B$300:B$400,0)),"  ")</f>
        <v xml:space="preserve">  </v>
      </c>
      <c r="AC34" s="679">
        <f>IFERROR(INDEX('V7'!C$300:C$400,MATCH("*"&amp;J34&amp;"*",'V7'!B$300:B$400,0)),"  ")</f>
        <v>3</v>
      </c>
      <c r="AD34" s="679">
        <f>IFERROR(INDEX('V8'!C$300:C$400,MATCH("*"&amp;J34&amp;"*",'V8'!B$300:B$400,0)),"  ")</f>
        <v>5</v>
      </c>
      <c r="AE34" s="679">
        <f>IFERROR(INDEX('V9'!C$300:C$400,MATCH("*"&amp;J34&amp;"*",'V9'!B$300:B$400,0)),"  ")</f>
        <v>6</v>
      </c>
      <c r="AF34" s="679">
        <f>IFERROR(INDEX('V10'!C$300:C$400,MATCH("*"&amp;J34&amp;"*",'V10'!B$300:B$400,0)),"  ")</f>
        <v>9</v>
      </c>
      <c r="AG34" s="679" t="str">
        <f>IFERROR(INDEX('V11'!C$300:C$400,MATCH("*"&amp;J34&amp;"*",'V11'!B$300:B$400,0)),"  ")</f>
        <v xml:space="preserve">  </v>
      </c>
      <c r="AH34" s="679">
        <f>IFERROR(INDEX('V12'!C$300:C$400,MATCH("*"&amp;J34&amp;"*",'V12'!B$300:B$400,0)),"  ")</f>
        <v>7</v>
      </c>
      <c r="AI34" s="679" t="str">
        <f>IFERROR(INDEX('V13'!C$300:C$400,MATCH("*"&amp;J34&amp;"*",'V13'!B$300:B$400,0)),"  ")</f>
        <v xml:space="preserve">  </v>
      </c>
      <c r="AJ34" s="747">
        <f t="shared" si="15"/>
        <v>1</v>
      </c>
      <c r="AK34" s="747">
        <f t="shared" si="16"/>
        <v>30</v>
      </c>
      <c r="AL34" s="1212" t="str">
        <f t="shared" si="17"/>
        <v>edasi 28</v>
      </c>
      <c r="AM34" s="1215" t="str">
        <f>IFERROR(INDEX('V-Fin'!A$300:AJ$400&amp;".",MATCH("*"&amp;J34&amp;"*",'V-Fin'!B$300:B$400,0)),"  ")</f>
        <v xml:space="preserve">  </v>
      </c>
      <c r="AN34" s="337">
        <f t="shared" si="18"/>
        <v>5</v>
      </c>
      <c r="AO34" s="336">
        <f t="shared" si="19"/>
        <v>1</v>
      </c>
      <c r="AP34" s="336">
        <f t="shared" si="20"/>
        <v>0</v>
      </c>
    </row>
    <row r="35" spans="1:42" ht="12.6" customHeight="1" x14ac:dyDescent="0.2">
      <c r="A35" s="1201" t="str">
        <f t="shared" si="0"/>
        <v/>
      </c>
      <c r="B35" s="740">
        <f t="shared" si="1"/>
        <v>-971</v>
      </c>
      <c r="C35" s="1199">
        <f t="shared" si="2"/>
        <v>23</v>
      </c>
      <c r="D35" s="1193">
        <f t="shared" si="3"/>
        <v>29</v>
      </c>
      <c r="E35" s="1195" t="str">
        <f t="shared" si="4"/>
        <v/>
      </c>
      <c r="F35" s="1193">
        <f t="shared" si="5"/>
        <v>-971</v>
      </c>
      <c r="G35" s="1207" t="str">
        <f t="shared" si="6"/>
        <v/>
      </c>
      <c r="H35" s="1193">
        <f t="shared" si="21"/>
        <v>-971</v>
      </c>
      <c r="I35" s="741">
        <f t="shared" si="7"/>
        <v>29</v>
      </c>
      <c r="J35" s="750" t="s">
        <v>288</v>
      </c>
      <c r="K35" s="743"/>
      <c r="L35" s="1198" t="str">
        <f t="shared" si="22"/>
        <v>m</v>
      </c>
      <c r="M35" s="744"/>
      <c r="N35" s="745"/>
      <c r="O35" s="751">
        <f t="shared" si="8"/>
        <v>25</v>
      </c>
      <c r="P35" s="746" t="str">
        <f>INDEX(ETAPP!B$1:B$32,MATCH(COUNTIF(W35:AI35,PVO!A$1),ETAPP!A$1:A$32,0))&amp;INDEX(ETAPP!B$1:B$32,MATCH(COUNTIF(W35:AI35,PVO!A$2),ETAPP!A$1:A$32,0))&amp;INDEX(ETAPP!B$1:B$32,MATCH(COUNTIF(W35:AI35,PVO!A$3),ETAPP!A$1:A$32,0))&amp;INDEX(ETAPP!B$1:B$32,MATCH(COUNTIF(W35:AI35,PVO!A$4),ETAPP!A$1:A$32,0))&amp;INDEX(ETAPP!B$1:B$32,MATCH(COUNTIF(W35:AI35,PVO!A$5),ETAPP!A$1:A$32,0))&amp;INDEX(ETAPP!B$1:B$32,MATCH(COUNTIF(W35:AI35,PVO!A$6),ETAPP!A$1:A$32,0))&amp;INDEX(ETAPP!B$1:B$32,MATCH(COUNTIF(W35:AI35,PVO!A$7),ETAPP!A$1:A$32,0))&amp;INDEX(ETAPP!B$1:B$32,MATCH(COUNTIF(W35:AI35,PVO!A$8),ETAPP!A$1:A$32,0))&amp;INDEX(ETAPP!B$1:B$32,MATCH(COUNTIF(W35:AI35,PVO!A$9),ETAPP!A$1:A$32,0))&amp;INDEX(ETAPP!B$1:B$32,MATCH(COUNTIF(W35:AI35,PVO!A$10),ETAPP!A$1:A$32,0))&amp;INDEX(ETAPP!B$1:B$32,MATCH(COUNTIF(W35:AI35,PVO!A$11),ETAPP!A$1:A$32,0))&amp;INDEX(ETAPP!B$1:B$32,MATCH(COUNTIF(W35:AI35,PVO!A$12),ETAPP!A$1:A$32,0))&amp;INDEX(ETAPP!B$1:B$32,MATCH(COUNTIF(W35:AI35,PVO!A$13),ETAPP!A$1:A$32,0))&amp;INDEX(ETAPP!B$1:B$32,MATCH(COUNTIF(W35:AI35,PVO!A$14),ETAPP!A$1:A$32,0))&amp;INDEX(ETAPP!B$1:B$32,MATCH(COUNTIF(W35:AI35,PVO!A$15),ETAPP!A$1:A$32,0))&amp;INDEX(ETAPP!B$1:B$32,MATCH(COUNTIF(W35:AI35,PVO!A$16),ETAPP!A$1:A$32,0))&amp;INDEX(ETAPP!B$1:B$32,MATCH(COUNTIF(W35:AI35,PVO!A$17),ETAPP!A$1:A$32,0))&amp;INDEX(ETAPP!B$1:B$32,MATCH(COUNTIF(W35:AI35,PVO!A$18),ETAPP!A$1:A$32,0))&amp;INDEX(ETAPP!B$1:B$32,MATCH(COUNTIF(W35:AI35,PVO!A$19),ETAPP!A$1:A$32,0))</f>
        <v>00000A000000B0A000D</v>
      </c>
      <c r="Q35" s="746" t="str">
        <f t="shared" si="9"/>
        <v>025,0-00000A000000B0A000D</v>
      </c>
      <c r="R35" s="746">
        <f t="shared" si="10"/>
        <v>29</v>
      </c>
      <c r="S35" s="746">
        <f t="shared" si="11"/>
        <v>23</v>
      </c>
      <c r="T35" s="746" t="str">
        <f t="shared" si="12"/>
        <v>025,0-00000A000000B0A000D-023</v>
      </c>
      <c r="U35" s="746">
        <f t="shared" si="13"/>
        <v>29</v>
      </c>
      <c r="V35" s="746">
        <f t="shared" si="14"/>
        <v>28</v>
      </c>
      <c r="W35" s="679" t="str">
        <f>IFERROR(INDEX('V1'!C$300:C$400,MATCH("*"&amp;J35&amp;"*",'V1'!B$300:B$400,0)),"  ")</f>
        <v xml:space="preserve">  </v>
      </c>
      <c r="X35" s="679" t="str">
        <f>IFERROR(INDEX('V2'!C$300:C$400,MATCH("*"&amp;J35&amp;"*",'V2'!B$300:B$400,0)),"  ")</f>
        <v xml:space="preserve">  </v>
      </c>
      <c r="Y35" s="679" t="str">
        <f>IFERROR(INDEX('V3'!C$300:C$400,MATCH("*"&amp;J35&amp;"*",'V3'!B$300:B$400,0)),"  ")</f>
        <v xml:space="preserve">  </v>
      </c>
      <c r="Z35" s="679" t="str">
        <f>IFERROR(INDEX('V4'!C$300:C$400,MATCH("*"&amp;J35&amp;"*",'V4'!B$300:B$400,0)),"  ")</f>
        <v xml:space="preserve">  </v>
      </c>
      <c r="AA35" s="679">
        <f>IFERROR(INDEX('V5'!C$300:C$400,MATCH("*"&amp;J35&amp;"*",'V5'!B$300:B$400,0)),"  ")</f>
        <v>3</v>
      </c>
      <c r="AB35" s="679" t="str">
        <f>IFERROR(INDEX('V6'!C$300:C$400,MATCH("*"&amp;J35&amp;"*",'V6'!B$300:B$400,0)),"  ")</f>
        <v xml:space="preserve">  </v>
      </c>
      <c r="AC35" s="679">
        <f>IFERROR(INDEX('V7'!C$300:C$400,MATCH("*"&amp;J35&amp;"*",'V7'!B$300:B$400,0)),"  ")</f>
        <v>5</v>
      </c>
      <c r="AD35" s="679" t="str">
        <f>IFERROR(INDEX('V8'!C$300:C$400,MATCH("*"&amp;J35&amp;"*",'V8'!B$300:B$400,0)),"  ")</f>
        <v xml:space="preserve">  </v>
      </c>
      <c r="AE35" s="679" t="str">
        <f>IFERROR(INDEX('V9'!C$300:C$400,MATCH("*"&amp;J35&amp;"*",'V9'!B$300:B$400,0)),"  ")</f>
        <v xml:space="preserve">  </v>
      </c>
      <c r="AF35" s="679" t="str">
        <f>IFERROR(INDEX('V10'!C$300:C$400,MATCH("*"&amp;J35&amp;"*",'V10'!B$300:B$400,0)),"  ")</f>
        <v xml:space="preserve">  </v>
      </c>
      <c r="AG35" s="679">
        <f>IFERROR(INDEX('V11'!C$300:C$400,MATCH("*"&amp;J35&amp;"*",'V11'!B$300:B$400,0)),"  ")</f>
        <v>12</v>
      </c>
      <c r="AH35" s="679" t="str">
        <f>IFERROR(INDEX('V12'!C$300:C$400,MATCH("*"&amp;J35&amp;"*",'V12'!B$300:B$400,0)),"  ")</f>
        <v xml:space="preserve">  </v>
      </c>
      <c r="AI35" s="679">
        <f>IFERROR(INDEX('V13'!C$300:C$400,MATCH("*"&amp;J35&amp;"*",'V13'!B$300:B$400,0)),"  ")</f>
        <v>5</v>
      </c>
      <c r="AJ35" s="747">
        <f t="shared" si="15"/>
        <v>1</v>
      </c>
      <c r="AK35" s="747">
        <f t="shared" si="16"/>
        <v>25</v>
      </c>
      <c r="AL35" s="1212" t="str">
        <f t="shared" si="17"/>
        <v>edasi 29</v>
      </c>
      <c r="AM35" s="1215" t="str">
        <f>IFERROR(INDEX('V-Fin'!A$300:AJ$400&amp;".",MATCH("*"&amp;J35&amp;"*",'V-Fin'!B$300:B$400,0)),"  ")</f>
        <v xml:space="preserve">  </v>
      </c>
      <c r="AN35" s="337">
        <f t="shared" si="18"/>
        <v>4</v>
      </c>
      <c r="AO35" s="336">
        <f t="shared" si="19"/>
        <v>1</v>
      </c>
      <c r="AP35" s="336">
        <f t="shared" si="20"/>
        <v>1</v>
      </c>
    </row>
    <row r="36" spans="1:42" ht="12.6" customHeight="1" x14ac:dyDescent="0.2">
      <c r="A36" s="1201">
        <f t="shared" si="0"/>
        <v>10</v>
      </c>
      <c r="B36" s="740">
        <f t="shared" si="1"/>
        <v>30</v>
      </c>
      <c r="C36" s="1199">
        <f t="shared" si="2"/>
        <v>24</v>
      </c>
      <c r="D36" s="1193">
        <f t="shared" si="3"/>
        <v>30</v>
      </c>
      <c r="E36" s="1195" t="str">
        <f t="shared" si="4"/>
        <v/>
      </c>
      <c r="F36" s="1193">
        <f t="shared" si="5"/>
        <v>-970</v>
      </c>
      <c r="G36" s="1207" t="str">
        <f t="shared" si="6"/>
        <v/>
      </c>
      <c r="H36" s="1193">
        <f t="shared" si="21"/>
        <v>-970</v>
      </c>
      <c r="I36" s="741">
        <f t="shared" si="7"/>
        <v>30</v>
      </c>
      <c r="J36" s="750" t="s">
        <v>245</v>
      </c>
      <c r="K36" s="743"/>
      <c r="L36" s="1198" t="str">
        <f t="shared" si="22"/>
        <v>m</v>
      </c>
      <c r="M36" s="744"/>
      <c r="N36" s="745" t="s">
        <v>230</v>
      </c>
      <c r="O36" s="751">
        <f t="shared" si="8"/>
        <v>25</v>
      </c>
      <c r="P36" s="746" t="str">
        <f>INDEX(ETAPP!B$1:B$32,MATCH(COUNTIF(W36:AI36,PVO!A$1),ETAPP!A$1:A$32,0))&amp;INDEX(ETAPP!B$1:B$32,MATCH(COUNTIF(W36:AI36,PVO!A$2),ETAPP!A$1:A$32,0))&amp;INDEX(ETAPP!B$1:B$32,MATCH(COUNTIF(W36:AI36,PVO!A$3),ETAPP!A$1:A$32,0))&amp;INDEX(ETAPP!B$1:B$32,MATCH(COUNTIF(W36:AI36,PVO!A$4),ETAPP!A$1:A$32,0))&amp;INDEX(ETAPP!B$1:B$32,MATCH(COUNTIF(W36:AI36,PVO!A$5),ETAPP!A$1:A$32,0))&amp;INDEX(ETAPP!B$1:B$32,MATCH(COUNTIF(W36:AI36,PVO!A$6),ETAPP!A$1:A$32,0))&amp;INDEX(ETAPP!B$1:B$32,MATCH(COUNTIF(W36:AI36,PVO!A$7),ETAPP!A$1:A$32,0))&amp;INDEX(ETAPP!B$1:B$32,MATCH(COUNTIF(W36:AI36,PVO!A$8),ETAPP!A$1:A$32,0))&amp;INDEX(ETAPP!B$1:B$32,MATCH(COUNTIF(W36:AI36,PVO!A$9),ETAPP!A$1:A$32,0))&amp;INDEX(ETAPP!B$1:B$32,MATCH(COUNTIF(W36:AI36,PVO!A$10),ETAPP!A$1:A$32,0))&amp;INDEX(ETAPP!B$1:B$32,MATCH(COUNTIF(W36:AI36,PVO!A$11),ETAPP!A$1:A$32,0))&amp;INDEX(ETAPP!B$1:B$32,MATCH(COUNTIF(W36:AI36,PVO!A$12),ETAPP!A$1:A$32,0))&amp;INDEX(ETAPP!B$1:B$32,MATCH(COUNTIF(W36:AI36,PVO!A$13),ETAPP!A$1:A$32,0))&amp;INDEX(ETAPP!B$1:B$32,MATCH(COUNTIF(W36:AI36,PVO!A$14),ETAPP!A$1:A$32,0))&amp;INDEX(ETAPP!B$1:B$32,MATCH(COUNTIF(W36:AI36,PVO!A$15),ETAPP!A$1:A$32,0))&amp;INDEX(ETAPP!B$1:B$32,MATCH(COUNTIF(W36:AI36,PVO!A$16),ETAPP!A$1:A$32,0))&amp;INDEX(ETAPP!B$1:B$32,MATCH(COUNTIF(W36:AI36,PVO!A$17),ETAPP!A$1:A$32,0))&amp;INDEX(ETAPP!B$1:B$32,MATCH(COUNTIF(W36:AI36,PVO!A$18),ETAPP!A$1:A$32,0))&amp;INDEX(ETAPP!B$1:B$32,MATCH(COUNTIF(W36:AI36,PVO!A$19),ETAPP!A$1:A$32,0))</f>
        <v>0000000A000A0A0AC0F</v>
      </c>
      <c r="Q36" s="746" t="str">
        <f t="shared" si="9"/>
        <v>025,0-0000000A000A0A0AC0F</v>
      </c>
      <c r="R36" s="746">
        <f t="shared" si="10"/>
        <v>30</v>
      </c>
      <c r="S36" s="746">
        <f t="shared" si="11"/>
        <v>39</v>
      </c>
      <c r="T36" s="746" t="str">
        <f t="shared" si="12"/>
        <v>025,0-0000000A000A0A0AC0F-039</v>
      </c>
      <c r="U36" s="746">
        <f t="shared" si="13"/>
        <v>30</v>
      </c>
      <c r="V36" s="746">
        <f t="shared" si="14"/>
        <v>27</v>
      </c>
      <c r="W36" s="679">
        <f>IFERROR(INDEX('V1'!C$300:C$400,MATCH("*"&amp;J36&amp;"*",'V1'!B$300:B$400,0)),"  ")</f>
        <v>1</v>
      </c>
      <c r="X36" s="679" t="str">
        <f>IFERROR(INDEX('V2'!C$300:C$400,MATCH("*"&amp;J36&amp;"*",'V2'!B$300:B$400,0)),"  ")</f>
        <v xml:space="preserve">  </v>
      </c>
      <c r="Y36" s="679">
        <f>IFERROR(INDEX('V3'!C$300:C$400,MATCH("*"&amp;J36&amp;"*",'V3'!B$300:B$400,0)),"  ")</f>
        <v>2</v>
      </c>
      <c r="Z36" s="679" t="str">
        <f>IFERROR(INDEX('V4'!C$300:C$400,MATCH("*"&amp;J36&amp;"*",'V4'!B$300:B$400,0)),"  ")</f>
        <v xml:space="preserve">  </v>
      </c>
      <c r="AA36" s="679" t="str">
        <f>IFERROR(INDEX('V5'!C$300:C$400,MATCH("*"&amp;J36&amp;"*",'V5'!B$300:B$400,0)),"  ")</f>
        <v xml:space="preserve">  </v>
      </c>
      <c r="AB36" s="679">
        <f>IFERROR(INDEX('V6'!C$300:C$400,MATCH("*"&amp;J36&amp;"*",'V6'!B$300:B$400,0)),"  ")</f>
        <v>6</v>
      </c>
      <c r="AC36" s="679">
        <f>IFERROR(INDEX('V7'!C$300:C$400,MATCH("*"&amp;J36&amp;"*",'V7'!B$300:B$400,0)),"  ")</f>
        <v>1</v>
      </c>
      <c r="AD36" s="679" t="str">
        <f>IFERROR(INDEX('V8'!C$300:C$400,MATCH("*"&amp;J36&amp;"*",'V8'!B$300:B$400,0)),"  ")</f>
        <v xml:space="preserve">  </v>
      </c>
      <c r="AE36" s="679">
        <f>IFERROR(INDEX('V9'!C$300:C$400,MATCH("*"&amp;J36&amp;"*",'V9'!B$300:B$400,0)),"  ")</f>
        <v>10</v>
      </c>
      <c r="AF36" s="679" t="str">
        <f>IFERROR(INDEX('V10'!C$300:C$400,MATCH("*"&amp;J36&amp;"*",'V10'!B$300:B$400,0)),"  ")</f>
        <v xml:space="preserve">  </v>
      </c>
      <c r="AG36" s="679">
        <f>IFERROR(INDEX('V11'!C$300:C$400,MATCH("*"&amp;J36&amp;"*",'V11'!B$300:B$400,0)),"  ")</f>
        <v>1</v>
      </c>
      <c r="AH36" s="679" t="str">
        <f>IFERROR(INDEX('V12'!C$300:C$400,MATCH("*"&amp;J36&amp;"*",'V12'!B$300:B$400,0)),"  ")</f>
        <v xml:space="preserve">  </v>
      </c>
      <c r="AI36" s="679">
        <f>IFERROR(INDEX('V13'!C$300:C$400,MATCH("*"&amp;J36&amp;"*",'V13'!B$300:B$400,0)),"  ")</f>
        <v>4</v>
      </c>
      <c r="AJ36" s="747">
        <f t="shared" si="15"/>
        <v>1</v>
      </c>
      <c r="AK36" s="747">
        <f t="shared" si="16"/>
        <v>25</v>
      </c>
      <c r="AL36" s="1212" t="str">
        <f t="shared" si="17"/>
        <v>edasi 29</v>
      </c>
      <c r="AM36" s="1215" t="str">
        <f>IFERROR(INDEX('V-Fin'!A$300:AJ$400&amp;".",MATCH("*"&amp;J36&amp;"*",'V-Fin'!B$300:B$400,0)),"  ")</f>
        <v>5.</v>
      </c>
      <c r="AN36" s="337">
        <f t="shared" si="18"/>
        <v>7</v>
      </c>
      <c r="AO36" s="336">
        <f t="shared" si="19"/>
        <v>1</v>
      </c>
      <c r="AP36" s="336">
        <f t="shared" si="20"/>
        <v>0</v>
      </c>
    </row>
    <row r="37" spans="1:42" ht="12.6" customHeight="1" x14ac:dyDescent="0.2">
      <c r="A37" s="1201" t="str">
        <f t="shared" si="0"/>
        <v/>
      </c>
      <c r="B37" s="740">
        <f t="shared" si="1"/>
        <v>-969</v>
      </c>
      <c r="C37" s="1199">
        <f t="shared" si="2"/>
        <v>25</v>
      </c>
      <c r="D37" s="1193">
        <f t="shared" si="3"/>
        <v>31</v>
      </c>
      <c r="E37" s="1195" t="str">
        <f t="shared" si="4"/>
        <v/>
      </c>
      <c r="F37" s="1193">
        <f t="shared" si="5"/>
        <v>-969</v>
      </c>
      <c r="G37" s="1207" t="str">
        <f t="shared" si="6"/>
        <v/>
      </c>
      <c r="H37" s="1193">
        <f t="shared" si="21"/>
        <v>-969</v>
      </c>
      <c r="I37" s="741">
        <f t="shared" si="7"/>
        <v>31</v>
      </c>
      <c r="J37" s="742" t="s">
        <v>211</v>
      </c>
      <c r="K37" s="743"/>
      <c r="L37" s="1198" t="str">
        <f t="shared" si="22"/>
        <v>m</v>
      </c>
      <c r="M37" s="744"/>
      <c r="N37" s="745"/>
      <c r="O37" s="751">
        <f t="shared" si="8"/>
        <v>24</v>
      </c>
      <c r="P37" s="746" t="str">
        <f>INDEX(ETAPP!B$1:B$32,MATCH(COUNTIF(W37:AI37,PVO!A$1),ETAPP!A$1:A$32,0))&amp;INDEX(ETAPP!B$1:B$32,MATCH(COUNTIF(W37:AI37,PVO!A$2),ETAPP!A$1:A$32,0))&amp;INDEX(ETAPP!B$1:B$32,MATCH(COUNTIF(W37:AI37,PVO!A$3),ETAPP!A$1:A$32,0))&amp;INDEX(ETAPP!B$1:B$32,MATCH(COUNTIF(W37:AI37,PVO!A$4),ETAPP!A$1:A$32,0))&amp;INDEX(ETAPP!B$1:B$32,MATCH(COUNTIF(W37:AI37,PVO!A$5),ETAPP!A$1:A$32,0))&amp;INDEX(ETAPP!B$1:B$32,MATCH(COUNTIF(W37:AI37,PVO!A$6),ETAPP!A$1:A$32,0))&amp;INDEX(ETAPP!B$1:B$32,MATCH(COUNTIF(W37:AI37,PVO!A$7),ETAPP!A$1:A$32,0))&amp;INDEX(ETAPP!B$1:B$32,MATCH(COUNTIF(W37:AI37,PVO!A$8),ETAPP!A$1:A$32,0))&amp;INDEX(ETAPP!B$1:B$32,MATCH(COUNTIF(W37:AI37,PVO!A$9),ETAPP!A$1:A$32,0))&amp;INDEX(ETAPP!B$1:B$32,MATCH(COUNTIF(W37:AI37,PVO!A$10),ETAPP!A$1:A$32,0))&amp;INDEX(ETAPP!B$1:B$32,MATCH(COUNTIF(W37:AI37,PVO!A$11),ETAPP!A$1:A$32,0))&amp;INDEX(ETAPP!B$1:B$32,MATCH(COUNTIF(W37:AI37,PVO!A$12),ETAPP!A$1:A$32,0))&amp;INDEX(ETAPP!B$1:B$32,MATCH(COUNTIF(W37:AI37,PVO!A$13),ETAPP!A$1:A$32,0))&amp;INDEX(ETAPP!B$1:B$32,MATCH(COUNTIF(W37:AI37,PVO!A$14),ETAPP!A$1:A$32,0))&amp;INDEX(ETAPP!B$1:B$32,MATCH(COUNTIF(W37:AI37,PVO!A$15),ETAPP!A$1:A$32,0))&amp;INDEX(ETAPP!B$1:B$32,MATCH(COUNTIF(W37:AI37,PVO!A$16),ETAPP!A$1:A$32,0))&amp;INDEX(ETAPP!B$1:B$32,MATCH(COUNTIF(W37:AI37,PVO!A$17),ETAPP!A$1:A$32,0))&amp;INDEX(ETAPP!B$1:B$32,MATCH(COUNTIF(W37:AI37,PVO!A$18),ETAPP!A$1:A$32,0))&amp;INDEX(ETAPP!B$1:B$32,MATCH(COUNTIF(W37:AI37,PVO!A$19),ETAPP!A$1:A$32,0))</f>
        <v>00000000B00000B000D</v>
      </c>
      <c r="Q37" s="746" t="str">
        <f t="shared" si="9"/>
        <v>024,0-00000000B00000B000D</v>
      </c>
      <c r="R37" s="746">
        <f t="shared" si="10"/>
        <v>31</v>
      </c>
      <c r="S37" s="746">
        <f t="shared" si="11"/>
        <v>3</v>
      </c>
      <c r="T37" s="746" t="str">
        <f t="shared" si="12"/>
        <v>024,0-00000000B00000B000D-003</v>
      </c>
      <c r="U37" s="746">
        <f t="shared" si="13"/>
        <v>31</v>
      </c>
      <c r="V37" s="746">
        <f t="shared" si="14"/>
        <v>26</v>
      </c>
      <c r="W37" s="679" t="str">
        <f>IFERROR(INDEX('V1'!C$300:C$400,MATCH("*"&amp;J37&amp;"*",'V1'!B$300:B$400,0)),"  ")</f>
        <v xml:space="preserve">  </v>
      </c>
      <c r="X37" s="679">
        <f>IFERROR(INDEX('V2'!C$300:C$400,MATCH("*"&amp;J37&amp;"*",'V2'!B$300:B$400,0)),"  ")</f>
        <v>9</v>
      </c>
      <c r="Y37" s="679">
        <f>IFERROR(INDEX('V3'!C$300:C$400,MATCH("*"&amp;J37&amp;"*",'V3'!B$300:B$400,0)),"  ")</f>
        <v>9</v>
      </c>
      <c r="Z37" s="679">
        <f>IFERROR(INDEX('V4'!C$300:C$400,MATCH("*"&amp;J37&amp;"*",'V4'!B$300:B$400,0)),"  ")</f>
        <v>3</v>
      </c>
      <c r="AA37" s="679" t="str">
        <f>IFERROR(INDEX('V5'!C$300:C$400,MATCH("*"&amp;J37&amp;"*",'V5'!B$300:B$400,0)),"  ")</f>
        <v xml:space="preserve">  </v>
      </c>
      <c r="AB37" s="679" t="str">
        <f>IFERROR(INDEX('V6'!C$300:C$400,MATCH("*"&amp;J37&amp;"*",'V6'!B$300:B$400,0)),"  ")</f>
        <v xml:space="preserve">  </v>
      </c>
      <c r="AC37" s="679" t="str">
        <f>IFERROR(INDEX('V7'!C$300:C$400,MATCH("*"&amp;J37&amp;"*",'V7'!B$300:B$400,0)),"  ")</f>
        <v xml:space="preserve">  </v>
      </c>
      <c r="AD37" s="679" t="str">
        <f>IFERROR(INDEX('V8'!C$300:C$400,MATCH("*"&amp;J37&amp;"*",'V8'!B$300:B$400,0)),"  ")</f>
        <v xml:space="preserve">  </v>
      </c>
      <c r="AE37" s="679" t="str">
        <f>IFERROR(INDEX('V9'!C$300:C$400,MATCH("*"&amp;J37&amp;"*",'V9'!B$300:B$400,0)),"  ")</f>
        <v xml:space="preserve">  </v>
      </c>
      <c r="AF37" s="679" t="str">
        <f>IFERROR(INDEX('V10'!C$300:C$400,MATCH("*"&amp;J37&amp;"*",'V10'!B$300:B$400,0)),"  ")</f>
        <v xml:space="preserve">  </v>
      </c>
      <c r="AG37" s="679">
        <f>IFERROR(INDEX('V11'!C$300:C$400,MATCH("*"&amp;J37&amp;"*",'V11'!B$300:B$400,0)),"  ")</f>
        <v>3</v>
      </c>
      <c r="AH37" s="679" t="str">
        <f>IFERROR(INDEX('V12'!C$300:C$400,MATCH("*"&amp;J37&amp;"*",'V12'!B$300:B$400,0)),"  ")</f>
        <v xml:space="preserve">  </v>
      </c>
      <c r="AI37" s="679" t="str">
        <f>IFERROR(INDEX('V13'!C$300:C$400,MATCH("*"&amp;J37&amp;"*",'V13'!B$300:B$400,0)),"  ")</f>
        <v xml:space="preserve">  </v>
      </c>
      <c r="AJ37" s="747">
        <f t="shared" si="15"/>
        <v>1</v>
      </c>
      <c r="AK37" s="747">
        <f t="shared" si="16"/>
        <v>24</v>
      </c>
      <c r="AL37" s="1212" t="str">
        <f t="shared" si="17"/>
        <v>edasi 31</v>
      </c>
      <c r="AM37" s="1215" t="str">
        <f>IFERROR(INDEX('V-Fin'!A$300:AJ$400&amp;".",MATCH("*"&amp;J37&amp;"*",'V-Fin'!B$300:B$400,0)),"  ")</f>
        <v>7.</v>
      </c>
      <c r="AN37" s="337">
        <f t="shared" si="18"/>
        <v>4</v>
      </c>
      <c r="AO37" s="336">
        <f t="shared" si="19"/>
        <v>2</v>
      </c>
      <c r="AP37" s="336">
        <f t="shared" si="20"/>
        <v>0</v>
      </c>
    </row>
    <row r="38" spans="1:42" ht="12.6" customHeight="1" x14ac:dyDescent="0.2">
      <c r="A38" s="1201" t="str">
        <f t="shared" si="0"/>
        <v/>
      </c>
      <c r="B38" s="740">
        <f t="shared" si="1"/>
        <v>-968</v>
      </c>
      <c r="C38" s="1199">
        <f t="shared" si="2"/>
        <v>26</v>
      </c>
      <c r="D38" s="1193">
        <f t="shared" si="3"/>
        <v>32</v>
      </c>
      <c r="E38" s="1195" t="str">
        <f t="shared" si="4"/>
        <v/>
      </c>
      <c r="F38" s="1193">
        <f t="shared" si="5"/>
        <v>-968</v>
      </c>
      <c r="G38" s="1207" t="str">
        <f t="shared" si="6"/>
        <v/>
      </c>
      <c r="H38" s="1193">
        <f t="shared" si="21"/>
        <v>-968</v>
      </c>
      <c r="I38" s="741">
        <f t="shared" si="7"/>
        <v>32</v>
      </c>
      <c r="J38" s="750" t="s">
        <v>235</v>
      </c>
      <c r="K38" s="743"/>
      <c r="L38" s="1198" t="str">
        <f t="shared" si="22"/>
        <v>m</v>
      </c>
      <c r="M38" s="744"/>
      <c r="N38" s="745"/>
      <c r="O38" s="751">
        <f t="shared" si="8"/>
        <v>24</v>
      </c>
      <c r="P38" s="746" t="str">
        <f>INDEX(ETAPP!B$1:B$32,MATCH(COUNTIF(W38:AI38,PVO!A$1),ETAPP!A$1:A$32,0))&amp;INDEX(ETAPP!B$1:B$32,MATCH(COUNTIF(W38:AI38,PVO!A$2),ETAPP!A$1:A$32,0))&amp;INDEX(ETAPP!B$1:B$32,MATCH(COUNTIF(W38:AI38,PVO!A$3),ETAPP!A$1:A$32,0))&amp;INDEX(ETAPP!B$1:B$32,MATCH(COUNTIF(W38:AI38,PVO!A$4),ETAPP!A$1:A$32,0))&amp;INDEX(ETAPP!B$1:B$32,MATCH(COUNTIF(W38:AI38,PVO!A$5),ETAPP!A$1:A$32,0))&amp;INDEX(ETAPP!B$1:B$32,MATCH(COUNTIF(W38:AI38,PVO!A$6),ETAPP!A$1:A$32,0))&amp;INDEX(ETAPP!B$1:B$32,MATCH(COUNTIF(W38:AI38,PVO!A$7),ETAPP!A$1:A$32,0))&amp;INDEX(ETAPP!B$1:B$32,MATCH(COUNTIF(W38:AI38,PVO!A$8),ETAPP!A$1:A$32,0))&amp;INDEX(ETAPP!B$1:B$32,MATCH(COUNTIF(W38:AI38,PVO!A$9),ETAPP!A$1:A$32,0))&amp;INDEX(ETAPP!B$1:B$32,MATCH(COUNTIF(W38:AI38,PVO!A$10),ETAPP!A$1:A$32,0))&amp;INDEX(ETAPP!B$1:B$32,MATCH(COUNTIF(W38:AI38,PVO!A$11),ETAPP!A$1:A$32,0))&amp;INDEX(ETAPP!B$1:B$32,MATCH(COUNTIF(W38:AI38,PVO!A$12),ETAPP!A$1:A$32,0))&amp;INDEX(ETAPP!B$1:B$32,MATCH(COUNTIF(W38:AI38,PVO!A$13),ETAPP!A$1:A$32,0))&amp;INDEX(ETAPP!B$1:B$32,MATCH(COUNTIF(W38:AI38,PVO!A$14),ETAPP!A$1:A$32,0))&amp;INDEX(ETAPP!B$1:B$32,MATCH(COUNTIF(W38:AI38,PVO!A$15),ETAPP!A$1:A$32,0))&amp;INDEX(ETAPP!B$1:B$32,MATCH(COUNTIF(W38:AI38,PVO!A$16),ETAPP!A$1:A$32,0))&amp;INDEX(ETAPP!B$1:B$32,MATCH(COUNTIF(W38:AI38,PVO!A$17),ETAPP!A$1:A$32,0))&amp;INDEX(ETAPP!B$1:B$32,MATCH(COUNTIF(W38:AI38,PVO!A$18),ETAPP!A$1:A$32,0))&amp;INDEX(ETAPP!B$1:B$32,MATCH(COUNTIF(W38:AI38,PVO!A$19),ETAPP!A$1:A$32,0))</f>
        <v>000000000A0A0AB000C</v>
      </c>
      <c r="Q38" s="746" t="str">
        <f t="shared" si="9"/>
        <v>024,0-000000000A0A0AB000C</v>
      </c>
      <c r="R38" s="746">
        <f t="shared" si="10"/>
        <v>32</v>
      </c>
      <c r="S38" s="746">
        <f t="shared" si="11"/>
        <v>17</v>
      </c>
      <c r="T38" s="746" t="str">
        <f t="shared" si="12"/>
        <v>024,0-000000000A0A0AB000C-017</v>
      </c>
      <c r="U38" s="746">
        <f t="shared" si="13"/>
        <v>32</v>
      </c>
      <c r="V38" s="746">
        <f t="shared" si="14"/>
        <v>25</v>
      </c>
      <c r="W38" s="679" t="str">
        <f>IFERROR(INDEX('V1'!C$300:C$400,MATCH("*"&amp;J38&amp;"*",'V1'!B$300:B$400,0)),"  ")</f>
        <v xml:space="preserve">  </v>
      </c>
      <c r="X38" s="679">
        <f>IFERROR(INDEX('V2'!C$300:C$400,MATCH("*"&amp;J38&amp;"*",'V2'!B$300:B$400,0)),"  ")</f>
        <v>3</v>
      </c>
      <c r="Y38" s="679" t="str">
        <f>IFERROR(INDEX('V3'!C$300:C$400,MATCH("*"&amp;J38&amp;"*",'V3'!B$300:B$400,0)),"  ")</f>
        <v xml:space="preserve">  </v>
      </c>
      <c r="Z38" s="679" t="str">
        <f>IFERROR(INDEX('V4'!C$300:C$400,MATCH("*"&amp;J38&amp;"*",'V4'!B$300:B$400,0)),"  ")</f>
        <v xml:space="preserve">  </v>
      </c>
      <c r="AA38" s="679">
        <f>IFERROR(INDEX('V5'!C$300:C$400,MATCH("*"&amp;J38&amp;"*",'V5'!B$300:B$400,0)),"  ")</f>
        <v>6</v>
      </c>
      <c r="AB38" s="679">
        <f>IFERROR(INDEX('V6'!C$300:C$400,MATCH("*"&amp;J38&amp;"*",'V6'!B$300:B$400,0)),"  ")</f>
        <v>3</v>
      </c>
      <c r="AC38" s="679" t="str">
        <f>IFERROR(INDEX('V7'!C$300:C$400,MATCH("*"&amp;J38&amp;"*",'V7'!B$300:B$400,0)),"  ")</f>
        <v xml:space="preserve">  </v>
      </c>
      <c r="AD38" s="679">
        <f>IFERROR(INDEX('V8'!C$300:C$400,MATCH("*"&amp;J38&amp;"*",'V8'!B$300:B$400,0)),"  ")</f>
        <v>4</v>
      </c>
      <c r="AE38" s="679" t="str">
        <f>IFERROR(INDEX('V9'!C$300:C$400,MATCH("*"&amp;J38&amp;"*",'V9'!B$300:B$400,0)),"  ")</f>
        <v xml:space="preserve">  </v>
      </c>
      <c r="AF38" s="679" t="str">
        <f>IFERROR(INDEX('V10'!C$300:C$400,MATCH("*"&amp;J38&amp;"*",'V10'!B$300:B$400,0)),"  ")</f>
        <v xml:space="preserve">  </v>
      </c>
      <c r="AG38" s="679" t="str">
        <f>IFERROR(INDEX('V11'!C$300:C$400,MATCH("*"&amp;J38&amp;"*",'V11'!B$300:B$400,0)),"  ")</f>
        <v xml:space="preserve">  </v>
      </c>
      <c r="AH38" s="679">
        <f>IFERROR(INDEX('V12'!C$300:C$400,MATCH("*"&amp;J38&amp;"*",'V12'!B$300:B$400,0)),"  ")</f>
        <v>8</v>
      </c>
      <c r="AI38" s="679" t="str">
        <f>IFERROR(INDEX('V13'!C$300:C$400,MATCH("*"&amp;J38&amp;"*",'V13'!B$300:B$400,0)),"  ")</f>
        <v xml:space="preserve">  </v>
      </c>
      <c r="AJ38" s="747">
        <f t="shared" si="15"/>
        <v>1</v>
      </c>
      <c r="AK38" s="747">
        <f t="shared" si="16"/>
        <v>24</v>
      </c>
      <c r="AL38" s="1212" t="str">
        <f t="shared" si="17"/>
        <v>edasi 31</v>
      </c>
      <c r="AM38" s="1215" t="str">
        <f>IFERROR(INDEX('V-Fin'!A$300:AJ$400&amp;".",MATCH("*"&amp;J38&amp;"*",'V-Fin'!B$300:B$400,0)),"  ")</f>
        <v xml:space="preserve">  </v>
      </c>
      <c r="AN38" s="337">
        <f t="shared" si="18"/>
        <v>5</v>
      </c>
      <c r="AO38" s="336">
        <f t="shared" si="19"/>
        <v>0</v>
      </c>
      <c r="AP38" s="336">
        <f t="shared" si="20"/>
        <v>0</v>
      </c>
    </row>
    <row r="39" spans="1:42" ht="12.6" customHeight="1" x14ac:dyDescent="0.2">
      <c r="A39" s="1201" t="str">
        <f t="shared" ref="A39:A62" si="23">IF(O39&gt;0,IF(N39="k",RANK(B39,B$7:B$62,1)-COUNTBLANK(N$7:N$62),""),"")</f>
        <v/>
      </c>
      <c r="B39" s="740">
        <f t="shared" ref="B39:B62" si="24">IF((N39="k"),R39,R39-1000)</f>
        <v>-967</v>
      </c>
      <c r="C39" s="1199">
        <f t="shared" ref="C39:C62" si="25">IF(O39&gt;0,IF(L39="m",RANK(D39,D$7:D$62,1)-COUNTBLANK(L$7:L$62),""),"")</f>
        <v>27</v>
      </c>
      <c r="D39" s="1193">
        <f t="shared" ref="D39:D62" si="26">IF((L39="m"),R39,R39-1000)</f>
        <v>33</v>
      </c>
      <c r="E39" s="1195" t="str">
        <f t="shared" ref="E39:E62" si="27">IF(O39&gt;0,IF(K39="n",RANK(F39,F$7:F$62,1)-COUNTBLANK(K$7:K$62),""),"")</f>
        <v/>
      </c>
      <c r="F39" s="1193">
        <f t="shared" ref="F39:F62" si="28">IF((K39="n"),R39,R39-1000)</f>
        <v>-967</v>
      </c>
      <c r="G39" s="1207" t="str">
        <f t="shared" ref="G39:G62" si="29">IF(O39&gt;0,IF(M39="j",RANK(H39,H$7:H$62,1)-COUNTBLANK(M$7:M$62),""),"")</f>
        <v/>
      </c>
      <c r="H39" s="1193">
        <f t="shared" si="21"/>
        <v>-967</v>
      </c>
      <c r="I39" s="741">
        <f t="shared" ref="I39:I62" si="30">IF(O39&gt;0,RANK(R39,R$7:R$62,1),"")</f>
        <v>33</v>
      </c>
      <c r="J39" s="742" t="s">
        <v>194</v>
      </c>
      <c r="K39" s="743"/>
      <c r="L39" s="1198" t="str">
        <f t="shared" si="22"/>
        <v>m</v>
      </c>
      <c r="M39" s="744"/>
      <c r="N39" s="745"/>
      <c r="O39" s="751">
        <f t="shared" si="8"/>
        <v>18</v>
      </c>
      <c r="P39" s="746" t="str">
        <f>INDEX(ETAPP!B$1:B$32,MATCH(COUNTIF(W39:AI39,PVO!A$1),ETAPP!A$1:A$32,0))&amp;INDEX(ETAPP!B$1:B$32,MATCH(COUNTIF(W39:AI39,PVO!A$2),ETAPP!A$1:A$32,0))&amp;INDEX(ETAPP!B$1:B$32,MATCH(COUNTIF(W39:AI39,PVO!A$3),ETAPP!A$1:A$32,0))&amp;INDEX(ETAPP!B$1:B$32,MATCH(COUNTIF(W39:AI39,PVO!A$4),ETAPP!A$1:A$32,0))&amp;INDEX(ETAPP!B$1:B$32,MATCH(COUNTIF(W39:AI39,PVO!A$5),ETAPP!A$1:A$32,0))&amp;INDEX(ETAPP!B$1:B$32,MATCH(COUNTIF(W39:AI39,PVO!A$6),ETAPP!A$1:A$32,0))&amp;INDEX(ETAPP!B$1:B$32,MATCH(COUNTIF(W39:AI39,PVO!A$7),ETAPP!A$1:A$32,0))&amp;INDEX(ETAPP!B$1:B$32,MATCH(COUNTIF(W39:AI39,PVO!A$8),ETAPP!A$1:A$32,0))&amp;INDEX(ETAPP!B$1:B$32,MATCH(COUNTIF(W39:AI39,PVO!A$9),ETAPP!A$1:A$32,0))&amp;INDEX(ETAPP!B$1:B$32,MATCH(COUNTIF(W39:AI39,PVO!A$10),ETAPP!A$1:A$32,0))&amp;INDEX(ETAPP!B$1:B$32,MATCH(COUNTIF(W39:AI39,PVO!A$11),ETAPP!A$1:A$32,0))&amp;INDEX(ETAPP!B$1:B$32,MATCH(COUNTIF(W39:AI39,PVO!A$12),ETAPP!A$1:A$32,0))&amp;INDEX(ETAPP!B$1:B$32,MATCH(COUNTIF(W39:AI39,PVO!A$13),ETAPP!A$1:A$32,0))&amp;INDEX(ETAPP!B$1:B$32,MATCH(COUNTIF(W39:AI39,PVO!A$14),ETAPP!A$1:A$32,0))&amp;INDEX(ETAPP!B$1:B$32,MATCH(COUNTIF(W39:AI39,PVO!A$15),ETAPP!A$1:A$32,0))&amp;INDEX(ETAPP!B$1:B$32,MATCH(COUNTIF(W39:AI39,PVO!A$16),ETAPP!A$1:A$32,0))&amp;INDEX(ETAPP!B$1:B$32,MATCH(COUNTIF(W39:AI39,PVO!A$17),ETAPP!A$1:A$32,0))&amp;INDEX(ETAPP!B$1:B$32,MATCH(COUNTIF(W39:AI39,PVO!A$18),ETAPP!A$1:A$32,0))&amp;INDEX(ETAPP!B$1:B$32,MATCH(COUNTIF(W39:AI39,PVO!A$19),ETAPP!A$1:A$32,0))</f>
        <v>000000A000A0000000F</v>
      </c>
      <c r="Q39" s="746" t="str">
        <f t="shared" ref="Q39:Q62" si="31">TEXT(O39,"000,0")&amp;"-"&amp;P39</f>
        <v>018,0-000000A000A0000000F</v>
      </c>
      <c r="R39" s="746">
        <f t="shared" ref="R39:R62" si="32">COUNTIF(Q$7:Q$62,"&gt;="&amp;Q39)</f>
        <v>33</v>
      </c>
      <c r="S39" s="746">
        <f t="shared" ref="S39:S62" si="33">COUNTIF(J$7:J$62,"&gt;="&amp;J39)</f>
        <v>49</v>
      </c>
      <c r="T39" s="746" t="str">
        <f t="shared" ref="T39:T62" si="34">TEXT(O39,"000,0")&amp;"-"&amp;P39&amp;"-"&amp;TEXT(S39,"000")</f>
        <v>018,0-000000A000A0000000F-049</v>
      </c>
      <c r="U39" s="746">
        <f t="shared" ref="U39:U62" si="35">COUNTIF(T$7:T$62,"&gt;="&amp;T39)</f>
        <v>33</v>
      </c>
      <c r="V39" s="746">
        <f t="shared" ref="V39:V62" si="36">RANK(U39,U$7:U$62,0)</f>
        <v>24</v>
      </c>
      <c r="W39" s="679" t="str">
        <f>IFERROR(INDEX('V1'!C$300:C$400,MATCH("*"&amp;J39&amp;"*",'V1'!B$300:B$400,0)),"  ")</f>
        <v xml:space="preserve">  </v>
      </c>
      <c r="X39" s="679" t="str">
        <f>IFERROR(INDEX('V2'!C$300:C$400,MATCH("*"&amp;J39&amp;"*",'V2'!B$300:B$400,0)),"  ")</f>
        <v xml:space="preserve">  </v>
      </c>
      <c r="Y39" s="679" t="str">
        <f>IFERROR(INDEX('V3'!C$300:C$400,MATCH("*"&amp;J39&amp;"*",'V3'!B$300:B$400,0)),"  ")</f>
        <v xml:space="preserve">  </v>
      </c>
      <c r="Z39" s="679" t="str">
        <f>IFERROR(INDEX('V4'!C$300:C$400,MATCH("*"&amp;J39&amp;"*",'V4'!B$300:B$400,0)),"  ")</f>
        <v xml:space="preserve">  </v>
      </c>
      <c r="AA39" s="679">
        <f>IFERROR(INDEX('V5'!C$300:C$400,MATCH("*"&amp;J39&amp;"*",'V5'!B$300:B$400,0)),"  ")</f>
        <v>11</v>
      </c>
      <c r="AB39" s="679" t="str">
        <f>IFERROR(INDEX('V6'!C$300:C$400,MATCH("*"&amp;J39&amp;"*",'V6'!B$300:B$400,0)),"  ")</f>
        <v xml:space="preserve">  </v>
      </c>
      <c r="AC39" s="679" t="str">
        <f>IFERROR(INDEX('V7'!C$300:C$400,MATCH("*"&amp;J39&amp;"*",'V7'!B$300:B$400,0)),"  ")</f>
        <v xml:space="preserve">  </v>
      </c>
      <c r="AD39" s="679" t="str">
        <f>IFERROR(INDEX('V8'!C$300:C$400,MATCH("*"&amp;J39&amp;"*",'V8'!B$300:B$400,0)),"  ")</f>
        <v xml:space="preserve">  </v>
      </c>
      <c r="AE39" s="679" t="str">
        <f>IFERROR(INDEX('V9'!C$300:C$400,MATCH("*"&amp;J39&amp;"*",'V9'!B$300:B$400,0)),"  ")</f>
        <v xml:space="preserve">  </v>
      </c>
      <c r="AF39" s="679" t="str">
        <f>IFERROR(INDEX('V10'!C$300:C$400,MATCH("*"&amp;J39&amp;"*",'V10'!B$300:B$400,0)),"  ")</f>
        <v xml:space="preserve">  </v>
      </c>
      <c r="AG39" s="679" t="str">
        <f>IFERROR(INDEX('V11'!C$300:C$400,MATCH("*"&amp;J39&amp;"*",'V11'!B$300:B$400,0)),"  ")</f>
        <v xml:space="preserve">  </v>
      </c>
      <c r="AH39" s="679" t="str">
        <f>IFERROR(INDEX('V12'!C$300:C$400,MATCH("*"&amp;J39&amp;"*",'V12'!B$300:B$400,0)),"  ")</f>
        <v xml:space="preserve">  </v>
      </c>
      <c r="AI39" s="679">
        <f>IFERROR(INDEX('V13'!C$300:C$400,MATCH("*"&amp;J39&amp;"*",'V13'!B$300:B$400,0)),"  ")</f>
        <v>7</v>
      </c>
      <c r="AJ39" s="747">
        <f t="shared" ref="AJ39:AJ62" si="37">IF(COUNTIF(W39:AI39,"&gt;0")+1&gt;3,1,0)</f>
        <v>0</v>
      </c>
      <c r="AK39" s="747" t="str">
        <f t="shared" ref="AK39:AK62" si="38">IF(AJ39=1,O39,"")</f>
        <v/>
      </c>
      <c r="AL39" s="1212">
        <f t="shared" ref="AL39:AL62" si="39">IFERROR("edasi "&amp;RANK(AK39,AK$7:AK$62,0),I39)</f>
        <v>33</v>
      </c>
      <c r="AM39" s="1215" t="str">
        <f>IFERROR(INDEX('V-Fin'!A$300:AJ$400&amp;".",MATCH("*"&amp;J39&amp;"*",'V-Fin'!B$300:B$400,0)),"  ")</f>
        <v xml:space="preserve">  </v>
      </c>
      <c r="AN39" s="337">
        <f t="shared" ref="AN39:AN61" si="40">COUNTIF(W39:AI39,"&gt;=0")</f>
        <v>2</v>
      </c>
      <c r="AO39" s="336">
        <f t="shared" ref="AO39:AO62" si="41">IFERROR(IF(W39+1&gt;LARGE(W$7:W$62,1)-2,1),0)+IFERROR(IF(X39+1&gt;LARGE(X$7:X$62,1)-2,1),0)+IFERROR(IF(Y39+1&gt;LARGE(Y$7:Y$62,1)-2,1),0)+IFERROR(IF(Z39+1&gt;LARGE(Z$7:Z$62,1)-2,1),0)+IFERROR(IF(AA39+1&gt;LARGE(AA$7:AA$62,1)-2,1),0)+IFERROR(IF(AB39+1&gt;LARGE(AB$7:AB$62,1)-2,1),0)+IFERROR(IF(AC39+1&gt;LARGE(AC$7:AC$62,1)-2,1),0)+IFERROR(IF(AD39+1&gt;LARGE(AD$7:AD$62,1)-2,1),0)+IFERROR(IF(AE39+1&gt;LARGE(AE$7:AE$62,1)-2,1),0)+IFERROR(IF(AF39+1&gt;LARGE(AF$7:AF$62,1)-2,1),0)+IFERROR(IF(AG39+1&gt;LARGE(AG$7:AG$62,1)-2,1),0)+IFERROR(IF(AH39+1&gt;LARGE(AH$7:AH$62,1)-2,1),0)+IFERROR(IF(AI39+1&gt;LARGE(AI$7:AI$62,1)-2,1),0)</f>
        <v>1</v>
      </c>
      <c r="AP39" s="336">
        <f t="shared" ref="AP39:AP62" si="42">IF(W39=0,0,IF(W39=IFERROR(LARGE(W$7:W$62,1),0),1,0))+IF(X39=0,0,IF(X39=IFERROR(LARGE(X$7:X$62,1),0),1,0))+IF(Y39=0,0,IF(Y39=IFERROR(LARGE(Y$7:Y$62,1),0),1,0))+IF(Z39=0,0,IF(Z39=IFERROR(LARGE(Z$7:Z$62,1),0),1,0))+IF(AA39=0,0,IF(AA39=IFERROR(LARGE(AA$7:AA$62,1),0),1,0))+IF(AB39=0,0,IF(AB39=IFERROR(LARGE(AB$7:AB$62,1),0),1,0))+IF(AC39=0,0,IF(AC39=IFERROR(LARGE(AC$7:AC$62,1),0),1,0))+IF(AD39=0,0,IF(AD39=IFERROR(LARGE(AD$7:AD$62,1),0),1,0))+IF(AE39=0,0,IF(AE39=IFERROR(LARGE(AE$7:AE$62,1),0),1,0))+IF(AF39=0,0,IF(AF39=IFERROR(LARGE(AF$7:AF$62,1),0),1,0))+IF(AG39=0,0,IF(AG39=IFERROR(LARGE(AG$7:AG$62,1),0),1,0))+IF(AH39=0,0,IF(AH39=IFERROR(LARGE(AH$7:AH$62,1),0),1,0))+IF(AI39=0,0,IF(AI39=IFERROR(LARGE(AI$7:AI$62,1),0),1,0))</f>
        <v>1</v>
      </c>
    </row>
    <row r="40" spans="1:42" ht="12.6" customHeight="1" x14ac:dyDescent="0.2">
      <c r="A40" s="1201" t="str">
        <f t="shared" si="23"/>
        <v/>
      </c>
      <c r="B40" s="740">
        <f t="shared" si="24"/>
        <v>-966</v>
      </c>
      <c r="C40" s="1199">
        <f t="shared" si="25"/>
        <v>28</v>
      </c>
      <c r="D40" s="1193">
        <f t="shared" si="26"/>
        <v>34</v>
      </c>
      <c r="E40" s="1195" t="str">
        <f t="shared" si="27"/>
        <v/>
      </c>
      <c r="F40" s="1193">
        <f t="shared" si="28"/>
        <v>-966</v>
      </c>
      <c r="G40" s="1207" t="str">
        <f t="shared" si="29"/>
        <v/>
      </c>
      <c r="H40" s="1193">
        <f t="shared" si="21"/>
        <v>-966</v>
      </c>
      <c r="I40" s="741">
        <f t="shared" si="30"/>
        <v>34</v>
      </c>
      <c r="J40" s="750" t="s">
        <v>394</v>
      </c>
      <c r="K40" s="743"/>
      <c r="L40" s="1198" t="str">
        <f t="shared" si="22"/>
        <v>m</v>
      </c>
      <c r="M40" s="744"/>
      <c r="N40" s="745"/>
      <c r="O40" s="751">
        <f t="shared" si="8"/>
        <v>18</v>
      </c>
      <c r="P40" s="746" t="str">
        <f>INDEX(ETAPP!B$1:B$32,MATCH(COUNTIF(W40:AI40,PVO!A$1),ETAPP!A$1:A$32,0))&amp;INDEX(ETAPP!B$1:B$32,MATCH(COUNTIF(W40:AI40,PVO!A$2),ETAPP!A$1:A$32,0))&amp;INDEX(ETAPP!B$1:B$32,MATCH(COUNTIF(W40:AI40,PVO!A$3),ETAPP!A$1:A$32,0))&amp;INDEX(ETAPP!B$1:B$32,MATCH(COUNTIF(W40:AI40,PVO!A$4),ETAPP!A$1:A$32,0))&amp;INDEX(ETAPP!B$1:B$32,MATCH(COUNTIF(W40:AI40,PVO!A$5),ETAPP!A$1:A$32,0))&amp;INDEX(ETAPP!B$1:B$32,MATCH(COUNTIF(W40:AI40,PVO!A$6),ETAPP!A$1:A$32,0))&amp;INDEX(ETAPP!B$1:B$32,MATCH(COUNTIF(W40:AI40,PVO!A$7),ETAPP!A$1:A$32,0))&amp;INDEX(ETAPP!B$1:B$32,MATCH(COUNTIF(W40:AI40,PVO!A$8),ETAPP!A$1:A$32,0))&amp;INDEX(ETAPP!B$1:B$32,MATCH(COUNTIF(W40:AI40,PVO!A$9),ETAPP!A$1:A$32,0))&amp;INDEX(ETAPP!B$1:B$32,MATCH(COUNTIF(W40:AI40,PVO!A$10),ETAPP!A$1:A$32,0))&amp;INDEX(ETAPP!B$1:B$32,MATCH(COUNTIF(W40:AI40,PVO!A$11),ETAPP!A$1:A$32,0))&amp;INDEX(ETAPP!B$1:B$32,MATCH(COUNTIF(W40:AI40,PVO!A$12),ETAPP!A$1:A$32,0))&amp;INDEX(ETAPP!B$1:B$32,MATCH(COUNTIF(W40:AI40,PVO!A$13),ETAPP!A$1:A$32,0))&amp;INDEX(ETAPP!B$1:B$32,MATCH(COUNTIF(W40:AI40,PVO!A$14),ETAPP!A$1:A$32,0))&amp;INDEX(ETAPP!B$1:B$32,MATCH(COUNTIF(W40:AI40,PVO!A$15),ETAPP!A$1:A$32,0))&amp;INDEX(ETAPP!B$1:B$32,MATCH(COUNTIF(W40:AI40,PVO!A$16),ETAPP!A$1:A$32,0))&amp;INDEX(ETAPP!B$1:B$32,MATCH(COUNTIF(W40:AI40,PVO!A$17),ETAPP!A$1:A$32,0))&amp;INDEX(ETAPP!B$1:B$32,MATCH(COUNTIF(W40:AI40,PVO!A$18),ETAPP!A$1:A$32,0))&amp;INDEX(ETAPP!B$1:B$32,MATCH(COUNTIF(W40:AI40,PVO!A$19),ETAPP!A$1:A$32,0))</f>
        <v>000000000A0A0A0000E</v>
      </c>
      <c r="Q40" s="746" t="str">
        <f t="shared" si="31"/>
        <v>018,0-000000000A0A0A0000E</v>
      </c>
      <c r="R40" s="746">
        <f t="shared" si="32"/>
        <v>34</v>
      </c>
      <c r="S40" s="746">
        <f t="shared" si="33"/>
        <v>9</v>
      </c>
      <c r="T40" s="746" t="str">
        <f t="shared" si="34"/>
        <v>018,0-000000000A0A0A0000E-009</v>
      </c>
      <c r="U40" s="746">
        <f t="shared" si="35"/>
        <v>34</v>
      </c>
      <c r="V40" s="746">
        <f t="shared" si="36"/>
        <v>23</v>
      </c>
      <c r="W40" s="679" t="str">
        <f>IFERROR(INDEX('V1'!C$300:C$400,MATCH("*"&amp;J40&amp;"*",'V1'!B$300:B$400,0)),"  ")</f>
        <v xml:space="preserve">  </v>
      </c>
      <c r="X40" s="679" t="str">
        <f>IFERROR(INDEX('V2'!C$300:C$400,MATCH("*"&amp;J40&amp;"*",'V2'!B$300:B$400,0)),"  ")</f>
        <v xml:space="preserve">  </v>
      </c>
      <c r="Y40" s="679" t="str">
        <f>IFERROR(INDEX('V3'!C$300:C$400,MATCH("*"&amp;J40&amp;"*",'V3'!B$300:B$400,0)),"  ")</f>
        <v xml:space="preserve">  </v>
      </c>
      <c r="Z40" s="679" t="str">
        <f>IFERROR(INDEX('V4'!C$300:C$400,MATCH("*"&amp;J40&amp;"*",'V4'!B$300:B$400,0)),"  ")</f>
        <v xml:space="preserve">  </v>
      </c>
      <c r="AA40" s="679" t="str">
        <f>IFERROR(INDEX('V5'!C$300:C$400,MATCH("*"&amp;J40&amp;"*",'V5'!B$300:B$400,0)),"  ")</f>
        <v xml:space="preserve">  </v>
      </c>
      <c r="AB40" s="679">
        <f>IFERROR(INDEX('V6'!C$300:C$400,MATCH("*"&amp;J40&amp;"*",'V6'!B$300:B$400,0)),"  ")</f>
        <v>6</v>
      </c>
      <c r="AC40" s="679" t="str">
        <f>IFERROR(INDEX('V7'!C$300:C$400,MATCH("*"&amp;J40&amp;"*",'V7'!B$300:B$400,0)),"  ")</f>
        <v xml:space="preserve">  </v>
      </c>
      <c r="AD40" s="679">
        <f>IFERROR(INDEX('V8'!C$300:C$400,MATCH("*"&amp;J40&amp;"*",'V8'!B$300:B$400,0)),"  ")</f>
        <v>4</v>
      </c>
      <c r="AE40" s="679" t="str">
        <f>IFERROR(INDEX('V9'!C$300:C$400,MATCH("*"&amp;J40&amp;"*",'V9'!B$300:B$400,0)),"  ")</f>
        <v xml:space="preserve">  </v>
      </c>
      <c r="AF40" s="679" t="str">
        <f>IFERROR(INDEX('V10'!C$300:C$400,MATCH("*"&amp;J40&amp;"*",'V10'!B$300:B$400,0)),"  ")</f>
        <v xml:space="preserve">  </v>
      </c>
      <c r="AG40" s="679" t="str">
        <f>IFERROR(INDEX('V11'!C$300:C$400,MATCH("*"&amp;J40&amp;"*",'V11'!B$300:B$400,0)),"  ")</f>
        <v xml:space="preserve">  </v>
      </c>
      <c r="AH40" s="679">
        <f>IFERROR(INDEX('V12'!C$300:C$400,MATCH("*"&amp;J40&amp;"*",'V12'!B$300:B$400,0)),"  ")</f>
        <v>8</v>
      </c>
      <c r="AI40" s="679" t="str">
        <f>IFERROR(INDEX('V13'!C$300:C$400,MATCH("*"&amp;J40&amp;"*",'V13'!B$300:B$400,0)),"  ")</f>
        <v xml:space="preserve">  </v>
      </c>
      <c r="AJ40" s="747">
        <f t="shared" si="37"/>
        <v>1</v>
      </c>
      <c r="AK40" s="747">
        <f t="shared" si="38"/>
        <v>18</v>
      </c>
      <c r="AL40" s="1212" t="str">
        <f t="shared" si="39"/>
        <v>edasi 33</v>
      </c>
      <c r="AM40" s="1215" t="str">
        <f>IFERROR(INDEX('V-Fin'!A$300:AJ$400&amp;".",MATCH("*"&amp;J40&amp;"*",'V-Fin'!B$300:B$400,0)),"  ")</f>
        <v xml:space="preserve">  </v>
      </c>
      <c r="AN40" s="337">
        <f t="shared" si="40"/>
        <v>3</v>
      </c>
      <c r="AO40" s="336">
        <f t="shared" si="41"/>
        <v>0</v>
      </c>
      <c r="AP40" s="336">
        <f t="shared" si="42"/>
        <v>0</v>
      </c>
    </row>
    <row r="41" spans="1:42" ht="12.6" customHeight="1" x14ac:dyDescent="0.2">
      <c r="A41" s="1201" t="str">
        <f t="shared" si="23"/>
        <v/>
      </c>
      <c r="B41" s="740">
        <f t="shared" si="24"/>
        <v>-965</v>
      </c>
      <c r="C41" s="1199">
        <f t="shared" si="25"/>
        <v>29</v>
      </c>
      <c r="D41" s="1193">
        <f t="shared" si="26"/>
        <v>35</v>
      </c>
      <c r="E41" s="1195" t="str">
        <f t="shared" si="27"/>
        <v/>
      </c>
      <c r="F41" s="1193">
        <f t="shared" si="28"/>
        <v>-965</v>
      </c>
      <c r="G41" s="1207" t="str">
        <f t="shared" si="29"/>
        <v/>
      </c>
      <c r="H41" s="1193">
        <f t="shared" si="21"/>
        <v>-965</v>
      </c>
      <c r="I41" s="741">
        <f t="shared" si="30"/>
        <v>35</v>
      </c>
      <c r="J41" s="742" t="s">
        <v>213</v>
      </c>
      <c r="K41" s="743"/>
      <c r="L41" s="1198" t="str">
        <f t="shared" si="22"/>
        <v>m</v>
      </c>
      <c r="M41" s="744"/>
      <c r="N41" s="745"/>
      <c r="O41" s="751">
        <f t="shared" si="8"/>
        <v>17</v>
      </c>
      <c r="P41" s="746" t="str">
        <f>INDEX(ETAPP!B$1:B$32,MATCH(COUNTIF(W41:AI41,PVO!A$1),ETAPP!A$1:A$32,0))&amp;INDEX(ETAPP!B$1:B$32,MATCH(COUNTIF(W41:AI41,PVO!A$2),ETAPP!A$1:A$32,0))&amp;INDEX(ETAPP!B$1:B$32,MATCH(COUNTIF(W41:AI41,PVO!A$3),ETAPP!A$1:A$32,0))&amp;INDEX(ETAPP!B$1:B$32,MATCH(COUNTIF(W41:AI41,PVO!A$4),ETAPP!A$1:A$32,0))&amp;INDEX(ETAPP!B$1:B$32,MATCH(COUNTIF(W41:AI41,PVO!A$5),ETAPP!A$1:A$32,0))&amp;INDEX(ETAPP!B$1:B$32,MATCH(COUNTIF(W41:AI41,PVO!A$6),ETAPP!A$1:A$32,0))&amp;INDEX(ETAPP!B$1:B$32,MATCH(COUNTIF(W41:AI41,PVO!A$7),ETAPP!A$1:A$32,0))&amp;INDEX(ETAPP!B$1:B$32,MATCH(COUNTIF(W41:AI41,PVO!A$8),ETAPP!A$1:A$32,0))&amp;INDEX(ETAPP!B$1:B$32,MATCH(COUNTIF(W41:AI41,PVO!A$9),ETAPP!A$1:A$32,0))&amp;INDEX(ETAPP!B$1:B$32,MATCH(COUNTIF(W41:AI41,PVO!A$10),ETAPP!A$1:A$32,0))&amp;INDEX(ETAPP!B$1:B$32,MATCH(COUNTIF(W41:AI41,PVO!A$11),ETAPP!A$1:A$32,0))&amp;INDEX(ETAPP!B$1:B$32,MATCH(COUNTIF(W41:AI41,PVO!A$12),ETAPP!A$1:A$32,0))&amp;INDEX(ETAPP!B$1:B$32,MATCH(COUNTIF(W41:AI41,PVO!A$13),ETAPP!A$1:A$32,0))&amp;INDEX(ETAPP!B$1:B$32,MATCH(COUNTIF(W41:AI41,PVO!A$14),ETAPP!A$1:A$32,0))&amp;INDEX(ETAPP!B$1:B$32,MATCH(COUNTIF(W41:AI41,PVO!A$15),ETAPP!A$1:A$32,0))&amp;INDEX(ETAPP!B$1:B$32,MATCH(COUNTIF(W41:AI41,PVO!A$16),ETAPP!A$1:A$32,0))&amp;INDEX(ETAPP!B$1:B$32,MATCH(COUNTIF(W41:AI41,PVO!A$17),ETAPP!A$1:A$32,0))&amp;INDEX(ETAPP!B$1:B$32,MATCH(COUNTIF(W41:AI41,PVO!A$18),ETAPP!A$1:A$32,0))&amp;INDEX(ETAPP!B$1:B$32,MATCH(COUNTIF(W41:AI41,PVO!A$19),ETAPP!A$1:A$32,0))</f>
        <v>00000000A00000BA00D</v>
      </c>
      <c r="Q41" s="746" t="str">
        <f t="shared" si="31"/>
        <v>017,0-00000000A00000BA00D</v>
      </c>
      <c r="R41" s="746">
        <f t="shared" si="32"/>
        <v>35</v>
      </c>
      <c r="S41" s="746">
        <f t="shared" si="33"/>
        <v>8</v>
      </c>
      <c r="T41" s="746" t="str">
        <f t="shared" si="34"/>
        <v>017,0-00000000A00000BA00D-008</v>
      </c>
      <c r="U41" s="746">
        <f t="shared" si="35"/>
        <v>35</v>
      </c>
      <c r="V41" s="746">
        <f t="shared" si="36"/>
        <v>22</v>
      </c>
      <c r="W41" s="679" t="str">
        <f>IFERROR(INDEX('V1'!C$300:C$400,MATCH("*"&amp;J41&amp;"*",'V1'!B$300:B$400,0)),"  ")</f>
        <v xml:space="preserve">  </v>
      </c>
      <c r="X41" s="679">
        <f>IFERROR(INDEX('V2'!C$300:C$400,MATCH("*"&amp;J41&amp;"*",'V2'!B$300:B$400,0)),"  ")</f>
        <v>9</v>
      </c>
      <c r="Y41" s="679" t="str">
        <f>IFERROR(INDEX('V3'!C$300:C$400,MATCH("*"&amp;J41&amp;"*",'V3'!B$300:B$400,0)),"  ")</f>
        <v xml:space="preserve">  </v>
      </c>
      <c r="Z41" s="679">
        <f>IFERROR(INDEX('V4'!C$300:C$400,MATCH("*"&amp;J41&amp;"*",'V4'!B$300:B$400,0)),"  ")</f>
        <v>3</v>
      </c>
      <c r="AA41" s="679" t="str">
        <f>IFERROR(INDEX('V5'!C$300:C$400,MATCH("*"&amp;J41&amp;"*",'V5'!B$300:B$400,0)),"  ")</f>
        <v xml:space="preserve">  </v>
      </c>
      <c r="AB41" s="679" t="str">
        <f>IFERROR(INDEX('V6'!C$300:C$400,MATCH("*"&amp;J41&amp;"*",'V6'!B$300:B$400,0)),"  ")</f>
        <v xml:space="preserve">  </v>
      </c>
      <c r="AC41" s="679" t="str">
        <f>IFERROR(INDEX('V7'!C$300:C$400,MATCH("*"&amp;J41&amp;"*",'V7'!B$300:B$400,0)),"  ")</f>
        <v xml:space="preserve">  </v>
      </c>
      <c r="AD41" s="679" t="str">
        <f>IFERROR(INDEX('V8'!C$300:C$400,MATCH("*"&amp;J41&amp;"*",'V8'!B$300:B$400,0)),"  ")</f>
        <v xml:space="preserve">  </v>
      </c>
      <c r="AE41" s="679">
        <f>IFERROR(INDEX('V9'!C$300:C$400,MATCH("*"&amp;J41&amp;"*",'V9'!B$300:B$400,0)),"  ")</f>
        <v>2</v>
      </c>
      <c r="AF41" s="679" t="str">
        <f>IFERROR(INDEX('V10'!C$300:C$400,MATCH("*"&amp;J41&amp;"*",'V10'!B$300:B$400,0)),"  ")</f>
        <v xml:space="preserve">  </v>
      </c>
      <c r="AG41" s="679">
        <f>IFERROR(INDEX('V11'!C$300:C$400,MATCH("*"&amp;J41&amp;"*",'V11'!B$300:B$400,0)),"  ")</f>
        <v>3</v>
      </c>
      <c r="AH41" s="679" t="str">
        <f>IFERROR(INDEX('V12'!C$300:C$400,MATCH("*"&amp;J41&amp;"*",'V12'!B$300:B$400,0)),"  ")</f>
        <v xml:space="preserve">  </v>
      </c>
      <c r="AI41" s="679" t="str">
        <f>IFERROR(INDEX('V13'!C$300:C$400,MATCH("*"&amp;J41&amp;"*",'V13'!B$300:B$400,0)),"  ")</f>
        <v xml:space="preserve">  </v>
      </c>
      <c r="AJ41" s="747">
        <f t="shared" si="37"/>
        <v>1</v>
      </c>
      <c r="AK41" s="747">
        <f t="shared" si="38"/>
        <v>17</v>
      </c>
      <c r="AL41" s="1212" t="str">
        <f t="shared" si="39"/>
        <v>edasi 34</v>
      </c>
      <c r="AM41" s="1215" t="str">
        <f>IFERROR(INDEX('V-Fin'!A$300:AJ$400&amp;".",MATCH("*"&amp;J41&amp;"*",'V-Fin'!B$300:B$400,0)),"  ")</f>
        <v xml:space="preserve">  </v>
      </c>
      <c r="AN41" s="337">
        <f t="shared" si="40"/>
        <v>4</v>
      </c>
      <c r="AO41" s="336">
        <f t="shared" si="41"/>
        <v>1</v>
      </c>
      <c r="AP41" s="336">
        <f t="shared" si="42"/>
        <v>0</v>
      </c>
    </row>
    <row r="42" spans="1:42" ht="12.6" customHeight="1" x14ac:dyDescent="0.2">
      <c r="A42" s="1201">
        <f t="shared" si="23"/>
        <v>11</v>
      </c>
      <c r="B42" s="740">
        <f t="shared" si="24"/>
        <v>36</v>
      </c>
      <c r="C42" s="1199">
        <f t="shared" si="25"/>
        <v>30</v>
      </c>
      <c r="D42" s="1193">
        <f t="shared" si="26"/>
        <v>36</v>
      </c>
      <c r="E42" s="1195" t="str">
        <f t="shared" si="27"/>
        <v/>
      </c>
      <c r="F42" s="1193">
        <f t="shared" si="28"/>
        <v>-964</v>
      </c>
      <c r="G42" s="1207" t="str">
        <f t="shared" si="29"/>
        <v/>
      </c>
      <c r="H42" s="1193">
        <f t="shared" si="21"/>
        <v>-964</v>
      </c>
      <c r="I42" s="741">
        <f t="shared" si="30"/>
        <v>36</v>
      </c>
      <c r="J42" s="750" t="s">
        <v>236</v>
      </c>
      <c r="K42" s="743"/>
      <c r="L42" s="1198" t="str">
        <f t="shared" si="22"/>
        <v>m</v>
      </c>
      <c r="M42" s="744"/>
      <c r="N42" s="745" t="s">
        <v>230</v>
      </c>
      <c r="O42" s="751">
        <f t="shared" si="8"/>
        <v>16</v>
      </c>
      <c r="P42" s="746" t="str">
        <f>INDEX(ETAPP!B$1:B$32,MATCH(COUNTIF(W42:AI42,PVO!A$1),ETAPP!A$1:A$32,0))&amp;INDEX(ETAPP!B$1:B$32,MATCH(COUNTIF(W42:AI42,PVO!A$2),ETAPP!A$1:A$32,0))&amp;INDEX(ETAPP!B$1:B$32,MATCH(COUNTIF(W42:AI42,PVO!A$3),ETAPP!A$1:A$32,0))&amp;INDEX(ETAPP!B$1:B$32,MATCH(COUNTIF(W42:AI42,PVO!A$4),ETAPP!A$1:A$32,0))&amp;INDEX(ETAPP!B$1:B$32,MATCH(COUNTIF(W42:AI42,PVO!A$5),ETAPP!A$1:A$32,0))&amp;INDEX(ETAPP!B$1:B$32,MATCH(COUNTIF(W42:AI42,PVO!A$6),ETAPP!A$1:A$32,0))&amp;INDEX(ETAPP!B$1:B$32,MATCH(COUNTIF(W42:AI42,PVO!A$7),ETAPP!A$1:A$32,0))&amp;INDEX(ETAPP!B$1:B$32,MATCH(COUNTIF(W42:AI42,PVO!A$8),ETAPP!A$1:A$32,0))&amp;INDEX(ETAPP!B$1:B$32,MATCH(COUNTIF(W42:AI42,PVO!A$9),ETAPP!A$1:A$32,0))&amp;INDEX(ETAPP!B$1:B$32,MATCH(COUNTIF(W42:AI42,PVO!A$10),ETAPP!A$1:A$32,0))&amp;INDEX(ETAPP!B$1:B$32,MATCH(COUNTIF(W42:AI42,PVO!A$11),ETAPP!A$1:A$32,0))&amp;INDEX(ETAPP!B$1:B$32,MATCH(COUNTIF(W42:AI42,PVO!A$12),ETAPP!A$1:A$32,0))&amp;INDEX(ETAPP!B$1:B$32,MATCH(COUNTIF(W42:AI42,PVO!A$13),ETAPP!A$1:A$32,0))&amp;INDEX(ETAPP!B$1:B$32,MATCH(COUNTIF(W42:AI42,PVO!A$14),ETAPP!A$1:A$32,0))&amp;INDEX(ETAPP!B$1:B$32,MATCH(COUNTIF(W42:AI42,PVO!A$15),ETAPP!A$1:A$32,0))&amp;INDEX(ETAPP!B$1:B$32,MATCH(COUNTIF(W42:AI42,PVO!A$16),ETAPP!A$1:A$32,0))&amp;INDEX(ETAPP!B$1:B$32,MATCH(COUNTIF(W42:AI42,PVO!A$17),ETAPP!A$1:A$32,0))&amp;INDEX(ETAPP!B$1:B$32,MATCH(COUNTIF(W42:AI42,PVO!A$18),ETAPP!A$1:A$32,0))&amp;INDEX(ETAPP!B$1:B$32,MATCH(COUNTIF(W42:AI42,PVO!A$19),ETAPP!A$1:A$32,0))</f>
        <v>0000000A000A000000F</v>
      </c>
      <c r="Q42" s="746" t="str">
        <f t="shared" si="31"/>
        <v>016,0-0000000A000A000000F</v>
      </c>
      <c r="R42" s="746">
        <f t="shared" si="32"/>
        <v>36</v>
      </c>
      <c r="S42" s="746">
        <f t="shared" si="33"/>
        <v>20</v>
      </c>
      <c r="T42" s="746" t="str">
        <f t="shared" si="34"/>
        <v>016,0-0000000A000A000000F-020</v>
      </c>
      <c r="U42" s="746">
        <f t="shared" si="35"/>
        <v>36</v>
      </c>
      <c r="V42" s="746">
        <f t="shared" si="36"/>
        <v>21</v>
      </c>
      <c r="W42" s="679" t="str">
        <f>IFERROR(INDEX('V1'!C$300:C$400,MATCH("*"&amp;J42&amp;"*",'V1'!B$300:B$400,0)),"  ")</f>
        <v xml:space="preserve">  </v>
      </c>
      <c r="X42" s="679" t="str">
        <f>IFERROR(INDEX('V2'!C$300:C$400,MATCH("*"&amp;J42&amp;"*",'V2'!B$300:B$400,0)),"  ")</f>
        <v xml:space="preserve">  </v>
      </c>
      <c r="Y42" s="679" t="str">
        <f>IFERROR(INDEX('V3'!C$300:C$400,MATCH("*"&amp;J42&amp;"*",'V3'!B$300:B$400,0)),"  ")</f>
        <v xml:space="preserve">  </v>
      </c>
      <c r="Z42" s="679" t="str">
        <f>IFERROR(INDEX('V4'!C$300:C$400,MATCH("*"&amp;J42&amp;"*",'V4'!B$300:B$400,0)),"  ")</f>
        <v xml:space="preserve">  </v>
      </c>
      <c r="AA42" s="679">
        <f>IFERROR(INDEX('V5'!C$300:C$400,MATCH("*"&amp;J42&amp;"*",'V5'!B$300:B$400,0)),"  ")</f>
        <v>10</v>
      </c>
      <c r="AB42" s="679" t="str">
        <f>IFERROR(INDEX('V6'!C$300:C$400,MATCH("*"&amp;J42&amp;"*",'V6'!B$300:B$400,0)),"  ")</f>
        <v xml:space="preserve">  </v>
      </c>
      <c r="AC42" s="679" t="str">
        <f>IFERROR(INDEX('V7'!C$300:C$400,MATCH("*"&amp;J42&amp;"*",'V7'!B$300:B$400,0)),"  ")</f>
        <v xml:space="preserve">  </v>
      </c>
      <c r="AD42" s="679" t="str">
        <f>IFERROR(INDEX('V8'!C$300:C$400,MATCH("*"&amp;J42&amp;"*",'V8'!B$300:B$400,0)),"  ")</f>
        <v xml:space="preserve">  </v>
      </c>
      <c r="AE42" s="679" t="str">
        <f>IFERROR(INDEX('V9'!C$300:C$400,MATCH("*"&amp;J42&amp;"*",'V9'!B$300:B$400,0)),"  ")</f>
        <v xml:space="preserve">  </v>
      </c>
      <c r="AF42" s="679" t="str">
        <f>IFERROR(INDEX('V10'!C$300:C$400,MATCH("*"&amp;J42&amp;"*",'V10'!B$300:B$400,0)),"  ")</f>
        <v xml:space="preserve">  </v>
      </c>
      <c r="AG42" s="679">
        <f>IFERROR(INDEX('V11'!C$300:C$400,MATCH("*"&amp;J42&amp;"*",'V11'!B$300:B$400,0)),"  ")</f>
        <v>6</v>
      </c>
      <c r="AH42" s="679" t="str">
        <f>IFERROR(INDEX('V12'!C$300:C$400,MATCH("*"&amp;J42&amp;"*",'V12'!B$300:B$400,0)),"  ")</f>
        <v xml:space="preserve">  </v>
      </c>
      <c r="AI42" s="679" t="str">
        <f>IFERROR(INDEX('V13'!C$300:C$400,MATCH("*"&amp;J42&amp;"*",'V13'!B$300:B$400,0)),"  ")</f>
        <v xml:space="preserve">  </v>
      </c>
      <c r="AJ42" s="747">
        <f t="shared" si="37"/>
        <v>0</v>
      </c>
      <c r="AK42" s="747" t="str">
        <f t="shared" si="38"/>
        <v/>
      </c>
      <c r="AL42" s="1212">
        <f t="shared" si="39"/>
        <v>36</v>
      </c>
      <c r="AM42" s="1215" t="str">
        <f>IFERROR(INDEX('V-Fin'!A$300:AJ$400&amp;".",MATCH("*"&amp;J42&amp;"*",'V-Fin'!B$300:B$400,0)),"  ")</f>
        <v xml:space="preserve">  </v>
      </c>
      <c r="AN42" s="337">
        <f t="shared" si="40"/>
        <v>2</v>
      </c>
      <c r="AO42" s="336">
        <f t="shared" si="41"/>
        <v>1</v>
      </c>
      <c r="AP42" s="336">
        <f t="shared" si="42"/>
        <v>0</v>
      </c>
    </row>
    <row r="43" spans="1:42" ht="12.6" customHeight="1" x14ac:dyDescent="0.2">
      <c r="A43" s="1201">
        <f t="shared" si="23"/>
        <v>12</v>
      </c>
      <c r="B43" s="740">
        <f t="shared" si="24"/>
        <v>37</v>
      </c>
      <c r="C43" s="1199">
        <f t="shared" si="25"/>
        <v>31</v>
      </c>
      <c r="D43" s="1193">
        <f t="shared" si="26"/>
        <v>37</v>
      </c>
      <c r="E43" s="1195" t="str">
        <f t="shared" si="27"/>
        <v/>
      </c>
      <c r="F43" s="1193">
        <f t="shared" si="28"/>
        <v>-963</v>
      </c>
      <c r="G43" s="1207" t="str">
        <f t="shared" si="29"/>
        <v/>
      </c>
      <c r="H43" s="1193">
        <f t="shared" si="21"/>
        <v>-963</v>
      </c>
      <c r="I43" s="741">
        <f t="shared" si="30"/>
        <v>37</v>
      </c>
      <c r="J43" s="742" t="s">
        <v>516</v>
      </c>
      <c r="K43" s="743"/>
      <c r="L43" s="1198" t="str">
        <f t="shared" si="22"/>
        <v>m</v>
      </c>
      <c r="M43" s="744"/>
      <c r="N43" s="745" t="s">
        <v>230</v>
      </c>
      <c r="O43" s="751">
        <f t="shared" si="8"/>
        <v>15</v>
      </c>
      <c r="P43" s="746" t="str">
        <f>INDEX(ETAPP!B$1:B$32,MATCH(COUNTIF(W43:AI43,PVO!A$1),ETAPP!A$1:A$32,0))&amp;INDEX(ETAPP!B$1:B$32,MATCH(COUNTIF(W43:AI43,PVO!A$2),ETAPP!A$1:A$32,0))&amp;INDEX(ETAPP!B$1:B$32,MATCH(COUNTIF(W43:AI43,PVO!A$3),ETAPP!A$1:A$32,0))&amp;INDEX(ETAPP!B$1:B$32,MATCH(COUNTIF(W43:AI43,PVO!A$4),ETAPP!A$1:A$32,0))&amp;INDEX(ETAPP!B$1:B$32,MATCH(COUNTIF(W43:AI43,PVO!A$5),ETAPP!A$1:A$32,0))&amp;INDEX(ETAPP!B$1:B$32,MATCH(COUNTIF(W43:AI43,PVO!A$6),ETAPP!A$1:A$32,0))&amp;INDEX(ETAPP!B$1:B$32,MATCH(COUNTIF(W43:AI43,PVO!A$7),ETAPP!A$1:A$32,0))&amp;INDEX(ETAPP!B$1:B$32,MATCH(COUNTIF(W43:AI43,PVO!A$8),ETAPP!A$1:A$32,0))&amp;INDEX(ETAPP!B$1:B$32,MATCH(COUNTIF(W43:AI43,PVO!A$9),ETAPP!A$1:A$32,0))&amp;INDEX(ETAPP!B$1:B$32,MATCH(COUNTIF(W43:AI43,PVO!A$10),ETAPP!A$1:A$32,0))&amp;INDEX(ETAPP!B$1:B$32,MATCH(COUNTIF(W43:AI43,PVO!A$11),ETAPP!A$1:A$32,0))&amp;INDEX(ETAPP!B$1:B$32,MATCH(COUNTIF(W43:AI43,PVO!A$12),ETAPP!A$1:A$32,0))&amp;INDEX(ETAPP!B$1:B$32,MATCH(COUNTIF(W43:AI43,PVO!A$13),ETAPP!A$1:A$32,0))&amp;INDEX(ETAPP!B$1:B$32,MATCH(COUNTIF(W43:AI43,PVO!A$14),ETAPP!A$1:A$32,0))&amp;INDEX(ETAPP!B$1:B$32,MATCH(COUNTIF(W43:AI43,PVO!A$15),ETAPP!A$1:A$32,0))&amp;INDEX(ETAPP!B$1:B$32,MATCH(COUNTIF(W43:AI43,PVO!A$16),ETAPP!A$1:A$32,0))&amp;INDEX(ETAPP!B$1:B$32,MATCH(COUNTIF(W43:AI43,PVO!A$17),ETAPP!A$1:A$32,0))&amp;INDEX(ETAPP!B$1:B$32,MATCH(COUNTIF(W43:AI43,PVO!A$18),ETAPP!A$1:A$32,0))&amp;INDEX(ETAPP!B$1:B$32,MATCH(COUNTIF(W43:AI43,PVO!A$19),ETAPP!A$1:A$32,0))</f>
        <v>00000A00000000A000F</v>
      </c>
      <c r="Q43" s="746" t="str">
        <f t="shared" si="31"/>
        <v>015,0-00000A00000000A000F</v>
      </c>
      <c r="R43" s="746">
        <f t="shared" si="32"/>
        <v>37</v>
      </c>
      <c r="S43" s="746">
        <f t="shared" si="33"/>
        <v>54</v>
      </c>
      <c r="T43" s="746" t="str">
        <f t="shared" si="34"/>
        <v>015,0-00000A00000000A000F-054</v>
      </c>
      <c r="U43" s="746">
        <f t="shared" si="35"/>
        <v>37</v>
      </c>
      <c r="V43" s="746">
        <f t="shared" si="36"/>
        <v>20</v>
      </c>
      <c r="W43" s="679" t="str">
        <f>IFERROR(INDEX('V1'!C$300:C$400,MATCH("*"&amp;J43&amp;"*",'V1'!B$300:B$400,0)),"  ")</f>
        <v xml:space="preserve">  </v>
      </c>
      <c r="X43" s="679" t="str">
        <f>IFERROR(INDEX('V2'!C$300:C$400,MATCH("*"&amp;J43&amp;"*",'V2'!B$300:B$400,0)),"  ")</f>
        <v xml:space="preserve">  </v>
      </c>
      <c r="Y43" s="679" t="str">
        <f>IFERROR(INDEX('V3'!C$300:C$400,MATCH("*"&amp;J43&amp;"*",'V3'!B$300:B$400,0)),"  ")</f>
        <v xml:space="preserve">  </v>
      </c>
      <c r="Z43" s="679" t="str">
        <f>IFERROR(INDEX('V4'!C$300:C$400,MATCH("*"&amp;J43&amp;"*",'V4'!B$300:B$400,0)),"  ")</f>
        <v xml:space="preserve">  </v>
      </c>
      <c r="AA43" s="679" t="str">
        <f>IFERROR(INDEX('V5'!C$300:C$400,MATCH("*"&amp;J43&amp;"*",'V5'!B$300:B$400,0)),"  ")</f>
        <v xml:space="preserve">  </v>
      </c>
      <c r="AB43" s="679" t="str">
        <f>IFERROR(INDEX('V6'!C$300:C$400,MATCH("*"&amp;J43&amp;"*",'V6'!B$300:B$400,0)),"  ")</f>
        <v xml:space="preserve">  </v>
      </c>
      <c r="AC43" s="679" t="str">
        <f>IFERROR(INDEX('V7'!C$300:C$400,MATCH("*"&amp;J43&amp;"*",'V7'!B$300:B$400,0)),"  ")</f>
        <v xml:space="preserve">  </v>
      </c>
      <c r="AD43" s="679" t="str">
        <f>IFERROR(INDEX('V8'!C$300:C$400,MATCH("*"&amp;J43&amp;"*",'V8'!B$300:B$400,0)),"  ")</f>
        <v xml:space="preserve">  </v>
      </c>
      <c r="AE43" s="679" t="str">
        <f>IFERROR(INDEX('V9'!C$300:C$400,MATCH("*"&amp;J43&amp;"*",'V9'!B$300:B$400,0)),"  ")</f>
        <v xml:space="preserve">  </v>
      </c>
      <c r="AF43" s="679" t="str">
        <f>IFERROR(INDEX('V10'!C$300:C$400,MATCH("*"&amp;J43&amp;"*",'V10'!B$300:B$400,0)),"  ")</f>
        <v xml:space="preserve">  </v>
      </c>
      <c r="AG43" s="679" t="str">
        <f>IFERROR(INDEX('V11'!C$300:C$400,MATCH("*"&amp;J43&amp;"*",'V11'!B$300:B$400,0)),"  ")</f>
        <v xml:space="preserve">  </v>
      </c>
      <c r="AH43" s="679">
        <f>IFERROR(INDEX('V12'!C$300:C$400,MATCH("*"&amp;J43&amp;"*",'V12'!B$300:B$400,0)),"  ")</f>
        <v>12</v>
      </c>
      <c r="AI43" s="679">
        <f>IFERROR(INDEX('V13'!C$300:C$400,MATCH("*"&amp;J43&amp;"*",'V13'!B$300:B$400,0)),"  ")</f>
        <v>3</v>
      </c>
      <c r="AJ43" s="747">
        <f t="shared" si="37"/>
        <v>0</v>
      </c>
      <c r="AK43" s="747" t="str">
        <f t="shared" si="38"/>
        <v/>
      </c>
      <c r="AL43" s="1212">
        <f t="shared" si="39"/>
        <v>37</v>
      </c>
      <c r="AM43" s="1215" t="str">
        <f>IFERROR(INDEX('V-Fin'!A$300:AJ$400&amp;".",MATCH("*"&amp;J43&amp;"*",'V-Fin'!B$300:B$400,0)),"  ")</f>
        <v xml:space="preserve">  </v>
      </c>
      <c r="AN43" s="337">
        <f t="shared" si="40"/>
        <v>2</v>
      </c>
      <c r="AO43" s="336">
        <f t="shared" si="41"/>
        <v>0</v>
      </c>
      <c r="AP43" s="336">
        <f t="shared" si="42"/>
        <v>0</v>
      </c>
    </row>
    <row r="44" spans="1:42" ht="12.6" customHeight="1" x14ac:dyDescent="0.2">
      <c r="A44" s="1201" t="str">
        <f t="shared" si="23"/>
        <v/>
      </c>
      <c r="B44" s="740">
        <f t="shared" si="24"/>
        <v>-962</v>
      </c>
      <c r="C44" s="1199">
        <f t="shared" si="25"/>
        <v>32</v>
      </c>
      <c r="D44" s="1193">
        <f t="shared" si="26"/>
        <v>38</v>
      </c>
      <c r="E44" s="1195" t="str">
        <f t="shared" si="27"/>
        <v/>
      </c>
      <c r="F44" s="1193">
        <f t="shared" si="28"/>
        <v>-962</v>
      </c>
      <c r="G44" s="1207" t="str">
        <f t="shared" si="29"/>
        <v/>
      </c>
      <c r="H44" s="1193">
        <f t="shared" si="21"/>
        <v>-962</v>
      </c>
      <c r="I44" s="741">
        <f t="shared" si="30"/>
        <v>38</v>
      </c>
      <c r="J44" s="742" t="s">
        <v>206</v>
      </c>
      <c r="K44" s="743"/>
      <c r="L44" s="1198" t="str">
        <f t="shared" si="22"/>
        <v>m</v>
      </c>
      <c r="M44" s="744"/>
      <c r="N44" s="745"/>
      <c r="O44" s="751">
        <f t="shared" si="8"/>
        <v>15</v>
      </c>
      <c r="P44" s="746" t="str">
        <f>INDEX(ETAPP!B$1:B$32,MATCH(COUNTIF(W44:AI44,PVO!A$1),ETAPP!A$1:A$32,0))&amp;INDEX(ETAPP!B$1:B$32,MATCH(COUNTIF(W44:AI44,PVO!A$2),ETAPP!A$1:A$32,0))&amp;INDEX(ETAPP!B$1:B$32,MATCH(COUNTIF(W44:AI44,PVO!A$3),ETAPP!A$1:A$32,0))&amp;INDEX(ETAPP!B$1:B$32,MATCH(COUNTIF(W44:AI44,PVO!A$4),ETAPP!A$1:A$32,0))&amp;INDEX(ETAPP!B$1:B$32,MATCH(COUNTIF(W44:AI44,PVO!A$5),ETAPP!A$1:A$32,0))&amp;INDEX(ETAPP!B$1:B$32,MATCH(COUNTIF(W44:AI44,PVO!A$6),ETAPP!A$1:A$32,0))&amp;INDEX(ETAPP!B$1:B$32,MATCH(COUNTIF(W44:AI44,PVO!A$7),ETAPP!A$1:A$32,0))&amp;INDEX(ETAPP!B$1:B$32,MATCH(COUNTIF(W44:AI44,PVO!A$8),ETAPP!A$1:A$32,0))&amp;INDEX(ETAPP!B$1:B$32,MATCH(COUNTIF(W44:AI44,PVO!A$9),ETAPP!A$1:A$32,0))&amp;INDEX(ETAPP!B$1:B$32,MATCH(COUNTIF(W44:AI44,PVO!A$10),ETAPP!A$1:A$32,0))&amp;INDEX(ETAPP!B$1:B$32,MATCH(COUNTIF(W44:AI44,PVO!A$11),ETAPP!A$1:A$32,0))&amp;INDEX(ETAPP!B$1:B$32,MATCH(COUNTIF(W44:AI44,PVO!A$12),ETAPP!A$1:A$32,0))&amp;INDEX(ETAPP!B$1:B$32,MATCH(COUNTIF(W44:AI44,PVO!A$13),ETAPP!A$1:A$32,0))&amp;INDEX(ETAPP!B$1:B$32,MATCH(COUNTIF(W44:AI44,PVO!A$14),ETAPP!A$1:A$32,0))&amp;INDEX(ETAPP!B$1:B$32,MATCH(COUNTIF(W44:AI44,PVO!A$15),ETAPP!A$1:A$32,0))&amp;INDEX(ETAPP!B$1:B$32,MATCH(COUNTIF(W44:AI44,PVO!A$16),ETAPP!A$1:A$32,0))&amp;INDEX(ETAPP!B$1:B$32,MATCH(COUNTIF(W44:AI44,PVO!A$17),ETAPP!A$1:A$32,0))&amp;INDEX(ETAPP!B$1:B$32,MATCH(COUNTIF(W44:AI44,PVO!A$18),ETAPP!A$1:A$32,0))&amp;INDEX(ETAPP!B$1:B$32,MATCH(COUNTIF(W44:AI44,PVO!A$19),ETAPP!A$1:A$32,0))</f>
        <v>00000000A00A000000F</v>
      </c>
      <c r="Q44" s="746" t="str">
        <f t="shared" si="31"/>
        <v>015,0-00000000A00A000000F</v>
      </c>
      <c r="R44" s="746">
        <f t="shared" si="32"/>
        <v>38</v>
      </c>
      <c r="S44" s="746">
        <f t="shared" si="33"/>
        <v>56</v>
      </c>
      <c r="T44" s="746" t="str">
        <f t="shared" si="34"/>
        <v>015,0-00000000A00A000000F-056</v>
      </c>
      <c r="U44" s="746">
        <f t="shared" si="35"/>
        <v>38</v>
      </c>
      <c r="V44" s="746">
        <f t="shared" si="36"/>
        <v>19</v>
      </c>
      <c r="W44" s="679" t="str">
        <f>IFERROR(INDEX('V1'!C$300:C$400,MATCH("*"&amp;J44&amp;"*",'V1'!B$300:B$400,0)),"  ")</f>
        <v xml:space="preserve">  </v>
      </c>
      <c r="X44" s="679" t="str">
        <f>IFERROR(INDEX('V2'!C$300:C$400,MATCH("*"&amp;J44&amp;"*",'V2'!B$300:B$400,0)),"  ")</f>
        <v xml:space="preserve">  </v>
      </c>
      <c r="Y44" s="679" t="str">
        <f>IFERROR(INDEX('V3'!C$300:C$400,MATCH("*"&amp;J44&amp;"*",'V3'!B$300:B$400,0)),"  ")</f>
        <v xml:space="preserve">  </v>
      </c>
      <c r="Z44" s="679" t="str">
        <f>IFERROR(INDEX('V4'!C$300:C$400,MATCH("*"&amp;J44&amp;"*",'V4'!B$300:B$400,0)),"  ")</f>
        <v xml:space="preserve">  </v>
      </c>
      <c r="AA44" s="679" t="str">
        <f>IFERROR(INDEX('V5'!C$300:C$400,MATCH("*"&amp;J44&amp;"*",'V5'!B$300:B$400,0)),"  ")</f>
        <v xml:space="preserve">  </v>
      </c>
      <c r="AB44" s="679" t="str">
        <f>IFERROR(INDEX('V6'!C$300:C$400,MATCH("*"&amp;J44&amp;"*",'V6'!B$300:B$400,0)),"  ")</f>
        <v xml:space="preserve">  </v>
      </c>
      <c r="AC44" s="679" t="str">
        <f>IFERROR(INDEX('V7'!C$300:C$400,MATCH("*"&amp;J44&amp;"*",'V7'!B$300:B$400,0)),"  ")</f>
        <v xml:space="preserve">  </v>
      </c>
      <c r="AD44" s="679" t="str">
        <f>IFERROR(INDEX('V8'!C$300:C$400,MATCH("*"&amp;J44&amp;"*",'V8'!B$300:B$400,0)),"  ")</f>
        <v xml:space="preserve">  </v>
      </c>
      <c r="AE44" s="679" t="str">
        <f>IFERROR(INDEX('V9'!C$300:C$400,MATCH("*"&amp;J44&amp;"*",'V9'!B$300:B$400,0)),"  ")</f>
        <v xml:space="preserve">  </v>
      </c>
      <c r="AF44" s="679" t="str">
        <f>IFERROR(INDEX('V10'!C$300:C$400,MATCH("*"&amp;J44&amp;"*",'V10'!B$300:B$400,0)),"  ")</f>
        <v xml:space="preserve">  </v>
      </c>
      <c r="AG44" s="679">
        <f>IFERROR(INDEX('V11'!C$300:C$400,MATCH("*"&amp;J44&amp;"*",'V11'!B$300:B$400,0)),"  ")</f>
        <v>6</v>
      </c>
      <c r="AH44" s="679">
        <f>IFERROR(INDEX('V12'!C$300:C$400,MATCH("*"&amp;J44&amp;"*",'V12'!B$300:B$400,0)),"  ")</f>
        <v>9</v>
      </c>
      <c r="AI44" s="679" t="str">
        <f>IFERROR(INDEX('V13'!C$300:C$400,MATCH("*"&amp;J44&amp;"*",'V13'!B$300:B$400,0)),"  ")</f>
        <v xml:space="preserve">  </v>
      </c>
      <c r="AJ44" s="747">
        <f t="shared" si="37"/>
        <v>0</v>
      </c>
      <c r="AK44" s="747" t="str">
        <f t="shared" si="38"/>
        <v/>
      </c>
      <c r="AL44" s="1212">
        <f t="shared" si="39"/>
        <v>38</v>
      </c>
      <c r="AM44" s="1215" t="str">
        <f>IFERROR(INDEX('V-Fin'!A$300:AJ$400&amp;".",MATCH("*"&amp;J44&amp;"*",'V-Fin'!B$300:B$400,0)),"  ")</f>
        <v>3.</v>
      </c>
      <c r="AN44" s="337">
        <f t="shared" si="40"/>
        <v>2</v>
      </c>
      <c r="AO44" s="336">
        <f t="shared" si="41"/>
        <v>0</v>
      </c>
      <c r="AP44" s="336">
        <f t="shared" si="42"/>
        <v>0</v>
      </c>
    </row>
    <row r="45" spans="1:42" ht="12.6" customHeight="1" x14ac:dyDescent="0.2">
      <c r="A45" s="1201">
        <f t="shared" si="23"/>
        <v>13</v>
      </c>
      <c r="B45" s="740">
        <f t="shared" si="24"/>
        <v>39</v>
      </c>
      <c r="C45" s="1199">
        <f t="shared" si="25"/>
        <v>33</v>
      </c>
      <c r="D45" s="1193">
        <f t="shared" si="26"/>
        <v>39</v>
      </c>
      <c r="E45" s="1195" t="str">
        <f t="shared" si="27"/>
        <v/>
      </c>
      <c r="F45" s="1193">
        <f t="shared" si="28"/>
        <v>-961</v>
      </c>
      <c r="G45" s="1207" t="str">
        <f t="shared" si="29"/>
        <v/>
      </c>
      <c r="H45" s="1193">
        <f t="shared" si="21"/>
        <v>-961</v>
      </c>
      <c r="I45" s="741">
        <f t="shared" si="30"/>
        <v>39</v>
      </c>
      <c r="J45" s="742" t="s">
        <v>241</v>
      </c>
      <c r="K45" s="743"/>
      <c r="L45" s="1198" t="str">
        <f t="shared" si="22"/>
        <v>m</v>
      </c>
      <c r="M45" s="744"/>
      <c r="N45" s="745" t="s">
        <v>230</v>
      </c>
      <c r="O45" s="751">
        <f t="shared" si="8"/>
        <v>13</v>
      </c>
      <c r="P45" s="746" t="str">
        <f>INDEX(ETAPP!B$1:B$32,MATCH(COUNTIF(W45:AI45,PVO!A$1),ETAPP!A$1:A$32,0))&amp;INDEX(ETAPP!B$1:B$32,MATCH(COUNTIF(W45:AI45,PVO!A$2),ETAPP!A$1:A$32,0))&amp;INDEX(ETAPP!B$1:B$32,MATCH(COUNTIF(W45:AI45,PVO!A$3),ETAPP!A$1:A$32,0))&amp;INDEX(ETAPP!B$1:B$32,MATCH(COUNTIF(W45:AI45,PVO!A$4),ETAPP!A$1:A$32,0))&amp;INDEX(ETAPP!B$1:B$32,MATCH(COUNTIF(W45:AI45,PVO!A$5),ETAPP!A$1:A$32,0))&amp;INDEX(ETAPP!B$1:B$32,MATCH(COUNTIF(W45:AI45,PVO!A$6),ETAPP!A$1:A$32,0))&amp;INDEX(ETAPP!B$1:B$32,MATCH(COUNTIF(W45:AI45,PVO!A$7),ETAPP!A$1:A$32,0))&amp;INDEX(ETAPP!B$1:B$32,MATCH(COUNTIF(W45:AI45,PVO!A$8),ETAPP!A$1:A$32,0))&amp;INDEX(ETAPP!B$1:B$32,MATCH(COUNTIF(W45:AI45,PVO!A$9),ETAPP!A$1:A$32,0))&amp;INDEX(ETAPP!B$1:B$32,MATCH(COUNTIF(W45:AI45,PVO!A$10),ETAPP!A$1:A$32,0))&amp;INDEX(ETAPP!B$1:B$32,MATCH(COUNTIF(W45:AI45,PVO!A$11),ETAPP!A$1:A$32,0))&amp;INDEX(ETAPP!B$1:B$32,MATCH(COUNTIF(W45:AI45,PVO!A$12),ETAPP!A$1:A$32,0))&amp;INDEX(ETAPP!B$1:B$32,MATCH(COUNTIF(W45:AI45,PVO!A$13),ETAPP!A$1:A$32,0))&amp;INDEX(ETAPP!B$1:B$32,MATCH(COUNTIF(W45:AI45,PVO!A$14),ETAPP!A$1:A$32,0))&amp;INDEX(ETAPP!B$1:B$32,MATCH(COUNTIF(W45:AI45,PVO!A$15),ETAPP!A$1:A$32,0))&amp;INDEX(ETAPP!B$1:B$32,MATCH(COUNTIF(W45:AI45,PVO!A$16),ETAPP!A$1:A$32,0))&amp;INDEX(ETAPP!B$1:B$32,MATCH(COUNTIF(W45:AI45,PVO!A$17),ETAPP!A$1:A$32,0))&amp;INDEX(ETAPP!B$1:B$32,MATCH(COUNTIF(W45:AI45,PVO!A$18),ETAPP!A$1:A$32,0))&amp;INDEX(ETAPP!B$1:B$32,MATCH(COUNTIF(W45:AI45,PVO!A$19),ETAPP!A$1:A$32,0))</f>
        <v>000000000A00A00000F</v>
      </c>
      <c r="Q45" s="746" t="str">
        <f t="shared" si="31"/>
        <v>013,0-000000000A00A00000F</v>
      </c>
      <c r="R45" s="746">
        <f t="shared" si="32"/>
        <v>39</v>
      </c>
      <c r="S45" s="746">
        <f t="shared" si="33"/>
        <v>6</v>
      </c>
      <c r="T45" s="746" t="str">
        <f t="shared" si="34"/>
        <v>013,0-000000000A00A00000F-006</v>
      </c>
      <c r="U45" s="746">
        <f t="shared" si="35"/>
        <v>39</v>
      </c>
      <c r="V45" s="746">
        <f t="shared" si="36"/>
        <v>18</v>
      </c>
      <c r="W45" s="679" t="str">
        <f>IFERROR(INDEX('V1'!C$300:C$400,MATCH("*"&amp;J45&amp;"*",'V1'!B$300:B$400,0)),"  ")</f>
        <v xml:space="preserve">  </v>
      </c>
      <c r="X45" s="679" t="str">
        <f>IFERROR(INDEX('V2'!C$300:C$400,MATCH("*"&amp;J45&amp;"*",'V2'!B$300:B$400,0)),"  ")</f>
        <v xml:space="preserve">  </v>
      </c>
      <c r="Y45" s="679" t="str">
        <f>IFERROR(INDEX('V3'!C$300:C$400,MATCH("*"&amp;J45&amp;"*",'V3'!B$300:B$400,0)),"  ")</f>
        <v xml:space="preserve">  </v>
      </c>
      <c r="Z45" s="679" t="str">
        <f>IFERROR(INDEX('V4'!C$300:C$400,MATCH("*"&amp;J45&amp;"*",'V4'!B$300:B$400,0)),"  ")</f>
        <v xml:space="preserve">  </v>
      </c>
      <c r="AA45" s="679" t="str">
        <f>IFERROR(INDEX('V5'!C$300:C$400,MATCH("*"&amp;J45&amp;"*",'V5'!B$300:B$400,0)),"  ")</f>
        <v xml:space="preserve">  </v>
      </c>
      <c r="AB45" s="679" t="str">
        <f>IFERROR(INDEX('V6'!C$300:C$400,MATCH("*"&amp;J45&amp;"*",'V6'!B$300:B$400,0)),"  ")</f>
        <v xml:space="preserve">  </v>
      </c>
      <c r="AC45" s="679" t="str">
        <f>IFERROR(INDEX('V7'!C$300:C$400,MATCH("*"&amp;J45&amp;"*",'V7'!B$300:B$400,0)),"  ")</f>
        <v xml:space="preserve">  </v>
      </c>
      <c r="AD45" s="679" t="str">
        <f>IFERROR(INDEX('V8'!C$300:C$400,MATCH("*"&amp;J45&amp;"*",'V8'!B$300:B$400,0)),"  ")</f>
        <v xml:space="preserve">  </v>
      </c>
      <c r="AE45" s="679" t="str">
        <f>IFERROR(INDEX('V9'!C$300:C$400,MATCH("*"&amp;J45&amp;"*",'V9'!B$300:B$400,0)),"  ")</f>
        <v xml:space="preserve">  </v>
      </c>
      <c r="AF45" s="679" t="str">
        <f>IFERROR(INDEX('V10'!C$300:C$400,MATCH("*"&amp;J45&amp;"*",'V10'!B$300:B$400,0)),"  ")</f>
        <v xml:space="preserve">  </v>
      </c>
      <c r="AG45" s="679" t="str">
        <f>IFERROR(INDEX('V11'!C$300:C$400,MATCH("*"&amp;J45&amp;"*",'V11'!B$300:B$400,0)),"  ")</f>
        <v xml:space="preserve">  </v>
      </c>
      <c r="AH45" s="679">
        <f>IFERROR(INDEX('V12'!C$300:C$400,MATCH("*"&amp;J45&amp;"*",'V12'!B$300:B$400,0)),"  ")</f>
        <v>5</v>
      </c>
      <c r="AI45" s="679">
        <f>IFERROR(INDEX('V13'!C$300:C$400,MATCH("*"&amp;J45&amp;"*",'V13'!B$300:B$400,0)),"  ")</f>
        <v>8</v>
      </c>
      <c r="AJ45" s="747">
        <f t="shared" si="37"/>
        <v>0</v>
      </c>
      <c r="AK45" s="747" t="str">
        <f t="shared" si="38"/>
        <v/>
      </c>
      <c r="AL45" s="1212">
        <f t="shared" si="39"/>
        <v>39</v>
      </c>
      <c r="AM45" s="1215" t="str">
        <f>IFERROR(INDEX('V-Fin'!A$300:AJ$400&amp;".",MATCH("*"&amp;J45&amp;"*",'V-Fin'!B$300:B$400,0)),"  ")</f>
        <v>1.</v>
      </c>
      <c r="AN45" s="337">
        <f t="shared" si="40"/>
        <v>2</v>
      </c>
      <c r="AO45" s="336">
        <f t="shared" si="41"/>
        <v>0</v>
      </c>
      <c r="AP45" s="336">
        <f t="shared" si="42"/>
        <v>0</v>
      </c>
    </row>
    <row r="46" spans="1:42" ht="12.6" customHeight="1" x14ac:dyDescent="0.2">
      <c r="A46" s="1201" t="str">
        <f t="shared" si="23"/>
        <v/>
      </c>
      <c r="B46" s="740">
        <f t="shared" si="24"/>
        <v>-960</v>
      </c>
      <c r="C46" s="1199">
        <f t="shared" si="25"/>
        <v>34</v>
      </c>
      <c r="D46" s="1193">
        <f t="shared" si="26"/>
        <v>40</v>
      </c>
      <c r="E46" s="1195" t="str">
        <f t="shared" si="27"/>
        <v/>
      </c>
      <c r="F46" s="1193">
        <f t="shared" si="28"/>
        <v>-960</v>
      </c>
      <c r="G46" s="1207" t="str">
        <f t="shared" si="29"/>
        <v/>
      </c>
      <c r="H46" s="1193">
        <f t="shared" si="21"/>
        <v>-960</v>
      </c>
      <c r="I46" s="741">
        <f t="shared" si="30"/>
        <v>40</v>
      </c>
      <c r="J46" s="750" t="s">
        <v>234</v>
      </c>
      <c r="K46" s="743"/>
      <c r="L46" s="1198" t="str">
        <f t="shared" si="22"/>
        <v>m</v>
      </c>
      <c r="M46" s="744"/>
      <c r="N46" s="745"/>
      <c r="O46" s="751">
        <f t="shared" si="8"/>
        <v>11</v>
      </c>
      <c r="P46" s="746" t="str">
        <f>INDEX(ETAPP!B$1:B$32,MATCH(COUNTIF(W46:AI46,PVO!A$1),ETAPP!A$1:A$32,0))&amp;INDEX(ETAPP!B$1:B$32,MATCH(COUNTIF(W46:AI46,PVO!A$2),ETAPP!A$1:A$32,0))&amp;INDEX(ETAPP!B$1:B$32,MATCH(COUNTIF(W46:AI46,PVO!A$3),ETAPP!A$1:A$32,0))&amp;INDEX(ETAPP!B$1:B$32,MATCH(COUNTIF(W46:AI46,PVO!A$4),ETAPP!A$1:A$32,0))&amp;INDEX(ETAPP!B$1:B$32,MATCH(COUNTIF(W46:AI46,PVO!A$5),ETAPP!A$1:A$32,0))&amp;INDEX(ETAPP!B$1:B$32,MATCH(COUNTIF(W46:AI46,PVO!A$6),ETAPP!A$1:A$32,0))&amp;INDEX(ETAPP!B$1:B$32,MATCH(COUNTIF(W46:AI46,PVO!A$7),ETAPP!A$1:A$32,0))&amp;INDEX(ETAPP!B$1:B$32,MATCH(COUNTIF(W46:AI46,PVO!A$8),ETAPP!A$1:A$32,0))&amp;INDEX(ETAPP!B$1:B$32,MATCH(COUNTIF(W46:AI46,PVO!A$9),ETAPP!A$1:A$32,0))&amp;INDEX(ETAPP!B$1:B$32,MATCH(COUNTIF(W46:AI46,PVO!A$10),ETAPP!A$1:A$32,0))&amp;INDEX(ETAPP!B$1:B$32,MATCH(COUNTIF(W46:AI46,PVO!A$11),ETAPP!A$1:A$32,0))&amp;INDEX(ETAPP!B$1:B$32,MATCH(COUNTIF(W46:AI46,PVO!A$12),ETAPP!A$1:A$32,0))&amp;INDEX(ETAPP!B$1:B$32,MATCH(COUNTIF(W46:AI46,PVO!A$13),ETAPP!A$1:A$32,0))&amp;INDEX(ETAPP!B$1:B$32,MATCH(COUNTIF(W46:AI46,PVO!A$14),ETAPP!A$1:A$32,0))&amp;INDEX(ETAPP!B$1:B$32,MATCH(COUNTIF(W46:AI46,PVO!A$15),ETAPP!A$1:A$32,0))&amp;INDEX(ETAPP!B$1:B$32,MATCH(COUNTIF(W46:AI46,PVO!A$16),ETAPP!A$1:A$32,0))&amp;INDEX(ETAPP!B$1:B$32,MATCH(COUNTIF(W46:AI46,PVO!A$17),ETAPP!A$1:A$32,0))&amp;INDEX(ETAPP!B$1:B$32,MATCH(COUNTIF(W46:AI46,PVO!A$18),ETAPP!A$1:A$32,0))&amp;INDEX(ETAPP!B$1:B$32,MATCH(COUNTIF(W46:AI46,PVO!A$19),ETAPP!A$1:A$32,0))</f>
        <v>000000A00000000000G</v>
      </c>
      <c r="Q46" s="746" t="str">
        <f t="shared" si="31"/>
        <v>011,0-000000A00000000000G</v>
      </c>
      <c r="R46" s="746">
        <f t="shared" si="32"/>
        <v>40</v>
      </c>
      <c r="S46" s="746">
        <f t="shared" si="33"/>
        <v>32</v>
      </c>
      <c r="T46" s="746" t="str">
        <f t="shared" si="34"/>
        <v>011,0-000000A00000000000G-032</v>
      </c>
      <c r="U46" s="746">
        <f t="shared" si="35"/>
        <v>40</v>
      </c>
      <c r="V46" s="746">
        <f t="shared" si="36"/>
        <v>17</v>
      </c>
      <c r="W46" s="679" t="str">
        <f>IFERROR(INDEX('V1'!C$300:C$400,MATCH("*"&amp;J46&amp;"*",'V1'!B$300:B$400,0)),"  ")</f>
        <v xml:space="preserve">  </v>
      </c>
      <c r="X46" s="679" t="str">
        <f>IFERROR(INDEX('V2'!C$300:C$400,MATCH("*"&amp;J46&amp;"*",'V2'!B$300:B$400,0)),"  ")</f>
        <v xml:space="preserve">  </v>
      </c>
      <c r="Y46" s="679" t="str">
        <f>IFERROR(INDEX('V3'!C$300:C$400,MATCH("*"&amp;J46&amp;"*",'V3'!B$300:B$400,0)),"  ")</f>
        <v xml:space="preserve">  </v>
      </c>
      <c r="Z46" s="679" t="str">
        <f>IFERROR(INDEX('V4'!C$300:C$400,MATCH("*"&amp;J46&amp;"*",'V4'!B$300:B$400,0)),"  ")</f>
        <v xml:space="preserve">  </v>
      </c>
      <c r="AA46" s="679" t="str">
        <f>IFERROR(INDEX('V5'!C$300:C$400,MATCH("*"&amp;J46&amp;"*",'V5'!B$300:B$400,0)),"  ")</f>
        <v xml:space="preserve">  </v>
      </c>
      <c r="AB46" s="679">
        <f>IFERROR(INDEX('V6'!C$300:C$400,MATCH("*"&amp;J46&amp;"*",'V6'!B$300:B$400,0)),"  ")</f>
        <v>11</v>
      </c>
      <c r="AC46" s="679" t="str">
        <f>IFERROR(INDEX('V7'!C$300:C$400,MATCH("*"&amp;J46&amp;"*",'V7'!B$300:B$400,0)),"  ")</f>
        <v xml:space="preserve">  </v>
      </c>
      <c r="AD46" s="679" t="str">
        <f>IFERROR(INDEX('V8'!C$300:C$400,MATCH("*"&amp;J46&amp;"*",'V8'!B$300:B$400,0)),"  ")</f>
        <v xml:space="preserve">  </v>
      </c>
      <c r="AE46" s="679" t="str">
        <f>IFERROR(INDEX('V9'!C$300:C$400,MATCH("*"&amp;J46&amp;"*",'V9'!B$300:B$400,0)),"  ")</f>
        <v xml:space="preserve">  </v>
      </c>
      <c r="AF46" s="679" t="str">
        <f>IFERROR(INDEX('V10'!C$300:C$400,MATCH("*"&amp;J46&amp;"*",'V10'!B$300:B$400,0)),"  ")</f>
        <v xml:space="preserve">  </v>
      </c>
      <c r="AG46" s="679" t="str">
        <f>IFERROR(INDEX('V11'!C$300:C$400,MATCH("*"&amp;J46&amp;"*",'V11'!B$300:B$400,0)),"  ")</f>
        <v xml:space="preserve">  </v>
      </c>
      <c r="AH46" s="679" t="str">
        <f>IFERROR(INDEX('V12'!C$300:C$400,MATCH("*"&amp;J46&amp;"*",'V12'!B$300:B$400,0)),"  ")</f>
        <v xml:space="preserve">  </v>
      </c>
      <c r="AI46" s="679" t="str">
        <f>IFERROR(INDEX('V13'!C$300:C$400,MATCH("*"&amp;J46&amp;"*",'V13'!B$300:B$400,0)),"  ")</f>
        <v xml:space="preserve">  </v>
      </c>
      <c r="AJ46" s="747">
        <f t="shared" si="37"/>
        <v>0</v>
      </c>
      <c r="AK46" s="747" t="str">
        <f t="shared" si="38"/>
        <v/>
      </c>
      <c r="AL46" s="1212">
        <f t="shared" si="39"/>
        <v>40</v>
      </c>
      <c r="AM46" s="1215" t="str">
        <f>IFERROR(INDEX('V-Fin'!A$300:AJ$400&amp;".",MATCH("*"&amp;J46&amp;"*",'V-Fin'!B$300:B$400,0)),"  ")</f>
        <v xml:space="preserve">  </v>
      </c>
      <c r="AN46" s="337">
        <f t="shared" si="40"/>
        <v>1</v>
      </c>
      <c r="AO46" s="336">
        <f t="shared" si="41"/>
        <v>1</v>
      </c>
      <c r="AP46" s="336">
        <f t="shared" si="42"/>
        <v>0</v>
      </c>
    </row>
    <row r="47" spans="1:42" ht="12.6" customHeight="1" x14ac:dyDescent="0.2">
      <c r="A47" s="1201">
        <f t="shared" si="23"/>
        <v>14</v>
      </c>
      <c r="B47" s="740">
        <f t="shared" si="24"/>
        <v>41</v>
      </c>
      <c r="C47" s="1199">
        <f t="shared" si="25"/>
        <v>35</v>
      </c>
      <c r="D47" s="1193">
        <f t="shared" si="26"/>
        <v>41</v>
      </c>
      <c r="E47" s="1195" t="str">
        <f t="shared" si="27"/>
        <v/>
      </c>
      <c r="F47" s="1193">
        <f t="shared" si="28"/>
        <v>-959</v>
      </c>
      <c r="G47" s="1207" t="str">
        <f t="shared" si="29"/>
        <v/>
      </c>
      <c r="H47" s="1193">
        <f t="shared" si="21"/>
        <v>-959</v>
      </c>
      <c r="I47" s="741">
        <f t="shared" si="30"/>
        <v>41</v>
      </c>
      <c r="J47" s="742" t="s">
        <v>250</v>
      </c>
      <c r="K47" s="743"/>
      <c r="L47" s="1198" t="str">
        <f t="shared" si="22"/>
        <v>m</v>
      </c>
      <c r="M47" s="744"/>
      <c r="N47" s="745" t="s">
        <v>230</v>
      </c>
      <c r="O47" s="751">
        <f t="shared" si="8"/>
        <v>11</v>
      </c>
      <c r="P47" s="746" t="str">
        <f>INDEX(ETAPP!B$1:B$32,MATCH(COUNTIF(W47:AI47,PVO!A$1),ETAPP!A$1:A$32,0))&amp;INDEX(ETAPP!B$1:B$32,MATCH(COUNTIF(W47:AI47,PVO!A$2),ETAPP!A$1:A$32,0))&amp;INDEX(ETAPP!B$1:B$32,MATCH(COUNTIF(W47:AI47,PVO!A$3),ETAPP!A$1:A$32,0))&amp;INDEX(ETAPP!B$1:B$32,MATCH(COUNTIF(W47:AI47,PVO!A$4),ETAPP!A$1:A$32,0))&amp;INDEX(ETAPP!B$1:B$32,MATCH(COUNTIF(W47:AI47,PVO!A$5),ETAPP!A$1:A$32,0))&amp;INDEX(ETAPP!B$1:B$32,MATCH(COUNTIF(W47:AI47,PVO!A$6),ETAPP!A$1:A$32,0))&amp;INDEX(ETAPP!B$1:B$32,MATCH(COUNTIF(W47:AI47,PVO!A$7),ETAPP!A$1:A$32,0))&amp;INDEX(ETAPP!B$1:B$32,MATCH(COUNTIF(W47:AI47,PVO!A$8),ETAPP!A$1:A$32,0))&amp;INDEX(ETAPP!B$1:B$32,MATCH(COUNTIF(W47:AI47,PVO!A$9),ETAPP!A$1:A$32,0))&amp;INDEX(ETAPP!B$1:B$32,MATCH(COUNTIF(W47:AI47,PVO!A$10),ETAPP!A$1:A$32,0))&amp;INDEX(ETAPP!B$1:B$32,MATCH(COUNTIF(W47:AI47,PVO!A$11),ETAPP!A$1:A$32,0))&amp;INDEX(ETAPP!B$1:B$32,MATCH(COUNTIF(W47:AI47,PVO!A$12),ETAPP!A$1:A$32,0))&amp;INDEX(ETAPP!B$1:B$32,MATCH(COUNTIF(W47:AI47,PVO!A$13),ETAPP!A$1:A$32,0))&amp;INDEX(ETAPP!B$1:B$32,MATCH(COUNTIF(W47:AI47,PVO!A$14),ETAPP!A$1:A$32,0))&amp;INDEX(ETAPP!B$1:B$32,MATCH(COUNTIF(W47:AI47,PVO!A$15),ETAPP!A$1:A$32,0))&amp;INDEX(ETAPP!B$1:B$32,MATCH(COUNTIF(W47:AI47,PVO!A$16),ETAPP!A$1:A$32,0))&amp;INDEX(ETAPP!B$1:B$32,MATCH(COUNTIF(W47:AI47,PVO!A$17),ETAPP!A$1:A$32,0))&amp;INDEX(ETAPP!B$1:B$32,MATCH(COUNTIF(W47:AI47,PVO!A$18),ETAPP!A$1:A$32,0))&amp;INDEX(ETAPP!B$1:B$32,MATCH(COUNTIF(W47:AI47,PVO!A$19),ETAPP!A$1:A$32,0))</f>
        <v>000000000A0000A000F</v>
      </c>
      <c r="Q47" s="746" t="str">
        <f t="shared" si="31"/>
        <v>011,0-000000000A0000A000F</v>
      </c>
      <c r="R47" s="746">
        <f t="shared" si="32"/>
        <v>41</v>
      </c>
      <c r="S47" s="746">
        <f t="shared" si="33"/>
        <v>41</v>
      </c>
      <c r="T47" s="746" t="str">
        <f t="shared" si="34"/>
        <v>011,0-000000000A0000A000F-041</v>
      </c>
      <c r="U47" s="746">
        <f t="shared" si="35"/>
        <v>41</v>
      </c>
      <c r="V47" s="746">
        <f t="shared" si="36"/>
        <v>16</v>
      </c>
      <c r="W47" s="679" t="str">
        <f>IFERROR(INDEX('V1'!C$300:C$400,MATCH("*"&amp;J47&amp;"*",'V1'!B$300:B$400,0)),"  ")</f>
        <v xml:space="preserve">  </v>
      </c>
      <c r="X47" s="679">
        <f>IFERROR(INDEX('V2'!C$300:C$400,MATCH("*"&amp;J47&amp;"*",'V2'!B$300:B$400,0)),"  ")</f>
        <v>3</v>
      </c>
      <c r="Y47" s="679">
        <f>IFERROR(INDEX('V3'!C$300:C$400,MATCH("*"&amp;J47&amp;"*",'V3'!B$300:B$400,0)),"  ")</f>
        <v>8</v>
      </c>
      <c r="Z47" s="679" t="str">
        <f>IFERROR(INDEX('V4'!C$300:C$400,MATCH("*"&amp;J47&amp;"*",'V4'!B$300:B$400,0)),"  ")</f>
        <v xml:space="preserve">  </v>
      </c>
      <c r="AA47" s="679" t="str">
        <f>IFERROR(INDEX('V5'!C$300:C$400,MATCH("*"&amp;J47&amp;"*",'V5'!B$300:B$400,0)),"  ")</f>
        <v xml:space="preserve">  </v>
      </c>
      <c r="AB47" s="679" t="str">
        <f>IFERROR(INDEX('V6'!C$300:C$400,MATCH("*"&amp;J47&amp;"*",'V6'!B$300:B$400,0)),"  ")</f>
        <v xml:space="preserve">  </v>
      </c>
      <c r="AC47" s="679" t="str">
        <f>IFERROR(INDEX('V7'!C$300:C$400,MATCH("*"&amp;J47&amp;"*",'V7'!B$300:B$400,0)),"  ")</f>
        <v xml:space="preserve">  </v>
      </c>
      <c r="AD47" s="679" t="str">
        <f>IFERROR(INDEX('V8'!C$300:C$400,MATCH("*"&amp;J47&amp;"*",'V8'!B$300:B$400,0)),"  ")</f>
        <v xml:space="preserve">  </v>
      </c>
      <c r="AE47" s="679" t="str">
        <f>IFERROR(INDEX('V9'!C$300:C$400,MATCH("*"&amp;J47&amp;"*",'V9'!B$300:B$400,0)),"  ")</f>
        <v xml:space="preserve">  </v>
      </c>
      <c r="AF47" s="679" t="str">
        <f>IFERROR(INDEX('V10'!C$300:C$400,MATCH("*"&amp;J47&amp;"*",'V10'!B$300:B$400,0)),"  ")</f>
        <v xml:space="preserve">  </v>
      </c>
      <c r="AG47" s="679" t="str">
        <f>IFERROR(INDEX('V11'!C$300:C$400,MATCH("*"&amp;J47&amp;"*",'V11'!B$300:B$400,0)),"  ")</f>
        <v xml:space="preserve">  </v>
      </c>
      <c r="AH47" s="679" t="str">
        <f>IFERROR(INDEX('V12'!C$300:C$400,MATCH("*"&amp;J47&amp;"*",'V12'!B$300:B$400,0)),"  ")</f>
        <v xml:space="preserve">  </v>
      </c>
      <c r="AI47" s="679" t="str">
        <f>IFERROR(INDEX('V13'!C$300:C$400,MATCH("*"&amp;J47&amp;"*",'V13'!B$300:B$400,0)),"  ")</f>
        <v xml:space="preserve">  </v>
      </c>
      <c r="AJ47" s="747">
        <f t="shared" si="37"/>
        <v>0</v>
      </c>
      <c r="AK47" s="747" t="str">
        <f t="shared" si="38"/>
        <v/>
      </c>
      <c r="AL47" s="1212">
        <f t="shared" si="39"/>
        <v>41</v>
      </c>
      <c r="AM47" s="1215" t="str">
        <f>IFERROR(INDEX('V-Fin'!A$300:AJ$400&amp;".",MATCH("*"&amp;J47&amp;"*",'V-Fin'!B$300:B$400,0)),"  ")</f>
        <v xml:space="preserve">  </v>
      </c>
      <c r="AN47" s="337">
        <f t="shared" si="40"/>
        <v>2</v>
      </c>
      <c r="AO47" s="336">
        <f t="shared" si="41"/>
        <v>0</v>
      </c>
      <c r="AP47" s="336">
        <f t="shared" si="42"/>
        <v>0</v>
      </c>
    </row>
    <row r="48" spans="1:42" ht="12.6" customHeight="1" x14ac:dyDescent="0.2">
      <c r="A48" s="1201">
        <f t="shared" si="23"/>
        <v>15</v>
      </c>
      <c r="B48" s="740">
        <f t="shared" si="24"/>
        <v>42</v>
      </c>
      <c r="C48" s="1199" t="str">
        <f t="shared" si="25"/>
        <v/>
      </c>
      <c r="D48" s="1193">
        <f t="shared" si="26"/>
        <v>-958</v>
      </c>
      <c r="E48" s="1195">
        <f t="shared" si="27"/>
        <v>7</v>
      </c>
      <c r="F48" s="1193">
        <f t="shared" si="28"/>
        <v>42</v>
      </c>
      <c r="G48" s="1207" t="str">
        <f t="shared" si="29"/>
        <v/>
      </c>
      <c r="H48" s="1193">
        <f t="shared" si="21"/>
        <v>-958</v>
      </c>
      <c r="I48" s="741">
        <f t="shared" si="30"/>
        <v>42</v>
      </c>
      <c r="J48" s="742" t="s">
        <v>248</v>
      </c>
      <c r="K48" s="743" t="s">
        <v>359</v>
      </c>
      <c r="L48" s="1198" t="str">
        <f t="shared" si="22"/>
        <v/>
      </c>
      <c r="M48" s="744"/>
      <c r="N48" s="745" t="s">
        <v>230</v>
      </c>
      <c r="O48" s="751">
        <f t="shared" si="8"/>
        <v>10</v>
      </c>
      <c r="P48" s="746" t="str">
        <f>INDEX(ETAPP!B$1:B$32,MATCH(COUNTIF(W48:AI48,PVO!A$1),ETAPP!A$1:A$32,0))&amp;INDEX(ETAPP!B$1:B$32,MATCH(COUNTIF(W48:AI48,PVO!A$2),ETAPP!A$1:A$32,0))&amp;INDEX(ETAPP!B$1:B$32,MATCH(COUNTIF(W48:AI48,PVO!A$3),ETAPP!A$1:A$32,0))&amp;INDEX(ETAPP!B$1:B$32,MATCH(COUNTIF(W48:AI48,PVO!A$4),ETAPP!A$1:A$32,0))&amp;INDEX(ETAPP!B$1:B$32,MATCH(COUNTIF(W48:AI48,PVO!A$5),ETAPP!A$1:A$32,0))&amp;INDEX(ETAPP!B$1:B$32,MATCH(COUNTIF(W48:AI48,PVO!A$6),ETAPP!A$1:A$32,0))&amp;INDEX(ETAPP!B$1:B$32,MATCH(COUNTIF(W48:AI48,PVO!A$7),ETAPP!A$1:A$32,0))&amp;INDEX(ETAPP!B$1:B$32,MATCH(COUNTIF(W48:AI48,PVO!A$8),ETAPP!A$1:A$32,0))&amp;INDEX(ETAPP!B$1:B$32,MATCH(COUNTIF(W48:AI48,PVO!A$9),ETAPP!A$1:A$32,0))&amp;INDEX(ETAPP!B$1:B$32,MATCH(COUNTIF(W48:AI48,PVO!A$10),ETAPP!A$1:A$32,0))&amp;INDEX(ETAPP!B$1:B$32,MATCH(COUNTIF(W48:AI48,PVO!A$11),ETAPP!A$1:A$32,0))&amp;INDEX(ETAPP!B$1:B$32,MATCH(COUNTIF(W48:AI48,PVO!A$12),ETAPP!A$1:A$32,0))&amp;INDEX(ETAPP!B$1:B$32,MATCH(COUNTIF(W48:AI48,PVO!A$13),ETAPP!A$1:A$32,0))&amp;INDEX(ETAPP!B$1:B$32,MATCH(COUNTIF(W48:AI48,PVO!A$14),ETAPP!A$1:A$32,0))&amp;INDEX(ETAPP!B$1:B$32,MATCH(COUNTIF(W48:AI48,PVO!A$15),ETAPP!A$1:A$32,0))&amp;INDEX(ETAPP!B$1:B$32,MATCH(COUNTIF(W48:AI48,PVO!A$16),ETAPP!A$1:A$32,0))&amp;INDEX(ETAPP!B$1:B$32,MATCH(COUNTIF(W48:AI48,PVO!A$17),ETAPP!A$1:A$32,0))&amp;INDEX(ETAPP!B$1:B$32,MATCH(COUNTIF(W48:AI48,PVO!A$18),ETAPP!A$1:A$32,0))&amp;INDEX(ETAPP!B$1:B$32,MATCH(COUNTIF(W48:AI48,PVO!A$19),ETAPP!A$1:A$32,0))</f>
        <v>0000000000A000A000F</v>
      </c>
      <c r="Q48" s="746" t="str">
        <f t="shared" si="31"/>
        <v>010,0-0000000000A000A000F</v>
      </c>
      <c r="R48" s="746">
        <f t="shared" si="32"/>
        <v>42</v>
      </c>
      <c r="S48" s="746">
        <f t="shared" si="33"/>
        <v>35</v>
      </c>
      <c r="T48" s="746" t="str">
        <f t="shared" si="34"/>
        <v>010,0-0000000000A000A000F-035</v>
      </c>
      <c r="U48" s="746">
        <f t="shared" si="35"/>
        <v>42</v>
      </c>
      <c r="V48" s="746">
        <f t="shared" si="36"/>
        <v>15</v>
      </c>
      <c r="W48" s="679" t="str">
        <f>IFERROR(INDEX('V1'!C$300:C$400,MATCH("*"&amp;J48&amp;"*",'V1'!B$300:B$400,0)),"  ")</f>
        <v xml:space="preserve">  </v>
      </c>
      <c r="X48" s="679" t="str">
        <f>IFERROR(INDEX('V2'!C$300:C$400,MATCH("*"&amp;J48&amp;"*",'V2'!B$300:B$400,0)),"  ")</f>
        <v xml:space="preserve">  </v>
      </c>
      <c r="Y48" s="679">
        <f>IFERROR(INDEX('V3'!C$300:C$400,MATCH("*"&amp;J48&amp;"*",'V3'!B$300:B$400,0)),"  ")</f>
        <v>7</v>
      </c>
      <c r="Z48" s="679" t="str">
        <f>IFERROR(INDEX('V4'!C$300:C$400,MATCH("*"&amp;J48&amp;"*",'V4'!B$300:B$400,0)),"  ")</f>
        <v xml:space="preserve">  </v>
      </c>
      <c r="AA48" s="679" t="str">
        <f>IFERROR(INDEX('V5'!C$300:C$400,MATCH("*"&amp;J48&amp;"*",'V5'!B$300:B$400,0)),"  ")</f>
        <v xml:space="preserve">  </v>
      </c>
      <c r="AB48" s="679">
        <f>IFERROR(INDEX('V6'!C$300:C$400,MATCH("*"&amp;J48&amp;"*",'V6'!B$300:B$400,0)),"  ")</f>
        <v>3</v>
      </c>
      <c r="AC48" s="679" t="str">
        <f>IFERROR(INDEX('V7'!C$300:C$400,MATCH("*"&amp;J48&amp;"*",'V7'!B$300:B$400,0)),"  ")</f>
        <v xml:space="preserve">  </v>
      </c>
      <c r="AD48" s="679" t="str">
        <f>IFERROR(INDEX('V8'!C$300:C$400,MATCH("*"&amp;J48&amp;"*",'V8'!B$300:B$400,0)),"  ")</f>
        <v xml:space="preserve">  </v>
      </c>
      <c r="AE48" s="679" t="str">
        <f>IFERROR(INDEX('V9'!C$300:C$400,MATCH("*"&amp;J48&amp;"*",'V9'!B$300:B$400,0)),"  ")</f>
        <v xml:space="preserve">  </v>
      </c>
      <c r="AF48" s="679" t="str">
        <f>IFERROR(INDEX('V10'!C$300:C$400,MATCH("*"&amp;J48&amp;"*",'V10'!B$300:B$400,0)),"  ")</f>
        <v xml:space="preserve">  </v>
      </c>
      <c r="AG48" s="679" t="str">
        <f>IFERROR(INDEX('V11'!C$300:C$400,MATCH("*"&amp;J48&amp;"*",'V11'!B$300:B$400,0)),"  ")</f>
        <v xml:space="preserve">  </v>
      </c>
      <c r="AH48" s="679" t="str">
        <f>IFERROR(INDEX('V12'!C$300:C$400,MATCH("*"&amp;J48&amp;"*",'V12'!B$300:B$400,0)),"  ")</f>
        <v xml:space="preserve">  </v>
      </c>
      <c r="AI48" s="679" t="str">
        <f>IFERROR(INDEX('V13'!C$300:C$400,MATCH("*"&amp;J48&amp;"*",'V13'!B$300:B$400,0)),"  ")</f>
        <v xml:space="preserve">  </v>
      </c>
      <c r="AJ48" s="747">
        <f t="shared" si="37"/>
        <v>0</v>
      </c>
      <c r="AK48" s="747" t="str">
        <f t="shared" si="38"/>
        <v/>
      </c>
      <c r="AL48" s="1212">
        <f t="shared" si="39"/>
        <v>42</v>
      </c>
      <c r="AM48" s="1215" t="str">
        <f>IFERROR(INDEX('V-Fin'!A$300:AJ$400&amp;".",MATCH("*"&amp;J48&amp;"*",'V-Fin'!B$300:B$400,0)),"  ")</f>
        <v xml:space="preserve">  </v>
      </c>
      <c r="AN48" s="337">
        <f t="shared" si="40"/>
        <v>2</v>
      </c>
      <c r="AO48" s="336">
        <f t="shared" si="41"/>
        <v>0</v>
      </c>
      <c r="AP48" s="336">
        <f t="shared" si="42"/>
        <v>0</v>
      </c>
    </row>
    <row r="49" spans="1:42" ht="12.6" customHeight="1" x14ac:dyDescent="0.2">
      <c r="A49" s="1201" t="str">
        <f t="shared" si="23"/>
        <v/>
      </c>
      <c r="B49" s="740">
        <f t="shared" si="24"/>
        <v>-957</v>
      </c>
      <c r="C49" s="1199">
        <f t="shared" si="25"/>
        <v>36</v>
      </c>
      <c r="D49" s="1193">
        <f t="shared" si="26"/>
        <v>43</v>
      </c>
      <c r="E49" s="1195" t="str">
        <f t="shared" si="27"/>
        <v/>
      </c>
      <c r="F49" s="1193">
        <f t="shared" si="28"/>
        <v>-957</v>
      </c>
      <c r="G49" s="1207" t="str">
        <f t="shared" si="29"/>
        <v/>
      </c>
      <c r="H49" s="1193">
        <f t="shared" si="21"/>
        <v>-957</v>
      </c>
      <c r="I49" s="741">
        <f t="shared" si="30"/>
        <v>43</v>
      </c>
      <c r="J49" s="750" t="s">
        <v>190</v>
      </c>
      <c r="K49" s="743"/>
      <c r="L49" s="1198" t="str">
        <f t="shared" si="22"/>
        <v>m</v>
      </c>
      <c r="M49" s="744"/>
      <c r="N49" s="745"/>
      <c r="O49" s="751">
        <f t="shared" si="8"/>
        <v>8</v>
      </c>
      <c r="P49" s="746" t="str">
        <f>INDEX(ETAPP!B$1:B$32,MATCH(COUNTIF(W49:AI49,PVO!A$1),ETAPP!A$1:A$32,0))&amp;INDEX(ETAPP!B$1:B$32,MATCH(COUNTIF(W49:AI49,PVO!A$2),ETAPP!A$1:A$32,0))&amp;INDEX(ETAPP!B$1:B$32,MATCH(COUNTIF(W49:AI49,PVO!A$3),ETAPP!A$1:A$32,0))&amp;INDEX(ETAPP!B$1:B$32,MATCH(COUNTIF(W49:AI49,PVO!A$4),ETAPP!A$1:A$32,0))&amp;INDEX(ETAPP!B$1:B$32,MATCH(COUNTIF(W49:AI49,PVO!A$5),ETAPP!A$1:A$32,0))&amp;INDEX(ETAPP!B$1:B$32,MATCH(COUNTIF(W49:AI49,PVO!A$6),ETAPP!A$1:A$32,0))&amp;INDEX(ETAPP!B$1:B$32,MATCH(COUNTIF(W49:AI49,PVO!A$7),ETAPP!A$1:A$32,0))&amp;INDEX(ETAPP!B$1:B$32,MATCH(COUNTIF(W49:AI49,PVO!A$8),ETAPP!A$1:A$32,0))&amp;INDEX(ETAPP!B$1:B$32,MATCH(COUNTIF(W49:AI49,PVO!A$9),ETAPP!A$1:A$32,0))&amp;INDEX(ETAPP!B$1:B$32,MATCH(COUNTIF(W49:AI49,PVO!A$10),ETAPP!A$1:A$32,0))&amp;INDEX(ETAPP!B$1:B$32,MATCH(COUNTIF(W49:AI49,PVO!A$11),ETAPP!A$1:A$32,0))&amp;INDEX(ETAPP!B$1:B$32,MATCH(COUNTIF(W49:AI49,PVO!A$12),ETAPP!A$1:A$32,0))&amp;INDEX(ETAPP!B$1:B$32,MATCH(COUNTIF(W49:AI49,PVO!A$13),ETAPP!A$1:A$32,0))&amp;INDEX(ETAPP!B$1:B$32,MATCH(COUNTIF(W49:AI49,PVO!A$14),ETAPP!A$1:A$32,0))&amp;INDEX(ETAPP!B$1:B$32,MATCH(COUNTIF(W49:AI49,PVO!A$15),ETAPP!A$1:A$32,0))&amp;INDEX(ETAPP!B$1:B$32,MATCH(COUNTIF(W49:AI49,PVO!A$16),ETAPP!A$1:A$32,0))&amp;INDEX(ETAPP!B$1:B$32,MATCH(COUNTIF(W49:AI49,PVO!A$17),ETAPP!A$1:A$32,0))&amp;INDEX(ETAPP!B$1:B$32,MATCH(COUNTIF(W49:AI49,PVO!A$18),ETAPP!A$1:A$32,0))&amp;INDEX(ETAPP!B$1:B$32,MATCH(COUNTIF(W49:AI49,PVO!A$19),ETAPP!A$1:A$32,0))</f>
        <v>000000000A00000000G</v>
      </c>
      <c r="Q49" s="746" t="str">
        <f t="shared" si="31"/>
        <v>008,0-000000000A00000000G</v>
      </c>
      <c r="R49" s="746">
        <f t="shared" si="32"/>
        <v>43</v>
      </c>
      <c r="S49" s="746">
        <f t="shared" si="33"/>
        <v>37</v>
      </c>
      <c r="T49" s="746" t="str">
        <f t="shared" si="34"/>
        <v>008,0-000000000A00000000G-037</v>
      </c>
      <c r="U49" s="746">
        <f t="shared" si="35"/>
        <v>43</v>
      </c>
      <c r="V49" s="746">
        <f t="shared" si="36"/>
        <v>14</v>
      </c>
      <c r="W49" s="679" t="str">
        <f>IFERROR(INDEX('V1'!C$300:C$400,MATCH("*"&amp;J49&amp;"*",'V1'!B$300:B$400,0)),"  ")</f>
        <v xml:space="preserve">  </v>
      </c>
      <c r="X49" s="679" t="str">
        <f>IFERROR(INDEX('V2'!C$300:C$400,MATCH("*"&amp;J49&amp;"*",'V2'!B$300:B$400,0)),"  ")</f>
        <v xml:space="preserve">  </v>
      </c>
      <c r="Y49" s="679" t="str">
        <f>IFERROR(INDEX('V3'!C$300:C$400,MATCH("*"&amp;J49&amp;"*",'V3'!B$300:B$400,0)),"  ")</f>
        <v xml:space="preserve">  </v>
      </c>
      <c r="Z49" s="679" t="str">
        <f>IFERROR(INDEX('V4'!C$300:C$400,MATCH("*"&amp;J49&amp;"*",'V4'!B$300:B$400,0)),"  ")</f>
        <v xml:space="preserve">  </v>
      </c>
      <c r="AA49" s="679" t="str">
        <f>IFERROR(INDEX('V5'!C$300:C$400,MATCH("*"&amp;J49&amp;"*",'V5'!B$300:B$400,0)),"  ")</f>
        <v xml:space="preserve">  </v>
      </c>
      <c r="AB49" s="679" t="str">
        <f>IFERROR(INDEX('V6'!C$300:C$400,MATCH("*"&amp;J49&amp;"*",'V6'!B$300:B$400,0)),"  ")</f>
        <v xml:space="preserve">  </v>
      </c>
      <c r="AC49" s="679" t="str">
        <f>IFERROR(INDEX('V7'!C$300:C$400,MATCH("*"&amp;J49&amp;"*",'V7'!B$300:B$400,0)),"  ")</f>
        <v xml:space="preserve">  </v>
      </c>
      <c r="AD49" s="679" t="str">
        <f>IFERROR(INDEX('V8'!C$300:C$400,MATCH("*"&amp;J49&amp;"*",'V8'!B$300:B$400,0)),"  ")</f>
        <v xml:space="preserve">  </v>
      </c>
      <c r="AE49" s="679" t="str">
        <f>IFERROR(INDEX('V9'!C$300:C$400,MATCH("*"&amp;J49&amp;"*",'V9'!B$300:B$400,0)),"  ")</f>
        <v xml:space="preserve">  </v>
      </c>
      <c r="AF49" s="679" t="str">
        <f>IFERROR(INDEX('V10'!C$300:C$400,MATCH("*"&amp;J49&amp;"*",'V10'!B$300:B$400,0)),"  ")</f>
        <v xml:space="preserve">  </v>
      </c>
      <c r="AG49" s="679" t="str">
        <f>IFERROR(INDEX('V11'!C$300:C$400,MATCH("*"&amp;J49&amp;"*",'V11'!B$300:B$400,0)),"  ")</f>
        <v xml:space="preserve">  </v>
      </c>
      <c r="AH49" s="679" t="str">
        <f>IFERROR(INDEX('V12'!C$300:C$400,MATCH("*"&amp;J49&amp;"*",'V12'!B$300:B$400,0)),"  ")</f>
        <v xml:space="preserve">  </v>
      </c>
      <c r="AI49" s="679">
        <f>IFERROR(INDEX('V13'!C$300:C$400,MATCH("*"&amp;J49&amp;"*",'V13'!B$300:B$400,0)),"  ")</f>
        <v>8</v>
      </c>
      <c r="AJ49" s="747">
        <f t="shared" si="37"/>
        <v>0</v>
      </c>
      <c r="AK49" s="747" t="str">
        <f t="shared" si="38"/>
        <v/>
      </c>
      <c r="AL49" s="1212">
        <f t="shared" si="39"/>
        <v>43</v>
      </c>
      <c r="AM49" s="1215" t="str">
        <f>IFERROR(INDEX('V-Fin'!A$300:AJ$400&amp;".",MATCH("*"&amp;J49&amp;"*",'V-Fin'!B$300:B$400,0)),"  ")</f>
        <v>4.</v>
      </c>
      <c r="AN49" s="337">
        <f t="shared" si="40"/>
        <v>1</v>
      </c>
      <c r="AO49" s="336">
        <f t="shared" si="41"/>
        <v>0</v>
      </c>
      <c r="AP49" s="336">
        <f t="shared" si="42"/>
        <v>0</v>
      </c>
    </row>
    <row r="50" spans="1:42" ht="12.6" customHeight="1" x14ac:dyDescent="0.2">
      <c r="A50" s="1201" t="str">
        <f t="shared" si="23"/>
        <v/>
      </c>
      <c r="B50" s="740">
        <f t="shared" si="24"/>
        <v>-956</v>
      </c>
      <c r="C50" s="1199" t="str">
        <f t="shared" si="25"/>
        <v/>
      </c>
      <c r="D50" s="1193">
        <f t="shared" si="26"/>
        <v>-956</v>
      </c>
      <c r="E50" s="1195">
        <f t="shared" si="27"/>
        <v>8</v>
      </c>
      <c r="F50" s="1193">
        <f t="shared" si="28"/>
        <v>44</v>
      </c>
      <c r="G50" s="1207" t="str">
        <f t="shared" si="29"/>
        <v/>
      </c>
      <c r="H50" s="1193">
        <f t="shared" si="21"/>
        <v>-956</v>
      </c>
      <c r="I50" s="741">
        <f t="shared" si="30"/>
        <v>44</v>
      </c>
      <c r="J50" s="742" t="s">
        <v>247</v>
      </c>
      <c r="K50" s="743" t="s">
        <v>359</v>
      </c>
      <c r="L50" s="1198" t="str">
        <f t="shared" si="22"/>
        <v/>
      </c>
      <c r="M50" s="744"/>
      <c r="N50" s="745"/>
      <c r="O50" s="751">
        <f t="shared" si="8"/>
        <v>8</v>
      </c>
      <c r="P50" s="746" t="str">
        <f>INDEX(ETAPP!B$1:B$32,MATCH(COUNTIF(W50:AI50,PVO!A$1),ETAPP!A$1:A$32,0))&amp;INDEX(ETAPP!B$1:B$32,MATCH(COUNTIF(W50:AI50,PVO!A$2),ETAPP!A$1:A$32,0))&amp;INDEX(ETAPP!B$1:B$32,MATCH(COUNTIF(W50:AI50,PVO!A$3),ETAPP!A$1:A$32,0))&amp;INDEX(ETAPP!B$1:B$32,MATCH(COUNTIF(W50:AI50,PVO!A$4),ETAPP!A$1:A$32,0))&amp;INDEX(ETAPP!B$1:B$32,MATCH(COUNTIF(W50:AI50,PVO!A$5),ETAPP!A$1:A$32,0))&amp;INDEX(ETAPP!B$1:B$32,MATCH(COUNTIF(W50:AI50,PVO!A$6),ETAPP!A$1:A$32,0))&amp;INDEX(ETAPP!B$1:B$32,MATCH(COUNTIF(W50:AI50,PVO!A$7),ETAPP!A$1:A$32,0))&amp;INDEX(ETAPP!B$1:B$32,MATCH(COUNTIF(W50:AI50,PVO!A$8),ETAPP!A$1:A$32,0))&amp;INDEX(ETAPP!B$1:B$32,MATCH(COUNTIF(W50:AI50,PVO!A$9),ETAPP!A$1:A$32,0))&amp;INDEX(ETAPP!B$1:B$32,MATCH(COUNTIF(W50:AI50,PVO!A$10),ETAPP!A$1:A$32,0))&amp;INDEX(ETAPP!B$1:B$32,MATCH(COUNTIF(W50:AI50,PVO!A$11),ETAPP!A$1:A$32,0))&amp;INDEX(ETAPP!B$1:B$32,MATCH(COUNTIF(W50:AI50,PVO!A$12),ETAPP!A$1:A$32,0))&amp;INDEX(ETAPP!B$1:B$32,MATCH(COUNTIF(W50:AI50,PVO!A$13),ETAPP!A$1:A$32,0))&amp;INDEX(ETAPP!B$1:B$32,MATCH(COUNTIF(W50:AI50,PVO!A$14),ETAPP!A$1:A$32,0))&amp;INDEX(ETAPP!B$1:B$32,MATCH(COUNTIF(W50:AI50,PVO!A$15),ETAPP!A$1:A$32,0))&amp;INDEX(ETAPP!B$1:B$32,MATCH(COUNTIF(W50:AI50,PVO!A$16),ETAPP!A$1:A$32,0))&amp;INDEX(ETAPP!B$1:B$32,MATCH(COUNTIF(W50:AI50,PVO!A$17),ETAPP!A$1:A$32,0))&amp;INDEX(ETAPP!B$1:B$32,MATCH(COUNTIF(W50:AI50,PVO!A$18),ETAPP!A$1:A$32,0))&amp;INDEX(ETAPP!B$1:B$32,MATCH(COUNTIF(W50:AI50,PVO!A$19),ETAPP!A$1:A$32,0))</f>
        <v>000000000000A0A000F</v>
      </c>
      <c r="Q50" s="746" t="str">
        <f t="shared" si="31"/>
        <v>008,0-000000000000A0A000F</v>
      </c>
      <c r="R50" s="746">
        <f t="shared" si="32"/>
        <v>44</v>
      </c>
      <c r="S50" s="746">
        <f t="shared" si="33"/>
        <v>22</v>
      </c>
      <c r="T50" s="746" t="str">
        <f t="shared" si="34"/>
        <v>008,0-000000000000A0A000F-022</v>
      </c>
      <c r="U50" s="746">
        <f t="shared" si="35"/>
        <v>44</v>
      </c>
      <c r="V50" s="746">
        <f t="shared" si="36"/>
        <v>13</v>
      </c>
      <c r="W50" s="679">
        <f>IFERROR(INDEX('V1'!C$300:C$400,MATCH("*"&amp;J50&amp;"*",'V1'!B$300:B$400,0)),"  ")</f>
        <v>5</v>
      </c>
      <c r="X50" s="679" t="str">
        <f>IFERROR(INDEX('V2'!C$300:C$400,MATCH("*"&amp;J50&amp;"*",'V2'!B$300:B$400,0)),"  ")</f>
        <v xml:space="preserve">  </v>
      </c>
      <c r="Y50" s="679" t="str">
        <f>IFERROR(INDEX('V3'!C$300:C$400,MATCH("*"&amp;J50&amp;"*",'V3'!B$300:B$400,0)),"  ")</f>
        <v xml:space="preserve">  </v>
      </c>
      <c r="Z50" s="679" t="str">
        <f>IFERROR(INDEX('V4'!C$300:C$400,MATCH("*"&amp;J50&amp;"*",'V4'!B$300:B$400,0)),"  ")</f>
        <v xml:space="preserve">  </v>
      </c>
      <c r="AA50" s="679" t="str">
        <f>IFERROR(INDEX('V5'!C$300:C$400,MATCH("*"&amp;J50&amp;"*",'V5'!B$300:B$400,0)),"  ")</f>
        <v xml:space="preserve">  </v>
      </c>
      <c r="AB50" s="679" t="str">
        <f>IFERROR(INDEX('V6'!C$300:C$400,MATCH("*"&amp;J50&amp;"*",'V6'!B$300:B$400,0)),"  ")</f>
        <v xml:space="preserve">  </v>
      </c>
      <c r="AC50" s="679" t="str">
        <f>IFERROR(INDEX('V7'!C$300:C$400,MATCH("*"&amp;J50&amp;"*",'V7'!B$300:B$400,0)),"  ")</f>
        <v xml:space="preserve">  </v>
      </c>
      <c r="AD50" s="679" t="str">
        <f>IFERROR(INDEX('V8'!C$300:C$400,MATCH("*"&amp;J50&amp;"*",'V8'!B$300:B$400,0)),"  ")</f>
        <v xml:space="preserve">  </v>
      </c>
      <c r="AE50" s="679" t="str">
        <f>IFERROR(INDEX('V9'!C$300:C$400,MATCH("*"&amp;J50&amp;"*",'V9'!B$300:B$400,0)),"  ")</f>
        <v xml:space="preserve">  </v>
      </c>
      <c r="AF50" s="679" t="str">
        <f>IFERROR(INDEX('V10'!C$300:C$400,MATCH("*"&amp;J50&amp;"*",'V10'!B$300:B$400,0)),"  ")</f>
        <v xml:space="preserve">  </v>
      </c>
      <c r="AG50" s="679" t="str">
        <f>IFERROR(INDEX('V11'!C$300:C$400,MATCH("*"&amp;J50&amp;"*",'V11'!B$300:B$400,0)),"  ")</f>
        <v xml:space="preserve">  </v>
      </c>
      <c r="AH50" s="679">
        <f>IFERROR(INDEX('V12'!C$300:C$400,MATCH("*"&amp;J50&amp;"*",'V12'!B$300:B$400,0)),"  ")</f>
        <v>3</v>
      </c>
      <c r="AI50" s="679" t="str">
        <f>IFERROR(INDEX('V13'!C$300:C$400,MATCH("*"&amp;J50&amp;"*",'V13'!B$300:B$400,0)),"  ")</f>
        <v xml:space="preserve">  </v>
      </c>
      <c r="AJ50" s="747">
        <f t="shared" si="37"/>
        <v>0</v>
      </c>
      <c r="AK50" s="747" t="str">
        <f t="shared" si="38"/>
        <v/>
      </c>
      <c r="AL50" s="1212">
        <f t="shared" si="39"/>
        <v>44</v>
      </c>
      <c r="AM50" s="1215" t="str">
        <f>IFERROR(INDEX('V-Fin'!A$300:AJ$400&amp;".",MATCH("*"&amp;J50&amp;"*",'V-Fin'!B$300:B$400,0)),"  ")</f>
        <v xml:space="preserve">  </v>
      </c>
      <c r="AN50" s="337">
        <f t="shared" si="40"/>
        <v>2</v>
      </c>
      <c r="AO50" s="336">
        <f t="shared" si="41"/>
        <v>0</v>
      </c>
      <c r="AP50" s="336">
        <f t="shared" si="42"/>
        <v>0</v>
      </c>
    </row>
    <row r="51" spans="1:42" ht="12.6" customHeight="1" x14ac:dyDescent="0.2">
      <c r="A51" s="1201">
        <f t="shared" si="23"/>
        <v>16</v>
      </c>
      <c r="B51" s="740">
        <f t="shared" si="24"/>
        <v>47</v>
      </c>
      <c r="C51" s="1199" t="str">
        <f t="shared" si="25"/>
        <v/>
      </c>
      <c r="D51" s="1193">
        <f t="shared" si="26"/>
        <v>-953</v>
      </c>
      <c r="E51" s="1195">
        <f t="shared" si="27"/>
        <v>9</v>
      </c>
      <c r="F51" s="1193">
        <f t="shared" si="28"/>
        <v>47</v>
      </c>
      <c r="G51" s="1226">
        <f t="shared" si="29"/>
        <v>3</v>
      </c>
      <c r="H51" s="1193">
        <f t="shared" si="21"/>
        <v>47</v>
      </c>
      <c r="I51" s="741">
        <f t="shared" si="30"/>
        <v>45</v>
      </c>
      <c r="J51" s="1402" t="s">
        <v>289</v>
      </c>
      <c r="K51" s="743" t="s">
        <v>359</v>
      </c>
      <c r="L51" s="1198" t="str">
        <f t="shared" si="22"/>
        <v/>
      </c>
      <c r="M51" s="744" t="s">
        <v>360</v>
      </c>
      <c r="N51" s="745" t="s">
        <v>230</v>
      </c>
      <c r="O51" s="751">
        <f t="shared" si="8"/>
        <v>7</v>
      </c>
      <c r="P51" s="746" t="str">
        <f>INDEX(ETAPP!B$1:B$32,MATCH(COUNTIF(W51:AI51,PVO!A$1),ETAPP!A$1:A$32,0))&amp;INDEX(ETAPP!B$1:B$32,MATCH(COUNTIF(W51:AI51,PVO!A$2),ETAPP!A$1:A$32,0))&amp;INDEX(ETAPP!B$1:B$32,MATCH(COUNTIF(W51:AI51,PVO!A$3),ETAPP!A$1:A$32,0))&amp;INDEX(ETAPP!B$1:B$32,MATCH(COUNTIF(W51:AI51,PVO!A$4),ETAPP!A$1:A$32,0))&amp;INDEX(ETAPP!B$1:B$32,MATCH(COUNTIF(W51:AI51,PVO!A$5),ETAPP!A$1:A$32,0))&amp;INDEX(ETAPP!B$1:B$32,MATCH(COUNTIF(W51:AI51,PVO!A$6),ETAPP!A$1:A$32,0))&amp;INDEX(ETAPP!B$1:B$32,MATCH(COUNTIF(W51:AI51,PVO!A$7),ETAPP!A$1:A$32,0))&amp;INDEX(ETAPP!B$1:B$32,MATCH(COUNTIF(W51:AI51,PVO!A$8),ETAPP!A$1:A$32,0))&amp;INDEX(ETAPP!B$1:B$32,MATCH(COUNTIF(W51:AI51,PVO!A$9),ETAPP!A$1:A$32,0))&amp;INDEX(ETAPP!B$1:B$32,MATCH(COUNTIF(W51:AI51,PVO!A$10),ETAPP!A$1:A$32,0))&amp;INDEX(ETAPP!B$1:B$32,MATCH(COUNTIF(W51:AI51,PVO!A$11),ETAPP!A$1:A$32,0))&amp;INDEX(ETAPP!B$1:B$32,MATCH(COUNTIF(W51:AI51,PVO!A$12),ETAPP!A$1:A$32,0))&amp;INDEX(ETAPP!B$1:B$32,MATCH(COUNTIF(W51:AI51,PVO!A$13),ETAPP!A$1:A$32,0))&amp;INDEX(ETAPP!B$1:B$32,MATCH(COUNTIF(W51:AI51,PVO!A$14),ETAPP!A$1:A$32,0))&amp;INDEX(ETAPP!B$1:B$32,MATCH(COUNTIF(W51:AI51,PVO!A$15),ETAPP!A$1:A$32,0))&amp;INDEX(ETAPP!B$1:B$32,MATCH(COUNTIF(W51:AI51,PVO!A$16),ETAPP!A$1:A$32,0))&amp;INDEX(ETAPP!B$1:B$32,MATCH(COUNTIF(W51:AI51,PVO!A$17),ETAPP!A$1:A$32,0))&amp;INDEX(ETAPP!B$1:B$32,MATCH(COUNTIF(W51:AI51,PVO!A$18),ETAPP!A$1:A$32,0))&amp;INDEX(ETAPP!B$1:B$32,MATCH(COUNTIF(W51:AI51,PVO!A$19),ETAPP!A$1:A$32,0))</f>
        <v>0000000000A0000000G</v>
      </c>
      <c r="Q51" s="746" t="str">
        <f t="shared" si="31"/>
        <v>007,0-0000000000A0000000G</v>
      </c>
      <c r="R51" s="746">
        <f t="shared" si="32"/>
        <v>47</v>
      </c>
      <c r="S51" s="746">
        <f t="shared" si="33"/>
        <v>47</v>
      </c>
      <c r="T51" s="746" t="str">
        <f t="shared" si="34"/>
        <v>007,0-0000000000A0000000G-047</v>
      </c>
      <c r="U51" s="746">
        <f t="shared" si="35"/>
        <v>45</v>
      </c>
      <c r="V51" s="746">
        <f t="shared" si="36"/>
        <v>12</v>
      </c>
      <c r="W51" s="679" t="str">
        <f>IFERROR(INDEX('V1'!C$300:C$400,MATCH("*"&amp;J51&amp;"*",'V1'!B$300:B$400,0)),"  ")</f>
        <v xml:space="preserve">  </v>
      </c>
      <c r="X51" s="679" t="str">
        <f>IFERROR(INDEX('V2'!C$300:C$400,MATCH("*"&amp;J51&amp;"*",'V2'!B$300:B$400,0)),"  ")</f>
        <v xml:space="preserve">  </v>
      </c>
      <c r="Y51" s="679">
        <f>IFERROR(INDEX('V3'!C$300:C$400,MATCH("*"&amp;J51&amp;"*",'V3'!B$300:B$400,0)),"  ")</f>
        <v>7</v>
      </c>
      <c r="Z51" s="679" t="str">
        <f>IFERROR(INDEX('V4'!C$300:C$400,MATCH("*"&amp;J51&amp;"*",'V4'!B$300:B$400,0)),"  ")</f>
        <v xml:space="preserve">  </v>
      </c>
      <c r="AA51" s="679" t="str">
        <f>IFERROR(INDEX('V5'!C$300:C$400,MATCH("*"&amp;J51&amp;"*",'V5'!B$300:B$400,0)),"  ")</f>
        <v xml:space="preserve">  </v>
      </c>
      <c r="AB51" s="679" t="str">
        <f>IFERROR(INDEX('V6'!C$300:C$400,MATCH("*"&amp;J51&amp;"*",'V6'!B$300:B$400,0)),"  ")</f>
        <v xml:space="preserve">  </v>
      </c>
      <c r="AC51" s="679" t="str">
        <f>IFERROR(INDEX('V7'!C$300:C$400,MATCH("*"&amp;J51&amp;"*",'V7'!B$300:B$400,0)),"  ")</f>
        <v xml:space="preserve">  </v>
      </c>
      <c r="AD51" s="679" t="str">
        <f>IFERROR(INDEX('V8'!C$300:C$400,MATCH("*"&amp;J51&amp;"*",'V8'!B$300:B$400,0)),"  ")</f>
        <v xml:space="preserve">  </v>
      </c>
      <c r="AE51" s="679" t="str">
        <f>IFERROR(INDEX('V9'!C$300:C$400,MATCH("*"&amp;J51&amp;"*",'V9'!B$300:B$400,0)),"  ")</f>
        <v xml:space="preserve">  </v>
      </c>
      <c r="AF51" s="679" t="str">
        <f>IFERROR(INDEX('V10'!C$300:C$400,MATCH("*"&amp;J51&amp;"*",'V10'!B$300:B$400,0)),"  ")</f>
        <v xml:space="preserve">  </v>
      </c>
      <c r="AG51" s="679" t="str">
        <f>IFERROR(INDEX('V11'!C$300:C$400,MATCH("*"&amp;J51&amp;"*",'V11'!B$300:B$400,0)),"  ")</f>
        <v xml:space="preserve">  </v>
      </c>
      <c r="AH51" s="679" t="str">
        <f>IFERROR(INDEX('V12'!C$300:C$400,MATCH("*"&amp;J51&amp;"*",'V12'!B$300:B$400,0)),"  ")</f>
        <v xml:space="preserve">  </v>
      </c>
      <c r="AI51" s="679" t="str">
        <f>IFERROR(INDEX('V13'!C$300:C$400,MATCH("*"&amp;J51&amp;"*",'V13'!B$300:B$400,0)),"  ")</f>
        <v xml:space="preserve">  </v>
      </c>
      <c r="AJ51" s="747">
        <f t="shared" si="37"/>
        <v>0</v>
      </c>
      <c r="AK51" s="747" t="str">
        <f t="shared" si="38"/>
        <v/>
      </c>
      <c r="AL51" s="1212">
        <f t="shared" si="39"/>
        <v>45</v>
      </c>
      <c r="AM51" s="1215" t="str">
        <f>IFERROR(INDEX('V-Fin'!A$300:AJ$400&amp;".",MATCH("*"&amp;J51&amp;"*",'V-Fin'!B$300:B$400,0)),"  ")</f>
        <v xml:space="preserve">  </v>
      </c>
      <c r="AN51" s="337">
        <f t="shared" si="40"/>
        <v>1</v>
      </c>
      <c r="AO51" s="336">
        <f t="shared" si="41"/>
        <v>0</v>
      </c>
      <c r="AP51" s="336">
        <f t="shared" si="42"/>
        <v>0</v>
      </c>
    </row>
    <row r="52" spans="1:42" ht="12.6" customHeight="1" x14ac:dyDescent="0.2">
      <c r="A52" s="1201" t="str">
        <f t="shared" si="23"/>
        <v/>
      </c>
      <c r="B52" s="740">
        <f t="shared" si="24"/>
        <v>-953</v>
      </c>
      <c r="C52" s="1199">
        <f t="shared" si="25"/>
        <v>37</v>
      </c>
      <c r="D52" s="1193">
        <f t="shared" si="26"/>
        <v>47</v>
      </c>
      <c r="E52" s="1195" t="str">
        <f t="shared" si="27"/>
        <v/>
      </c>
      <c r="F52" s="1193">
        <f t="shared" si="28"/>
        <v>-953</v>
      </c>
      <c r="G52" s="1207" t="str">
        <f t="shared" si="29"/>
        <v/>
      </c>
      <c r="H52" s="1193">
        <f t="shared" si="21"/>
        <v>-953</v>
      </c>
      <c r="I52" s="741">
        <f t="shared" si="30"/>
        <v>45</v>
      </c>
      <c r="J52" s="750" t="s">
        <v>204</v>
      </c>
      <c r="K52" s="743"/>
      <c r="L52" s="1198" t="str">
        <f t="shared" si="22"/>
        <v>m</v>
      </c>
      <c r="M52" s="744"/>
      <c r="N52" s="745"/>
      <c r="O52" s="751">
        <f t="shared" si="8"/>
        <v>7</v>
      </c>
      <c r="P52" s="746" t="str">
        <f>INDEX(ETAPP!B$1:B$32,MATCH(COUNTIF(W52:AI52,PVO!A$1),ETAPP!A$1:A$32,0))&amp;INDEX(ETAPP!B$1:B$32,MATCH(COUNTIF(W52:AI52,PVO!A$2),ETAPP!A$1:A$32,0))&amp;INDEX(ETAPP!B$1:B$32,MATCH(COUNTIF(W52:AI52,PVO!A$3),ETAPP!A$1:A$32,0))&amp;INDEX(ETAPP!B$1:B$32,MATCH(COUNTIF(W52:AI52,PVO!A$4),ETAPP!A$1:A$32,0))&amp;INDEX(ETAPP!B$1:B$32,MATCH(COUNTIF(W52:AI52,PVO!A$5),ETAPP!A$1:A$32,0))&amp;INDEX(ETAPP!B$1:B$32,MATCH(COUNTIF(W52:AI52,PVO!A$6),ETAPP!A$1:A$32,0))&amp;INDEX(ETAPP!B$1:B$32,MATCH(COUNTIF(W52:AI52,PVO!A$7),ETAPP!A$1:A$32,0))&amp;INDEX(ETAPP!B$1:B$32,MATCH(COUNTIF(W52:AI52,PVO!A$8),ETAPP!A$1:A$32,0))&amp;INDEX(ETAPP!B$1:B$32,MATCH(COUNTIF(W52:AI52,PVO!A$9),ETAPP!A$1:A$32,0))&amp;INDEX(ETAPP!B$1:B$32,MATCH(COUNTIF(W52:AI52,PVO!A$10),ETAPP!A$1:A$32,0))&amp;INDEX(ETAPP!B$1:B$32,MATCH(COUNTIF(W52:AI52,PVO!A$11),ETAPP!A$1:A$32,0))&amp;INDEX(ETAPP!B$1:B$32,MATCH(COUNTIF(W52:AI52,PVO!A$12),ETAPP!A$1:A$32,0))&amp;INDEX(ETAPP!B$1:B$32,MATCH(COUNTIF(W52:AI52,PVO!A$13),ETAPP!A$1:A$32,0))&amp;INDEX(ETAPP!B$1:B$32,MATCH(COUNTIF(W52:AI52,PVO!A$14),ETAPP!A$1:A$32,0))&amp;INDEX(ETAPP!B$1:B$32,MATCH(COUNTIF(W52:AI52,PVO!A$15),ETAPP!A$1:A$32,0))&amp;INDEX(ETAPP!B$1:B$32,MATCH(COUNTIF(W52:AI52,PVO!A$16),ETAPP!A$1:A$32,0))&amp;INDEX(ETAPP!B$1:B$32,MATCH(COUNTIF(W52:AI52,PVO!A$17),ETAPP!A$1:A$32,0))&amp;INDEX(ETAPP!B$1:B$32,MATCH(COUNTIF(W52:AI52,PVO!A$18),ETAPP!A$1:A$32,0))&amp;INDEX(ETAPP!B$1:B$32,MATCH(COUNTIF(W52:AI52,PVO!A$19),ETAPP!A$1:A$32,0))</f>
        <v>0000000000A0000000G</v>
      </c>
      <c r="Q52" s="746" t="str">
        <f t="shared" si="31"/>
        <v>007,0-0000000000A0000000G</v>
      </c>
      <c r="R52" s="746">
        <f t="shared" si="32"/>
        <v>47</v>
      </c>
      <c r="S52" s="746">
        <f t="shared" si="33"/>
        <v>21</v>
      </c>
      <c r="T52" s="746" t="str">
        <f t="shared" si="34"/>
        <v>007,0-0000000000A0000000G-021</v>
      </c>
      <c r="U52" s="746">
        <f t="shared" si="35"/>
        <v>46</v>
      </c>
      <c r="V52" s="746">
        <f t="shared" si="36"/>
        <v>11</v>
      </c>
      <c r="W52" s="679" t="str">
        <f>IFERROR(INDEX('V1'!C$300:C$400,MATCH("*"&amp;J52&amp;"*",'V1'!B$300:B$400,0)),"  ")</f>
        <v xml:space="preserve">  </v>
      </c>
      <c r="X52" s="679">
        <f>IFERROR(INDEX('V2'!C$300:C$400,MATCH("*"&amp;J52&amp;"*",'V2'!B$300:B$400,0)),"  ")</f>
        <v>7</v>
      </c>
      <c r="Y52" s="679" t="str">
        <f>IFERROR(INDEX('V3'!C$300:C$400,MATCH("*"&amp;J52&amp;"*",'V3'!B$300:B$400,0)),"  ")</f>
        <v xml:space="preserve">  </v>
      </c>
      <c r="Z52" s="679" t="str">
        <f>IFERROR(INDEX('V4'!C$300:C$400,MATCH("*"&amp;J52&amp;"*",'V4'!B$300:B$400,0)),"  ")</f>
        <v xml:space="preserve">  </v>
      </c>
      <c r="AA52" s="679" t="str">
        <f>IFERROR(INDEX('V5'!C$300:C$400,MATCH("*"&amp;J52&amp;"*",'V5'!B$300:B$400,0)),"  ")</f>
        <v xml:space="preserve">  </v>
      </c>
      <c r="AB52" s="679" t="str">
        <f>IFERROR(INDEX('V6'!C$300:C$400,MATCH("*"&amp;J52&amp;"*",'V6'!B$300:B$400,0)),"  ")</f>
        <v xml:space="preserve">  </v>
      </c>
      <c r="AC52" s="679" t="str">
        <f>IFERROR(INDEX('V7'!C$300:C$400,MATCH("*"&amp;J52&amp;"*",'V7'!B$300:B$400,0)),"  ")</f>
        <v xml:space="preserve">  </v>
      </c>
      <c r="AD52" s="679" t="str">
        <f>IFERROR(INDEX('V8'!C$300:C$400,MATCH("*"&amp;J52&amp;"*",'V8'!B$300:B$400,0)),"  ")</f>
        <v xml:space="preserve">  </v>
      </c>
      <c r="AE52" s="679" t="str">
        <f>IFERROR(INDEX('V9'!C$300:C$400,MATCH("*"&amp;J52&amp;"*",'V9'!B$300:B$400,0)),"  ")</f>
        <v xml:space="preserve">  </v>
      </c>
      <c r="AF52" s="679" t="str">
        <f>IFERROR(INDEX('V10'!C$300:C$400,MATCH("*"&amp;J52&amp;"*",'V10'!B$300:B$400,0)),"  ")</f>
        <v xml:space="preserve">  </v>
      </c>
      <c r="AG52" s="679" t="str">
        <f>IFERROR(INDEX('V11'!C$300:C$400,MATCH("*"&amp;J52&amp;"*",'V11'!B$300:B$400,0)),"  ")</f>
        <v xml:space="preserve">  </v>
      </c>
      <c r="AH52" s="679" t="str">
        <f>IFERROR(INDEX('V12'!C$300:C$400,MATCH("*"&amp;J52&amp;"*",'V12'!B$300:B$400,0)),"  ")</f>
        <v xml:space="preserve">  </v>
      </c>
      <c r="AI52" s="679" t="str">
        <f>IFERROR(INDEX('V13'!C$300:C$400,MATCH("*"&amp;J52&amp;"*",'V13'!B$300:B$400,0)),"  ")</f>
        <v xml:space="preserve">  </v>
      </c>
      <c r="AJ52" s="747">
        <f t="shared" si="37"/>
        <v>0</v>
      </c>
      <c r="AK52" s="747" t="str">
        <f t="shared" si="38"/>
        <v/>
      </c>
      <c r="AL52" s="1212">
        <f t="shared" si="39"/>
        <v>45</v>
      </c>
      <c r="AM52" s="1215" t="str">
        <f>IFERROR(INDEX('V-Fin'!A$300:AJ$400&amp;".",MATCH("*"&amp;J52&amp;"*",'V-Fin'!B$300:B$400,0)),"  ")</f>
        <v xml:space="preserve">  </v>
      </c>
      <c r="AN52" s="337">
        <f t="shared" si="40"/>
        <v>1</v>
      </c>
      <c r="AO52" s="336">
        <f t="shared" si="41"/>
        <v>0</v>
      </c>
      <c r="AP52" s="336">
        <f t="shared" si="42"/>
        <v>0</v>
      </c>
    </row>
    <row r="53" spans="1:42" ht="12.6" customHeight="1" x14ac:dyDescent="0.2">
      <c r="A53" s="1201" t="str">
        <f t="shared" si="23"/>
        <v/>
      </c>
      <c r="B53" s="740">
        <f t="shared" si="24"/>
        <v>-953</v>
      </c>
      <c r="C53" s="1199">
        <f t="shared" si="25"/>
        <v>37</v>
      </c>
      <c r="D53" s="1193">
        <f t="shared" si="26"/>
        <v>47</v>
      </c>
      <c r="E53" s="1195" t="str">
        <f t="shared" si="27"/>
        <v/>
      </c>
      <c r="F53" s="1193">
        <f t="shared" si="28"/>
        <v>-953</v>
      </c>
      <c r="G53" s="1207" t="str">
        <f t="shared" si="29"/>
        <v/>
      </c>
      <c r="H53" s="1193">
        <f t="shared" si="21"/>
        <v>-953</v>
      </c>
      <c r="I53" s="741">
        <f t="shared" si="30"/>
        <v>45</v>
      </c>
      <c r="J53" s="750" t="s">
        <v>292</v>
      </c>
      <c r="K53" s="743"/>
      <c r="L53" s="1198" t="str">
        <f t="shared" si="22"/>
        <v>m</v>
      </c>
      <c r="M53" s="744"/>
      <c r="N53" s="745"/>
      <c r="O53" s="751">
        <f t="shared" si="8"/>
        <v>7</v>
      </c>
      <c r="P53" s="746" t="str">
        <f>INDEX(ETAPP!B$1:B$32,MATCH(COUNTIF(W53:AI53,PVO!A$1),ETAPP!A$1:A$32,0))&amp;INDEX(ETAPP!B$1:B$32,MATCH(COUNTIF(W53:AI53,PVO!A$2),ETAPP!A$1:A$32,0))&amp;INDEX(ETAPP!B$1:B$32,MATCH(COUNTIF(W53:AI53,PVO!A$3),ETAPP!A$1:A$32,0))&amp;INDEX(ETAPP!B$1:B$32,MATCH(COUNTIF(W53:AI53,PVO!A$4),ETAPP!A$1:A$32,0))&amp;INDEX(ETAPP!B$1:B$32,MATCH(COUNTIF(W53:AI53,PVO!A$5),ETAPP!A$1:A$32,0))&amp;INDEX(ETAPP!B$1:B$32,MATCH(COUNTIF(W53:AI53,PVO!A$6),ETAPP!A$1:A$32,0))&amp;INDEX(ETAPP!B$1:B$32,MATCH(COUNTIF(W53:AI53,PVO!A$7),ETAPP!A$1:A$32,0))&amp;INDEX(ETAPP!B$1:B$32,MATCH(COUNTIF(W53:AI53,PVO!A$8),ETAPP!A$1:A$32,0))&amp;INDEX(ETAPP!B$1:B$32,MATCH(COUNTIF(W53:AI53,PVO!A$9),ETAPP!A$1:A$32,0))&amp;INDEX(ETAPP!B$1:B$32,MATCH(COUNTIF(W53:AI53,PVO!A$10),ETAPP!A$1:A$32,0))&amp;INDEX(ETAPP!B$1:B$32,MATCH(COUNTIF(W53:AI53,PVO!A$11),ETAPP!A$1:A$32,0))&amp;INDEX(ETAPP!B$1:B$32,MATCH(COUNTIF(W53:AI53,PVO!A$12),ETAPP!A$1:A$32,0))&amp;INDEX(ETAPP!B$1:B$32,MATCH(COUNTIF(W53:AI53,PVO!A$13),ETAPP!A$1:A$32,0))&amp;INDEX(ETAPP!B$1:B$32,MATCH(COUNTIF(W53:AI53,PVO!A$14),ETAPP!A$1:A$32,0))&amp;INDEX(ETAPP!B$1:B$32,MATCH(COUNTIF(W53:AI53,PVO!A$15),ETAPP!A$1:A$32,0))&amp;INDEX(ETAPP!B$1:B$32,MATCH(COUNTIF(W53:AI53,PVO!A$16),ETAPP!A$1:A$32,0))&amp;INDEX(ETAPP!B$1:B$32,MATCH(COUNTIF(W53:AI53,PVO!A$17),ETAPP!A$1:A$32,0))&amp;INDEX(ETAPP!B$1:B$32,MATCH(COUNTIF(W53:AI53,PVO!A$18),ETAPP!A$1:A$32,0))&amp;INDEX(ETAPP!B$1:B$32,MATCH(COUNTIF(W53:AI53,PVO!A$19),ETAPP!A$1:A$32,0))</f>
        <v>0000000000A0000000G</v>
      </c>
      <c r="Q53" s="746" t="str">
        <f t="shared" si="31"/>
        <v>007,0-0000000000A0000000G</v>
      </c>
      <c r="R53" s="746">
        <f t="shared" si="32"/>
        <v>47</v>
      </c>
      <c r="S53" s="746">
        <f t="shared" si="33"/>
        <v>14</v>
      </c>
      <c r="T53" s="746" t="str">
        <f t="shared" si="34"/>
        <v>007,0-0000000000A0000000G-014</v>
      </c>
      <c r="U53" s="746">
        <f t="shared" si="35"/>
        <v>47</v>
      </c>
      <c r="V53" s="746">
        <f t="shared" si="36"/>
        <v>10</v>
      </c>
      <c r="W53" s="679" t="str">
        <f>IFERROR(INDEX('V1'!C$300:C$400,MATCH("*"&amp;J53&amp;"*",'V1'!B$300:B$400,0)),"  ")</f>
        <v xml:space="preserve">  </v>
      </c>
      <c r="X53" s="679" t="str">
        <f>IFERROR(INDEX('V2'!C$300:C$400,MATCH("*"&amp;J53&amp;"*",'V2'!B$300:B$400,0)),"  ")</f>
        <v xml:space="preserve">  </v>
      </c>
      <c r="Y53" s="679" t="str">
        <f>IFERROR(INDEX('V3'!C$300:C$400,MATCH("*"&amp;J53&amp;"*",'V3'!B$300:B$400,0)),"  ")</f>
        <v xml:space="preserve">  </v>
      </c>
      <c r="Z53" s="679">
        <f>IFERROR(INDEX('V4'!C$300:C$400,MATCH("*"&amp;J53&amp;"*",'V4'!B$300:B$400,0)),"  ")</f>
        <v>7</v>
      </c>
      <c r="AA53" s="679" t="str">
        <f>IFERROR(INDEX('V5'!C$300:C$400,MATCH("*"&amp;J53&amp;"*",'V5'!B$300:B$400,0)),"  ")</f>
        <v xml:space="preserve">  </v>
      </c>
      <c r="AB53" s="679" t="str">
        <f>IFERROR(INDEX('V6'!C$300:C$400,MATCH("*"&amp;J53&amp;"*",'V6'!B$300:B$400,0)),"  ")</f>
        <v xml:space="preserve">  </v>
      </c>
      <c r="AC53" s="679" t="str">
        <f>IFERROR(INDEX('V7'!C$300:C$400,MATCH("*"&amp;J53&amp;"*",'V7'!B$300:B$400,0)),"  ")</f>
        <v xml:space="preserve">  </v>
      </c>
      <c r="AD53" s="679" t="str">
        <f>IFERROR(INDEX('V8'!C$300:C$400,MATCH("*"&amp;J53&amp;"*",'V8'!B$300:B$400,0)),"  ")</f>
        <v xml:space="preserve">  </v>
      </c>
      <c r="AE53" s="679" t="str">
        <f>IFERROR(INDEX('V9'!C$300:C$400,MATCH("*"&amp;J53&amp;"*",'V9'!B$300:B$400,0)),"  ")</f>
        <v xml:space="preserve">  </v>
      </c>
      <c r="AF53" s="679" t="str">
        <f>IFERROR(INDEX('V10'!C$300:C$400,MATCH("*"&amp;J53&amp;"*",'V10'!B$300:B$400,0)),"  ")</f>
        <v xml:space="preserve">  </v>
      </c>
      <c r="AG53" s="679" t="str">
        <f>IFERROR(INDEX('V11'!C$300:C$400,MATCH("*"&amp;J53&amp;"*",'V11'!B$300:B$400,0)),"  ")</f>
        <v xml:space="preserve">  </v>
      </c>
      <c r="AH53" s="679" t="str">
        <f>IFERROR(INDEX('V12'!C$300:C$400,MATCH("*"&amp;J53&amp;"*",'V12'!B$300:B$400,0)),"  ")</f>
        <v xml:space="preserve">  </v>
      </c>
      <c r="AI53" s="679" t="str">
        <f>IFERROR(INDEX('V13'!C$300:C$400,MATCH("*"&amp;J53&amp;"*",'V13'!B$300:B$400,0)),"  ")</f>
        <v xml:space="preserve">  </v>
      </c>
      <c r="AJ53" s="747">
        <f t="shared" si="37"/>
        <v>0</v>
      </c>
      <c r="AK53" s="747" t="str">
        <f t="shared" si="38"/>
        <v/>
      </c>
      <c r="AL53" s="1212">
        <f t="shared" si="39"/>
        <v>45</v>
      </c>
      <c r="AM53" s="1215" t="str">
        <f>IFERROR(INDEX('V-Fin'!A$300:AJ$400&amp;".",MATCH("*"&amp;J53&amp;"*",'V-Fin'!B$300:B$400,0)),"  ")</f>
        <v xml:space="preserve">  </v>
      </c>
      <c r="AN53" s="337">
        <f t="shared" si="40"/>
        <v>1</v>
      </c>
      <c r="AO53" s="336">
        <f t="shared" si="41"/>
        <v>1</v>
      </c>
      <c r="AP53" s="336">
        <f t="shared" si="42"/>
        <v>0</v>
      </c>
    </row>
    <row r="54" spans="1:42" ht="12.6" customHeight="1" x14ac:dyDescent="0.2">
      <c r="A54" s="1201">
        <f t="shared" si="23"/>
        <v>17</v>
      </c>
      <c r="B54" s="740">
        <f t="shared" si="24"/>
        <v>48</v>
      </c>
      <c r="C54" s="1199">
        <f t="shared" si="25"/>
        <v>39</v>
      </c>
      <c r="D54" s="1193">
        <f t="shared" si="26"/>
        <v>48</v>
      </c>
      <c r="E54" s="1195" t="str">
        <f t="shared" si="27"/>
        <v/>
      </c>
      <c r="F54" s="1193">
        <f t="shared" si="28"/>
        <v>-952</v>
      </c>
      <c r="G54" s="1207" t="str">
        <f t="shared" si="29"/>
        <v/>
      </c>
      <c r="H54" s="1193">
        <f t="shared" si="21"/>
        <v>-952</v>
      </c>
      <c r="I54" s="741">
        <f t="shared" si="30"/>
        <v>48</v>
      </c>
      <c r="J54" s="750" t="s">
        <v>300</v>
      </c>
      <c r="K54" s="743"/>
      <c r="L54" s="1198" t="str">
        <f t="shared" si="22"/>
        <v>m</v>
      </c>
      <c r="M54" s="744"/>
      <c r="N54" s="745" t="s">
        <v>230</v>
      </c>
      <c r="O54" s="751">
        <f t="shared" si="8"/>
        <v>6</v>
      </c>
      <c r="P54" s="746" t="str">
        <f>INDEX(ETAPP!B$1:B$32,MATCH(COUNTIF(W54:AI54,PVO!A$1),ETAPP!A$1:A$32,0))&amp;INDEX(ETAPP!B$1:B$32,MATCH(COUNTIF(W54:AI54,PVO!A$2),ETAPP!A$1:A$32,0))&amp;INDEX(ETAPP!B$1:B$32,MATCH(COUNTIF(W54:AI54,PVO!A$3),ETAPP!A$1:A$32,0))&amp;INDEX(ETAPP!B$1:B$32,MATCH(COUNTIF(W54:AI54,PVO!A$4),ETAPP!A$1:A$32,0))&amp;INDEX(ETAPP!B$1:B$32,MATCH(COUNTIF(W54:AI54,PVO!A$5),ETAPP!A$1:A$32,0))&amp;INDEX(ETAPP!B$1:B$32,MATCH(COUNTIF(W54:AI54,PVO!A$6),ETAPP!A$1:A$32,0))&amp;INDEX(ETAPP!B$1:B$32,MATCH(COUNTIF(W54:AI54,PVO!A$7),ETAPP!A$1:A$32,0))&amp;INDEX(ETAPP!B$1:B$32,MATCH(COUNTIF(W54:AI54,PVO!A$8),ETAPP!A$1:A$32,0))&amp;INDEX(ETAPP!B$1:B$32,MATCH(COUNTIF(W54:AI54,PVO!A$9),ETAPP!A$1:A$32,0))&amp;INDEX(ETAPP!B$1:B$32,MATCH(COUNTIF(W54:AI54,PVO!A$10),ETAPP!A$1:A$32,0))&amp;INDEX(ETAPP!B$1:B$32,MATCH(COUNTIF(W54:AI54,PVO!A$11),ETAPP!A$1:A$32,0))&amp;INDEX(ETAPP!B$1:B$32,MATCH(COUNTIF(W54:AI54,PVO!A$12),ETAPP!A$1:A$32,0))&amp;INDEX(ETAPP!B$1:B$32,MATCH(COUNTIF(W54:AI54,PVO!A$13),ETAPP!A$1:A$32,0))&amp;INDEX(ETAPP!B$1:B$32,MATCH(COUNTIF(W54:AI54,PVO!A$14),ETAPP!A$1:A$32,0))&amp;INDEX(ETAPP!B$1:B$32,MATCH(COUNTIF(W54:AI54,PVO!A$15),ETAPP!A$1:A$32,0))&amp;INDEX(ETAPP!B$1:B$32,MATCH(COUNTIF(W54:AI54,PVO!A$16),ETAPP!A$1:A$32,0))&amp;INDEX(ETAPP!B$1:B$32,MATCH(COUNTIF(W54:AI54,PVO!A$17),ETAPP!A$1:A$32,0))&amp;INDEX(ETAPP!B$1:B$32,MATCH(COUNTIF(W54:AI54,PVO!A$18),ETAPP!A$1:A$32,0))&amp;INDEX(ETAPP!B$1:B$32,MATCH(COUNTIF(W54:AI54,PVO!A$19),ETAPP!A$1:A$32,0))</f>
        <v>00000000000A000000G</v>
      </c>
      <c r="Q54" s="746" t="str">
        <f t="shared" si="31"/>
        <v>006,0-00000000000A000000G</v>
      </c>
      <c r="R54" s="746">
        <f t="shared" si="32"/>
        <v>48</v>
      </c>
      <c r="S54" s="746">
        <f t="shared" si="33"/>
        <v>10</v>
      </c>
      <c r="T54" s="746" t="str">
        <f t="shared" si="34"/>
        <v>006,0-00000000000A000000G-010</v>
      </c>
      <c r="U54" s="746">
        <f t="shared" si="35"/>
        <v>48</v>
      </c>
      <c r="V54" s="746">
        <f t="shared" si="36"/>
        <v>9</v>
      </c>
      <c r="W54" s="679" t="str">
        <f>IFERROR(INDEX('V1'!C$300:C$400,MATCH("*"&amp;J54&amp;"*",'V1'!B$300:B$400,0)),"  ")</f>
        <v xml:space="preserve">  </v>
      </c>
      <c r="X54" s="679" t="str">
        <f>IFERROR(INDEX('V2'!C$300:C$400,MATCH("*"&amp;J54&amp;"*",'V2'!B$300:B$400,0)),"  ")</f>
        <v xml:space="preserve">  </v>
      </c>
      <c r="Y54" s="679" t="str">
        <f>IFERROR(INDEX('V3'!C$300:C$400,MATCH("*"&amp;J54&amp;"*",'V3'!B$300:B$400,0)),"  ")</f>
        <v xml:space="preserve">  </v>
      </c>
      <c r="Z54" s="679" t="str">
        <f>IFERROR(INDEX('V4'!C$300:C$400,MATCH("*"&amp;J54&amp;"*",'V4'!B$300:B$400,0)),"  ")</f>
        <v xml:space="preserve">  </v>
      </c>
      <c r="AA54" s="679">
        <f>IFERROR(INDEX('V5'!C$300:C$400,MATCH("*"&amp;J54&amp;"*",'V5'!B$300:B$400,0)),"  ")</f>
        <v>6</v>
      </c>
      <c r="AB54" s="679" t="str">
        <f>IFERROR(INDEX('V6'!C$300:C$400,MATCH("*"&amp;J54&amp;"*",'V6'!B$300:B$400,0)),"  ")</f>
        <v xml:space="preserve">  </v>
      </c>
      <c r="AC54" s="679" t="str">
        <f>IFERROR(INDEX('V7'!C$300:C$400,MATCH("*"&amp;J54&amp;"*",'V7'!B$300:B$400,0)),"  ")</f>
        <v xml:space="preserve">  </v>
      </c>
      <c r="AD54" s="679" t="str">
        <f>IFERROR(INDEX('V8'!C$300:C$400,MATCH("*"&amp;J54&amp;"*",'V8'!B$300:B$400,0)),"  ")</f>
        <v xml:space="preserve">  </v>
      </c>
      <c r="AE54" s="679" t="str">
        <f>IFERROR(INDEX('V9'!C$300:C$400,MATCH("*"&amp;J54&amp;"*",'V9'!B$300:B$400,0)),"  ")</f>
        <v xml:space="preserve">  </v>
      </c>
      <c r="AF54" s="679" t="str">
        <f>IFERROR(INDEX('V10'!C$300:C$400,MATCH("*"&amp;J54&amp;"*",'V10'!B$300:B$400,0)),"  ")</f>
        <v xml:space="preserve">  </v>
      </c>
      <c r="AG54" s="679" t="str">
        <f>IFERROR(INDEX('V11'!C$300:C$400,MATCH("*"&amp;J54&amp;"*",'V11'!B$300:B$400,0)),"  ")</f>
        <v xml:space="preserve">  </v>
      </c>
      <c r="AH54" s="679" t="str">
        <f>IFERROR(INDEX('V12'!C$300:C$400,MATCH("*"&amp;J54&amp;"*",'V12'!B$300:B$400,0)),"  ")</f>
        <v xml:space="preserve">  </v>
      </c>
      <c r="AI54" s="679" t="str">
        <f>IFERROR(INDEX('V13'!C$300:C$400,MATCH("*"&amp;J54&amp;"*",'V13'!B$300:B$400,0)),"  ")</f>
        <v xml:space="preserve">  </v>
      </c>
      <c r="AJ54" s="747">
        <f t="shared" si="37"/>
        <v>0</v>
      </c>
      <c r="AK54" s="747" t="str">
        <f t="shared" si="38"/>
        <v/>
      </c>
      <c r="AL54" s="1212">
        <f t="shared" si="39"/>
        <v>48</v>
      </c>
      <c r="AM54" s="1215" t="str">
        <f>IFERROR(INDEX('V-Fin'!A$300:AJ$400&amp;".",MATCH("*"&amp;J54&amp;"*",'V-Fin'!B$300:B$400,0)),"  ")</f>
        <v xml:space="preserve">  </v>
      </c>
      <c r="AN54" s="337">
        <f t="shared" si="40"/>
        <v>1</v>
      </c>
      <c r="AO54" s="336">
        <f t="shared" si="41"/>
        <v>0</v>
      </c>
      <c r="AP54" s="336">
        <f t="shared" si="42"/>
        <v>0</v>
      </c>
    </row>
    <row r="55" spans="1:42" ht="12.6" customHeight="1" x14ac:dyDescent="0.2">
      <c r="A55" s="1201">
        <f t="shared" si="23"/>
        <v>18</v>
      </c>
      <c r="B55" s="740">
        <f t="shared" si="24"/>
        <v>49</v>
      </c>
      <c r="C55" s="1199" t="str">
        <f t="shared" si="25"/>
        <v/>
      </c>
      <c r="D55" s="1193">
        <f t="shared" si="26"/>
        <v>-951</v>
      </c>
      <c r="E55" s="1195">
        <f t="shared" si="27"/>
        <v>10</v>
      </c>
      <c r="F55" s="1193">
        <f t="shared" si="28"/>
        <v>49</v>
      </c>
      <c r="G55" s="1207">
        <f t="shared" si="29"/>
        <v>4</v>
      </c>
      <c r="H55" s="1193">
        <f t="shared" si="21"/>
        <v>49</v>
      </c>
      <c r="I55" s="741">
        <f t="shared" si="30"/>
        <v>49</v>
      </c>
      <c r="J55" s="750" t="s">
        <v>290</v>
      </c>
      <c r="K55" s="743" t="s">
        <v>359</v>
      </c>
      <c r="L55" s="1198" t="str">
        <f t="shared" si="22"/>
        <v/>
      </c>
      <c r="M55" s="744" t="s">
        <v>360</v>
      </c>
      <c r="N55" s="745" t="s">
        <v>230</v>
      </c>
      <c r="O55" s="751">
        <f t="shared" si="8"/>
        <v>4</v>
      </c>
      <c r="P55" s="746" t="str">
        <f>INDEX(ETAPP!B$1:B$32,MATCH(COUNTIF(W55:AI55,PVO!A$1),ETAPP!A$1:A$32,0))&amp;INDEX(ETAPP!B$1:B$32,MATCH(COUNTIF(W55:AI55,PVO!A$2),ETAPP!A$1:A$32,0))&amp;INDEX(ETAPP!B$1:B$32,MATCH(COUNTIF(W55:AI55,PVO!A$3),ETAPP!A$1:A$32,0))&amp;INDEX(ETAPP!B$1:B$32,MATCH(COUNTIF(W55:AI55,PVO!A$4),ETAPP!A$1:A$32,0))&amp;INDEX(ETAPP!B$1:B$32,MATCH(COUNTIF(W55:AI55,PVO!A$5),ETAPP!A$1:A$32,0))&amp;INDEX(ETAPP!B$1:B$32,MATCH(COUNTIF(W55:AI55,PVO!A$6),ETAPP!A$1:A$32,0))&amp;INDEX(ETAPP!B$1:B$32,MATCH(COUNTIF(W55:AI55,PVO!A$7),ETAPP!A$1:A$32,0))&amp;INDEX(ETAPP!B$1:B$32,MATCH(COUNTIF(W55:AI55,PVO!A$8),ETAPP!A$1:A$32,0))&amp;INDEX(ETAPP!B$1:B$32,MATCH(COUNTIF(W55:AI55,PVO!A$9),ETAPP!A$1:A$32,0))&amp;INDEX(ETAPP!B$1:B$32,MATCH(COUNTIF(W55:AI55,PVO!A$10),ETAPP!A$1:A$32,0))&amp;INDEX(ETAPP!B$1:B$32,MATCH(COUNTIF(W55:AI55,PVO!A$11),ETAPP!A$1:A$32,0))&amp;INDEX(ETAPP!B$1:B$32,MATCH(COUNTIF(W55:AI55,PVO!A$12),ETAPP!A$1:A$32,0))&amp;INDEX(ETAPP!B$1:B$32,MATCH(COUNTIF(W55:AI55,PVO!A$13),ETAPP!A$1:A$32,0))&amp;INDEX(ETAPP!B$1:B$32,MATCH(COUNTIF(W55:AI55,PVO!A$14),ETAPP!A$1:A$32,0))&amp;INDEX(ETAPP!B$1:B$32,MATCH(COUNTIF(W55:AI55,PVO!A$15),ETAPP!A$1:A$32,0))&amp;INDEX(ETAPP!B$1:B$32,MATCH(COUNTIF(W55:AI55,PVO!A$16),ETAPP!A$1:A$32,0))&amp;INDEX(ETAPP!B$1:B$32,MATCH(COUNTIF(W55:AI55,PVO!A$17),ETAPP!A$1:A$32,0))&amp;INDEX(ETAPP!B$1:B$32,MATCH(COUNTIF(W55:AI55,PVO!A$18),ETAPP!A$1:A$32,0))&amp;INDEX(ETAPP!B$1:B$32,MATCH(COUNTIF(W55:AI55,PVO!A$19),ETAPP!A$1:A$32,0))</f>
        <v>0000000000000A0000G</v>
      </c>
      <c r="Q55" s="746" t="str">
        <f t="shared" si="31"/>
        <v>004,0-0000000000000A0000G</v>
      </c>
      <c r="R55" s="746">
        <f t="shared" si="32"/>
        <v>49</v>
      </c>
      <c r="S55" s="746">
        <f t="shared" si="33"/>
        <v>27</v>
      </c>
      <c r="T55" s="746" t="str">
        <f t="shared" si="34"/>
        <v>004,0-0000000000000A0000G-027</v>
      </c>
      <c r="U55" s="746">
        <f t="shared" si="35"/>
        <v>49</v>
      </c>
      <c r="V55" s="746">
        <f t="shared" si="36"/>
        <v>8</v>
      </c>
      <c r="W55" s="679" t="str">
        <f>IFERROR(INDEX('V1'!C$300:C$400,MATCH("*"&amp;J55&amp;"*",'V1'!B$300:B$400,0)),"  ")</f>
        <v xml:space="preserve">  </v>
      </c>
      <c r="X55" s="679" t="str">
        <f>IFERROR(INDEX('V2'!C$300:C$400,MATCH("*"&amp;J55&amp;"*",'V2'!B$300:B$400,0)),"  ")</f>
        <v xml:space="preserve">  </v>
      </c>
      <c r="Y55" s="679">
        <f>IFERROR(INDEX('V3'!C$300:C$400,MATCH("*"&amp;J55&amp;"*",'V3'!B$300:B$400,0)),"  ")</f>
        <v>4</v>
      </c>
      <c r="Z55" s="679" t="str">
        <f>IFERROR(INDEX('V4'!C$300:C$400,MATCH("*"&amp;J55&amp;"*",'V4'!B$300:B$400,0)),"  ")</f>
        <v xml:space="preserve">  </v>
      </c>
      <c r="AA55" s="679" t="str">
        <f>IFERROR(INDEX('V5'!C$300:C$400,MATCH("*"&amp;J55&amp;"*",'V5'!B$300:B$400,0)),"  ")</f>
        <v xml:space="preserve">  </v>
      </c>
      <c r="AB55" s="679" t="str">
        <f>IFERROR(INDEX('V6'!C$300:C$400,MATCH("*"&amp;J55&amp;"*",'V6'!B$300:B$400,0)),"  ")</f>
        <v xml:space="preserve">  </v>
      </c>
      <c r="AC55" s="679" t="str">
        <f>IFERROR(INDEX('V7'!C$300:C$400,MATCH("*"&amp;J55&amp;"*",'V7'!B$300:B$400,0)),"  ")</f>
        <v xml:space="preserve">  </v>
      </c>
      <c r="AD55" s="679" t="str">
        <f>IFERROR(INDEX('V8'!C$300:C$400,MATCH("*"&amp;J55&amp;"*",'V8'!B$300:B$400,0)),"  ")</f>
        <v xml:space="preserve">  </v>
      </c>
      <c r="AE55" s="679" t="str">
        <f>IFERROR(INDEX('V9'!C$300:C$400,MATCH("*"&amp;J55&amp;"*",'V9'!B$300:B$400,0)),"  ")</f>
        <v xml:space="preserve">  </v>
      </c>
      <c r="AF55" s="679" t="str">
        <f>IFERROR(INDEX('V10'!C$300:C$400,MATCH("*"&amp;J55&amp;"*",'V10'!B$300:B$400,0)),"  ")</f>
        <v xml:space="preserve">  </v>
      </c>
      <c r="AG55" s="679" t="str">
        <f>IFERROR(INDEX('V11'!C$300:C$400,MATCH("*"&amp;J55&amp;"*",'V11'!B$300:B$400,0)),"  ")</f>
        <v xml:space="preserve">  </v>
      </c>
      <c r="AH55" s="679" t="str">
        <f>IFERROR(INDEX('V12'!C$300:C$400,MATCH("*"&amp;J55&amp;"*",'V12'!B$300:B$400,0)),"  ")</f>
        <v xml:space="preserve">  </v>
      </c>
      <c r="AI55" s="679" t="str">
        <f>IFERROR(INDEX('V13'!C$300:C$400,MATCH("*"&amp;J55&amp;"*",'V13'!B$300:B$400,0)),"  ")</f>
        <v xml:space="preserve">  </v>
      </c>
      <c r="AJ55" s="747">
        <f t="shared" si="37"/>
        <v>0</v>
      </c>
      <c r="AK55" s="747" t="str">
        <f t="shared" si="38"/>
        <v/>
      </c>
      <c r="AL55" s="1212">
        <f t="shared" si="39"/>
        <v>49</v>
      </c>
      <c r="AM55" s="1215" t="str">
        <f>IFERROR(INDEX('V-Fin'!A$300:AJ$400&amp;".",MATCH("*"&amp;J55&amp;"*",'V-Fin'!B$300:B$400,0)),"  ")</f>
        <v xml:space="preserve">  </v>
      </c>
      <c r="AN55" s="337">
        <f t="shared" si="40"/>
        <v>1</v>
      </c>
      <c r="AO55" s="336">
        <f t="shared" si="41"/>
        <v>0</v>
      </c>
      <c r="AP55" s="336">
        <f t="shared" si="42"/>
        <v>0</v>
      </c>
    </row>
    <row r="56" spans="1:42" ht="12.6" customHeight="1" x14ac:dyDescent="0.2">
      <c r="A56" s="1201" t="str">
        <f t="shared" si="23"/>
        <v/>
      </c>
      <c r="B56" s="740">
        <f t="shared" si="24"/>
        <v>-950</v>
      </c>
      <c r="C56" s="1199">
        <f t="shared" si="25"/>
        <v>40</v>
      </c>
      <c r="D56" s="1193">
        <f t="shared" si="26"/>
        <v>50</v>
      </c>
      <c r="E56" s="1195" t="str">
        <f t="shared" si="27"/>
        <v/>
      </c>
      <c r="F56" s="1193">
        <f t="shared" si="28"/>
        <v>-950</v>
      </c>
      <c r="G56" s="1207" t="str">
        <f t="shared" si="29"/>
        <v/>
      </c>
      <c r="H56" s="1193">
        <f t="shared" si="21"/>
        <v>-950</v>
      </c>
      <c r="I56" s="741">
        <f t="shared" si="30"/>
        <v>50</v>
      </c>
      <c r="J56" s="742" t="s">
        <v>249</v>
      </c>
      <c r="K56" s="743"/>
      <c r="L56" s="1198" t="str">
        <f t="shared" si="22"/>
        <v>m</v>
      </c>
      <c r="M56" s="744"/>
      <c r="N56" s="745"/>
      <c r="O56" s="751">
        <f t="shared" si="8"/>
        <v>3</v>
      </c>
      <c r="P56" s="746" t="str">
        <f>INDEX(ETAPP!B$1:B$32,MATCH(COUNTIF(W56:AI56,PVO!A$1),ETAPP!A$1:A$32,0))&amp;INDEX(ETAPP!B$1:B$32,MATCH(COUNTIF(W56:AI56,PVO!A$2),ETAPP!A$1:A$32,0))&amp;INDEX(ETAPP!B$1:B$32,MATCH(COUNTIF(W56:AI56,PVO!A$3),ETAPP!A$1:A$32,0))&amp;INDEX(ETAPP!B$1:B$32,MATCH(COUNTIF(W56:AI56,PVO!A$4),ETAPP!A$1:A$32,0))&amp;INDEX(ETAPP!B$1:B$32,MATCH(COUNTIF(W56:AI56,PVO!A$5),ETAPP!A$1:A$32,0))&amp;INDEX(ETAPP!B$1:B$32,MATCH(COUNTIF(W56:AI56,PVO!A$6),ETAPP!A$1:A$32,0))&amp;INDEX(ETAPP!B$1:B$32,MATCH(COUNTIF(W56:AI56,PVO!A$7),ETAPP!A$1:A$32,0))&amp;INDEX(ETAPP!B$1:B$32,MATCH(COUNTIF(W56:AI56,PVO!A$8),ETAPP!A$1:A$32,0))&amp;INDEX(ETAPP!B$1:B$32,MATCH(COUNTIF(W56:AI56,PVO!A$9),ETAPP!A$1:A$32,0))&amp;INDEX(ETAPP!B$1:B$32,MATCH(COUNTIF(W56:AI56,PVO!A$10),ETAPP!A$1:A$32,0))&amp;INDEX(ETAPP!B$1:B$32,MATCH(COUNTIF(W56:AI56,PVO!A$11),ETAPP!A$1:A$32,0))&amp;INDEX(ETAPP!B$1:B$32,MATCH(COUNTIF(W56:AI56,PVO!A$12),ETAPP!A$1:A$32,0))&amp;INDEX(ETAPP!B$1:B$32,MATCH(COUNTIF(W56:AI56,PVO!A$13),ETAPP!A$1:A$32,0))&amp;INDEX(ETAPP!B$1:B$32,MATCH(COUNTIF(W56:AI56,PVO!A$14),ETAPP!A$1:A$32,0))&amp;INDEX(ETAPP!B$1:B$32,MATCH(COUNTIF(W56:AI56,PVO!A$15),ETAPP!A$1:A$32,0))&amp;INDEX(ETAPP!B$1:B$32,MATCH(COUNTIF(W56:AI56,PVO!A$16),ETAPP!A$1:A$32,0))&amp;INDEX(ETAPP!B$1:B$32,MATCH(COUNTIF(W56:AI56,PVO!A$17),ETAPP!A$1:A$32,0))&amp;INDEX(ETAPP!B$1:B$32,MATCH(COUNTIF(W56:AI56,PVO!A$18),ETAPP!A$1:A$32,0))&amp;INDEX(ETAPP!B$1:B$32,MATCH(COUNTIF(W56:AI56,PVO!A$19),ETAPP!A$1:A$32,0))</f>
        <v>00000000000000A000G</v>
      </c>
      <c r="Q56" s="746" t="str">
        <f t="shared" si="31"/>
        <v>003,0-00000000000000A000G</v>
      </c>
      <c r="R56" s="746">
        <f t="shared" si="32"/>
        <v>50</v>
      </c>
      <c r="S56" s="746">
        <f t="shared" si="33"/>
        <v>53</v>
      </c>
      <c r="T56" s="746" t="str">
        <f t="shared" si="34"/>
        <v>003,0-00000000000000A000G-053</v>
      </c>
      <c r="U56" s="746">
        <f t="shared" si="35"/>
        <v>50</v>
      </c>
      <c r="V56" s="746">
        <f t="shared" si="36"/>
        <v>7</v>
      </c>
      <c r="W56" s="679" t="str">
        <f>IFERROR(INDEX('V1'!C$300:C$400,MATCH("*"&amp;J56&amp;"*",'V1'!B$300:B$400,0)),"  ")</f>
        <v xml:space="preserve">  </v>
      </c>
      <c r="X56" s="679" t="str">
        <f>IFERROR(INDEX('V2'!C$300:C$400,MATCH("*"&amp;J56&amp;"*",'V2'!B$300:B$400,0)),"  ")</f>
        <v xml:space="preserve">  </v>
      </c>
      <c r="Y56" s="679" t="str">
        <f>IFERROR(INDEX('V3'!C$300:C$400,MATCH("*"&amp;J56&amp;"*",'V3'!B$300:B$400,0)),"  ")</f>
        <v xml:space="preserve">  </v>
      </c>
      <c r="Z56" s="679" t="str">
        <f>IFERROR(INDEX('V4'!C$300:C$400,MATCH("*"&amp;J56&amp;"*",'V4'!B$300:B$400,0)),"  ")</f>
        <v xml:space="preserve">  </v>
      </c>
      <c r="AA56" s="679" t="str">
        <f>IFERROR(INDEX('V5'!C$300:C$400,MATCH("*"&amp;J56&amp;"*",'V5'!B$300:B$400,0)),"  ")</f>
        <v xml:space="preserve">  </v>
      </c>
      <c r="AB56" s="679" t="str">
        <f>IFERROR(INDEX('V6'!C$300:C$400,MATCH("*"&amp;J56&amp;"*",'V6'!B$300:B$400,0)),"  ")</f>
        <v xml:space="preserve">  </v>
      </c>
      <c r="AC56" s="679" t="str">
        <f>IFERROR(INDEX('V7'!C$300:C$400,MATCH("*"&amp;J56&amp;"*",'V7'!B$300:B$400,0)),"  ")</f>
        <v xml:space="preserve">  </v>
      </c>
      <c r="AD56" s="679" t="str">
        <f>IFERROR(INDEX('V8'!C$300:C$400,MATCH("*"&amp;J56&amp;"*",'V8'!B$300:B$400,0)),"  ")</f>
        <v xml:space="preserve">  </v>
      </c>
      <c r="AE56" s="679" t="str">
        <f>IFERROR(INDEX('V9'!C$300:C$400,MATCH("*"&amp;J56&amp;"*",'V9'!B$300:B$400,0)),"  ")</f>
        <v xml:space="preserve">  </v>
      </c>
      <c r="AF56" s="679" t="str">
        <f>IFERROR(INDEX('V10'!C$300:C$400,MATCH("*"&amp;J56&amp;"*",'V10'!B$300:B$400,0)),"  ")</f>
        <v xml:space="preserve">  </v>
      </c>
      <c r="AG56" s="679" t="str">
        <f>IFERROR(INDEX('V11'!C$300:C$400,MATCH("*"&amp;J56&amp;"*",'V11'!B$300:B$400,0)),"  ")</f>
        <v xml:space="preserve">  </v>
      </c>
      <c r="AH56" s="679">
        <f>IFERROR(INDEX('V12'!C$300:C$400,MATCH("*"&amp;J56&amp;"*",'V12'!B$300:B$400,0)),"  ")</f>
        <v>3</v>
      </c>
      <c r="AI56" s="679" t="str">
        <f>IFERROR(INDEX('V13'!C$300:C$400,MATCH("*"&amp;J56&amp;"*",'V13'!B$300:B$400,0)),"  ")</f>
        <v xml:space="preserve">  </v>
      </c>
      <c r="AJ56" s="747">
        <f t="shared" si="37"/>
        <v>0</v>
      </c>
      <c r="AK56" s="747" t="str">
        <f t="shared" si="38"/>
        <v/>
      </c>
      <c r="AL56" s="1212">
        <f t="shared" si="39"/>
        <v>50</v>
      </c>
      <c r="AM56" s="1215" t="str">
        <f>IFERROR(INDEX('V-Fin'!A$300:AJ$400&amp;".",MATCH("*"&amp;J56&amp;"*",'V-Fin'!B$300:B$400,0)),"  ")</f>
        <v xml:space="preserve">  </v>
      </c>
      <c r="AN56" s="337">
        <f t="shared" si="40"/>
        <v>1</v>
      </c>
      <c r="AO56" s="336">
        <f t="shared" si="41"/>
        <v>0</v>
      </c>
      <c r="AP56" s="336">
        <f t="shared" si="42"/>
        <v>0</v>
      </c>
    </row>
    <row r="57" spans="1:42" ht="12.6" customHeight="1" x14ac:dyDescent="0.2">
      <c r="A57" s="1201" t="str">
        <f t="shared" si="23"/>
        <v/>
      </c>
      <c r="B57" s="740">
        <f t="shared" si="24"/>
        <v>-945</v>
      </c>
      <c r="C57" s="1199" t="str">
        <f t="shared" si="25"/>
        <v/>
      </c>
      <c r="D57" s="1193">
        <f t="shared" si="26"/>
        <v>-945</v>
      </c>
      <c r="E57" s="1195">
        <f t="shared" si="27"/>
        <v>11</v>
      </c>
      <c r="F57" s="1193">
        <f t="shared" si="28"/>
        <v>55</v>
      </c>
      <c r="G57" s="1207" t="str">
        <f t="shared" si="29"/>
        <v/>
      </c>
      <c r="H57" s="1193">
        <f t="shared" si="21"/>
        <v>-945</v>
      </c>
      <c r="I57" s="741">
        <f t="shared" si="30"/>
        <v>51</v>
      </c>
      <c r="J57" s="750" t="s">
        <v>251</v>
      </c>
      <c r="K57" s="743" t="s">
        <v>359</v>
      </c>
      <c r="L57" s="1198" t="str">
        <f t="shared" si="22"/>
        <v/>
      </c>
      <c r="M57" s="744"/>
      <c r="N57" s="745"/>
      <c r="O57" s="751">
        <f t="shared" si="8"/>
        <v>2</v>
      </c>
      <c r="P57" s="746" t="str">
        <f>INDEX(ETAPP!B$1:B$32,MATCH(COUNTIF(W57:AI57,PVO!A$1),ETAPP!A$1:A$32,0))&amp;INDEX(ETAPP!B$1:B$32,MATCH(COUNTIF(W57:AI57,PVO!A$2),ETAPP!A$1:A$32,0))&amp;INDEX(ETAPP!B$1:B$32,MATCH(COUNTIF(W57:AI57,PVO!A$3),ETAPP!A$1:A$32,0))&amp;INDEX(ETAPP!B$1:B$32,MATCH(COUNTIF(W57:AI57,PVO!A$4),ETAPP!A$1:A$32,0))&amp;INDEX(ETAPP!B$1:B$32,MATCH(COUNTIF(W57:AI57,PVO!A$5),ETAPP!A$1:A$32,0))&amp;INDEX(ETAPP!B$1:B$32,MATCH(COUNTIF(W57:AI57,PVO!A$6),ETAPP!A$1:A$32,0))&amp;INDEX(ETAPP!B$1:B$32,MATCH(COUNTIF(W57:AI57,PVO!A$7),ETAPP!A$1:A$32,0))&amp;INDEX(ETAPP!B$1:B$32,MATCH(COUNTIF(W57:AI57,PVO!A$8),ETAPP!A$1:A$32,0))&amp;INDEX(ETAPP!B$1:B$32,MATCH(COUNTIF(W57:AI57,PVO!A$9),ETAPP!A$1:A$32,0))&amp;INDEX(ETAPP!B$1:B$32,MATCH(COUNTIF(W57:AI57,PVO!A$10),ETAPP!A$1:A$32,0))&amp;INDEX(ETAPP!B$1:B$32,MATCH(COUNTIF(W57:AI57,PVO!A$11),ETAPP!A$1:A$32,0))&amp;INDEX(ETAPP!B$1:B$32,MATCH(COUNTIF(W57:AI57,PVO!A$12),ETAPP!A$1:A$32,0))&amp;INDEX(ETAPP!B$1:B$32,MATCH(COUNTIF(W57:AI57,PVO!A$13),ETAPP!A$1:A$32,0))&amp;INDEX(ETAPP!B$1:B$32,MATCH(COUNTIF(W57:AI57,PVO!A$14),ETAPP!A$1:A$32,0))&amp;INDEX(ETAPP!B$1:B$32,MATCH(COUNTIF(W57:AI57,PVO!A$15),ETAPP!A$1:A$32,0))&amp;INDEX(ETAPP!B$1:B$32,MATCH(COUNTIF(W57:AI57,PVO!A$16),ETAPP!A$1:A$32,0))&amp;INDEX(ETAPP!B$1:B$32,MATCH(COUNTIF(W57:AI57,PVO!A$17),ETAPP!A$1:A$32,0))&amp;INDEX(ETAPP!B$1:B$32,MATCH(COUNTIF(W57:AI57,PVO!A$18),ETAPP!A$1:A$32,0))&amp;INDEX(ETAPP!B$1:B$32,MATCH(COUNTIF(W57:AI57,PVO!A$19),ETAPP!A$1:A$32,0))</f>
        <v>000000000000000A00G</v>
      </c>
      <c r="Q57" s="746" t="str">
        <f t="shared" si="31"/>
        <v>002,0-000000000000000A00G</v>
      </c>
      <c r="R57" s="746">
        <f t="shared" si="32"/>
        <v>55</v>
      </c>
      <c r="S57" s="746">
        <f t="shared" si="33"/>
        <v>50</v>
      </c>
      <c r="T57" s="746" t="str">
        <f t="shared" si="34"/>
        <v>002,0-000000000000000A00G-050</v>
      </c>
      <c r="U57" s="746">
        <f t="shared" si="35"/>
        <v>51</v>
      </c>
      <c r="V57" s="746">
        <f t="shared" si="36"/>
        <v>6</v>
      </c>
      <c r="W57" s="679" t="str">
        <f>IFERROR(INDEX('V1'!C$300:C$400,MATCH("*"&amp;J57&amp;"*",'V1'!B$300:B$400,0)),"  ")</f>
        <v xml:space="preserve">  </v>
      </c>
      <c r="X57" s="679" t="str">
        <f>IFERROR(INDEX('V2'!C$300:C$400,MATCH("*"&amp;J57&amp;"*",'V2'!B$300:B$400,0)),"  ")</f>
        <v xml:space="preserve">  </v>
      </c>
      <c r="Y57" s="679" t="str">
        <f>IFERROR(INDEX('V3'!C$300:C$400,MATCH("*"&amp;J57&amp;"*",'V3'!B$300:B$400,0)),"  ")</f>
        <v xml:space="preserve">  </v>
      </c>
      <c r="Z57" s="679" t="str">
        <f>IFERROR(INDEX('V4'!C$300:C$400,MATCH("*"&amp;J57&amp;"*",'V4'!B$300:B$400,0)),"  ")</f>
        <v xml:space="preserve">  </v>
      </c>
      <c r="AA57" s="679" t="str">
        <f>IFERROR(INDEX('V5'!C$300:C$400,MATCH("*"&amp;J57&amp;"*",'V5'!B$300:B$400,0)),"  ")</f>
        <v xml:space="preserve">  </v>
      </c>
      <c r="AB57" s="679" t="str">
        <f>IFERROR(INDEX('V6'!C$300:C$400,MATCH("*"&amp;J57&amp;"*",'V6'!B$300:B$400,0)),"  ")</f>
        <v xml:space="preserve">  </v>
      </c>
      <c r="AC57" s="679" t="str">
        <f>IFERROR(INDEX('V7'!C$300:C$400,MATCH("*"&amp;J57&amp;"*",'V7'!B$300:B$400,0)),"  ")</f>
        <v xml:space="preserve">  </v>
      </c>
      <c r="AD57" s="679" t="str">
        <f>IFERROR(INDEX('V8'!C$300:C$400,MATCH("*"&amp;J57&amp;"*",'V8'!B$300:B$400,0)),"  ")</f>
        <v xml:space="preserve">  </v>
      </c>
      <c r="AE57" s="679" t="str">
        <f>IFERROR(INDEX('V9'!C$300:C$400,MATCH("*"&amp;J57&amp;"*",'V9'!B$300:B$400,0)),"  ")</f>
        <v xml:space="preserve">  </v>
      </c>
      <c r="AF57" s="679" t="str">
        <f>IFERROR(INDEX('V10'!C$300:C$400,MATCH("*"&amp;J57&amp;"*",'V10'!B$300:B$400,0)),"  ")</f>
        <v xml:space="preserve">  </v>
      </c>
      <c r="AG57" s="679" t="str">
        <f>IFERROR(INDEX('V11'!C$300:C$400,MATCH("*"&amp;J57&amp;"*",'V11'!B$300:B$400,0)),"  ")</f>
        <v xml:space="preserve">  </v>
      </c>
      <c r="AH57" s="679" t="str">
        <f>IFERROR(INDEX('V12'!C$300:C$400,MATCH("*"&amp;J57&amp;"*",'V12'!B$300:B$400,0)),"  ")</f>
        <v xml:space="preserve">  </v>
      </c>
      <c r="AI57" s="679">
        <f>IFERROR(INDEX('V13'!C$300:C$400,MATCH("*"&amp;J57&amp;"*",'V13'!B$300:B$400,0)),"  ")</f>
        <v>2</v>
      </c>
      <c r="AJ57" s="747">
        <f t="shared" si="37"/>
        <v>0</v>
      </c>
      <c r="AK57" s="747" t="str">
        <f t="shared" si="38"/>
        <v/>
      </c>
      <c r="AL57" s="1212">
        <f t="shared" si="39"/>
        <v>51</v>
      </c>
      <c r="AM57" s="1215" t="str">
        <f>IFERROR(INDEX('V-Fin'!A$300:AJ$400&amp;".",MATCH("*"&amp;J57&amp;"*",'V-Fin'!B$300:B$400,0)),"  ")</f>
        <v xml:space="preserve">  </v>
      </c>
      <c r="AN57" s="337">
        <f t="shared" si="40"/>
        <v>1</v>
      </c>
      <c r="AO57" s="336">
        <f t="shared" si="41"/>
        <v>0</v>
      </c>
      <c r="AP57" s="336">
        <f t="shared" si="42"/>
        <v>0</v>
      </c>
    </row>
    <row r="58" spans="1:42" ht="12.6" customHeight="1" x14ac:dyDescent="0.2">
      <c r="A58" s="1201">
        <f t="shared" si="23"/>
        <v>19</v>
      </c>
      <c r="B58" s="740">
        <f t="shared" si="24"/>
        <v>55</v>
      </c>
      <c r="C58" s="1199">
        <f t="shared" si="25"/>
        <v>41</v>
      </c>
      <c r="D58" s="1193">
        <f t="shared" si="26"/>
        <v>55</v>
      </c>
      <c r="E58" s="1195" t="str">
        <f t="shared" si="27"/>
        <v/>
      </c>
      <c r="F58" s="1193">
        <f t="shared" si="28"/>
        <v>-945</v>
      </c>
      <c r="G58" s="1207">
        <f t="shared" si="29"/>
        <v>5</v>
      </c>
      <c r="H58" s="1193">
        <f t="shared" si="21"/>
        <v>55</v>
      </c>
      <c r="I58" s="741">
        <f t="shared" si="30"/>
        <v>51</v>
      </c>
      <c r="J58" s="750" t="s">
        <v>291</v>
      </c>
      <c r="K58" s="743"/>
      <c r="L58" s="1198" t="str">
        <f t="shared" si="22"/>
        <v>m</v>
      </c>
      <c r="M58" s="744" t="s">
        <v>360</v>
      </c>
      <c r="N58" s="745" t="s">
        <v>230</v>
      </c>
      <c r="O58" s="751">
        <f t="shared" si="8"/>
        <v>2</v>
      </c>
      <c r="P58" s="746" t="str">
        <f>INDEX(ETAPP!B$1:B$32,MATCH(COUNTIF(W58:AI58,PVO!A$1),ETAPP!A$1:A$32,0))&amp;INDEX(ETAPP!B$1:B$32,MATCH(COUNTIF(W58:AI58,PVO!A$2),ETAPP!A$1:A$32,0))&amp;INDEX(ETAPP!B$1:B$32,MATCH(COUNTIF(W58:AI58,PVO!A$3),ETAPP!A$1:A$32,0))&amp;INDEX(ETAPP!B$1:B$32,MATCH(COUNTIF(W58:AI58,PVO!A$4),ETAPP!A$1:A$32,0))&amp;INDEX(ETAPP!B$1:B$32,MATCH(COUNTIF(W58:AI58,PVO!A$5),ETAPP!A$1:A$32,0))&amp;INDEX(ETAPP!B$1:B$32,MATCH(COUNTIF(W58:AI58,PVO!A$6),ETAPP!A$1:A$32,0))&amp;INDEX(ETAPP!B$1:B$32,MATCH(COUNTIF(W58:AI58,PVO!A$7),ETAPP!A$1:A$32,0))&amp;INDEX(ETAPP!B$1:B$32,MATCH(COUNTIF(W58:AI58,PVO!A$8),ETAPP!A$1:A$32,0))&amp;INDEX(ETAPP!B$1:B$32,MATCH(COUNTIF(W58:AI58,PVO!A$9),ETAPP!A$1:A$32,0))&amp;INDEX(ETAPP!B$1:B$32,MATCH(COUNTIF(W58:AI58,PVO!A$10),ETAPP!A$1:A$32,0))&amp;INDEX(ETAPP!B$1:B$32,MATCH(COUNTIF(W58:AI58,PVO!A$11),ETAPP!A$1:A$32,0))&amp;INDEX(ETAPP!B$1:B$32,MATCH(COUNTIF(W58:AI58,PVO!A$12),ETAPP!A$1:A$32,0))&amp;INDEX(ETAPP!B$1:B$32,MATCH(COUNTIF(W58:AI58,PVO!A$13),ETAPP!A$1:A$32,0))&amp;INDEX(ETAPP!B$1:B$32,MATCH(COUNTIF(W58:AI58,PVO!A$14),ETAPP!A$1:A$32,0))&amp;INDEX(ETAPP!B$1:B$32,MATCH(COUNTIF(W58:AI58,PVO!A$15),ETAPP!A$1:A$32,0))&amp;INDEX(ETAPP!B$1:B$32,MATCH(COUNTIF(W58:AI58,PVO!A$16),ETAPP!A$1:A$32,0))&amp;INDEX(ETAPP!B$1:B$32,MATCH(COUNTIF(W58:AI58,PVO!A$17),ETAPP!A$1:A$32,0))&amp;INDEX(ETAPP!B$1:B$32,MATCH(COUNTIF(W58:AI58,PVO!A$18),ETAPP!A$1:A$32,0))&amp;INDEX(ETAPP!B$1:B$32,MATCH(COUNTIF(W58:AI58,PVO!A$19),ETAPP!A$1:A$32,0))</f>
        <v>000000000000000A00G</v>
      </c>
      <c r="Q58" s="746" t="str">
        <f t="shared" si="31"/>
        <v>002,0-000000000000000A00G</v>
      </c>
      <c r="R58" s="746">
        <f t="shared" si="32"/>
        <v>55</v>
      </c>
      <c r="S58" s="746">
        <f t="shared" si="33"/>
        <v>36</v>
      </c>
      <c r="T58" s="746" t="str">
        <f t="shared" si="34"/>
        <v>002,0-000000000000000A00G-036</v>
      </c>
      <c r="U58" s="746">
        <f t="shared" si="35"/>
        <v>52</v>
      </c>
      <c r="V58" s="746">
        <f t="shared" si="36"/>
        <v>5</v>
      </c>
      <c r="W58" s="679" t="str">
        <f>IFERROR(INDEX('V1'!C$300:C$400,MATCH("*"&amp;J58&amp;"*",'V1'!B$300:B$400,0)),"  ")</f>
        <v xml:space="preserve">  </v>
      </c>
      <c r="X58" s="679" t="str">
        <f>IFERROR(INDEX('V2'!C$300:C$400,MATCH("*"&amp;J58&amp;"*",'V2'!B$300:B$400,0)),"  ")</f>
        <v xml:space="preserve">  </v>
      </c>
      <c r="Y58" s="679">
        <f>IFERROR(INDEX('V3'!C$300:C$400,MATCH("*"&amp;J58&amp;"*",'V3'!B$300:B$400,0)),"  ")</f>
        <v>2</v>
      </c>
      <c r="Z58" s="679" t="str">
        <f>IFERROR(INDEX('V4'!C$300:C$400,MATCH("*"&amp;J58&amp;"*",'V4'!B$300:B$400,0)),"  ")</f>
        <v xml:space="preserve">  </v>
      </c>
      <c r="AA58" s="679" t="str">
        <f>IFERROR(INDEX('V5'!C$300:C$400,MATCH("*"&amp;J58&amp;"*",'V5'!B$300:B$400,0)),"  ")</f>
        <v xml:space="preserve">  </v>
      </c>
      <c r="AB58" s="679" t="str">
        <f>IFERROR(INDEX('V6'!C$300:C$400,MATCH("*"&amp;J58&amp;"*",'V6'!B$300:B$400,0)),"  ")</f>
        <v xml:space="preserve">  </v>
      </c>
      <c r="AC58" s="679" t="str">
        <f>IFERROR(INDEX('V7'!C$300:C$400,MATCH("*"&amp;J58&amp;"*",'V7'!B$300:B$400,0)),"  ")</f>
        <v xml:space="preserve">  </v>
      </c>
      <c r="AD58" s="679" t="str">
        <f>IFERROR(INDEX('V8'!C$300:C$400,MATCH("*"&amp;J58&amp;"*",'V8'!B$300:B$400,0)),"  ")</f>
        <v xml:space="preserve">  </v>
      </c>
      <c r="AE58" s="679" t="str">
        <f>IFERROR(INDEX('V9'!C$300:C$400,MATCH("*"&amp;J58&amp;"*",'V9'!B$300:B$400,0)),"  ")</f>
        <v xml:space="preserve">  </v>
      </c>
      <c r="AF58" s="679" t="str">
        <f>IFERROR(INDEX('V10'!C$300:C$400,MATCH("*"&amp;J58&amp;"*",'V10'!B$300:B$400,0)),"  ")</f>
        <v xml:space="preserve">  </v>
      </c>
      <c r="AG58" s="679" t="str">
        <f>IFERROR(INDEX('V11'!C$300:C$400,MATCH("*"&amp;J58&amp;"*",'V11'!B$300:B$400,0)),"  ")</f>
        <v xml:space="preserve">  </v>
      </c>
      <c r="AH58" s="679" t="str">
        <f>IFERROR(INDEX('V12'!C$300:C$400,MATCH("*"&amp;J58&amp;"*",'V12'!B$300:B$400,0)),"  ")</f>
        <v xml:space="preserve">  </v>
      </c>
      <c r="AI58" s="679" t="str">
        <f>IFERROR(INDEX('V13'!C$300:C$400,MATCH("*"&amp;J58&amp;"*",'V13'!B$300:B$400,0)),"  ")</f>
        <v xml:space="preserve">  </v>
      </c>
      <c r="AJ58" s="747">
        <f t="shared" si="37"/>
        <v>0</v>
      </c>
      <c r="AK58" s="747" t="str">
        <f t="shared" si="38"/>
        <v/>
      </c>
      <c r="AL58" s="1212">
        <f t="shared" si="39"/>
        <v>51</v>
      </c>
      <c r="AM58" s="1215" t="str">
        <f>IFERROR(INDEX('V-Fin'!A$300:AJ$400&amp;".",MATCH("*"&amp;J58&amp;"*",'V-Fin'!B$300:B$400,0)),"  ")</f>
        <v xml:space="preserve">  </v>
      </c>
      <c r="AN58" s="337">
        <f t="shared" si="40"/>
        <v>1</v>
      </c>
      <c r="AO58" s="336">
        <f t="shared" si="41"/>
        <v>0</v>
      </c>
      <c r="AP58" s="336">
        <f t="shared" si="42"/>
        <v>0</v>
      </c>
    </row>
    <row r="59" spans="1:42" ht="12.6" customHeight="1" x14ac:dyDescent="0.2">
      <c r="A59" s="1201" t="str">
        <f t="shared" si="23"/>
        <v/>
      </c>
      <c r="B59" s="740">
        <f t="shared" si="24"/>
        <v>-945</v>
      </c>
      <c r="C59" s="1199">
        <f t="shared" si="25"/>
        <v>41</v>
      </c>
      <c r="D59" s="1193">
        <f t="shared" si="26"/>
        <v>55</v>
      </c>
      <c r="E59" s="1195" t="str">
        <f t="shared" si="27"/>
        <v/>
      </c>
      <c r="F59" s="1193">
        <f t="shared" si="28"/>
        <v>-945</v>
      </c>
      <c r="G59" s="1207" t="str">
        <f t="shared" si="29"/>
        <v/>
      </c>
      <c r="H59" s="1193">
        <f t="shared" si="21"/>
        <v>-945</v>
      </c>
      <c r="I59" s="741">
        <f t="shared" si="30"/>
        <v>51</v>
      </c>
      <c r="J59" s="750" t="s">
        <v>551</v>
      </c>
      <c r="K59" s="743"/>
      <c r="L59" s="1198" t="str">
        <f t="shared" si="22"/>
        <v>m</v>
      </c>
      <c r="M59" s="744"/>
      <c r="N59" s="745"/>
      <c r="O59" s="751">
        <f t="shared" si="8"/>
        <v>2</v>
      </c>
      <c r="P59" s="746" t="str">
        <f>INDEX(ETAPP!B$1:B$32,MATCH(COUNTIF(W59:AI59,PVO!A$1),ETAPP!A$1:A$32,0))&amp;INDEX(ETAPP!B$1:B$32,MATCH(COUNTIF(W59:AI59,PVO!A$2),ETAPP!A$1:A$32,0))&amp;INDEX(ETAPP!B$1:B$32,MATCH(COUNTIF(W59:AI59,PVO!A$3),ETAPP!A$1:A$32,0))&amp;INDEX(ETAPP!B$1:B$32,MATCH(COUNTIF(W59:AI59,PVO!A$4),ETAPP!A$1:A$32,0))&amp;INDEX(ETAPP!B$1:B$32,MATCH(COUNTIF(W59:AI59,PVO!A$5),ETAPP!A$1:A$32,0))&amp;INDEX(ETAPP!B$1:B$32,MATCH(COUNTIF(W59:AI59,PVO!A$6),ETAPP!A$1:A$32,0))&amp;INDEX(ETAPP!B$1:B$32,MATCH(COUNTIF(W59:AI59,PVO!A$7),ETAPP!A$1:A$32,0))&amp;INDEX(ETAPP!B$1:B$32,MATCH(COUNTIF(W59:AI59,PVO!A$8),ETAPP!A$1:A$32,0))&amp;INDEX(ETAPP!B$1:B$32,MATCH(COUNTIF(W59:AI59,PVO!A$9),ETAPP!A$1:A$32,0))&amp;INDEX(ETAPP!B$1:B$32,MATCH(COUNTIF(W59:AI59,PVO!A$10),ETAPP!A$1:A$32,0))&amp;INDEX(ETAPP!B$1:B$32,MATCH(COUNTIF(W59:AI59,PVO!A$11),ETAPP!A$1:A$32,0))&amp;INDEX(ETAPP!B$1:B$32,MATCH(COUNTIF(W59:AI59,PVO!A$12),ETAPP!A$1:A$32,0))&amp;INDEX(ETAPP!B$1:B$32,MATCH(COUNTIF(W59:AI59,PVO!A$13),ETAPP!A$1:A$32,0))&amp;INDEX(ETAPP!B$1:B$32,MATCH(COUNTIF(W59:AI59,PVO!A$14),ETAPP!A$1:A$32,0))&amp;INDEX(ETAPP!B$1:B$32,MATCH(COUNTIF(W59:AI59,PVO!A$15),ETAPP!A$1:A$32,0))&amp;INDEX(ETAPP!B$1:B$32,MATCH(COUNTIF(W59:AI59,PVO!A$16),ETAPP!A$1:A$32,0))&amp;INDEX(ETAPP!B$1:B$32,MATCH(COUNTIF(W59:AI59,PVO!A$17),ETAPP!A$1:A$32,0))&amp;INDEX(ETAPP!B$1:B$32,MATCH(COUNTIF(W59:AI59,PVO!A$18),ETAPP!A$1:A$32,0))&amp;INDEX(ETAPP!B$1:B$32,MATCH(COUNTIF(W59:AI59,PVO!A$19),ETAPP!A$1:A$32,0))</f>
        <v>000000000000000A00G</v>
      </c>
      <c r="Q59" s="746" t="str">
        <f t="shared" si="31"/>
        <v>002,0-000000000000000A00G</v>
      </c>
      <c r="R59" s="746">
        <f t="shared" si="32"/>
        <v>55</v>
      </c>
      <c r="S59" s="746">
        <f t="shared" si="33"/>
        <v>33</v>
      </c>
      <c r="T59" s="746" t="str">
        <f t="shared" si="34"/>
        <v>002,0-000000000000000A00G-033</v>
      </c>
      <c r="U59" s="746">
        <f t="shared" si="35"/>
        <v>53</v>
      </c>
      <c r="V59" s="746">
        <f t="shared" si="36"/>
        <v>4</v>
      </c>
      <c r="W59" s="679" t="str">
        <f>IFERROR(INDEX('V1'!C$300:C$400,MATCH("*"&amp;J59&amp;"*",'V1'!B$300:B$400,0)),"  ")</f>
        <v xml:space="preserve">  </v>
      </c>
      <c r="X59" s="679" t="str">
        <f>IFERROR(INDEX('V2'!C$300:C$400,MATCH("*"&amp;J59&amp;"*",'V2'!B$300:B$400,0)),"  ")</f>
        <v xml:space="preserve">  </v>
      </c>
      <c r="Y59" s="679" t="str">
        <f>IFERROR(INDEX('V3'!C$300:C$400,MATCH("*"&amp;J59&amp;"*",'V3'!B$300:B$400,0)),"  ")</f>
        <v xml:space="preserve">  </v>
      </c>
      <c r="Z59" s="679" t="str">
        <f>IFERROR(INDEX('V4'!C$300:C$400,MATCH("*"&amp;J59&amp;"*",'V4'!B$300:B$400,0)),"  ")</f>
        <v xml:space="preserve">  </v>
      </c>
      <c r="AA59" s="679" t="str">
        <f>IFERROR(INDEX('V5'!C$300:C$400,MATCH("*"&amp;J59&amp;"*",'V5'!B$300:B$400,0)),"  ")</f>
        <v xml:space="preserve">  </v>
      </c>
      <c r="AB59" s="679" t="str">
        <f>IFERROR(INDEX('V6'!C$300:C$400,MATCH("*"&amp;J59&amp;"*",'V6'!B$300:B$400,0)),"  ")</f>
        <v xml:space="preserve">  </v>
      </c>
      <c r="AC59" s="679" t="str">
        <f>IFERROR(INDEX('V7'!C$300:C$400,MATCH("*"&amp;J59&amp;"*",'V7'!B$300:B$400,0)),"  ")</f>
        <v xml:space="preserve">  </v>
      </c>
      <c r="AD59" s="679" t="str">
        <f>IFERROR(INDEX('V8'!C$300:C$400,MATCH("*"&amp;J59&amp;"*",'V8'!B$300:B$400,0)),"  ")</f>
        <v xml:space="preserve">  </v>
      </c>
      <c r="AE59" s="679" t="str">
        <f>IFERROR(INDEX('V9'!C$300:C$400,MATCH("*"&amp;J59&amp;"*",'V9'!B$300:B$400,0)),"  ")</f>
        <v xml:space="preserve">  </v>
      </c>
      <c r="AF59" s="679" t="str">
        <f>IFERROR(INDEX('V10'!C$300:C$400,MATCH("*"&amp;J59&amp;"*",'V10'!B$300:B$400,0)),"  ")</f>
        <v xml:space="preserve">  </v>
      </c>
      <c r="AG59" s="679" t="str">
        <f>IFERROR(INDEX('V11'!C$300:C$400,MATCH("*"&amp;J59&amp;"*",'V11'!B$300:B$400,0)),"  ")</f>
        <v xml:space="preserve">  </v>
      </c>
      <c r="AH59" s="679" t="str">
        <f>IFERROR(INDEX('V12'!C$300:C$400,MATCH("*"&amp;J59&amp;"*",'V12'!B$300:B$400,0)),"  ")</f>
        <v xml:space="preserve">  </v>
      </c>
      <c r="AI59" s="679">
        <f>IFERROR(INDEX('V13'!C$300:C$400,MATCH("*"&amp;J59&amp;"*",'V13'!B$300:B$400,0)),"  ")</f>
        <v>2</v>
      </c>
      <c r="AJ59" s="747">
        <f t="shared" si="37"/>
        <v>0</v>
      </c>
      <c r="AK59" s="747" t="str">
        <f t="shared" si="38"/>
        <v/>
      </c>
      <c r="AL59" s="1212">
        <f t="shared" si="39"/>
        <v>51</v>
      </c>
      <c r="AM59" s="1215" t="str">
        <f>IFERROR(INDEX('V-Fin'!A$300:AJ$400&amp;".",MATCH("*"&amp;J59&amp;"*",'V-Fin'!B$300:B$400,0)),"  ")</f>
        <v xml:space="preserve">  </v>
      </c>
      <c r="AN59" s="337">
        <f t="shared" si="40"/>
        <v>1</v>
      </c>
      <c r="AO59" s="336">
        <f t="shared" si="41"/>
        <v>0</v>
      </c>
      <c r="AP59" s="336">
        <f t="shared" si="42"/>
        <v>0</v>
      </c>
    </row>
    <row r="60" spans="1:42" ht="12.6" customHeight="1" x14ac:dyDescent="0.2">
      <c r="A60" s="1201">
        <f t="shared" si="23"/>
        <v>19</v>
      </c>
      <c r="B60" s="740">
        <f t="shared" si="24"/>
        <v>55</v>
      </c>
      <c r="C60" s="1199" t="str">
        <f t="shared" si="25"/>
        <v/>
      </c>
      <c r="D60" s="1193">
        <f t="shared" si="26"/>
        <v>-945</v>
      </c>
      <c r="E60" s="1195">
        <f t="shared" si="27"/>
        <v>11</v>
      </c>
      <c r="F60" s="1193">
        <f t="shared" si="28"/>
        <v>55</v>
      </c>
      <c r="G60" s="1207" t="str">
        <f t="shared" si="29"/>
        <v/>
      </c>
      <c r="H60" s="1193">
        <f t="shared" si="21"/>
        <v>-945</v>
      </c>
      <c r="I60" s="741">
        <f t="shared" si="30"/>
        <v>51</v>
      </c>
      <c r="J60" s="742" t="s">
        <v>244</v>
      </c>
      <c r="K60" s="743" t="s">
        <v>359</v>
      </c>
      <c r="L60" s="1198" t="str">
        <f t="shared" si="22"/>
        <v/>
      </c>
      <c r="M60" s="744"/>
      <c r="N60" s="745" t="s">
        <v>230</v>
      </c>
      <c r="O60" s="751">
        <f t="shared" si="8"/>
        <v>2</v>
      </c>
      <c r="P60" s="746" t="str">
        <f>INDEX(ETAPP!B$1:B$32,MATCH(COUNTIF(W60:AI60,PVO!A$1),ETAPP!A$1:A$32,0))&amp;INDEX(ETAPP!B$1:B$32,MATCH(COUNTIF(W60:AI60,PVO!A$2),ETAPP!A$1:A$32,0))&amp;INDEX(ETAPP!B$1:B$32,MATCH(COUNTIF(W60:AI60,PVO!A$3),ETAPP!A$1:A$32,0))&amp;INDEX(ETAPP!B$1:B$32,MATCH(COUNTIF(W60:AI60,PVO!A$4),ETAPP!A$1:A$32,0))&amp;INDEX(ETAPP!B$1:B$32,MATCH(COUNTIF(W60:AI60,PVO!A$5),ETAPP!A$1:A$32,0))&amp;INDEX(ETAPP!B$1:B$32,MATCH(COUNTIF(W60:AI60,PVO!A$6),ETAPP!A$1:A$32,0))&amp;INDEX(ETAPP!B$1:B$32,MATCH(COUNTIF(W60:AI60,PVO!A$7),ETAPP!A$1:A$32,0))&amp;INDEX(ETAPP!B$1:B$32,MATCH(COUNTIF(W60:AI60,PVO!A$8),ETAPP!A$1:A$32,0))&amp;INDEX(ETAPP!B$1:B$32,MATCH(COUNTIF(W60:AI60,PVO!A$9),ETAPP!A$1:A$32,0))&amp;INDEX(ETAPP!B$1:B$32,MATCH(COUNTIF(W60:AI60,PVO!A$10),ETAPP!A$1:A$32,0))&amp;INDEX(ETAPP!B$1:B$32,MATCH(COUNTIF(W60:AI60,PVO!A$11),ETAPP!A$1:A$32,0))&amp;INDEX(ETAPP!B$1:B$32,MATCH(COUNTIF(W60:AI60,PVO!A$12),ETAPP!A$1:A$32,0))&amp;INDEX(ETAPP!B$1:B$32,MATCH(COUNTIF(W60:AI60,PVO!A$13),ETAPP!A$1:A$32,0))&amp;INDEX(ETAPP!B$1:B$32,MATCH(COUNTIF(W60:AI60,PVO!A$14),ETAPP!A$1:A$32,0))&amp;INDEX(ETAPP!B$1:B$32,MATCH(COUNTIF(W60:AI60,PVO!A$15),ETAPP!A$1:A$32,0))&amp;INDEX(ETAPP!B$1:B$32,MATCH(COUNTIF(W60:AI60,PVO!A$16),ETAPP!A$1:A$32,0))&amp;INDEX(ETAPP!B$1:B$32,MATCH(COUNTIF(W60:AI60,PVO!A$17),ETAPP!A$1:A$32,0))&amp;INDEX(ETAPP!B$1:B$32,MATCH(COUNTIF(W60:AI60,PVO!A$18),ETAPP!A$1:A$32,0))&amp;INDEX(ETAPP!B$1:B$32,MATCH(COUNTIF(W60:AI60,PVO!A$19),ETAPP!A$1:A$32,0))</f>
        <v>000000000000000A00G</v>
      </c>
      <c r="Q60" s="746" t="str">
        <f t="shared" si="31"/>
        <v>002,0-000000000000000A00G</v>
      </c>
      <c r="R60" s="746">
        <f t="shared" si="32"/>
        <v>55</v>
      </c>
      <c r="S60" s="746">
        <f t="shared" si="33"/>
        <v>19</v>
      </c>
      <c r="T60" s="746" t="str">
        <f t="shared" si="34"/>
        <v>002,0-000000000000000A00G-019</v>
      </c>
      <c r="U60" s="746">
        <f t="shared" si="35"/>
        <v>54</v>
      </c>
      <c r="V60" s="746">
        <f t="shared" si="36"/>
        <v>3</v>
      </c>
      <c r="W60" s="679" t="str">
        <f>IFERROR(INDEX('V1'!C$300:C$400,MATCH("*"&amp;J60&amp;"*",'V1'!B$300:B$400,0)),"  ")</f>
        <v xml:space="preserve">  </v>
      </c>
      <c r="X60" s="679" t="str">
        <f>IFERROR(INDEX('V2'!C$300:C$400,MATCH("*"&amp;J60&amp;"*",'V2'!B$300:B$400,0)),"  ")</f>
        <v xml:space="preserve">  </v>
      </c>
      <c r="Y60" s="679" t="str">
        <f>IFERROR(INDEX('V3'!C$300:C$400,MATCH("*"&amp;J60&amp;"*",'V3'!B$300:B$400,0)),"  ")</f>
        <v xml:space="preserve">  </v>
      </c>
      <c r="Z60" s="679" t="str">
        <f>IFERROR(INDEX('V4'!C$300:C$400,MATCH("*"&amp;J60&amp;"*",'V4'!B$300:B$400,0)),"  ")</f>
        <v xml:space="preserve">  </v>
      </c>
      <c r="AA60" s="679" t="str">
        <f>IFERROR(INDEX('V5'!C$300:C$400,MATCH("*"&amp;J60&amp;"*",'V5'!B$300:B$400,0)),"  ")</f>
        <v xml:space="preserve">  </v>
      </c>
      <c r="AB60" s="679" t="str">
        <f>IFERROR(INDEX('V6'!C$300:C$400,MATCH("*"&amp;J60&amp;"*",'V6'!B$300:B$400,0)),"  ")</f>
        <v xml:space="preserve">  </v>
      </c>
      <c r="AC60" s="679" t="str">
        <f>IFERROR(INDEX('V7'!C$300:C$400,MATCH("*"&amp;J60&amp;"*",'V7'!B$300:B$400,0)),"  ")</f>
        <v xml:space="preserve">  </v>
      </c>
      <c r="AD60" s="679" t="str">
        <f>IFERROR(INDEX('V8'!C$300:C$400,MATCH("*"&amp;J60&amp;"*",'V8'!B$300:B$400,0)),"  ")</f>
        <v xml:space="preserve">  </v>
      </c>
      <c r="AE60" s="679" t="str">
        <f>IFERROR(INDEX('V9'!C$300:C$400,MATCH("*"&amp;J60&amp;"*",'V9'!B$300:B$400,0)),"  ")</f>
        <v xml:space="preserve">  </v>
      </c>
      <c r="AF60" s="679">
        <f>IFERROR(INDEX('V10'!C$300:C$400,MATCH("*"&amp;J60&amp;"*",'V10'!B$300:B$400,0)),"  ")</f>
        <v>2</v>
      </c>
      <c r="AG60" s="679" t="str">
        <f>IFERROR(INDEX('V11'!C$300:C$400,MATCH("*"&amp;J60&amp;"*",'V11'!B$300:B$400,0)),"  ")</f>
        <v xml:space="preserve">  </v>
      </c>
      <c r="AH60" s="679" t="str">
        <f>IFERROR(INDEX('V12'!C$300:C$400,MATCH("*"&amp;J60&amp;"*",'V12'!B$300:B$400,0)),"  ")</f>
        <v xml:space="preserve">  </v>
      </c>
      <c r="AI60" s="679" t="str">
        <f>IFERROR(INDEX('V13'!C$300:C$400,MATCH("*"&amp;J60&amp;"*",'V13'!B$300:B$400,0)),"  ")</f>
        <v xml:space="preserve">  </v>
      </c>
      <c r="AJ60" s="747">
        <f t="shared" si="37"/>
        <v>0</v>
      </c>
      <c r="AK60" s="747" t="str">
        <f t="shared" si="38"/>
        <v/>
      </c>
      <c r="AL60" s="1212">
        <f t="shared" si="39"/>
        <v>51</v>
      </c>
      <c r="AM60" s="1215" t="str">
        <f>IFERROR(INDEX('V-Fin'!A$300:AJ$400&amp;".",MATCH("*"&amp;J60&amp;"*",'V-Fin'!B$300:B$400,0)),"  ")</f>
        <v>2.</v>
      </c>
      <c r="AN60" s="337">
        <f t="shared" si="40"/>
        <v>1</v>
      </c>
      <c r="AO60" s="336">
        <f t="shared" si="41"/>
        <v>0</v>
      </c>
      <c r="AP60" s="336">
        <f t="shared" si="42"/>
        <v>0</v>
      </c>
    </row>
    <row r="61" spans="1:42" ht="12.6" customHeight="1" x14ac:dyDescent="0.2">
      <c r="A61" s="1201" t="str">
        <f t="shared" si="23"/>
        <v/>
      </c>
      <c r="B61" s="740">
        <f t="shared" si="24"/>
        <v>-945</v>
      </c>
      <c r="C61" s="1199" t="str">
        <f t="shared" si="25"/>
        <v/>
      </c>
      <c r="D61" s="1193">
        <f t="shared" si="26"/>
        <v>-945</v>
      </c>
      <c r="E61" s="1195">
        <f t="shared" si="27"/>
        <v>11</v>
      </c>
      <c r="F61" s="1193">
        <f t="shared" si="28"/>
        <v>55</v>
      </c>
      <c r="G61" s="1207" t="str">
        <f t="shared" si="29"/>
        <v/>
      </c>
      <c r="H61" s="1193">
        <f t="shared" si="21"/>
        <v>-945</v>
      </c>
      <c r="I61" s="741">
        <f t="shared" si="30"/>
        <v>51</v>
      </c>
      <c r="J61" s="748" t="s">
        <v>574</v>
      </c>
      <c r="K61" s="743" t="s">
        <v>359</v>
      </c>
      <c r="L61" s="1198" t="str">
        <f t="shared" si="22"/>
        <v/>
      </c>
      <c r="M61" s="744"/>
      <c r="N61" s="745"/>
      <c r="O61" s="751">
        <f t="shared" si="8"/>
        <v>2</v>
      </c>
      <c r="P61" s="746" t="str">
        <f>INDEX(ETAPP!B$1:B$32,MATCH(COUNTIF(W61:AI61,PVO!A$1),ETAPP!A$1:A$32,0))&amp;INDEX(ETAPP!B$1:B$32,MATCH(COUNTIF(W61:AI61,PVO!A$2),ETAPP!A$1:A$32,0))&amp;INDEX(ETAPP!B$1:B$32,MATCH(COUNTIF(W61:AI61,PVO!A$3),ETAPP!A$1:A$32,0))&amp;INDEX(ETAPP!B$1:B$32,MATCH(COUNTIF(W61:AI61,PVO!A$4),ETAPP!A$1:A$32,0))&amp;INDEX(ETAPP!B$1:B$32,MATCH(COUNTIF(W61:AI61,PVO!A$5),ETAPP!A$1:A$32,0))&amp;INDEX(ETAPP!B$1:B$32,MATCH(COUNTIF(W61:AI61,PVO!A$6),ETAPP!A$1:A$32,0))&amp;INDEX(ETAPP!B$1:B$32,MATCH(COUNTIF(W61:AI61,PVO!A$7),ETAPP!A$1:A$32,0))&amp;INDEX(ETAPP!B$1:B$32,MATCH(COUNTIF(W61:AI61,PVO!A$8),ETAPP!A$1:A$32,0))&amp;INDEX(ETAPP!B$1:B$32,MATCH(COUNTIF(W61:AI61,PVO!A$9),ETAPP!A$1:A$32,0))&amp;INDEX(ETAPP!B$1:B$32,MATCH(COUNTIF(W61:AI61,PVO!A$10),ETAPP!A$1:A$32,0))&amp;INDEX(ETAPP!B$1:B$32,MATCH(COUNTIF(W61:AI61,PVO!A$11),ETAPP!A$1:A$32,0))&amp;INDEX(ETAPP!B$1:B$32,MATCH(COUNTIF(W61:AI61,PVO!A$12),ETAPP!A$1:A$32,0))&amp;INDEX(ETAPP!B$1:B$32,MATCH(COUNTIF(W61:AI61,PVO!A$13),ETAPP!A$1:A$32,0))&amp;INDEX(ETAPP!B$1:B$32,MATCH(COUNTIF(W61:AI61,PVO!A$14),ETAPP!A$1:A$32,0))&amp;INDEX(ETAPP!B$1:B$32,MATCH(COUNTIF(W61:AI61,PVO!A$15),ETAPP!A$1:A$32,0))&amp;INDEX(ETAPP!B$1:B$32,MATCH(COUNTIF(W61:AI61,PVO!A$16),ETAPP!A$1:A$32,0))&amp;INDEX(ETAPP!B$1:B$32,MATCH(COUNTIF(W61:AI61,PVO!A$17),ETAPP!A$1:A$32,0))&amp;INDEX(ETAPP!B$1:B$32,MATCH(COUNTIF(W61:AI61,PVO!A$18),ETAPP!A$1:A$32,0))&amp;INDEX(ETAPP!B$1:B$32,MATCH(COUNTIF(W61:AI61,PVO!A$19),ETAPP!A$1:A$32,0))</f>
        <v>000000000000000A00G</v>
      </c>
      <c r="Q61" s="746" t="str">
        <f t="shared" si="31"/>
        <v>002,0-000000000000000A00G</v>
      </c>
      <c r="R61" s="746">
        <f t="shared" si="32"/>
        <v>55</v>
      </c>
      <c r="S61" s="746">
        <f t="shared" si="33"/>
        <v>18</v>
      </c>
      <c r="T61" s="746" t="str">
        <f t="shared" si="34"/>
        <v>002,0-000000000000000A00G-018</v>
      </c>
      <c r="U61" s="746">
        <f t="shared" si="35"/>
        <v>55</v>
      </c>
      <c r="V61" s="746">
        <f t="shared" si="36"/>
        <v>2</v>
      </c>
      <c r="W61" s="679" t="str">
        <f>IFERROR(INDEX('V1'!C$300:C$400,MATCH("*"&amp;J61&amp;"*",'V1'!B$300:B$400,0)),"  ")</f>
        <v xml:space="preserve">  </v>
      </c>
      <c r="X61" s="679" t="str">
        <f>IFERROR(INDEX('V2'!C$300:C$400,MATCH("*"&amp;J61&amp;"*",'V2'!B$300:B$400,0)),"  ")</f>
        <v xml:space="preserve">  </v>
      </c>
      <c r="Y61" s="679" t="str">
        <f>IFERROR(INDEX('V3'!C$300:C$400,MATCH("*"&amp;J61&amp;"*",'V3'!B$300:B$400,0)),"  ")</f>
        <v xml:space="preserve">  </v>
      </c>
      <c r="Z61" s="679" t="str">
        <f>IFERROR(INDEX('V4'!C$300:C$400,MATCH("*"&amp;J61&amp;"*",'V4'!B$300:B$400,0)),"  ")</f>
        <v xml:space="preserve">  </v>
      </c>
      <c r="AA61" s="679" t="str">
        <f>IFERROR(INDEX('V5'!C$300:C$400,MATCH("*"&amp;J61&amp;"*",'V5'!B$300:B$400,0)),"  ")</f>
        <v xml:space="preserve">  </v>
      </c>
      <c r="AB61" s="679" t="str">
        <f>IFERROR(INDEX('V6'!C$300:C$400,MATCH("*"&amp;J61&amp;"*",'V6'!B$300:B$400,0)),"  ")</f>
        <v xml:space="preserve">  </v>
      </c>
      <c r="AC61" s="679" t="str">
        <f>IFERROR(INDEX('V7'!C$300:C$400,MATCH("*"&amp;J61&amp;"*",'V7'!B$300:B$400,0)),"  ")</f>
        <v xml:space="preserve">  </v>
      </c>
      <c r="AD61" s="679" t="str">
        <f>IFERROR(INDEX('V8'!C$300:C$400,MATCH("*"&amp;J61&amp;"*",'V8'!B$300:B$400,0)),"  ")</f>
        <v xml:space="preserve">  </v>
      </c>
      <c r="AE61" s="679" t="str">
        <f>IFERROR(INDEX('V9'!C$300:C$400,MATCH("*"&amp;J61&amp;"*",'V9'!B$300:B$400,0)),"  ")</f>
        <v xml:space="preserve">  </v>
      </c>
      <c r="AF61" s="679" t="str">
        <f>IFERROR(INDEX('V10'!C$300:C$400,MATCH("*"&amp;J61&amp;"*",'V10'!B$300:B$400,0)),"  ")</f>
        <v xml:space="preserve">  </v>
      </c>
      <c r="AG61" s="679" t="str">
        <f>IFERROR(INDEX('V11'!C$300:C$400,MATCH("*"&amp;J61&amp;"*",'V11'!B$300:B$400,0)),"  ")</f>
        <v xml:space="preserve">  </v>
      </c>
      <c r="AH61" s="679">
        <f>IFERROR(INDEX('V12'!C$300:C$400,MATCH("*"&amp;J61&amp;"*",'V12'!B$300:B$400,0)),"  ")</f>
        <v>2</v>
      </c>
      <c r="AI61" s="679" t="str">
        <f>IFERROR(INDEX('V13'!C$300:C$400,MATCH("*"&amp;J61&amp;"*",'V13'!B$300:B$400,0)),"  ")</f>
        <v xml:space="preserve">  </v>
      </c>
      <c r="AJ61" s="747">
        <f t="shared" si="37"/>
        <v>0</v>
      </c>
      <c r="AK61" s="747" t="str">
        <f t="shared" si="38"/>
        <v/>
      </c>
      <c r="AL61" s="1212">
        <f t="shared" si="39"/>
        <v>51</v>
      </c>
      <c r="AM61" s="1215" t="str">
        <f>IFERROR(INDEX('V-Fin'!A$300:AJ$400&amp;".",MATCH("*"&amp;J61&amp;"*",'V-Fin'!B$300:B$400,0)),"  ")</f>
        <v xml:space="preserve">  </v>
      </c>
      <c r="AN61" s="337">
        <f t="shared" si="40"/>
        <v>1</v>
      </c>
      <c r="AO61" s="336">
        <f t="shared" si="41"/>
        <v>0</v>
      </c>
      <c r="AP61" s="336">
        <f t="shared" si="42"/>
        <v>0</v>
      </c>
    </row>
    <row r="62" spans="1:42" ht="12.6" customHeight="1" x14ac:dyDescent="0.2">
      <c r="A62" s="1201">
        <f t="shared" si="23"/>
        <v>21</v>
      </c>
      <c r="B62" s="740">
        <f t="shared" si="24"/>
        <v>56</v>
      </c>
      <c r="C62" s="1199">
        <f t="shared" si="25"/>
        <v>43</v>
      </c>
      <c r="D62" s="1193">
        <f t="shared" si="26"/>
        <v>56</v>
      </c>
      <c r="E62" s="1195" t="str">
        <f t="shared" si="27"/>
        <v/>
      </c>
      <c r="F62" s="1193">
        <f t="shared" si="28"/>
        <v>-944</v>
      </c>
      <c r="G62" s="1207" t="str">
        <f t="shared" si="29"/>
        <v/>
      </c>
      <c r="H62" s="1193">
        <f t="shared" si="21"/>
        <v>-944</v>
      </c>
      <c r="I62" s="741">
        <f t="shared" si="30"/>
        <v>56</v>
      </c>
      <c r="J62" s="742" t="s">
        <v>238</v>
      </c>
      <c r="K62" s="743"/>
      <c r="L62" s="1198" t="str">
        <f t="shared" si="22"/>
        <v>m</v>
      </c>
      <c r="M62" s="744"/>
      <c r="N62" s="745" t="s">
        <v>230</v>
      </c>
      <c r="O62" s="751">
        <f t="shared" si="8"/>
        <v>1</v>
      </c>
      <c r="P62" s="746" t="str">
        <f>INDEX(ETAPP!B$1:B$32,MATCH(COUNTIF(W62:AI62,PVO!A$1),ETAPP!A$1:A$32,0))&amp;INDEX(ETAPP!B$1:B$32,MATCH(COUNTIF(W62:AI62,PVO!A$2),ETAPP!A$1:A$32,0))&amp;INDEX(ETAPP!B$1:B$32,MATCH(COUNTIF(W62:AI62,PVO!A$3),ETAPP!A$1:A$32,0))&amp;INDEX(ETAPP!B$1:B$32,MATCH(COUNTIF(W62:AI62,PVO!A$4),ETAPP!A$1:A$32,0))&amp;INDEX(ETAPP!B$1:B$32,MATCH(COUNTIF(W62:AI62,PVO!A$5),ETAPP!A$1:A$32,0))&amp;INDEX(ETAPP!B$1:B$32,MATCH(COUNTIF(W62:AI62,PVO!A$6),ETAPP!A$1:A$32,0))&amp;INDEX(ETAPP!B$1:B$32,MATCH(COUNTIF(W62:AI62,PVO!A$7),ETAPP!A$1:A$32,0))&amp;INDEX(ETAPP!B$1:B$32,MATCH(COUNTIF(W62:AI62,PVO!A$8),ETAPP!A$1:A$32,0))&amp;INDEX(ETAPP!B$1:B$32,MATCH(COUNTIF(W62:AI62,PVO!A$9),ETAPP!A$1:A$32,0))&amp;INDEX(ETAPP!B$1:B$32,MATCH(COUNTIF(W62:AI62,PVO!A$10),ETAPP!A$1:A$32,0))&amp;INDEX(ETAPP!B$1:B$32,MATCH(COUNTIF(W62:AI62,PVO!A$11),ETAPP!A$1:A$32,0))&amp;INDEX(ETAPP!B$1:B$32,MATCH(COUNTIF(W62:AI62,PVO!A$12),ETAPP!A$1:A$32,0))&amp;INDEX(ETAPP!B$1:B$32,MATCH(COUNTIF(W62:AI62,PVO!A$13),ETAPP!A$1:A$32,0))&amp;INDEX(ETAPP!B$1:B$32,MATCH(COUNTIF(W62:AI62,PVO!A$14),ETAPP!A$1:A$32,0))&amp;INDEX(ETAPP!B$1:B$32,MATCH(COUNTIF(W62:AI62,PVO!A$15),ETAPP!A$1:A$32,0))&amp;INDEX(ETAPP!B$1:B$32,MATCH(COUNTIF(W62:AI62,PVO!A$16),ETAPP!A$1:A$32,0))&amp;INDEX(ETAPP!B$1:B$32,MATCH(COUNTIF(W62:AI62,PVO!A$17),ETAPP!A$1:A$32,0))&amp;INDEX(ETAPP!B$1:B$32,MATCH(COUNTIF(W62:AI62,PVO!A$18),ETAPP!A$1:A$32,0))&amp;INDEX(ETAPP!B$1:B$32,MATCH(COUNTIF(W62:AI62,PVO!A$19),ETAPP!A$1:A$32,0))</f>
        <v>0000000000000000A0G</v>
      </c>
      <c r="Q62" s="746" t="str">
        <f t="shared" si="31"/>
        <v>001,0-0000000000000000A0G</v>
      </c>
      <c r="R62" s="746">
        <f t="shared" si="32"/>
        <v>56</v>
      </c>
      <c r="S62" s="746">
        <f t="shared" si="33"/>
        <v>2</v>
      </c>
      <c r="T62" s="746" t="str">
        <f t="shared" si="34"/>
        <v>001,0-0000000000000000A0G-002</v>
      </c>
      <c r="U62" s="746">
        <f t="shared" si="35"/>
        <v>56</v>
      </c>
      <c r="V62" s="746">
        <f t="shared" si="36"/>
        <v>1</v>
      </c>
      <c r="W62" s="679" t="str">
        <f>IFERROR(INDEX('V1'!C$300:C$400,MATCH("*"&amp;J62&amp;"*",'V1'!B$300:B$400,0)),"  ")</f>
        <v xml:space="preserve">  </v>
      </c>
      <c r="X62" s="679">
        <f>IFERROR(INDEX('V2'!C$300:C$400,MATCH("*"&amp;J62&amp;"*",'V2'!B$300:B$400,0)),"  ")</f>
        <v>1</v>
      </c>
      <c r="Y62" s="679" t="str">
        <f>IFERROR(INDEX('V3'!C$300:C$400,MATCH("*"&amp;J62&amp;"*",'V3'!B$300:B$400,0)),"  ")</f>
        <v xml:space="preserve">  </v>
      </c>
      <c r="Z62" s="679" t="str">
        <f>IFERROR(INDEX('V4'!C$300:C$400,MATCH("*"&amp;J62&amp;"*",'V4'!B$300:B$400,0)),"  ")</f>
        <v xml:space="preserve">  </v>
      </c>
      <c r="AA62" s="679" t="str">
        <f>IFERROR(INDEX('V5'!C$300:C$400,MATCH("*"&amp;J62&amp;"*",'V5'!B$300:B$400,0)),"  ")</f>
        <v xml:space="preserve">  </v>
      </c>
      <c r="AB62" s="679" t="str">
        <f>IFERROR(INDEX('V6'!C$300:C$400,MATCH("*"&amp;J62&amp;"*",'V6'!B$300:B$400,0)),"  ")</f>
        <v xml:space="preserve">  </v>
      </c>
      <c r="AC62" s="679" t="str">
        <f>IFERROR(INDEX('V7'!C$300:C$400,MATCH("*"&amp;J62&amp;"*",'V7'!B$300:B$400,0)),"  ")</f>
        <v xml:space="preserve">  </v>
      </c>
      <c r="AD62" s="679" t="str">
        <f>IFERROR(INDEX('V8'!C$300:C$400,MATCH("*"&amp;J62&amp;"*",'V8'!B$300:B$400,0)),"  ")</f>
        <v xml:space="preserve">  </v>
      </c>
      <c r="AE62" s="679" t="str">
        <f>IFERROR(INDEX('V9'!C$300:C$400,MATCH("*"&amp;J62&amp;"*",'V9'!B$300:B$400,0)),"  ")</f>
        <v xml:space="preserve">  </v>
      </c>
      <c r="AF62" s="679" t="str">
        <f>IFERROR(INDEX('V10'!C$300:C$400,MATCH("*"&amp;J62&amp;"*",'V10'!B$300:B$400,0)),"  ")</f>
        <v xml:space="preserve">  </v>
      </c>
      <c r="AG62" s="679" t="str">
        <f>IFERROR(INDEX('V11'!C$300:C$400,MATCH("*"&amp;J62&amp;"*",'V11'!B$300:B$400,0)),"  ")</f>
        <v xml:space="preserve">  </v>
      </c>
      <c r="AH62" s="679" t="str">
        <f>IFERROR(INDEX('V12'!C$300:C$400,MATCH("*"&amp;J62&amp;"*",'V12'!B$300:B$400,0)),"  ")</f>
        <v xml:space="preserve">  </v>
      </c>
      <c r="AI62" s="679" t="str">
        <f>IFERROR(INDEX('V13'!C$300:C$400,MATCH("*"&amp;J62&amp;"*",'V13'!B$300:B$400,0)),"  ")</f>
        <v xml:space="preserve">  </v>
      </c>
      <c r="AJ62" s="747">
        <f t="shared" si="37"/>
        <v>0</v>
      </c>
      <c r="AK62" s="747" t="str">
        <f t="shared" si="38"/>
        <v/>
      </c>
      <c r="AL62" s="1212">
        <f t="shared" si="39"/>
        <v>56</v>
      </c>
      <c r="AM62" s="1215" t="str">
        <f>IFERROR(INDEX('V-Fin'!A$300:AJ$400&amp;".",MATCH("*"&amp;J62&amp;"*",'V-Fin'!B$300:B$400,0)),"  ")</f>
        <v xml:space="preserve">  </v>
      </c>
      <c r="AN62" s="337">
        <f t="shared" ref="AN62" si="43">COUNTIF(W62:AI62,"&gt;=0")</f>
        <v>1</v>
      </c>
      <c r="AO62" s="336">
        <f t="shared" si="41"/>
        <v>0</v>
      </c>
      <c r="AP62" s="336">
        <f t="shared" si="42"/>
        <v>0</v>
      </c>
    </row>
    <row r="63" spans="1:42" ht="12.6" customHeight="1" x14ac:dyDescent="0.2">
      <c r="A63" s="338"/>
      <c r="B63" s="338"/>
      <c r="C63" s="338"/>
      <c r="D63" s="338"/>
      <c r="E63" s="338"/>
      <c r="F63" s="338"/>
      <c r="G63" s="338"/>
      <c r="H63" s="338"/>
      <c r="I63" s="338">
        <f>COUNT(I7:I62)</f>
        <v>56</v>
      </c>
      <c r="J63" s="339" t="s">
        <v>24</v>
      </c>
      <c r="K63" s="340"/>
      <c r="L63" s="340"/>
      <c r="M63" s="340"/>
      <c r="N63" s="340"/>
      <c r="O63" s="340"/>
      <c r="P63" s="340"/>
      <c r="Q63" s="340"/>
      <c r="R63" s="340"/>
      <c r="S63" s="340"/>
      <c r="T63" s="340"/>
      <c r="U63" s="340"/>
      <c r="V63" s="340"/>
      <c r="W63" s="341">
        <f t="shared" ref="W63:AH63" si="44">COUNTIF(W7:W62,"&gt;0")</f>
        <v>21</v>
      </c>
      <c r="X63" s="341">
        <f t="shared" si="44"/>
        <v>21</v>
      </c>
      <c r="Y63" s="341">
        <f t="shared" si="44"/>
        <v>25</v>
      </c>
      <c r="Z63" s="341">
        <f t="shared" si="44"/>
        <v>18</v>
      </c>
      <c r="AA63" s="341">
        <f t="shared" si="44"/>
        <v>23</v>
      </c>
      <c r="AB63" s="341">
        <f t="shared" si="44"/>
        <v>28</v>
      </c>
      <c r="AC63" s="341">
        <f t="shared" si="44"/>
        <v>20</v>
      </c>
      <c r="AD63" s="341">
        <f t="shared" si="44"/>
        <v>26</v>
      </c>
      <c r="AE63" s="341">
        <f t="shared" si="44"/>
        <v>22</v>
      </c>
      <c r="AF63" s="341">
        <f t="shared" si="44"/>
        <v>22</v>
      </c>
      <c r="AG63" s="341">
        <f t="shared" si="44"/>
        <v>25</v>
      </c>
      <c r="AH63" s="341">
        <f t="shared" si="44"/>
        <v>32</v>
      </c>
      <c r="AI63" s="341">
        <f t="shared" ref="AI63:AL63" si="45">COUNTIF(AI7:AI62,"&gt;0")</f>
        <v>31</v>
      </c>
      <c r="AJ63" s="341">
        <f t="shared" si="45"/>
        <v>34</v>
      </c>
      <c r="AK63" s="341">
        <f t="shared" si="45"/>
        <v>34</v>
      </c>
      <c r="AL63" s="341">
        <f t="shared" si="45"/>
        <v>22</v>
      </c>
      <c r="AM63" s="1216">
        <f>COUNTIF(AM7:AM62,"*"&amp;".")</f>
        <v>25</v>
      </c>
      <c r="AN63" s="333"/>
      <c r="AO63" s="342">
        <f>SUM(AO7:AO62)</f>
        <v>79</v>
      </c>
      <c r="AP63" s="333"/>
    </row>
    <row r="64" spans="1:42" ht="12.6" customHeight="1" x14ac:dyDescent="0.2">
      <c r="A64" s="343"/>
      <c r="B64" s="343"/>
      <c r="C64" s="343"/>
      <c r="D64" s="343"/>
      <c r="E64" s="343"/>
      <c r="F64" s="343"/>
      <c r="G64" s="343"/>
      <c r="H64" s="343"/>
      <c r="I64" s="343"/>
      <c r="J64" s="339" t="s">
        <v>25</v>
      </c>
      <c r="K64" s="340"/>
      <c r="L64" s="340"/>
      <c r="M64" s="340"/>
      <c r="N64" s="340"/>
      <c r="O64" s="340"/>
      <c r="P64" s="340"/>
      <c r="Q64" s="340"/>
      <c r="R64" s="340"/>
      <c r="S64" s="340"/>
      <c r="T64" s="340"/>
      <c r="U64" s="340"/>
      <c r="V64" s="340"/>
      <c r="W64" s="344">
        <f t="shared" ref="W64:AB64" si="46">IF((W63/(LEN(W5)-LEN(SUBSTITUTE(W5,"*","")))-0.5)&lt;0,"",W63/(LEN(W5)-LEN(SUBSTITUTE(W5,"*","")))-0.5)</f>
        <v>10</v>
      </c>
      <c r="X64" s="344">
        <f t="shared" si="46"/>
        <v>10</v>
      </c>
      <c r="Y64" s="344">
        <f t="shared" si="46"/>
        <v>12</v>
      </c>
      <c r="Z64" s="344">
        <f t="shared" si="46"/>
        <v>8.5</v>
      </c>
      <c r="AA64" s="344">
        <f t="shared" si="46"/>
        <v>11</v>
      </c>
      <c r="AB64" s="344">
        <f t="shared" si="46"/>
        <v>13.5</v>
      </c>
      <c r="AC64" s="344">
        <v>9</v>
      </c>
      <c r="AD64" s="344">
        <f>IF((AD63/(LEN(AD5)-LEN(SUBSTITUTE(AD5,"*","")))-0.5)&lt;0,"",AD63/(LEN(AD5)-LEN(SUBSTITUTE(AD5,"*","")))-0.5)</f>
        <v>12.5</v>
      </c>
      <c r="AE64" s="344">
        <f>IF((AE63/(LEN(AE5)-LEN(SUBSTITUTE(AE5,"*","")))-0.5)&lt;0,"",AE63/(LEN(AE5)-LEN(SUBSTITUTE(AE5,"*","")))-0.5)</f>
        <v>10.5</v>
      </c>
      <c r="AF64" s="344">
        <f>IF((AF63/(LEN(AF5)-LEN(SUBSTITUTE(AF5,"*","")))-0.5)&lt;0,"",AF63/(LEN(AF5)-LEN(SUBSTITUTE(AF5,"*","")))-0.5)</f>
        <v>10.5</v>
      </c>
      <c r="AG64" s="344">
        <f>IF((AG63/(LEN(AG5)-LEN(SUBSTITUTE(AG5,"*","")))-0.5)&lt;0,"",AG63/(LEN(AG5)-LEN(SUBSTITUTE(AG5,"*","")))-0.5)</f>
        <v>12</v>
      </c>
      <c r="AH64" s="344">
        <f>IF((AH63/(LEN(AH5)-LEN(SUBSTITUTE(AH5,"*","")))-0.5)&lt;0,"",AH63/(LEN(AH5)-LEN(SUBSTITUTE(AH5,"*","")))-0.5)</f>
        <v>15.5</v>
      </c>
      <c r="AI64" s="344">
        <f t="shared" ref="AI64:AM64" si="47">IF((AI63/(LEN(AI5)-LEN(SUBSTITUTE(AI5,"*","")))-0.5)&lt;0,"",AI63/(LEN(AI5)-LEN(SUBSTITUTE(AI5,"*","")))-0.5)</f>
        <v>15</v>
      </c>
      <c r="AJ64" s="344" t="e">
        <f t="shared" si="47"/>
        <v>#DIV/0!</v>
      </c>
      <c r="AK64" s="344" t="e">
        <f t="shared" si="47"/>
        <v>#DIV/0!</v>
      </c>
      <c r="AL64" s="344" t="e">
        <f t="shared" si="47"/>
        <v>#DIV/0!</v>
      </c>
      <c r="AM64" s="1217">
        <f t="shared" si="47"/>
        <v>7.8333333333333339</v>
      </c>
      <c r="AN64" s="333"/>
      <c r="AO64" s="333"/>
      <c r="AP64" s="333"/>
    </row>
    <row r="65" spans="11:22" x14ac:dyDescent="0.2">
      <c r="K65" s="327"/>
      <c r="L65" s="327"/>
      <c r="M65" s="327"/>
      <c r="O65" s="327"/>
      <c r="P65" s="327"/>
      <c r="Q65" s="327"/>
      <c r="R65" s="327"/>
      <c r="S65" s="327"/>
      <c r="T65" s="327"/>
      <c r="U65" s="327"/>
      <c r="V65" s="327"/>
    </row>
    <row r="66" spans="11:22" x14ac:dyDescent="0.2">
      <c r="K66" s="327"/>
      <c r="L66" s="327"/>
      <c r="M66" s="327"/>
      <c r="O66" s="327"/>
      <c r="P66" s="327"/>
      <c r="Q66" s="327"/>
      <c r="R66" s="327"/>
      <c r="S66" s="327"/>
      <c r="T66" s="327"/>
      <c r="U66" s="327"/>
      <c r="V66" s="327"/>
    </row>
  </sheetData>
  <autoFilter ref="AN6:AP6"/>
  <sortState ref="B6:AX87">
    <sortCondition descending="1" ref="V7"/>
  </sortState>
  <mergeCells count="4">
    <mergeCell ref="AN4:AN5"/>
    <mergeCell ref="AO4:AO5"/>
    <mergeCell ref="AP4:AP5"/>
    <mergeCell ref="A4:O4"/>
  </mergeCells>
  <conditionalFormatting sqref="AJ7:AJ62 AL7:AL62">
    <cfRule type="containsText" dxfId="1698" priority="70" operator="containsText" text="puudu">
      <formula>NOT(ISERROR(SEARCH("puudu",AJ7)))</formula>
    </cfRule>
  </conditionalFormatting>
  <conditionalFormatting sqref="AL7:AL62">
    <cfRule type="notContainsText" dxfId="1697" priority="69" operator="notContains" text="edasi">
      <formula>ISERROR(SEARCH("edasi",AL7))</formula>
    </cfRule>
  </conditionalFormatting>
  <conditionalFormatting sqref="W63:AM63">
    <cfRule type="top10" dxfId="1696" priority="961" stopIfTrue="1" rank="1"/>
  </conditionalFormatting>
  <conditionalFormatting sqref="AO7:AO62">
    <cfRule type="top10" dxfId="1695" priority="962" stopIfTrue="1" rank="1"/>
  </conditionalFormatting>
  <conditionalFormatting sqref="AP7:AP62">
    <cfRule type="top10" dxfId="1694" priority="963" stopIfTrue="1" rank="1"/>
  </conditionalFormatting>
  <conditionalFormatting sqref="AN7:AO62">
    <cfRule type="top10" dxfId="1693" priority="964" stopIfTrue="1" rank="1"/>
  </conditionalFormatting>
  <conditionalFormatting sqref="W7:W62">
    <cfRule type="expression" dxfId="1692" priority="965" stopIfTrue="1">
      <formula>W7=MAX(IF(W$7:W$62&lt;MAX(IF(W$7:W$62&lt;MAX(W$7:W$62),W$7:W$62)),W$7:W$62))</formula>
    </cfRule>
    <cfRule type="expression" dxfId="1691" priority="966" stopIfTrue="1">
      <formula>W7=MAX(IF(W$7:W$62&lt;MAX(W$7:W$62),W$7:W$62))</formula>
    </cfRule>
    <cfRule type="top10" dxfId="1690" priority="967" stopIfTrue="1" rank="1"/>
  </conditionalFormatting>
  <conditionalFormatting sqref="X7:X62">
    <cfRule type="expression" dxfId="1689" priority="974" stopIfTrue="1">
      <formula>X7=MAX(IF(X$7:X$62&lt;MAX(IF(X$7:X$62&lt;MAX(X$7:X$62),X$7:X$62)),X$7:X$62))</formula>
    </cfRule>
    <cfRule type="expression" dxfId="1688" priority="975" stopIfTrue="1">
      <formula>X7=MAX(IF(X$7:X$62&lt;MAX(X$7:X$62),X$7:X$62))</formula>
    </cfRule>
    <cfRule type="top10" dxfId="1687" priority="976" stopIfTrue="1" rank="1"/>
  </conditionalFormatting>
  <conditionalFormatting sqref="Y7:Y62">
    <cfRule type="expression" dxfId="1686" priority="983" stopIfTrue="1">
      <formula>Y7=MAX(IF(Y$7:Y$62&lt;MAX(IF(Y$7:Y$62&lt;MAX(Y$7:Y$62),Y$7:Y$62)),Y$7:Y$62))</formula>
    </cfRule>
    <cfRule type="expression" dxfId="1685" priority="984" stopIfTrue="1">
      <formula>Y7=MAX(IF(Y$7:Y$62&lt;MAX(Y$7:Y$62),Y$7:Y$62))</formula>
    </cfRule>
    <cfRule type="top10" dxfId="1684" priority="985" stopIfTrue="1" rank="1"/>
  </conditionalFormatting>
  <conditionalFormatting sqref="Z7:Z62">
    <cfRule type="expression" dxfId="1683" priority="992" stopIfTrue="1">
      <formula>Z7=MAX(IF(Z$7:Z$62&lt;MAX(IF(Z$7:Z$62&lt;MAX(Z$7:Z$62),Z$7:Z$62)),Z$7:Z$62))</formula>
    </cfRule>
    <cfRule type="expression" dxfId="1682" priority="993" stopIfTrue="1">
      <formula>Z7=MAX(IF(Z$7:Z$62&lt;MAX(Z$7:Z$62),Z$7:Z$62))</formula>
    </cfRule>
    <cfRule type="top10" dxfId="1681" priority="994" stopIfTrue="1" rank="1"/>
  </conditionalFormatting>
  <conditionalFormatting sqref="AA7:AA62">
    <cfRule type="expression" dxfId="1680" priority="1001" stopIfTrue="1">
      <formula>AA7=MAX(IF(AA$7:AA$62&lt;MAX(IF(AA$7:AA$62&lt;MAX(AA$7:AA$62),AA$7:AA$62)),AA$7:AA$62))</formula>
    </cfRule>
    <cfRule type="expression" dxfId="1679" priority="1002" stopIfTrue="1">
      <formula>AA7=MAX(IF(AA$7:AA$62&lt;MAX(AA$7:AA$62),AA$7:AA$62))</formula>
    </cfRule>
    <cfRule type="top10" dxfId="1678" priority="1003" stopIfTrue="1" rank="1"/>
  </conditionalFormatting>
  <conditionalFormatting sqref="AB7:AB62">
    <cfRule type="expression" dxfId="1677" priority="1010" stopIfTrue="1">
      <formula>AB7=MAX(IF(AB$7:AB$62&lt;MAX(IF(AB$7:AB$62&lt;MAX(AB$7:AB$62),AB$7:AB$62)),AB$7:AB$62))</formula>
    </cfRule>
    <cfRule type="expression" dxfId="1676" priority="1011" stopIfTrue="1">
      <formula>AB7=MAX(IF(AB$7:AB$62&lt;MAX(AB$7:AB$62),AB$7:AB$62))</formula>
    </cfRule>
    <cfRule type="top10" dxfId="1675" priority="1012" stopIfTrue="1" rank="1"/>
  </conditionalFormatting>
  <conditionalFormatting sqref="AC7:AC62">
    <cfRule type="expression" dxfId="1674" priority="1019" stopIfTrue="1">
      <formula>AC7=MAX(IF(AC$7:AC$62&lt;MAX(IF(AC$7:AC$62&lt;MAX(AC$7:AC$62),AC$7:AC$62)),AC$7:AC$62))</formula>
    </cfRule>
    <cfRule type="expression" dxfId="1673" priority="1020" stopIfTrue="1">
      <formula>AC7=MAX(IF(AC$7:AC$62&lt;MAX(AC$7:AC$62),AC$7:AC$62))</formula>
    </cfRule>
    <cfRule type="top10" dxfId="1672" priority="1021" stopIfTrue="1" rank="1"/>
  </conditionalFormatting>
  <conditionalFormatting sqref="AD7:AD62">
    <cfRule type="expression" dxfId="1671" priority="1028" stopIfTrue="1">
      <formula>AD7=MAX(IF(AD$7:AD$62&lt;MAX(IF(AD$7:AD$62&lt;MAX(AD$7:AD$62),AD$7:AD$62)),AD$7:AD$62))</formula>
    </cfRule>
    <cfRule type="expression" dxfId="1670" priority="1029" stopIfTrue="1">
      <formula>AD7=MAX(IF(AD$7:AD$62&lt;MAX(AD$7:AD$62),AD$7:AD$62))</formula>
    </cfRule>
    <cfRule type="top10" dxfId="1669" priority="1030" stopIfTrue="1" rank="1"/>
  </conditionalFormatting>
  <conditionalFormatting sqref="J7:J62">
    <cfRule type="expression" dxfId="1668" priority="1037">
      <formula>K7="n"</formula>
    </cfRule>
    <cfRule type="expression" dxfId="1667" priority="1038">
      <formula>M7="j"</formula>
    </cfRule>
    <cfRule type="expression" dxfId="1666" priority="1039">
      <formula>N7="k"</formula>
    </cfRule>
    <cfRule type="duplicateValues" dxfId="1665" priority="1040" stopIfTrue="1"/>
  </conditionalFormatting>
  <conditionalFormatting sqref="AE7:AE62">
    <cfRule type="expression" dxfId="1664" priority="1041" stopIfTrue="1">
      <formula>AE7=MAX(IF(AE$7:AE$62&lt;MAX(IF(AE$7:AE$62&lt;MAX(AE$7:AE$62),AE$7:AE$62)),AE$7:AE$62))</formula>
    </cfRule>
    <cfRule type="expression" dxfId="1663" priority="1042" stopIfTrue="1">
      <formula>AE7=MAX(IF(AE$7:AE$62&lt;MAX(AE$7:AE$62),AE$7:AE$62))</formula>
    </cfRule>
    <cfRule type="top10" dxfId="1662" priority="1043" stopIfTrue="1" rank="1"/>
  </conditionalFormatting>
  <conditionalFormatting sqref="AF7:AF62">
    <cfRule type="expression" dxfId="1661" priority="1050">
      <formula>AF7=MAX(IF(AE$7:AE$62&lt;MAX(IF(AE$7:AE$62&lt;MAX(AE$7:AE$62),AE$7:AE$62)),AE$7:AE$62))</formula>
    </cfRule>
    <cfRule type="expression" dxfId="1660" priority="1051">
      <formula>AF7=MAX(IF(AE$7:AE$62&lt;MAX(AE$7:AE$62),AE$7:AE$62))</formula>
    </cfRule>
    <cfRule type="top10" dxfId="1659" priority="1052" rank="1"/>
  </conditionalFormatting>
  <conditionalFormatting sqref="AG7:AG62">
    <cfRule type="expression" dxfId="1658" priority="1053">
      <formula>AG7=MAX(IF(AG$7:AG$62&lt;MAX(AG$7:AG$62),AG$7:AG$62))</formula>
    </cfRule>
    <cfRule type="expression" dxfId="1657" priority="1054">
      <formula>AG7=MAX(IF(AG$7:AG$62&lt;MAX(IF(AG$7:AG$62&lt;MAX(AG$7:AG$62),AG$7:AG$62)),AG$7:AG$62))</formula>
    </cfRule>
    <cfRule type="top10" dxfId="1656" priority="1055" rank="1"/>
  </conditionalFormatting>
  <conditionalFormatting sqref="AH7:AH62">
    <cfRule type="expression" dxfId="1655" priority="1062">
      <formula>AH7=MAX(IF(AH$7:AH$62&lt;MAX(IF(AH$7:AH$62&lt;MAX(AH$7:AH$62),AH$7:AH$62)),AH$7:AH$62))</formula>
    </cfRule>
    <cfRule type="expression" dxfId="1654" priority="1063">
      <formula>AH7=MAX(IF(AH$7:AH$62&lt;MAX(AH$7:AH$62),AH$7:AH$62))</formula>
    </cfRule>
    <cfRule type="top10" dxfId="1653" priority="1064" rank="1"/>
  </conditionalFormatting>
  <conditionalFormatting sqref="AI7:AI62">
    <cfRule type="expression" dxfId="1652" priority="1071">
      <formula>AI7=MAX(IF(AI$7:AI$62&lt;MAX(AI$7:AI$62),AI$7:AI$62))</formula>
    </cfRule>
    <cfRule type="expression" dxfId="1651" priority="1072">
      <formula>AI7=MAX(IF(AI$7:AI$62&lt;MAX(IF(AI$7:AI$62&lt;MAX(AI$7:AI$62),AI$7:AI$62)),AI$7:AI$62))</formula>
    </cfRule>
    <cfRule type="top10" dxfId="1650" priority="1073" rank="1"/>
  </conditionalFormatting>
  <conditionalFormatting sqref="AM7:AM62">
    <cfRule type="cellIs" dxfId="1649" priority="1" operator="equal">
      <formula>"3."</formula>
    </cfRule>
    <cfRule type="cellIs" dxfId="1648" priority="2" operator="equal">
      <formula>"2."</formula>
    </cfRule>
    <cfRule type="cellIs" dxfId="1647" priority="3" operator="equal">
      <formula>"1."</formula>
    </cfRule>
  </conditionalFormatting>
  <pageMargins left="0.39370078740157483" right="0.27559055118110237" top="0.39370078740157483" bottom="0.27559055118110237" header="0" footer="0"/>
  <pageSetup paperSize="9" fitToHeight="0" orientation="portrait" useFirstPageNumber="1" verticalDpi="300" r:id="rId1"/>
  <headerFooter alignWithMargins="0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pageSetUpPr fitToPage="1"/>
  </sheetPr>
  <dimension ref="A1:J311"/>
  <sheetViews>
    <sheetView showGridLines="0" showRowColHeaders="0" zoomScaleNormal="100" workbookViewId="0">
      <pane ySplit="2" topLeftCell="A3" activePane="bottomLeft" state="frozen"/>
      <selection pane="bottomLeft" activeCell="J1" sqref="J1"/>
    </sheetView>
  </sheetViews>
  <sheetFormatPr defaultRowHeight="12.75" x14ac:dyDescent="0.2"/>
  <cols>
    <col min="1" max="1" width="3.28515625" style="88" customWidth="1"/>
    <col min="2" max="2" width="41.42578125" style="87" bestFit="1" customWidth="1"/>
    <col min="3" max="8" width="5.42578125" style="88" customWidth="1"/>
    <col min="9" max="9" width="4.7109375" style="88" customWidth="1"/>
    <col min="10" max="16384" width="9.140625" style="88"/>
  </cols>
  <sheetData>
    <row r="1" spans="1:10" x14ac:dyDescent="0.2">
      <c r="A1" s="86" t="str">
        <f>UPPER((Kalend!E5)&amp;" - "&amp;(Kalend!C5)&amp;" - "&amp;(Kalend!D5))</f>
        <v>V1 - VOKA 1. SISE-KV 1. ETAPP - DUO</v>
      </c>
      <c r="F1" s="51" t="str">
        <f>HYPERLINK("#'Kalend'!I1","Kalender")</f>
        <v>Kalender</v>
      </c>
      <c r="G1" s="186"/>
      <c r="H1" s="51" t="str">
        <f>HYPERLINK("#'V'!AE1","Reiting")</f>
        <v>Reiting</v>
      </c>
    </row>
    <row r="2" spans="1:10" s="186" customFormat="1" x14ac:dyDescent="0.2">
      <c r="A2" s="186" t="str">
        <f>"Toimumisaeg: "&amp;(Kalend!A5)&amp;" kell "&amp;(Kalend!B5)</f>
        <v>Toimumisaeg: L, 28.10.2017 kell 11:00</v>
      </c>
    </row>
    <row r="3" spans="1:10" s="186" customFormat="1" x14ac:dyDescent="0.2">
      <c r="A3" s="186" t="str">
        <f>"Toimumiskoht: "&amp;(Kalend!F5)</f>
        <v>Toimumiskoht: Voka petangihall</v>
      </c>
    </row>
    <row r="4" spans="1:10" s="186" customFormat="1" x14ac:dyDescent="0.2">
      <c r="A4" s="186" t="str">
        <f>"Korraldaja: "&amp;(Kalend!G5)</f>
        <v>Korraldaja: Johannes Neiland</v>
      </c>
    </row>
    <row r="5" spans="1:10" s="186" customFormat="1" x14ac:dyDescent="0.2"/>
    <row r="6" spans="1:10" s="188" customFormat="1" x14ac:dyDescent="0.2">
      <c r="A6" s="126" t="s">
        <v>66</v>
      </c>
      <c r="B6" s="126"/>
      <c r="C6" s="91">
        <v>1</v>
      </c>
      <c r="D6" s="91">
        <v>2</v>
      </c>
      <c r="E6" s="91">
        <v>3</v>
      </c>
      <c r="F6" s="91">
        <v>4</v>
      </c>
      <c r="G6" s="91" t="s">
        <v>73</v>
      </c>
      <c r="H6" s="91" t="s">
        <v>21</v>
      </c>
    </row>
    <row r="7" spans="1:10" s="188" customFormat="1" x14ac:dyDescent="0.2">
      <c r="A7" s="126">
        <v>1</v>
      </c>
      <c r="B7" s="308" t="s">
        <v>167</v>
      </c>
      <c r="C7" s="127"/>
      <c r="D7" s="128">
        <v>8</v>
      </c>
      <c r="E7" s="128">
        <v>4</v>
      </c>
      <c r="F7" s="128">
        <v>11</v>
      </c>
      <c r="G7" s="132" t="s">
        <v>119</v>
      </c>
      <c r="H7" s="131" t="s">
        <v>95</v>
      </c>
    </row>
    <row r="8" spans="1:10" s="188" customFormat="1" x14ac:dyDescent="0.2">
      <c r="A8" s="126">
        <v>2</v>
      </c>
      <c r="B8" s="164" t="s">
        <v>168</v>
      </c>
      <c r="C8" s="128">
        <v>13</v>
      </c>
      <c r="D8" s="127"/>
      <c r="E8" s="128">
        <v>13</v>
      </c>
      <c r="F8" s="128">
        <v>13</v>
      </c>
      <c r="G8" s="132" t="s">
        <v>125</v>
      </c>
      <c r="H8" s="131" t="s">
        <v>84</v>
      </c>
    </row>
    <row r="9" spans="1:10" s="188" customFormat="1" x14ac:dyDescent="0.2">
      <c r="A9" s="126">
        <v>3</v>
      </c>
      <c r="B9" s="164" t="s">
        <v>117</v>
      </c>
      <c r="C9" s="128">
        <v>13</v>
      </c>
      <c r="D9" s="311">
        <v>4</v>
      </c>
      <c r="E9" s="127"/>
      <c r="F9" s="128">
        <v>5</v>
      </c>
      <c r="G9" s="132" t="s">
        <v>92</v>
      </c>
      <c r="H9" s="131" t="s">
        <v>93</v>
      </c>
    </row>
    <row r="10" spans="1:10" s="188" customFormat="1" x14ac:dyDescent="0.2">
      <c r="A10" s="126">
        <v>4</v>
      </c>
      <c r="B10" s="164" t="s">
        <v>116</v>
      </c>
      <c r="C10" s="128">
        <v>13</v>
      </c>
      <c r="D10" s="128">
        <v>10</v>
      </c>
      <c r="E10" s="128">
        <v>13</v>
      </c>
      <c r="F10" s="127"/>
      <c r="G10" s="132" t="s">
        <v>91</v>
      </c>
      <c r="H10" s="131" t="s">
        <v>76</v>
      </c>
    </row>
    <row r="11" spans="1:10" s="188" customFormat="1" x14ac:dyDescent="0.2">
      <c r="A11" s="121"/>
      <c r="B11" s="415" t="s">
        <v>70</v>
      </c>
      <c r="C11" s="96"/>
      <c r="D11" s="312"/>
      <c r="E11" s="96"/>
      <c r="F11" s="97"/>
      <c r="G11" s="98"/>
      <c r="H11" s="414" t="s">
        <v>70</v>
      </c>
    </row>
    <row r="12" spans="1:10" s="186" customFormat="1" x14ac:dyDescent="0.2">
      <c r="A12" s="126" t="s">
        <v>90</v>
      </c>
      <c r="B12" s="126"/>
      <c r="C12" s="91">
        <v>1</v>
      </c>
      <c r="D12" s="91">
        <v>2</v>
      </c>
      <c r="E12" s="91">
        <v>3</v>
      </c>
      <c r="F12" s="416"/>
      <c r="G12" s="91" t="s">
        <v>73</v>
      </c>
      <c r="H12" s="91" t="s">
        <v>21</v>
      </c>
      <c r="J12" s="188"/>
    </row>
    <row r="13" spans="1:10" s="186" customFormat="1" x14ac:dyDescent="0.2">
      <c r="A13" s="126">
        <v>1</v>
      </c>
      <c r="B13" s="308" t="s">
        <v>169</v>
      </c>
      <c r="C13" s="127"/>
      <c r="D13" s="316">
        <v>13</v>
      </c>
      <c r="E13" s="316">
        <v>9</v>
      </c>
      <c r="F13" s="416"/>
      <c r="G13" s="317" t="s">
        <v>74</v>
      </c>
      <c r="H13" s="131" t="s">
        <v>71</v>
      </c>
      <c r="I13" s="1182" t="s">
        <v>310</v>
      </c>
      <c r="J13" s="433" t="s">
        <v>307</v>
      </c>
    </row>
    <row r="14" spans="1:10" s="186" customFormat="1" x14ac:dyDescent="0.2">
      <c r="A14" s="126">
        <v>2</v>
      </c>
      <c r="B14" s="164" t="s">
        <v>170</v>
      </c>
      <c r="C14" s="316">
        <v>9</v>
      </c>
      <c r="D14" s="127"/>
      <c r="E14" s="316">
        <v>13</v>
      </c>
      <c r="F14" s="416"/>
      <c r="G14" s="317" t="s">
        <v>74</v>
      </c>
      <c r="H14" s="131" t="s">
        <v>94</v>
      </c>
      <c r="I14" s="1182" t="s">
        <v>311</v>
      </c>
      <c r="J14" s="434" t="s">
        <v>308</v>
      </c>
    </row>
    <row r="15" spans="1:10" s="186" customFormat="1" x14ac:dyDescent="0.2">
      <c r="A15" s="126">
        <v>3</v>
      </c>
      <c r="B15" s="164" t="s">
        <v>171</v>
      </c>
      <c r="C15" s="316">
        <v>13</v>
      </c>
      <c r="D15" s="316">
        <v>12</v>
      </c>
      <c r="E15" s="127"/>
      <c r="F15" s="416"/>
      <c r="G15" s="317" t="s">
        <v>74</v>
      </c>
      <c r="H15" s="131" t="s">
        <v>86</v>
      </c>
      <c r="I15" s="1182" t="s">
        <v>121</v>
      </c>
      <c r="J15" s="434" t="s">
        <v>309</v>
      </c>
    </row>
    <row r="16" spans="1:10" s="186" customFormat="1" hidden="1" x14ac:dyDescent="0.2">
      <c r="A16" s="126"/>
      <c r="B16" s="164"/>
      <c r="C16" s="93"/>
      <c r="D16" s="93"/>
      <c r="E16" s="93"/>
      <c r="F16" s="547"/>
      <c r="G16" s="535"/>
      <c r="H16" s="131"/>
      <c r="I16" s="530"/>
      <c r="J16" s="434"/>
    </row>
    <row r="17" spans="1:9" s="186" customFormat="1" x14ac:dyDescent="0.2">
      <c r="A17" s="87"/>
      <c r="B17" s="88"/>
      <c r="C17" s="309"/>
      <c r="D17" s="309"/>
      <c r="E17" s="309"/>
      <c r="G17" s="310"/>
      <c r="H17" s="309"/>
    </row>
    <row r="18" spans="1:9" s="188" customFormat="1" x14ac:dyDescent="0.2">
      <c r="A18" s="126" t="s">
        <v>166</v>
      </c>
      <c r="B18" s="126"/>
      <c r="C18" s="91">
        <v>1</v>
      </c>
      <c r="D18" s="91">
        <v>2</v>
      </c>
      <c r="E18" s="91">
        <v>3</v>
      </c>
      <c r="F18" s="104"/>
      <c r="G18" s="91" t="s">
        <v>73</v>
      </c>
      <c r="H18" s="91" t="s">
        <v>21</v>
      </c>
    </row>
    <row r="19" spans="1:9" s="188" customFormat="1" x14ac:dyDescent="0.2">
      <c r="A19" s="126">
        <v>1</v>
      </c>
      <c r="B19" s="313" t="s">
        <v>172</v>
      </c>
      <c r="C19" s="127"/>
      <c r="D19" s="128">
        <v>11</v>
      </c>
      <c r="E19" s="128">
        <v>2</v>
      </c>
      <c r="F19" s="104"/>
      <c r="G19" s="132" t="s">
        <v>78</v>
      </c>
      <c r="H19" s="131" t="s">
        <v>118</v>
      </c>
    </row>
    <row r="20" spans="1:9" s="188" customFormat="1" x14ac:dyDescent="0.2">
      <c r="A20" s="126">
        <v>2</v>
      </c>
      <c r="B20" s="164" t="s">
        <v>120</v>
      </c>
      <c r="C20" s="128">
        <v>13</v>
      </c>
      <c r="D20" s="127"/>
      <c r="E20" s="128">
        <v>13</v>
      </c>
      <c r="F20" s="104"/>
      <c r="G20" s="132" t="s">
        <v>77</v>
      </c>
      <c r="H20" s="131" t="s">
        <v>85</v>
      </c>
    </row>
    <row r="21" spans="1:9" s="188" customFormat="1" x14ac:dyDescent="0.2">
      <c r="A21" s="126">
        <v>3</v>
      </c>
      <c r="B21" s="164" t="s">
        <v>457</v>
      </c>
      <c r="C21" s="128">
        <v>13</v>
      </c>
      <c r="D21" s="311">
        <v>12</v>
      </c>
      <c r="E21" s="127"/>
      <c r="F21" s="104"/>
      <c r="G21" s="132" t="s">
        <v>74</v>
      </c>
      <c r="H21" s="311" t="s">
        <v>75</v>
      </c>
    </row>
    <row r="22" spans="1:9" s="188" customFormat="1" hidden="1" x14ac:dyDescent="0.2">
      <c r="A22" s="126"/>
      <c r="B22" s="164"/>
      <c r="C22" s="93"/>
      <c r="D22" s="93"/>
      <c r="E22" s="93"/>
      <c r="F22" s="547"/>
      <c r="G22" s="535"/>
      <c r="H22" s="131"/>
    </row>
    <row r="23" spans="1:9" s="188" customFormat="1" x14ac:dyDescent="0.2">
      <c r="A23" s="314"/>
      <c r="B23" s="314"/>
      <c r="C23" s="314"/>
      <c r="D23" s="314"/>
      <c r="E23" s="314"/>
      <c r="F23" s="314"/>
      <c r="G23" s="314"/>
    </row>
    <row r="24" spans="1:9" s="188" customFormat="1" x14ac:dyDescent="0.2">
      <c r="A24" s="314"/>
      <c r="B24" s="213" t="s">
        <v>98</v>
      </c>
      <c r="C24" s="98" t="s">
        <v>99</v>
      </c>
      <c r="D24" s="98" t="s">
        <v>100</v>
      </c>
      <c r="E24" s="314"/>
      <c r="F24" s="314"/>
      <c r="G24" s="314"/>
    </row>
    <row r="25" spans="1:9" s="188" customFormat="1" x14ac:dyDescent="0.2">
      <c r="A25" s="314"/>
      <c r="B25" s="213" t="s">
        <v>101</v>
      </c>
      <c r="C25" s="98" t="s">
        <v>102</v>
      </c>
      <c r="D25" s="98" t="s">
        <v>103</v>
      </c>
      <c r="E25" s="314"/>
      <c r="F25" s="314"/>
      <c r="G25" s="314"/>
    </row>
    <row r="26" spans="1:9" s="188" customFormat="1" x14ac:dyDescent="0.2">
      <c r="A26" s="314"/>
      <c r="B26" s="213" t="s">
        <v>104</v>
      </c>
      <c r="C26" s="98" t="s">
        <v>92</v>
      </c>
      <c r="D26" s="98" t="s">
        <v>105</v>
      </c>
      <c r="E26" s="314"/>
      <c r="F26" s="314"/>
      <c r="G26" s="314"/>
    </row>
    <row r="27" spans="1:9" s="188" customFormat="1" x14ac:dyDescent="0.2"/>
    <row r="28" spans="1:9" s="349" customFormat="1" x14ac:dyDescent="0.2">
      <c r="A28" s="348" t="s">
        <v>72</v>
      </c>
    </row>
    <row r="29" spans="1:9" s="349" customFormat="1" x14ac:dyDescent="0.2">
      <c r="A29" s="348"/>
      <c r="B29" s="88"/>
      <c r="C29" s="88"/>
      <c r="D29" s="88"/>
      <c r="E29" s="88"/>
      <c r="F29" s="88"/>
      <c r="G29" s="88"/>
      <c r="H29" s="88"/>
      <c r="I29" s="88"/>
    </row>
    <row r="30" spans="1:9" s="349" customFormat="1" x14ac:dyDescent="0.2">
      <c r="A30" s="350" t="s">
        <v>85</v>
      </c>
      <c r="B30" s="404" t="str">
        <f>IFERROR(INDEX(B$7:B$21,MATCH(A30,H$7:H$21,0)),"")</f>
        <v>Klavdia Piik, Tõnu Piik</v>
      </c>
      <c r="C30" s="120">
        <v>13</v>
      </c>
      <c r="D30" s="88"/>
      <c r="E30" s="88"/>
      <c r="F30" s="88"/>
      <c r="G30" s="88"/>
      <c r="H30" s="88"/>
      <c r="I30" s="88"/>
    </row>
    <row r="31" spans="1:9" s="349" customFormat="1" x14ac:dyDescent="0.2">
      <c r="A31" s="353"/>
      <c r="B31" s="411"/>
      <c r="C31" s="400" t="str">
        <f>IF(COUNT(C30,C32)=2,IF(C30&gt;C32,B30,B32),"")</f>
        <v>Klavdia Piik, Tõnu Piik</v>
      </c>
      <c r="D31" s="88"/>
      <c r="E31" s="120">
        <v>8</v>
      </c>
      <c r="F31" s="88"/>
      <c r="G31" s="88"/>
      <c r="H31" s="88"/>
      <c r="I31" s="88"/>
    </row>
    <row r="32" spans="1:9" s="349" customFormat="1" x14ac:dyDescent="0.2">
      <c r="A32" s="350" t="s">
        <v>71</v>
      </c>
      <c r="B32" s="406" t="str">
        <f>IFERROR(INDEX(B$7:B$21,MATCH(A32,H$7:H$21,0)),"")</f>
        <v>Henri Mitt, Marta Bernat</v>
      </c>
      <c r="C32" s="110">
        <v>4</v>
      </c>
      <c r="D32" s="111"/>
      <c r="E32" s="88"/>
      <c r="F32" s="88"/>
      <c r="G32" s="88"/>
      <c r="H32" s="88"/>
      <c r="I32" s="88"/>
    </row>
    <row r="33" spans="1:9" s="349" customFormat="1" x14ac:dyDescent="0.2">
      <c r="A33" s="353"/>
      <c r="B33" s="407"/>
      <c r="C33" s="88"/>
      <c r="D33" s="112"/>
      <c r="E33" s="400" t="str">
        <f>IF(COUNT(E31,E35)=2,IF(E31&gt;E35,C31,C35),"")</f>
        <v>Heili Vasser, Vello Vasser</v>
      </c>
      <c r="F33" s="88"/>
      <c r="G33" s="120">
        <v>12</v>
      </c>
      <c r="H33" s="88"/>
      <c r="I33" s="88"/>
    </row>
    <row r="34" spans="1:9" s="349" customFormat="1" x14ac:dyDescent="0.2">
      <c r="A34" s="350" t="s">
        <v>70</v>
      </c>
      <c r="B34" s="404" t="str">
        <f>IFERROR(INDEX(B$7:B$21,MATCH(A34,H$7:H$21,0)),"")</f>
        <v>-</v>
      </c>
      <c r="C34" s="120">
        <f>IF(B34="-",0,IF(B36="-",13,""))</f>
        <v>0</v>
      </c>
      <c r="D34" s="112"/>
      <c r="E34" s="216"/>
      <c r="F34" s="111"/>
      <c r="G34" s="88"/>
      <c r="H34" s="88"/>
      <c r="I34" s="88"/>
    </row>
    <row r="35" spans="1:9" s="349" customFormat="1" x14ac:dyDescent="0.2">
      <c r="A35" s="353"/>
      <c r="B35" s="411"/>
      <c r="C35" s="400" t="str">
        <f>IF(COUNT(C34,C36)=2,IF(C34&gt;C36,B34,B36),"")</f>
        <v>Heili Vasser, Vello Vasser</v>
      </c>
      <c r="D35" s="377"/>
      <c r="E35" s="110">
        <v>13</v>
      </c>
      <c r="F35" s="112"/>
      <c r="G35" s="88"/>
      <c r="H35" s="88"/>
      <c r="I35" s="88"/>
    </row>
    <row r="36" spans="1:9" s="349" customFormat="1" x14ac:dyDescent="0.2">
      <c r="A36" s="350" t="s">
        <v>84</v>
      </c>
      <c r="B36" s="406" t="str">
        <f>IFERROR(INDEX(B$7:B$21,MATCH(A36,H$7:H$21,0)),"")</f>
        <v>Heili Vasser, Vello Vasser</v>
      </c>
      <c r="C36" s="110">
        <f>IF(B36="-",0,IF(B34="-",13,""))</f>
        <v>13</v>
      </c>
      <c r="D36" s="88"/>
      <c r="E36" s="99"/>
      <c r="F36" s="112"/>
      <c r="G36" s="88"/>
      <c r="H36" s="88"/>
      <c r="I36" s="88"/>
    </row>
    <row r="37" spans="1:9" s="349" customFormat="1" ht="13.5" thickBot="1" x14ac:dyDescent="0.25">
      <c r="A37" s="353"/>
      <c r="B37" s="407"/>
      <c r="C37" s="88"/>
      <c r="D37" s="88"/>
      <c r="E37" s="99"/>
      <c r="F37" s="112"/>
      <c r="G37" s="88"/>
      <c r="H37" s="184" t="str">
        <f>IF(COUNT(G33,G41)=2,IF(G33&gt;G41,E33,E41),"")</f>
        <v>Jaan Sepp, Oskar Sepp</v>
      </c>
      <c r="I37" s="88"/>
    </row>
    <row r="38" spans="1:9" s="349" customFormat="1" x14ac:dyDescent="0.2">
      <c r="A38" s="350" t="s">
        <v>86</v>
      </c>
      <c r="B38" s="404" t="str">
        <f>IFERROR(INDEX(B$7:B$21,MATCH(A38,H$7:H$21,0)),"")</f>
        <v>Einar Juhkam, Kenneth Muusikus</v>
      </c>
      <c r="C38" s="120">
        <f>IF(B38="-",0,IF(B40="-",13,""))</f>
        <v>13</v>
      </c>
      <c r="D38" s="88"/>
      <c r="E38" s="88"/>
      <c r="F38" s="112"/>
      <c r="G38" s="114"/>
      <c r="H38" s="379" t="s">
        <v>275</v>
      </c>
      <c r="I38" s="378"/>
    </row>
    <row r="39" spans="1:9" s="349" customFormat="1" x14ac:dyDescent="0.2">
      <c r="A39" s="353"/>
      <c r="B39" s="411"/>
      <c r="C39" s="400" t="str">
        <f>IF(COUNT(C38,C40)=2,IF(C38&gt;C40,B38,B40),"")</f>
        <v>Einar Juhkam, Kenneth Muusikus</v>
      </c>
      <c r="D39" s="88"/>
      <c r="E39" s="120">
        <v>7</v>
      </c>
      <c r="F39" s="112"/>
      <c r="G39" s="99"/>
      <c r="H39" s="88"/>
      <c r="I39" s="88"/>
    </row>
    <row r="40" spans="1:9" s="349" customFormat="1" x14ac:dyDescent="0.2">
      <c r="A40" s="350" t="s">
        <v>70</v>
      </c>
      <c r="B40" s="406" t="str">
        <f>IFERROR(INDEX(B$7:B$21,MATCH(A40,H$7:H$21,0)),"")</f>
        <v>-</v>
      </c>
      <c r="C40" s="110">
        <f>IF(B40="-",0,IF(B38="-",13,""))</f>
        <v>0</v>
      </c>
      <c r="D40" s="111"/>
      <c r="E40" s="88"/>
      <c r="F40" s="112"/>
      <c r="G40" s="99"/>
      <c r="H40" s="88"/>
      <c r="I40" s="88"/>
    </row>
    <row r="41" spans="1:9" s="349" customFormat="1" x14ac:dyDescent="0.2">
      <c r="A41" s="353"/>
      <c r="B41" s="407"/>
      <c r="C41" s="88"/>
      <c r="D41" s="112"/>
      <c r="E41" s="400" t="str">
        <f>IF(COUNT(E39,E43)=2,IF(E39&gt;E43,C39,C43),"")</f>
        <v>Jaan Sepp, Oskar Sepp</v>
      </c>
      <c r="F41" s="377"/>
      <c r="G41" s="110">
        <v>13</v>
      </c>
      <c r="H41" s="88"/>
      <c r="I41" s="88"/>
    </row>
    <row r="42" spans="1:9" s="349" customFormat="1" ht="13.5" thickBot="1" x14ac:dyDescent="0.25">
      <c r="A42" s="350" t="s">
        <v>75</v>
      </c>
      <c r="B42" s="404" t="str">
        <f>IFERROR(INDEX(B$7:B$21,MATCH(A42,H$7:H$21,0)),"")</f>
        <v>Enn Tokman, Tarmo Bombe / Johannes Neiland</v>
      </c>
      <c r="C42" s="120">
        <v>12</v>
      </c>
      <c r="D42" s="112"/>
      <c r="E42" s="216"/>
      <c r="F42" s="99"/>
      <c r="G42" s="99"/>
      <c r="H42" s="184" t="str">
        <f>IF(COUNT(G33,G41)=2,IF(G33&lt;G41,E33,E41),"")</f>
        <v>Heili Vasser, Vello Vasser</v>
      </c>
      <c r="I42" s="119"/>
    </row>
    <row r="43" spans="1:9" s="349" customFormat="1" x14ac:dyDescent="0.2">
      <c r="A43" s="353"/>
      <c r="B43" s="411"/>
      <c r="C43" s="400" t="str">
        <f>IF(COUNT(C42,C44)=2,IF(C42&gt;C44,B42,B44),"")</f>
        <v>Jaan Sepp, Oskar Sepp</v>
      </c>
      <c r="D43" s="377"/>
      <c r="E43" s="110">
        <v>13</v>
      </c>
      <c r="F43" s="88"/>
      <c r="G43" s="99"/>
      <c r="H43" s="379" t="s">
        <v>276</v>
      </c>
      <c r="I43" s="99"/>
    </row>
    <row r="44" spans="1:9" s="349" customFormat="1" x14ac:dyDescent="0.2">
      <c r="A44" s="350" t="s">
        <v>76</v>
      </c>
      <c r="B44" s="406" t="str">
        <f>IFERROR(INDEX(B$7:B$21,MATCH(A44,H$7:H$21,0)),"")</f>
        <v>Jaan Sepp, Oskar Sepp</v>
      </c>
      <c r="C44" s="110">
        <v>13</v>
      </c>
      <c r="D44" s="88"/>
      <c r="E44" s="99"/>
      <c r="F44" s="99"/>
      <c r="G44" s="99"/>
      <c r="H44" s="88"/>
      <c r="I44" s="88"/>
    </row>
    <row r="45" spans="1:9" s="349" customFormat="1" x14ac:dyDescent="0.2">
      <c r="B45" s="407"/>
      <c r="C45" s="88"/>
      <c r="D45" s="88"/>
      <c r="E45" s="217" t="str">
        <f>IF(COUNT(E31,E35)=2,IF(E31&lt;E35,C31,C35),"")</f>
        <v>Klavdia Piik, Tõnu Piik</v>
      </c>
      <c r="F45" s="88"/>
      <c r="G45" s="120">
        <v>9</v>
      </c>
      <c r="H45" s="88"/>
      <c r="I45" s="88"/>
    </row>
    <row r="46" spans="1:9" s="349" customFormat="1" ht="13.5" thickBot="1" x14ac:dyDescent="0.25">
      <c r="B46" s="88"/>
      <c r="C46" s="88"/>
      <c r="D46" s="88"/>
      <c r="E46" s="108"/>
      <c r="F46" s="111"/>
      <c r="G46" s="119"/>
      <c r="H46" s="184" t="str">
        <f>IF(COUNT(G45,G47)=2,IF(G45&gt;G47,E45,E47),"")</f>
        <v>Einar Juhkam, Kenneth Muusikus</v>
      </c>
      <c r="I46" s="119"/>
    </row>
    <row r="47" spans="1:9" s="349" customFormat="1" x14ac:dyDescent="0.2">
      <c r="B47" s="88"/>
      <c r="C47" s="88"/>
      <c r="D47" s="88"/>
      <c r="E47" s="399" t="str">
        <f>IF(COUNT(E39,E43)=2,IF(E39&lt;E43,C39,C43),"")</f>
        <v>Einar Juhkam, Kenneth Muusikus</v>
      </c>
      <c r="F47" s="377"/>
      <c r="G47" s="110">
        <v>13</v>
      </c>
      <c r="H47" s="121" t="s">
        <v>277</v>
      </c>
      <c r="I47" s="99"/>
    </row>
    <row r="48" spans="1:9" s="349" customFormat="1" x14ac:dyDescent="0.2">
      <c r="B48" s="88"/>
      <c r="C48" s="88"/>
      <c r="D48" s="88"/>
      <c r="E48" s="88"/>
      <c r="F48" s="88"/>
      <c r="G48" s="88"/>
      <c r="H48" s="99"/>
      <c r="I48" s="99"/>
    </row>
    <row r="49" spans="1:9" s="349" customFormat="1" ht="13.5" thickBot="1" x14ac:dyDescent="0.25">
      <c r="B49" s="88"/>
      <c r="C49" s="88"/>
      <c r="D49" s="88"/>
      <c r="E49" s="99"/>
      <c r="F49" s="99"/>
      <c r="G49" s="88"/>
      <c r="H49" s="184" t="str">
        <f>IF(COUNT(G45,G47)=2,IF(G45&lt;G47,E45,E47),"")</f>
        <v>Klavdia Piik, Tõnu Piik</v>
      </c>
      <c r="I49" s="119"/>
    </row>
    <row r="50" spans="1:9" s="349" customFormat="1" x14ac:dyDescent="0.2">
      <c r="B50" s="88"/>
      <c r="C50" s="399" t="str">
        <f>IF(COUNT(C30,C32)=2,IF(C30&lt;C32,B30,B32),"")</f>
        <v>Henri Mitt, Marta Bernat</v>
      </c>
      <c r="D50" s="88"/>
      <c r="E50" s="120">
        <f>IF(C50="-",0,IF(C52="-",13,""))</f>
        <v>13</v>
      </c>
      <c r="F50" s="120"/>
      <c r="G50" s="120"/>
      <c r="H50" s="87" t="s">
        <v>50</v>
      </c>
      <c r="I50" s="88"/>
    </row>
    <row r="51" spans="1:9" s="349" customFormat="1" x14ac:dyDescent="0.2">
      <c r="C51" s="219"/>
      <c r="D51" s="220"/>
      <c r="E51" s="400" t="str">
        <f>IF(COUNT(E50,E52)=2,IF(E50&gt;E52,C50,C52),"")</f>
        <v>Henri Mitt, Marta Bernat</v>
      </c>
      <c r="F51" s="88"/>
      <c r="G51" s="120">
        <v>2</v>
      </c>
    </row>
    <row r="52" spans="1:9" s="349" customFormat="1" x14ac:dyDescent="0.2">
      <c r="C52" s="399" t="str">
        <f>IF(COUNT(C34,C36)=2,IF(C34&lt;C36,B34,B36),"")</f>
        <v>-</v>
      </c>
      <c r="D52" s="409"/>
      <c r="E52" s="110">
        <f>IF(C52="-",0,IF(C50="-",13,""))</f>
        <v>0</v>
      </c>
      <c r="F52" s="220"/>
      <c r="G52" s="120"/>
    </row>
    <row r="53" spans="1:9" s="349" customFormat="1" ht="13.5" thickBot="1" x14ac:dyDescent="0.25">
      <c r="C53" s="120"/>
      <c r="D53" s="120"/>
      <c r="E53" s="113"/>
      <c r="F53" s="221"/>
      <c r="G53" s="120"/>
      <c r="H53" s="184" t="str">
        <f>IF(COUNT(G51,G55)=2,IF(G51&gt;G55,E51,E55),"")</f>
        <v>Enn Tokman, Tarmo Bombe / Johannes Neiland</v>
      </c>
      <c r="I53" s="88"/>
    </row>
    <row r="54" spans="1:9" s="349" customFormat="1" x14ac:dyDescent="0.2">
      <c r="C54" s="399" t="str">
        <f>IF(COUNT(C38,C40)=2,IF(C38&lt;C40,B38,B40),"")</f>
        <v>-</v>
      </c>
      <c r="D54" s="120"/>
      <c r="E54" s="120">
        <f>IF(C54="-",0,IF(C56="-",13,""))</f>
        <v>0</v>
      </c>
      <c r="F54" s="221"/>
      <c r="G54" s="222"/>
      <c r="H54" s="379" t="s">
        <v>51</v>
      </c>
      <c r="I54" s="378"/>
    </row>
    <row r="55" spans="1:9" s="349" customFormat="1" x14ac:dyDescent="0.2">
      <c r="C55" s="219"/>
      <c r="D55" s="220"/>
      <c r="E55" s="400" t="str">
        <f>IF(COUNT(E54,E56)=2,IF(E54&gt;E56,C54,C56),"")</f>
        <v>Enn Tokman, Tarmo Bombe / Johannes Neiland</v>
      </c>
      <c r="F55" s="377"/>
      <c r="G55" s="110">
        <v>13</v>
      </c>
      <c r="H55" s="88"/>
      <c r="I55" s="88"/>
    </row>
    <row r="56" spans="1:9" s="349" customFormat="1" ht="13.5" thickBot="1" x14ac:dyDescent="0.25">
      <c r="C56" s="399" t="str">
        <f>IF(COUNT(C42,C44)=2,IF(C42&lt;C44,B42,B44),"")</f>
        <v>Enn Tokman, Tarmo Bombe / Johannes Neiland</v>
      </c>
      <c r="D56" s="409"/>
      <c r="E56" s="110">
        <f>IF(C56="-",0,IF(C54="-",13,""))</f>
        <v>13</v>
      </c>
      <c r="F56" s="120"/>
      <c r="G56" s="113"/>
      <c r="H56" s="184" t="str">
        <f>IF(COUNT(G51,G55)=2,IF(G51&lt;G55,E51,E55),"")</f>
        <v>Henri Mitt, Marta Bernat</v>
      </c>
      <c r="I56" s="119"/>
    </row>
    <row r="57" spans="1:9" s="349" customFormat="1" x14ac:dyDescent="0.2">
      <c r="G57" s="358"/>
      <c r="H57" s="379" t="s">
        <v>52</v>
      </c>
      <c r="I57" s="99"/>
    </row>
    <row r="58" spans="1:9" s="349" customFormat="1" x14ac:dyDescent="0.2">
      <c r="H58" s="358"/>
      <c r="I58" s="358"/>
    </row>
    <row r="59" spans="1:9" s="349" customFormat="1" x14ac:dyDescent="0.2">
      <c r="A59" s="182" t="s">
        <v>131</v>
      </c>
      <c r="B59" s="123"/>
      <c r="C59" s="123"/>
      <c r="D59" s="123"/>
      <c r="E59" s="123"/>
      <c r="F59" s="123"/>
      <c r="G59" s="123"/>
      <c r="H59" s="123"/>
      <c r="I59" s="123"/>
    </row>
    <row r="60" spans="1:9" s="349" customFormat="1" x14ac:dyDescent="0.2">
      <c r="A60" s="182"/>
      <c r="B60" s="123"/>
      <c r="C60" s="123"/>
      <c r="D60" s="123"/>
      <c r="E60" s="123"/>
      <c r="F60" s="123"/>
      <c r="G60" s="123"/>
      <c r="H60" s="123"/>
      <c r="I60" s="123"/>
    </row>
    <row r="61" spans="1:9" s="349" customFormat="1" x14ac:dyDescent="0.2">
      <c r="A61" s="123"/>
      <c r="B61" s="183" t="s">
        <v>93</v>
      </c>
      <c r="C61" s="410" t="str">
        <f>IFERROR(INDEX(B$7:B$21,MATCH(B61,H$7:H$21,0)),"")</f>
        <v>Ljudmila Varendi, Viktor Švarõgin</v>
      </c>
      <c r="D61" s="404"/>
      <c r="E61" s="120">
        <v>8</v>
      </c>
      <c r="F61" s="120"/>
      <c r="G61" s="120"/>
      <c r="H61" s="88"/>
      <c r="I61" s="88"/>
    </row>
    <row r="62" spans="1:9" s="349" customFormat="1" x14ac:dyDescent="0.2">
      <c r="A62" s="123"/>
      <c r="B62" s="123"/>
      <c r="C62" s="417"/>
      <c r="D62" s="411"/>
      <c r="E62" s="400" t="str">
        <f>IF(COUNT(E61,E63)=2,IF(E61&gt;E63,C61,C63),"")</f>
        <v>Karla Purgats, Lemmit Toomra</v>
      </c>
      <c r="F62" s="88"/>
      <c r="G62" s="120">
        <v>8</v>
      </c>
      <c r="H62" s="88"/>
      <c r="I62" s="88"/>
    </row>
    <row r="63" spans="1:9" s="349" customFormat="1" x14ac:dyDescent="0.2">
      <c r="A63" s="123"/>
      <c r="B63" s="183" t="s">
        <v>94</v>
      </c>
      <c r="C63" s="418" t="str">
        <f>IFERROR(INDEX(B$7:B$21,MATCH(B63,H$7:H$21,0)),"")</f>
        <v>Karla Purgats, Lemmit Toomra</v>
      </c>
      <c r="D63" s="406"/>
      <c r="E63" s="110">
        <v>13</v>
      </c>
      <c r="F63" s="220"/>
      <c r="G63" s="120"/>
      <c r="H63" s="88"/>
      <c r="I63" s="88"/>
    </row>
    <row r="64" spans="1:9" s="349" customFormat="1" ht="13.5" thickBot="1" x14ac:dyDescent="0.25">
      <c r="A64" s="123"/>
      <c r="B64" s="123"/>
      <c r="C64" s="188"/>
      <c r="D64" s="407"/>
      <c r="E64" s="113"/>
      <c r="F64" s="221"/>
      <c r="G64" s="120"/>
      <c r="H64" s="184" t="str">
        <f>IF(COUNT(G62,G66)=2,IF(G62&gt;G66,E62,E66),"")</f>
        <v>Boriss Klubov, Elmo Lageda</v>
      </c>
      <c r="I64" s="88"/>
    </row>
    <row r="65" spans="1:10" s="349" customFormat="1" x14ac:dyDescent="0.2">
      <c r="A65" s="123"/>
      <c r="B65" s="183" t="s">
        <v>95</v>
      </c>
      <c r="C65" s="410" t="str">
        <f>IFERROR(INDEX(B$7:B$21,MATCH(B65,H$7:H$21,0)),"")</f>
        <v>Illar Tõnurist, Jaan Saar</v>
      </c>
      <c r="D65" s="404"/>
      <c r="E65" s="120">
        <v>5</v>
      </c>
      <c r="F65" s="221"/>
      <c r="G65" s="222"/>
      <c r="H65" s="379" t="s">
        <v>53</v>
      </c>
      <c r="I65" s="378"/>
    </row>
    <row r="66" spans="1:10" s="349" customFormat="1" x14ac:dyDescent="0.2">
      <c r="A66" s="123"/>
      <c r="B66" s="123"/>
      <c r="C66" s="417"/>
      <c r="D66" s="411"/>
      <c r="E66" s="400" t="str">
        <f>IF(COUNT(E65,E67)=2,IF(E65&gt;E67,C65,C67),"")</f>
        <v>Boriss Klubov, Elmo Lageda</v>
      </c>
      <c r="F66" s="377"/>
      <c r="G66" s="110">
        <v>13</v>
      </c>
      <c r="H66" s="88"/>
      <c r="I66" s="88"/>
    </row>
    <row r="67" spans="1:10" s="188" customFormat="1" ht="13.5" thickBot="1" x14ac:dyDescent="0.25">
      <c r="A67" s="123"/>
      <c r="B67" s="183" t="s">
        <v>118</v>
      </c>
      <c r="C67" s="418" t="str">
        <f>IFERROR(INDEX(B$7:B$21,MATCH(B67,H$7:H$21,0)),"")</f>
        <v>Boriss Klubov, Elmo Lageda</v>
      </c>
      <c r="D67" s="406"/>
      <c r="E67" s="110">
        <v>13</v>
      </c>
      <c r="F67" s="120"/>
      <c r="G67" s="113"/>
      <c r="H67" s="184" t="str">
        <f>IF(COUNT(G62,G66)=2,IF(G62&lt;G66,E62,E66),"")</f>
        <v>Karla Purgats, Lemmit Toomra</v>
      </c>
      <c r="I67" s="119"/>
    </row>
    <row r="68" spans="1:10" s="188" customFormat="1" x14ac:dyDescent="0.2">
      <c r="A68" s="123"/>
      <c r="B68" s="123"/>
      <c r="C68" s="88"/>
      <c r="D68" s="88"/>
      <c r="E68" s="120"/>
      <c r="F68" s="120"/>
      <c r="G68" s="113"/>
      <c r="H68" s="379" t="s">
        <v>54</v>
      </c>
      <c r="I68" s="99"/>
    </row>
    <row r="69" spans="1:10" s="188" customFormat="1" x14ac:dyDescent="0.2">
      <c r="A69" s="123"/>
      <c r="B69" s="123"/>
      <c r="C69" s="88"/>
      <c r="D69" s="88"/>
      <c r="E69" s="217" t="str">
        <f>IF(COUNT(E61,E63)=2,IF(E61&lt;E63,C61,C63),"")</f>
        <v>Ljudmila Varendi, Viktor Švarõgin</v>
      </c>
      <c r="F69" s="88"/>
      <c r="G69" s="120">
        <v>13</v>
      </c>
      <c r="H69" s="88"/>
      <c r="I69" s="88"/>
    </row>
    <row r="70" spans="1:10" s="188" customFormat="1" ht="13.5" thickBot="1" x14ac:dyDescent="0.25">
      <c r="A70" s="123"/>
      <c r="B70" s="123"/>
      <c r="C70" s="88"/>
      <c r="D70" s="88"/>
      <c r="E70" s="108"/>
      <c r="F70" s="111"/>
      <c r="G70" s="119"/>
      <c r="H70" s="184" t="str">
        <f>IF(COUNT(G69,G71)=2,IF(G69&gt;G71,E69,E71),"")</f>
        <v>Ljudmila Varendi, Viktor Švarõgin</v>
      </c>
      <c r="I70" s="119"/>
    </row>
    <row r="71" spans="1:10" s="188" customFormat="1" x14ac:dyDescent="0.2">
      <c r="A71" s="123"/>
      <c r="B71" s="123"/>
      <c r="C71" s="88"/>
      <c r="D71" s="88"/>
      <c r="E71" s="399" t="str">
        <f>IF(COUNT(E65,E67)=2,IF(E65&lt;E67,C65,C67),"")</f>
        <v>Illar Tõnurist, Jaan Saar</v>
      </c>
      <c r="F71" s="377"/>
      <c r="G71" s="110">
        <v>3</v>
      </c>
      <c r="H71" s="121" t="s">
        <v>55</v>
      </c>
      <c r="I71" s="99"/>
    </row>
    <row r="72" spans="1:10" s="188" customFormat="1" x14ac:dyDescent="0.2">
      <c r="A72" s="123"/>
      <c r="B72" s="123"/>
      <c r="C72" s="88"/>
      <c r="D72" s="88"/>
      <c r="E72" s="88"/>
      <c r="F72" s="88"/>
      <c r="G72" s="88"/>
      <c r="H72" s="99"/>
      <c r="I72" s="99"/>
    </row>
    <row r="73" spans="1:10" s="188" customFormat="1" ht="13.5" thickBot="1" x14ac:dyDescent="0.25">
      <c r="A73" s="123"/>
      <c r="B73" s="123"/>
      <c r="C73" s="88"/>
      <c r="D73" s="88"/>
      <c r="E73" s="88"/>
      <c r="F73" s="88"/>
      <c r="G73" s="88"/>
      <c r="H73" s="184" t="str">
        <f>IF(COUNT(G69,G71)=2,IF(G69&lt;G71,E69,E71),"")</f>
        <v>Illar Tõnurist, Jaan Saar</v>
      </c>
      <c r="I73" s="119"/>
    </row>
    <row r="74" spans="1:10" s="188" customFormat="1" x14ac:dyDescent="0.2">
      <c r="A74" s="123"/>
      <c r="B74" s="123"/>
      <c r="C74" s="88"/>
      <c r="D74" s="88"/>
      <c r="E74" s="99"/>
      <c r="F74" s="99"/>
      <c r="G74" s="88"/>
      <c r="H74" s="87" t="s">
        <v>56</v>
      </c>
      <c r="I74" s="88"/>
    </row>
    <row r="75" spans="1:10" s="188" customFormat="1" x14ac:dyDescent="0.2">
      <c r="A75" s="123"/>
      <c r="B75" s="123"/>
      <c r="C75" s="123"/>
      <c r="D75" s="99"/>
      <c r="E75" s="99"/>
      <c r="F75" s="99"/>
      <c r="G75" s="99"/>
      <c r="H75" s="88"/>
      <c r="I75" s="87"/>
      <c r="J75" s="88"/>
    </row>
    <row r="76" spans="1:10" s="188" customFormat="1" hidden="1" x14ac:dyDescent="0.2"/>
    <row r="77" spans="1:10" hidden="1" x14ac:dyDescent="0.2"/>
    <row r="78" spans="1:10" hidden="1" x14ac:dyDescent="0.2"/>
    <row r="79" spans="1:10" hidden="1" x14ac:dyDescent="0.2"/>
    <row r="80" spans="1:1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spans="1:3" hidden="1" x14ac:dyDescent="0.2"/>
    <row r="290" spans="1:3" hidden="1" x14ac:dyDescent="0.2"/>
    <row r="291" spans="1:3" hidden="1" x14ac:dyDescent="0.2"/>
    <row r="292" spans="1:3" hidden="1" x14ac:dyDescent="0.2"/>
    <row r="293" spans="1:3" hidden="1" x14ac:dyDescent="0.2"/>
    <row r="294" spans="1:3" hidden="1" x14ac:dyDescent="0.2"/>
    <row r="295" spans="1:3" hidden="1" x14ac:dyDescent="0.2"/>
    <row r="296" spans="1:3" hidden="1" x14ac:dyDescent="0.2"/>
    <row r="297" spans="1:3" hidden="1" x14ac:dyDescent="0.2"/>
    <row r="298" spans="1:3" hidden="1" x14ac:dyDescent="0.2"/>
    <row r="299" spans="1:3" x14ac:dyDescent="0.2">
      <c r="C299" s="318" t="s">
        <v>263</v>
      </c>
    </row>
    <row r="300" spans="1:3" x14ac:dyDescent="0.2">
      <c r="A300" s="187">
        <v>1</v>
      </c>
      <c r="B300" s="124" t="str">
        <f t="shared" ref="B300:B309" si="0">IFERROR(INDEX(H$37:H$73,MATCH(A300&amp;". koht",H$38:H$74,0)),"")</f>
        <v>Jaan Sepp, Oskar Sepp</v>
      </c>
      <c r="C300" s="88">
        <v>10</v>
      </c>
    </row>
    <row r="301" spans="1:3" x14ac:dyDescent="0.2">
      <c r="A301" s="187">
        <v>2</v>
      </c>
      <c r="B301" s="615" t="str">
        <f t="shared" si="0"/>
        <v>Heili Vasser, Vello Vasser</v>
      </c>
      <c r="C301" s="88">
        <f>C300-1</f>
        <v>9</v>
      </c>
    </row>
    <row r="302" spans="1:3" x14ac:dyDescent="0.2">
      <c r="A302" s="187">
        <v>3</v>
      </c>
      <c r="B302" s="616" t="str">
        <f t="shared" si="0"/>
        <v>Einar Juhkam, Kenneth Muusikus</v>
      </c>
      <c r="C302" s="88">
        <f t="shared" ref="C302:C309" si="1">C301-1</f>
        <v>8</v>
      </c>
    </row>
    <row r="303" spans="1:3" x14ac:dyDescent="0.2">
      <c r="A303" s="187">
        <v>4</v>
      </c>
      <c r="B303" s="104" t="str">
        <f t="shared" si="0"/>
        <v>Klavdia Piik, Tõnu Piik</v>
      </c>
      <c r="C303" s="88">
        <f t="shared" si="1"/>
        <v>7</v>
      </c>
    </row>
    <row r="304" spans="1:3" x14ac:dyDescent="0.2">
      <c r="A304" s="187">
        <v>5</v>
      </c>
      <c r="B304" s="104" t="str">
        <f t="shared" si="0"/>
        <v>Enn Tokman, Tarmo Bombe / Johannes Neiland</v>
      </c>
      <c r="C304" s="88">
        <f t="shared" si="1"/>
        <v>6</v>
      </c>
    </row>
    <row r="305" spans="1:3" x14ac:dyDescent="0.2">
      <c r="A305" s="187">
        <v>6</v>
      </c>
      <c r="B305" s="104" t="str">
        <f t="shared" si="0"/>
        <v>Henri Mitt, Marta Bernat</v>
      </c>
      <c r="C305" s="88">
        <f t="shared" si="1"/>
        <v>5</v>
      </c>
    </row>
    <row r="306" spans="1:3" x14ac:dyDescent="0.2">
      <c r="A306" s="187">
        <v>7</v>
      </c>
      <c r="B306" s="104" t="str">
        <f t="shared" si="0"/>
        <v>Boriss Klubov, Elmo Lageda</v>
      </c>
      <c r="C306" s="88">
        <f t="shared" si="1"/>
        <v>4</v>
      </c>
    </row>
    <row r="307" spans="1:3" x14ac:dyDescent="0.2">
      <c r="A307" s="187">
        <v>8</v>
      </c>
      <c r="B307" s="104" t="str">
        <f t="shared" si="0"/>
        <v>Karla Purgats, Lemmit Toomra</v>
      </c>
      <c r="C307" s="88">
        <f t="shared" si="1"/>
        <v>3</v>
      </c>
    </row>
    <row r="308" spans="1:3" x14ac:dyDescent="0.2">
      <c r="A308" s="187">
        <v>9</v>
      </c>
      <c r="B308" s="104" t="str">
        <f t="shared" si="0"/>
        <v>Ljudmila Varendi, Viktor Švarõgin</v>
      </c>
      <c r="C308" s="88">
        <f t="shared" si="1"/>
        <v>2</v>
      </c>
    </row>
    <row r="309" spans="1:3" x14ac:dyDescent="0.2">
      <c r="A309" s="187">
        <v>10</v>
      </c>
      <c r="B309" s="104" t="str">
        <f t="shared" si="0"/>
        <v>Illar Tõnurist, Jaan Saar</v>
      </c>
      <c r="C309" s="88">
        <f t="shared" si="1"/>
        <v>1</v>
      </c>
    </row>
    <row r="310" spans="1:3" x14ac:dyDescent="0.2">
      <c r="B310" s="88"/>
    </row>
    <row r="311" spans="1:3" x14ac:dyDescent="0.2">
      <c r="B311" s="88"/>
    </row>
  </sheetData>
  <conditionalFormatting sqref="B300:B309">
    <cfRule type="containsBlanks" dxfId="1646" priority="26">
      <formula>LEN(TRIM(B300))=0</formula>
    </cfRule>
    <cfRule type="duplicateValues" dxfId="1645" priority="27"/>
  </conditionalFormatting>
  <conditionalFormatting sqref="E61 E63 E65 E67 G62 G66 G69 G71">
    <cfRule type="containsBlanks" dxfId="1644" priority="6">
      <formula>LEN(TRIM(E61))=0</formula>
    </cfRule>
  </conditionalFormatting>
  <conditionalFormatting sqref="C30 C32">
    <cfRule type="aboveAverage" dxfId="1643" priority="23"/>
  </conditionalFormatting>
  <conditionalFormatting sqref="C34 C36">
    <cfRule type="aboveAverage" dxfId="1642" priority="22"/>
  </conditionalFormatting>
  <conditionalFormatting sqref="E31 E35">
    <cfRule type="aboveAverage" dxfId="1641" priority="21"/>
  </conditionalFormatting>
  <conditionalFormatting sqref="C38 C40">
    <cfRule type="aboveAverage" dxfId="1640" priority="20"/>
  </conditionalFormatting>
  <conditionalFormatting sqref="C42 C44">
    <cfRule type="aboveAverage" dxfId="1639" priority="19"/>
  </conditionalFormatting>
  <conditionalFormatting sqref="E39 E43">
    <cfRule type="aboveAverage" dxfId="1638" priority="18"/>
  </conditionalFormatting>
  <conditionalFormatting sqref="G33 G41">
    <cfRule type="aboveAverage" dxfId="1637" priority="17"/>
  </conditionalFormatting>
  <conditionalFormatting sqref="G45 G47">
    <cfRule type="aboveAverage" dxfId="1636" priority="16"/>
  </conditionalFormatting>
  <conditionalFormatting sqref="C30 C32 C34 C36 C38 C40 C42 C44 E31 E35 E39 E43 G33 G41 G45 G47">
    <cfRule type="containsBlanks" dxfId="1635" priority="15">
      <formula>LEN(TRIM(C30))=0</formula>
    </cfRule>
  </conditionalFormatting>
  <conditionalFormatting sqref="E50 E52">
    <cfRule type="aboveAverage" dxfId="1634" priority="14"/>
  </conditionalFormatting>
  <conditionalFormatting sqref="E54 E56">
    <cfRule type="aboveAverage" dxfId="1633" priority="13"/>
  </conditionalFormatting>
  <conditionalFormatting sqref="G51 G55">
    <cfRule type="aboveAverage" dxfId="1632" priority="12"/>
  </conditionalFormatting>
  <conditionalFormatting sqref="E50 E52 E54 E56 G51 G55">
    <cfRule type="containsBlanks" dxfId="1631" priority="11">
      <formula>LEN(TRIM(E50))=0</formula>
    </cfRule>
  </conditionalFormatting>
  <conditionalFormatting sqref="E61 E63">
    <cfRule type="aboveAverage" dxfId="1630" priority="10"/>
  </conditionalFormatting>
  <conditionalFormatting sqref="E65 E67">
    <cfRule type="aboveAverage" dxfId="1629" priority="9"/>
  </conditionalFormatting>
  <conditionalFormatting sqref="G62 G66">
    <cfRule type="aboveAverage" dxfId="1628" priority="8"/>
  </conditionalFormatting>
  <conditionalFormatting sqref="G69 G71">
    <cfRule type="aboveAverage" dxfId="1627" priority="7"/>
  </conditionalFormatting>
  <conditionalFormatting sqref="A30:A44">
    <cfRule type="cellIs" dxfId="1626" priority="4" operator="equal">
      <formula>"-"</formula>
    </cfRule>
    <cfRule type="duplicateValues" dxfId="1625" priority="5"/>
  </conditionalFormatting>
  <conditionalFormatting sqref="B61:B67">
    <cfRule type="cellIs" dxfId="1624" priority="2" operator="equal">
      <formula>"-"</formula>
    </cfRule>
    <cfRule type="duplicateValues" dxfId="1623" priority="3"/>
  </conditionalFormatting>
  <conditionalFormatting sqref="C7:F21">
    <cfRule type="cellIs" dxfId="1622" priority="1" operator="equal">
      <formula>13</formula>
    </cfRule>
  </conditionalFormatting>
  <pageMargins left="0.78740157480314965" right="0.39370078740157483" top="0.78740157480314965" bottom="0.39370078740157483" header="0.59055118110236227" footer="0"/>
  <pageSetup paperSize="9" fitToHeight="0" orientation="landscape" verticalDpi="1200" r:id="rId1"/>
  <headerFooter alignWithMargins="0">
    <oddHeader>&amp;R&amp;"Arial,Regular"&amp;9Page &amp;P of &amp;N</oddHeader>
  </headerFooter>
  <rowBreaks count="2" manualBreakCount="2">
    <brk id="26" max="16383" man="1"/>
    <brk id="57" max="16383" man="1"/>
  </rowBreaks>
  <ignoredErrors>
    <ignoredError sqref="I13:I15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pageSetUpPr fitToPage="1"/>
  </sheetPr>
  <dimension ref="A1:J309"/>
  <sheetViews>
    <sheetView showGridLines="0" showRowColHeaders="0" zoomScaleNormal="100" workbookViewId="0">
      <pane ySplit="2" topLeftCell="A3" activePane="bottomLeft" state="frozen"/>
      <selection activeCell="P2" sqref="P2"/>
      <selection pane="bottomLeft" activeCell="H1" sqref="H1"/>
    </sheetView>
  </sheetViews>
  <sheetFormatPr defaultRowHeight="12.75" x14ac:dyDescent="0.2"/>
  <cols>
    <col min="1" max="1" width="3.28515625" style="88" customWidth="1"/>
    <col min="2" max="2" width="40.5703125" style="87" customWidth="1"/>
    <col min="3" max="8" width="6.7109375" style="88" customWidth="1"/>
    <col min="9" max="9" width="4.7109375" style="88" customWidth="1"/>
    <col min="10" max="10" width="5.5703125" style="88" bestFit="1" customWidth="1"/>
    <col min="11" max="16384" width="9.140625" style="88"/>
  </cols>
  <sheetData>
    <row r="1" spans="1:10" x14ac:dyDescent="0.2">
      <c r="A1" s="86" t="str">
        <f>UPPER((Kalend!E7)&amp;" - "&amp;(Kalend!C7)&amp;" - "&amp;(Kalend!D7))</f>
        <v>V2 - VOKA 1. SISE-KV 2. ETAPP - DUO</v>
      </c>
      <c r="E1" s="51" t="str">
        <f>HYPERLINK("#'Kalend'!I1","Kalender")</f>
        <v>Kalender</v>
      </c>
      <c r="F1" s="186"/>
      <c r="G1" s="51" t="str">
        <f>HYPERLINK("#'V'!AE1","Reiting")</f>
        <v>Reiting</v>
      </c>
    </row>
    <row r="2" spans="1:10" s="186" customFormat="1" x14ac:dyDescent="0.2">
      <c r="A2" s="186" t="str">
        <f>"Toimumisaeg: "&amp;(Kalend!A7)&amp;" kell "&amp;(Kalend!B7)</f>
        <v>Toimumisaeg: L, 04.11.2017 kell 11:00</v>
      </c>
    </row>
    <row r="3" spans="1:10" s="186" customFormat="1" x14ac:dyDescent="0.2">
      <c r="A3" s="186" t="str">
        <f>"Toimumiskoht: "&amp;(Kalend!F7)</f>
        <v>Toimumiskoht: Voka petangihall</v>
      </c>
    </row>
    <row r="4" spans="1:10" s="186" customFormat="1" x14ac:dyDescent="0.2">
      <c r="A4" s="186" t="str">
        <f>"Korraldaja: "&amp;(Kalend!G7)</f>
        <v>Korraldaja: Johannes Neiland</v>
      </c>
    </row>
    <row r="5" spans="1:10" s="188" customFormat="1" x14ac:dyDescent="0.2">
      <c r="A5" s="121"/>
      <c r="B5" s="99"/>
      <c r="C5" s="96"/>
      <c r="D5" s="312"/>
      <c r="E5" s="96"/>
      <c r="F5" s="97"/>
      <c r="G5" s="98"/>
    </row>
    <row r="6" spans="1:10" s="186" customFormat="1" x14ac:dyDescent="0.2">
      <c r="A6" s="126" t="s">
        <v>66</v>
      </c>
      <c r="B6" s="126"/>
      <c r="C6" s="91">
        <v>1</v>
      </c>
      <c r="D6" s="91">
        <v>2</v>
      </c>
      <c r="E6" s="91">
        <v>3</v>
      </c>
      <c r="F6" s="416"/>
      <c r="G6" s="91" t="s">
        <v>73</v>
      </c>
      <c r="H6" s="91" t="s">
        <v>21</v>
      </c>
      <c r="J6" s="188"/>
    </row>
    <row r="7" spans="1:10" s="186" customFormat="1" x14ac:dyDescent="0.2">
      <c r="A7" s="126">
        <v>1</v>
      </c>
      <c r="B7" s="308" t="s">
        <v>171</v>
      </c>
      <c r="C7" s="127"/>
      <c r="D7" s="128">
        <v>13</v>
      </c>
      <c r="E7" s="128">
        <v>13</v>
      </c>
      <c r="F7" s="416"/>
      <c r="G7" s="132" t="s">
        <v>77</v>
      </c>
      <c r="H7" s="131" t="s">
        <v>84</v>
      </c>
      <c r="J7" s="188"/>
    </row>
    <row r="8" spans="1:10" s="186" customFormat="1" x14ac:dyDescent="0.2">
      <c r="A8" s="126">
        <v>2</v>
      </c>
      <c r="B8" s="164" t="s">
        <v>614</v>
      </c>
      <c r="C8" s="128">
        <v>5</v>
      </c>
      <c r="D8" s="127"/>
      <c r="E8" s="128">
        <v>9</v>
      </c>
      <c r="F8" s="416"/>
      <c r="G8" s="132" t="s">
        <v>78</v>
      </c>
      <c r="H8" s="131" t="s">
        <v>93</v>
      </c>
    </row>
    <row r="9" spans="1:10" s="186" customFormat="1" x14ac:dyDescent="0.2">
      <c r="A9" s="126">
        <v>3</v>
      </c>
      <c r="B9" s="164" t="s">
        <v>178</v>
      </c>
      <c r="C9" s="128">
        <v>7</v>
      </c>
      <c r="D9" s="128">
        <v>13</v>
      </c>
      <c r="E9" s="127"/>
      <c r="F9" s="416"/>
      <c r="G9" s="132" t="s">
        <v>74</v>
      </c>
      <c r="H9" s="131" t="s">
        <v>76</v>
      </c>
    </row>
    <row r="10" spans="1:10" s="186" customFormat="1" hidden="1" x14ac:dyDescent="0.2">
      <c r="A10" s="126"/>
      <c r="B10" s="164"/>
      <c r="C10" s="128"/>
      <c r="D10" s="128"/>
      <c r="E10" s="93"/>
      <c r="F10" s="547"/>
      <c r="G10" s="132"/>
      <c r="H10" s="131"/>
    </row>
    <row r="11" spans="1:10" s="186" customFormat="1" x14ac:dyDescent="0.2">
      <c r="A11" s="87"/>
      <c r="B11" s="413" t="s">
        <v>70</v>
      </c>
      <c r="C11" s="309"/>
      <c r="D11" s="309"/>
      <c r="E11" s="309"/>
      <c r="F11" s="310"/>
      <c r="G11" s="309"/>
      <c r="H11" s="420" t="s">
        <v>70</v>
      </c>
    </row>
    <row r="12" spans="1:10" s="188" customFormat="1" x14ac:dyDescent="0.2">
      <c r="A12" s="126" t="s">
        <v>90</v>
      </c>
      <c r="B12" s="126"/>
      <c r="C12" s="91">
        <v>1</v>
      </c>
      <c r="D12" s="91">
        <v>2</v>
      </c>
      <c r="E12" s="91">
        <v>3</v>
      </c>
      <c r="F12" s="104"/>
      <c r="G12" s="91" t="s">
        <v>73</v>
      </c>
      <c r="H12" s="91" t="s">
        <v>21</v>
      </c>
    </row>
    <row r="13" spans="1:10" s="188" customFormat="1" x14ac:dyDescent="0.2">
      <c r="A13" s="126">
        <v>1</v>
      </c>
      <c r="B13" s="419" t="s">
        <v>130</v>
      </c>
      <c r="C13" s="127"/>
      <c r="D13" s="128">
        <v>5</v>
      </c>
      <c r="E13" s="128">
        <v>2</v>
      </c>
      <c r="F13" s="104"/>
      <c r="G13" s="132" t="s">
        <v>78</v>
      </c>
      <c r="H13" s="131" t="s">
        <v>94</v>
      </c>
    </row>
    <row r="14" spans="1:10" s="188" customFormat="1" x14ac:dyDescent="0.2">
      <c r="A14" s="126">
        <v>2</v>
      </c>
      <c r="B14" s="164" t="s">
        <v>175</v>
      </c>
      <c r="C14" s="128">
        <v>13</v>
      </c>
      <c r="D14" s="127"/>
      <c r="E14" s="128">
        <v>4</v>
      </c>
      <c r="F14" s="104"/>
      <c r="G14" s="132" t="s">
        <v>74</v>
      </c>
      <c r="H14" s="131" t="s">
        <v>71</v>
      </c>
    </row>
    <row r="15" spans="1:10" s="188" customFormat="1" x14ac:dyDescent="0.2">
      <c r="A15" s="126">
        <v>3</v>
      </c>
      <c r="B15" s="164" t="s">
        <v>115</v>
      </c>
      <c r="C15" s="128">
        <v>13</v>
      </c>
      <c r="D15" s="311">
        <v>13</v>
      </c>
      <c r="E15" s="127"/>
      <c r="F15" s="104"/>
      <c r="G15" s="132" t="s">
        <v>77</v>
      </c>
      <c r="H15" s="311" t="s">
        <v>86</v>
      </c>
    </row>
    <row r="16" spans="1:10" s="188" customFormat="1" hidden="1" x14ac:dyDescent="0.2">
      <c r="A16" s="126"/>
      <c r="B16" s="164"/>
      <c r="C16" s="128"/>
      <c r="D16" s="128"/>
      <c r="E16" s="93"/>
      <c r="F16" s="547"/>
      <c r="G16" s="132"/>
      <c r="H16" s="131"/>
    </row>
    <row r="17" spans="1:10" s="186" customFormat="1" x14ac:dyDescent="0.2"/>
    <row r="18" spans="1:10" s="188" customFormat="1" x14ac:dyDescent="0.2">
      <c r="A18" s="126" t="s">
        <v>166</v>
      </c>
      <c r="B18" s="126"/>
      <c r="C18" s="91">
        <v>1</v>
      </c>
      <c r="D18" s="91">
        <v>2</v>
      </c>
      <c r="E18" s="91">
        <v>3</v>
      </c>
      <c r="F18" s="91">
        <v>4</v>
      </c>
      <c r="G18" s="91" t="s">
        <v>73</v>
      </c>
      <c r="H18" s="91" t="s">
        <v>21</v>
      </c>
    </row>
    <row r="19" spans="1:10" s="188" customFormat="1" x14ac:dyDescent="0.2">
      <c r="A19" s="126">
        <v>1</v>
      </c>
      <c r="B19" s="308" t="s">
        <v>176</v>
      </c>
      <c r="C19" s="127"/>
      <c r="D19" s="128">
        <v>2</v>
      </c>
      <c r="E19" s="316">
        <v>13</v>
      </c>
      <c r="F19" s="316">
        <v>6</v>
      </c>
      <c r="G19" s="317" t="s">
        <v>92</v>
      </c>
      <c r="H19" s="131" t="s">
        <v>122</v>
      </c>
      <c r="I19" s="1183" t="s">
        <v>173</v>
      </c>
      <c r="J19" s="433" t="s">
        <v>304</v>
      </c>
    </row>
    <row r="20" spans="1:10" s="188" customFormat="1" x14ac:dyDescent="0.2">
      <c r="A20" s="126">
        <v>2</v>
      </c>
      <c r="B20" s="164" t="s">
        <v>129</v>
      </c>
      <c r="C20" s="128">
        <v>13</v>
      </c>
      <c r="D20" s="127"/>
      <c r="E20" s="93">
        <v>13</v>
      </c>
      <c r="F20" s="93">
        <v>13</v>
      </c>
      <c r="G20" s="132" t="s">
        <v>125</v>
      </c>
      <c r="H20" s="131" t="s">
        <v>85</v>
      </c>
      <c r="J20" s="432"/>
    </row>
    <row r="21" spans="1:10" s="188" customFormat="1" x14ac:dyDescent="0.2">
      <c r="A21" s="126">
        <v>3</v>
      </c>
      <c r="B21" s="164" t="s">
        <v>179</v>
      </c>
      <c r="C21" s="316">
        <v>10</v>
      </c>
      <c r="D21" s="311">
        <v>3</v>
      </c>
      <c r="E21" s="127"/>
      <c r="F21" s="316">
        <v>13</v>
      </c>
      <c r="G21" s="317" t="s">
        <v>92</v>
      </c>
      <c r="H21" s="131" t="s">
        <v>118</v>
      </c>
      <c r="I21" s="1183" t="s">
        <v>174</v>
      </c>
      <c r="J21" s="433" t="s">
        <v>305</v>
      </c>
    </row>
    <row r="22" spans="1:10" s="188" customFormat="1" x14ac:dyDescent="0.2">
      <c r="A22" s="126">
        <v>4</v>
      </c>
      <c r="B22" s="164" t="s">
        <v>177</v>
      </c>
      <c r="C22" s="316">
        <v>13</v>
      </c>
      <c r="D22" s="128">
        <v>5</v>
      </c>
      <c r="E22" s="316">
        <v>9</v>
      </c>
      <c r="F22" s="127"/>
      <c r="G22" s="317" t="s">
        <v>92</v>
      </c>
      <c r="H22" s="131" t="s">
        <v>75</v>
      </c>
      <c r="I22" s="1183" t="s">
        <v>121</v>
      </c>
      <c r="J22" s="433" t="s">
        <v>306</v>
      </c>
    </row>
    <row r="23" spans="1:10" s="188" customFormat="1" x14ac:dyDescent="0.2">
      <c r="A23" s="314"/>
      <c r="B23" s="314"/>
      <c r="C23" s="314"/>
      <c r="D23" s="314"/>
      <c r="E23" s="314"/>
      <c r="F23" s="314"/>
      <c r="G23" s="314"/>
    </row>
    <row r="24" spans="1:10" s="188" customFormat="1" x14ac:dyDescent="0.2">
      <c r="A24" s="314"/>
      <c r="B24" s="213" t="s">
        <v>98</v>
      </c>
      <c r="C24" s="98" t="s">
        <v>99</v>
      </c>
      <c r="D24" s="98" t="s">
        <v>100</v>
      </c>
      <c r="E24" s="314"/>
      <c r="F24" s="314"/>
      <c r="G24" s="314"/>
    </row>
    <row r="25" spans="1:10" s="188" customFormat="1" x14ac:dyDescent="0.2">
      <c r="A25" s="314"/>
      <c r="B25" s="213" t="s">
        <v>101</v>
      </c>
      <c r="C25" s="98" t="s">
        <v>102</v>
      </c>
      <c r="D25" s="98" t="s">
        <v>103</v>
      </c>
      <c r="E25" s="314"/>
      <c r="F25" s="314"/>
      <c r="G25" s="314"/>
    </row>
    <row r="26" spans="1:10" s="188" customFormat="1" x14ac:dyDescent="0.2">
      <c r="A26" s="314"/>
      <c r="B26" s="213" t="s">
        <v>104</v>
      </c>
      <c r="C26" s="98" t="s">
        <v>92</v>
      </c>
      <c r="D26" s="98" t="s">
        <v>105</v>
      </c>
      <c r="E26" s="314"/>
      <c r="F26" s="314"/>
      <c r="G26" s="314"/>
    </row>
    <row r="27" spans="1:10" s="188" customFormat="1" x14ac:dyDescent="0.2"/>
    <row r="28" spans="1:10" s="349" customFormat="1" x14ac:dyDescent="0.2">
      <c r="A28" s="348" t="s">
        <v>72</v>
      </c>
    </row>
    <row r="29" spans="1:10" s="349" customFormat="1" x14ac:dyDescent="0.2">
      <c r="A29" s="348"/>
    </row>
    <row r="30" spans="1:10" s="349" customFormat="1" x14ac:dyDescent="0.2">
      <c r="A30" s="350" t="s">
        <v>86</v>
      </c>
      <c r="B30" s="404" t="str">
        <f>IFERROR(INDEX(B$7:B$22,MATCH(A30,H$7:H$22,0)),"")</f>
        <v>Andres Veski, Svetlana Veski</v>
      </c>
      <c r="C30" s="120">
        <v>13</v>
      </c>
      <c r="D30" s="88"/>
      <c r="E30" s="88"/>
      <c r="F30" s="88"/>
      <c r="G30" s="88"/>
      <c r="H30" s="88"/>
      <c r="I30" s="88"/>
    </row>
    <row r="31" spans="1:10" s="349" customFormat="1" x14ac:dyDescent="0.2">
      <c r="A31" s="353"/>
      <c r="B31" s="411"/>
      <c r="C31" s="400" t="str">
        <f>IF(COUNT(C30,C32)=2,IF(C30&gt;C32,B30,B32),"")</f>
        <v>Andres Veski, Svetlana Veski</v>
      </c>
      <c r="D31" s="88"/>
      <c r="E31" s="120">
        <v>13</v>
      </c>
      <c r="F31" s="88"/>
      <c r="G31" s="88"/>
      <c r="H31" s="88"/>
      <c r="I31" s="88"/>
    </row>
    <row r="32" spans="1:10" s="349" customFormat="1" x14ac:dyDescent="0.2">
      <c r="A32" s="350" t="s">
        <v>76</v>
      </c>
      <c r="B32" s="406" t="str">
        <f>IFERROR(INDEX(B$7:B$22,MATCH(A32,H$7:H$22,0)),"")</f>
        <v>Illar Tõnurist, Kati Tuzberg</v>
      </c>
      <c r="C32" s="110">
        <v>2</v>
      </c>
      <c r="D32" s="111"/>
      <c r="E32" s="88"/>
      <c r="F32" s="88"/>
      <c r="G32" s="88"/>
      <c r="H32" s="88"/>
      <c r="I32" s="88"/>
    </row>
    <row r="33" spans="1:9" s="349" customFormat="1" x14ac:dyDescent="0.2">
      <c r="A33" s="353"/>
      <c r="B33" s="407"/>
      <c r="C33" s="88"/>
      <c r="D33" s="112"/>
      <c r="E33" s="400" t="str">
        <f>IF(COUNT(E31,E35)=2,IF(E31&gt;E35,C31,C35),"")</f>
        <v>Andres Veski, Svetlana Veski</v>
      </c>
      <c r="F33" s="88"/>
      <c r="G33" s="120">
        <v>13</v>
      </c>
      <c r="H33" s="88"/>
      <c r="I33" s="88"/>
    </row>
    <row r="34" spans="1:9" s="349" customFormat="1" x14ac:dyDescent="0.2">
      <c r="A34" s="350" t="s">
        <v>70</v>
      </c>
      <c r="B34" s="404" t="str">
        <f>IFERROR(INDEX(B$7:B$22,MATCH(A34,H$7:H$22,0)),"")</f>
        <v>-</v>
      </c>
      <c r="C34" s="120">
        <f>IF(B34="-",0,IF(B36="-",13,""))</f>
        <v>0</v>
      </c>
      <c r="D34" s="112"/>
      <c r="E34" s="216"/>
      <c r="F34" s="111"/>
      <c r="G34" s="88"/>
      <c r="H34" s="88"/>
      <c r="I34" s="88"/>
    </row>
    <row r="35" spans="1:9" s="349" customFormat="1" x14ac:dyDescent="0.2">
      <c r="A35" s="353"/>
      <c r="B35" s="411"/>
      <c r="C35" s="400" t="str">
        <f>IF(COUNT(C34,C36)=2,IF(C34&gt;C36,B34,B36),"")</f>
        <v>Matti Vinni, Vello Vasser</v>
      </c>
      <c r="D35" s="377"/>
      <c r="E35" s="110">
        <v>6</v>
      </c>
      <c r="F35" s="112"/>
      <c r="G35" s="88"/>
      <c r="H35" s="88"/>
      <c r="I35" s="88"/>
    </row>
    <row r="36" spans="1:9" s="349" customFormat="1" x14ac:dyDescent="0.2">
      <c r="A36" s="350" t="s">
        <v>85</v>
      </c>
      <c r="B36" s="406" t="str">
        <f>IFERROR(INDEX(B$7:B$22,MATCH(A36,H$7:H$22,0)),"")</f>
        <v>Matti Vinni, Vello Vasser</v>
      </c>
      <c r="C36" s="110">
        <f>IF(B36="-",0,IF(B34="-",13,""))</f>
        <v>13</v>
      </c>
      <c r="D36" s="88"/>
      <c r="E36" s="99"/>
      <c r="F36" s="112"/>
      <c r="G36" s="88"/>
      <c r="H36" s="88"/>
      <c r="I36" s="88"/>
    </row>
    <row r="37" spans="1:9" s="349" customFormat="1" ht="13.5" thickBot="1" x14ac:dyDescent="0.25">
      <c r="A37" s="353"/>
      <c r="B37" s="407"/>
      <c r="C37" s="88"/>
      <c r="D37" s="88"/>
      <c r="E37" s="99"/>
      <c r="F37" s="112"/>
      <c r="G37" s="88"/>
      <c r="H37" s="184" t="str">
        <f>IF(COUNT(G33,G41)=2,IF(G33&gt;G41,E33,E41),"")</f>
        <v>Andres Veski, Svetlana Veski</v>
      </c>
      <c r="I37" s="88"/>
    </row>
    <row r="38" spans="1:9" s="349" customFormat="1" x14ac:dyDescent="0.2">
      <c r="A38" s="350" t="s">
        <v>84</v>
      </c>
      <c r="B38" s="404" t="str">
        <f>IFERROR(INDEX(B$7:B$22,MATCH(A38,H$7:H$22,0)),"")</f>
        <v>Einar Juhkam, Kenneth Muusikus</v>
      </c>
      <c r="C38" s="120">
        <f>IF(B38="-",0,IF(B40="-",13,""))</f>
        <v>13</v>
      </c>
      <c r="D38" s="88"/>
      <c r="E38" s="88"/>
      <c r="F38" s="112"/>
      <c r="G38" s="114"/>
      <c r="H38" s="379" t="s">
        <v>275</v>
      </c>
      <c r="I38" s="378"/>
    </row>
    <row r="39" spans="1:9" s="349" customFormat="1" x14ac:dyDescent="0.2">
      <c r="A39" s="353"/>
      <c r="B39" s="411"/>
      <c r="C39" s="400" t="str">
        <f>IF(COUNT(C38,C40)=2,IF(C38&gt;C40,B38,B40),"")</f>
        <v>Einar Juhkam, Kenneth Muusikus</v>
      </c>
      <c r="D39" s="88"/>
      <c r="E39" s="120">
        <v>5</v>
      </c>
      <c r="F39" s="112"/>
      <c r="G39" s="99"/>
      <c r="H39" s="88"/>
      <c r="I39" s="88"/>
    </row>
    <row r="40" spans="1:9" s="349" customFormat="1" x14ac:dyDescent="0.2">
      <c r="A40" s="350" t="s">
        <v>70</v>
      </c>
      <c r="B40" s="406" t="str">
        <f>IFERROR(INDEX(B$7:B$22,MATCH(A40,H$7:H$22,0)),"")</f>
        <v>-</v>
      </c>
      <c r="C40" s="110">
        <f>IF(B40="-",0,IF(B38="-",13,""))</f>
        <v>0</v>
      </c>
      <c r="D40" s="111"/>
      <c r="E40" s="88"/>
      <c r="F40" s="112"/>
      <c r="G40" s="99"/>
      <c r="H40" s="88"/>
      <c r="I40" s="88"/>
    </row>
    <row r="41" spans="1:9" s="349" customFormat="1" x14ac:dyDescent="0.2">
      <c r="A41" s="353"/>
      <c r="B41" s="407"/>
      <c r="C41" s="88"/>
      <c r="D41" s="112"/>
      <c r="E41" s="400" t="str">
        <f>IF(COUNT(E39,E43)=2,IF(E39&gt;E43,C39,C43),"")</f>
        <v>Tõnu Kapper, Vladimir Ogneštšikov</v>
      </c>
      <c r="F41" s="377"/>
      <c r="G41" s="110">
        <v>1</v>
      </c>
      <c r="H41" s="88"/>
      <c r="I41" s="88"/>
    </row>
    <row r="42" spans="1:9" s="349" customFormat="1" ht="13.5" thickBot="1" x14ac:dyDescent="0.25">
      <c r="A42" s="350" t="s">
        <v>71</v>
      </c>
      <c r="B42" s="404" t="str">
        <f>IFERROR(INDEX(B$7:B$22,MATCH(A42,H$7:H$22,0)),"")</f>
        <v>Klavdia Piik, Ülo Piik</v>
      </c>
      <c r="C42" s="120">
        <v>8</v>
      </c>
      <c r="D42" s="112"/>
      <c r="E42" s="216"/>
      <c r="F42" s="99"/>
      <c r="G42" s="99"/>
      <c r="H42" s="184" t="str">
        <f>IF(COUNT(G33,G41)=2,IF(G33&lt;G41,E33,E41),"")</f>
        <v>Tõnu Kapper, Vladimir Ogneštšikov</v>
      </c>
      <c r="I42" s="119"/>
    </row>
    <row r="43" spans="1:9" s="349" customFormat="1" x14ac:dyDescent="0.2">
      <c r="A43" s="353"/>
      <c r="B43" s="411"/>
      <c r="C43" s="400" t="str">
        <f>IF(COUNT(C42,C44)=2,IF(C42&gt;C44,B42,B44),"")</f>
        <v>Tõnu Kapper, Vladimir Ogneštšikov</v>
      </c>
      <c r="D43" s="377"/>
      <c r="E43" s="110">
        <v>13</v>
      </c>
      <c r="F43" s="88"/>
      <c r="G43" s="99"/>
      <c r="H43" s="379" t="s">
        <v>276</v>
      </c>
      <c r="I43" s="99"/>
    </row>
    <row r="44" spans="1:9" s="349" customFormat="1" x14ac:dyDescent="0.2">
      <c r="A44" s="350" t="s">
        <v>75</v>
      </c>
      <c r="B44" s="406" t="str">
        <f>IFERROR(INDEX(B$7:B$22,MATCH(A44,H$7:H$22,0)),"")</f>
        <v>Tõnu Kapper, Vladimir Ogneštšikov</v>
      </c>
      <c r="C44" s="110">
        <v>13</v>
      </c>
      <c r="D44" s="88"/>
      <c r="E44" s="99"/>
      <c r="F44" s="99"/>
      <c r="G44" s="99"/>
      <c r="H44" s="88"/>
      <c r="I44" s="88"/>
    </row>
    <row r="45" spans="1:9" s="349" customFormat="1" x14ac:dyDescent="0.2">
      <c r="B45" s="407"/>
      <c r="C45" s="88"/>
      <c r="D45" s="88"/>
      <c r="E45" s="217" t="str">
        <f>IF(COUNT(E31,E35)=2,IF(E31&lt;E35,C31,C35),"")</f>
        <v>Matti Vinni, Vello Vasser</v>
      </c>
      <c r="F45" s="88"/>
      <c r="G45" s="120">
        <v>11</v>
      </c>
      <c r="H45" s="88"/>
      <c r="I45" s="88"/>
    </row>
    <row r="46" spans="1:9" s="349" customFormat="1" ht="13.5" thickBot="1" x14ac:dyDescent="0.25">
      <c r="B46" s="88"/>
      <c r="C46" s="88"/>
      <c r="D46" s="88"/>
      <c r="E46" s="108"/>
      <c r="F46" s="111"/>
      <c r="G46" s="119"/>
      <c r="H46" s="184" t="str">
        <f>IF(COUNT(G45,G47)=2,IF(G45&gt;G47,E45,E47),"")</f>
        <v>Einar Juhkam, Kenneth Muusikus</v>
      </c>
      <c r="I46" s="119"/>
    </row>
    <row r="47" spans="1:9" s="349" customFormat="1" x14ac:dyDescent="0.2">
      <c r="B47" s="88"/>
      <c r="C47" s="88"/>
      <c r="D47" s="88"/>
      <c r="E47" s="399" t="str">
        <f>IF(COUNT(E39,E43)=2,IF(E39&lt;E43,C39,C43),"")</f>
        <v>Einar Juhkam, Kenneth Muusikus</v>
      </c>
      <c r="F47" s="377"/>
      <c r="G47" s="110">
        <v>13</v>
      </c>
      <c r="H47" s="121" t="s">
        <v>277</v>
      </c>
      <c r="I47" s="99"/>
    </row>
    <row r="48" spans="1:9" s="349" customFormat="1" x14ac:dyDescent="0.2">
      <c r="B48" s="88"/>
      <c r="C48" s="88"/>
      <c r="D48" s="88"/>
      <c r="E48" s="88"/>
      <c r="F48" s="88"/>
      <c r="G48" s="88"/>
      <c r="H48" s="99"/>
      <c r="I48" s="99"/>
    </row>
    <row r="49" spans="1:9" s="349" customFormat="1" ht="13.5" thickBot="1" x14ac:dyDescent="0.25">
      <c r="B49" s="88"/>
      <c r="C49" s="88"/>
      <c r="D49" s="88"/>
      <c r="E49" s="99"/>
      <c r="F49" s="99"/>
      <c r="G49" s="88"/>
      <c r="H49" s="184" t="str">
        <f>IF(COUNT(G45,G47)=2,IF(G45&lt;G47,E45,E47),"")</f>
        <v>Matti Vinni, Vello Vasser</v>
      </c>
      <c r="I49" s="119"/>
    </row>
    <row r="50" spans="1:9" s="349" customFormat="1" x14ac:dyDescent="0.2">
      <c r="B50" s="88"/>
      <c r="C50" s="399" t="str">
        <f>IF(COUNT(C30,C32)=2,IF(C30&lt;C32,B30,B32),"")</f>
        <v>Illar Tõnurist, Kati Tuzberg</v>
      </c>
      <c r="D50" s="88"/>
      <c r="E50" s="120">
        <f>IF(C50="-",0,IF(C52="-",13,""))</f>
        <v>13</v>
      </c>
      <c r="F50" s="120"/>
      <c r="G50" s="120"/>
      <c r="H50" s="87" t="s">
        <v>50</v>
      </c>
      <c r="I50" s="88"/>
    </row>
    <row r="51" spans="1:9" s="349" customFormat="1" x14ac:dyDescent="0.2">
      <c r="C51" s="219"/>
      <c r="D51" s="220"/>
      <c r="E51" s="400" t="str">
        <f>IF(COUNT(E50,E52)=2,IF(E50&gt;E52,C50,C52),"")</f>
        <v>Illar Tõnurist, Kati Tuzberg</v>
      </c>
      <c r="F51" s="88"/>
      <c r="G51" s="120">
        <v>4</v>
      </c>
    </row>
    <row r="52" spans="1:9" s="349" customFormat="1" x14ac:dyDescent="0.2">
      <c r="C52" s="399" t="str">
        <f>IF(COUNT(C34,C36)=2,IF(C34&lt;C36,B34,B36),"")</f>
        <v>-</v>
      </c>
      <c r="D52" s="409"/>
      <c r="E52" s="110">
        <f>IF(C52="-",0,IF(C50="-",13,""))</f>
        <v>0</v>
      </c>
      <c r="F52" s="220"/>
      <c r="G52" s="120"/>
    </row>
    <row r="53" spans="1:9" s="349" customFormat="1" ht="13.5" thickBot="1" x14ac:dyDescent="0.25">
      <c r="C53" s="120"/>
      <c r="D53" s="120"/>
      <c r="E53" s="113"/>
      <c r="F53" s="221"/>
      <c r="G53" s="120"/>
      <c r="H53" s="184" t="str">
        <f>IF(COUNT(G51,G55)=2,IF(G51&gt;G55,E51,E55),"")</f>
        <v>Klavdia Piik, Ülo Piik</v>
      </c>
      <c r="I53" s="88"/>
    </row>
    <row r="54" spans="1:9" s="349" customFormat="1" x14ac:dyDescent="0.2">
      <c r="C54" s="399" t="str">
        <f>IF(COUNT(C38,C40)=2,IF(C38&lt;C40,B38,B40),"")</f>
        <v>-</v>
      </c>
      <c r="D54" s="120"/>
      <c r="E54" s="120">
        <f>IF(C54="-",0,IF(C56="-",13,""))</f>
        <v>0</v>
      </c>
      <c r="F54" s="221"/>
      <c r="G54" s="222"/>
      <c r="H54" s="379" t="s">
        <v>51</v>
      </c>
      <c r="I54" s="378"/>
    </row>
    <row r="55" spans="1:9" s="349" customFormat="1" x14ac:dyDescent="0.2">
      <c r="C55" s="219"/>
      <c r="D55" s="220"/>
      <c r="E55" s="400" t="str">
        <f>IF(COUNT(E54,E56)=2,IF(E54&gt;E56,C54,C56),"")</f>
        <v>Klavdia Piik, Ülo Piik</v>
      </c>
      <c r="F55" s="377"/>
      <c r="G55" s="110">
        <v>13</v>
      </c>
      <c r="H55" s="88"/>
      <c r="I55" s="88"/>
    </row>
    <row r="56" spans="1:9" s="349" customFormat="1" ht="13.5" thickBot="1" x14ac:dyDescent="0.25">
      <c r="C56" s="399" t="str">
        <f>IF(COUNT(C42,C44)=2,IF(C42&lt;C44,B42,B44),"")</f>
        <v>Klavdia Piik, Ülo Piik</v>
      </c>
      <c r="D56" s="409"/>
      <c r="E56" s="110">
        <f>IF(C56="-",0,IF(C54="-",13,""))</f>
        <v>13</v>
      </c>
      <c r="F56" s="120"/>
      <c r="G56" s="113"/>
      <c r="H56" s="184" t="str">
        <f>IF(COUNT(G51,G55)=2,IF(G51&lt;G55,E51,E55),"")</f>
        <v>Illar Tõnurist, Kati Tuzberg</v>
      </c>
      <c r="I56" s="119"/>
    </row>
    <row r="57" spans="1:9" s="349" customFormat="1" x14ac:dyDescent="0.2">
      <c r="G57" s="358"/>
      <c r="H57" s="379" t="s">
        <v>52</v>
      </c>
      <c r="I57" s="99"/>
    </row>
    <row r="58" spans="1:9" s="349" customFormat="1" x14ac:dyDescent="0.2">
      <c r="H58" s="358"/>
      <c r="I58" s="358"/>
    </row>
    <row r="59" spans="1:9" s="349" customFormat="1" x14ac:dyDescent="0.2">
      <c r="A59" s="182" t="s">
        <v>131</v>
      </c>
      <c r="B59" s="123"/>
      <c r="C59" s="123"/>
      <c r="D59" s="123"/>
      <c r="E59" s="123"/>
      <c r="F59" s="123"/>
      <c r="G59" s="123"/>
      <c r="H59" s="123"/>
      <c r="I59" s="123"/>
    </row>
    <row r="60" spans="1:9" s="349" customFormat="1" x14ac:dyDescent="0.2">
      <c r="A60" s="182"/>
      <c r="B60" s="123"/>
      <c r="C60" s="123"/>
      <c r="D60" s="123"/>
      <c r="E60" s="123"/>
      <c r="F60" s="123"/>
      <c r="G60" s="123"/>
      <c r="H60" s="123"/>
      <c r="I60" s="123"/>
    </row>
    <row r="61" spans="1:9" s="349" customFormat="1" x14ac:dyDescent="0.2">
      <c r="A61" s="123"/>
      <c r="B61" s="183" t="s">
        <v>93</v>
      </c>
      <c r="C61" s="410" t="str">
        <f>IFERROR(INDEX(B$7:B$22,MATCH(B61,H$7:H$22,0)),"")</f>
        <v>Peep Peenema, Väino Aul</v>
      </c>
      <c r="D61" s="404"/>
      <c r="E61" s="120">
        <v>6</v>
      </c>
      <c r="F61" s="120"/>
      <c r="G61" s="120"/>
      <c r="H61" s="88"/>
      <c r="I61" s="88"/>
    </row>
    <row r="62" spans="1:9" s="349" customFormat="1" x14ac:dyDescent="0.2">
      <c r="A62" s="123"/>
      <c r="B62" s="123"/>
      <c r="C62" s="417"/>
      <c r="D62" s="411"/>
      <c r="E62" s="400" t="str">
        <f>IF(COUNT(E61,E63)=2,IF(E61&gt;E63,C61,C63),"")</f>
        <v>Karla Purgats, Tõnu Piik</v>
      </c>
      <c r="F62" s="88"/>
      <c r="G62" s="120">
        <v>13</v>
      </c>
      <c r="H62" s="88"/>
      <c r="I62" s="88"/>
    </row>
    <row r="63" spans="1:9" s="349" customFormat="1" x14ac:dyDescent="0.2">
      <c r="A63" s="123"/>
      <c r="B63" s="183" t="s">
        <v>122</v>
      </c>
      <c r="C63" s="418" t="str">
        <f>IFERROR(INDEX(B$7:B$22,MATCH(B63,H$7:H$22,0)),"")</f>
        <v>Karla Purgats, Tõnu Piik</v>
      </c>
      <c r="D63" s="406"/>
      <c r="E63" s="110">
        <v>13</v>
      </c>
      <c r="F63" s="220"/>
      <c r="G63" s="120"/>
      <c r="H63" s="88"/>
      <c r="I63" s="88"/>
    </row>
    <row r="64" spans="1:9" s="349" customFormat="1" ht="13.5" thickBot="1" x14ac:dyDescent="0.25">
      <c r="A64" s="123"/>
      <c r="B64" s="123"/>
      <c r="C64" s="188"/>
      <c r="D64" s="407"/>
      <c r="E64" s="113"/>
      <c r="F64" s="221"/>
      <c r="G64" s="120"/>
      <c r="H64" s="184" t="str">
        <f>IF(COUNT(G62,G66)=2,IF(G62&gt;G66,E62,E66),"")</f>
        <v>Karla Purgats, Tõnu Piik</v>
      </c>
      <c r="I64" s="88"/>
    </row>
    <row r="65" spans="1:10" s="349" customFormat="1" x14ac:dyDescent="0.2">
      <c r="A65" s="123"/>
      <c r="B65" s="183" t="s">
        <v>118</v>
      </c>
      <c r="C65" s="410" t="str">
        <f>IFERROR(INDEX(B$7:B$22,MATCH(B65,H$7:H$22,0)),"")</f>
        <v>Henri Müür, Johannes Neiland, Oleg Rõndenkov</v>
      </c>
      <c r="D65" s="404"/>
      <c r="E65" s="120">
        <v>13</v>
      </c>
      <c r="F65" s="221"/>
      <c r="G65" s="222"/>
      <c r="H65" s="379" t="s">
        <v>53</v>
      </c>
      <c r="I65" s="378"/>
    </row>
    <row r="66" spans="1:10" s="349" customFormat="1" x14ac:dyDescent="0.2">
      <c r="A66" s="123"/>
      <c r="B66" s="123"/>
      <c r="C66" s="417"/>
      <c r="D66" s="411"/>
      <c r="E66" s="400" t="str">
        <f>IF(COUNT(E65,E67)=2,IF(E65&gt;E67,C65,C67),"")</f>
        <v>Henri Müür, Johannes Neiland, Oleg Rõndenkov</v>
      </c>
      <c r="F66" s="377"/>
      <c r="G66" s="110">
        <v>12</v>
      </c>
      <c r="H66" s="88"/>
      <c r="I66" s="88"/>
    </row>
    <row r="67" spans="1:10" s="188" customFormat="1" ht="13.5" thickBot="1" x14ac:dyDescent="0.25">
      <c r="A67" s="123"/>
      <c r="B67" s="183" t="s">
        <v>94</v>
      </c>
      <c r="C67" s="418" t="str">
        <f>IFERROR(INDEX(B$7:B$22,MATCH(B67,H$7:H$22,0)),"")</f>
        <v>Enn Tokman, Tarmo Bombe</v>
      </c>
      <c r="D67" s="406"/>
      <c r="E67" s="110">
        <v>3</v>
      </c>
      <c r="F67" s="120"/>
      <c r="G67" s="113"/>
      <c r="H67" s="184" t="str">
        <f>IF(COUNT(G62,G66)=2,IF(G62&lt;G66,E62,E66),"")</f>
        <v>Henri Müür, Johannes Neiland, Oleg Rõndenkov</v>
      </c>
      <c r="I67" s="119"/>
    </row>
    <row r="68" spans="1:10" s="188" customFormat="1" x14ac:dyDescent="0.2">
      <c r="A68" s="123"/>
      <c r="B68" s="123"/>
      <c r="C68" s="88"/>
      <c r="D68" s="88"/>
      <c r="E68" s="120"/>
      <c r="F68" s="120"/>
      <c r="G68" s="113"/>
      <c r="H68" s="379" t="s">
        <v>54</v>
      </c>
      <c r="I68" s="99"/>
    </row>
    <row r="69" spans="1:10" s="188" customFormat="1" x14ac:dyDescent="0.2">
      <c r="A69" s="123"/>
      <c r="B69" s="123"/>
      <c r="C69" s="88"/>
      <c r="D69" s="88"/>
      <c r="E69" s="217" t="str">
        <f>IF(COUNT(E61,E63)=2,IF(E61&lt;E63,C61,C63),"")</f>
        <v>Peep Peenema, Väino Aul</v>
      </c>
      <c r="F69" s="88"/>
      <c r="G69" s="120">
        <v>11</v>
      </c>
      <c r="H69" s="88"/>
      <c r="I69" s="88"/>
    </row>
    <row r="70" spans="1:10" s="188" customFormat="1" ht="13.5" thickBot="1" x14ac:dyDescent="0.25">
      <c r="A70" s="123"/>
      <c r="B70" s="123"/>
      <c r="C70" s="88"/>
      <c r="D70" s="88"/>
      <c r="E70" s="108"/>
      <c r="F70" s="111"/>
      <c r="G70" s="119"/>
      <c r="H70" s="184" t="str">
        <f>IF(COUNT(G69,G71)=2,IF(G69&gt;G71,E69,E71),"")</f>
        <v>Enn Tokman, Tarmo Bombe</v>
      </c>
      <c r="I70" s="119"/>
    </row>
    <row r="71" spans="1:10" s="188" customFormat="1" x14ac:dyDescent="0.2">
      <c r="A71" s="123"/>
      <c r="B71" s="123"/>
      <c r="C71" s="88"/>
      <c r="D71" s="88"/>
      <c r="E71" s="399" t="str">
        <f>IF(COUNT(E65,E67)=2,IF(E65&lt;E67,C65,C67),"")</f>
        <v>Enn Tokman, Tarmo Bombe</v>
      </c>
      <c r="F71" s="377"/>
      <c r="G71" s="110">
        <v>13</v>
      </c>
      <c r="H71" s="121" t="s">
        <v>55</v>
      </c>
      <c r="I71" s="99"/>
    </row>
    <row r="72" spans="1:10" s="188" customFormat="1" x14ac:dyDescent="0.2">
      <c r="A72" s="123"/>
      <c r="B72" s="123"/>
      <c r="C72" s="88"/>
      <c r="D72" s="88"/>
      <c r="E72" s="88"/>
      <c r="F72" s="88"/>
      <c r="G72" s="88"/>
      <c r="H72" s="99"/>
      <c r="I72" s="99"/>
    </row>
    <row r="73" spans="1:10" s="188" customFormat="1" ht="13.5" thickBot="1" x14ac:dyDescent="0.25">
      <c r="A73" s="123"/>
      <c r="B73" s="123"/>
      <c r="C73" s="88"/>
      <c r="D73" s="88"/>
      <c r="E73" s="88"/>
      <c r="F73" s="88"/>
      <c r="G73" s="88"/>
      <c r="H73" s="184" t="str">
        <f>IF(COUNT(G69,G71)=2,IF(G69&lt;G71,E69,E71),"")</f>
        <v>Peep Peenema, Väino Aul</v>
      </c>
      <c r="I73" s="119"/>
    </row>
    <row r="74" spans="1:10" s="188" customFormat="1" x14ac:dyDescent="0.2">
      <c r="A74" s="123"/>
      <c r="B74" s="123"/>
      <c r="C74" s="88"/>
      <c r="D74" s="88"/>
      <c r="E74" s="99"/>
      <c r="F74" s="99"/>
      <c r="G74" s="88"/>
      <c r="H74" s="87" t="s">
        <v>56</v>
      </c>
      <c r="I74" s="88"/>
    </row>
    <row r="75" spans="1:10" s="188" customFormat="1" x14ac:dyDescent="0.2">
      <c r="A75" s="123"/>
      <c r="B75" s="123"/>
      <c r="C75" s="123"/>
      <c r="D75" s="99"/>
      <c r="E75" s="99"/>
      <c r="F75" s="99"/>
      <c r="G75" s="88"/>
      <c r="H75" s="87"/>
      <c r="I75" s="88"/>
    </row>
    <row r="76" spans="1:10" s="188" customFormat="1" hidden="1" x14ac:dyDescent="0.2">
      <c r="A76" s="123"/>
      <c r="B76" s="123"/>
      <c r="C76" s="123"/>
      <c r="E76" s="99"/>
      <c r="F76" s="99"/>
      <c r="G76" s="99"/>
      <c r="H76" s="99"/>
      <c r="I76" s="88"/>
      <c r="J76" s="87"/>
    </row>
    <row r="77" spans="1:10" s="188" customFormat="1" hidden="1" x14ac:dyDescent="0.2">
      <c r="A77" s="123"/>
      <c r="B77" s="123"/>
      <c r="C77" s="123"/>
      <c r="E77" s="99"/>
      <c r="F77" s="99"/>
      <c r="G77" s="99"/>
      <c r="H77" s="99"/>
      <c r="I77" s="88"/>
      <c r="J77" s="87"/>
    </row>
    <row r="78" spans="1:10" s="188" customFormat="1" hidden="1" x14ac:dyDescent="0.2">
      <c r="D78" s="99"/>
      <c r="E78" s="99"/>
      <c r="F78" s="99"/>
      <c r="G78" s="99"/>
      <c r="H78" s="99"/>
      <c r="I78" s="88"/>
      <c r="J78" s="87"/>
    </row>
    <row r="79" spans="1:10" s="188" customFormat="1" hidden="1" x14ac:dyDescent="0.2"/>
    <row r="80" spans="1:10" hidden="1" x14ac:dyDescent="0.2">
      <c r="B80" s="88"/>
    </row>
    <row r="81" spans="2:2" hidden="1" x14ac:dyDescent="0.2">
      <c r="B81" s="88"/>
    </row>
    <row r="82" spans="2:2" hidden="1" x14ac:dyDescent="0.2">
      <c r="B82" s="88"/>
    </row>
    <row r="83" spans="2:2" hidden="1" x14ac:dyDescent="0.2">
      <c r="B83" s="88"/>
    </row>
    <row r="84" spans="2:2" hidden="1" x14ac:dyDescent="0.2">
      <c r="B84" s="88"/>
    </row>
    <row r="85" spans="2:2" hidden="1" x14ac:dyDescent="0.2">
      <c r="B85" s="88"/>
    </row>
    <row r="86" spans="2:2" hidden="1" x14ac:dyDescent="0.2">
      <c r="B86" s="88"/>
    </row>
    <row r="87" spans="2:2" hidden="1" x14ac:dyDescent="0.2">
      <c r="B87" s="88"/>
    </row>
    <row r="88" spans="2:2" hidden="1" x14ac:dyDescent="0.2">
      <c r="B88" s="88"/>
    </row>
    <row r="89" spans="2:2" hidden="1" x14ac:dyDescent="0.2"/>
    <row r="90" spans="2:2" hidden="1" x14ac:dyDescent="0.2"/>
    <row r="91" spans="2:2" hidden="1" x14ac:dyDescent="0.2"/>
    <row r="92" spans="2:2" hidden="1" x14ac:dyDescent="0.2"/>
    <row r="93" spans="2:2" hidden="1" x14ac:dyDescent="0.2"/>
    <row r="94" spans="2:2" hidden="1" x14ac:dyDescent="0.2"/>
    <row r="95" spans="2:2" hidden="1" x14ac:dyDescent="0.2"/>
    <row r="96" spans="2:2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spans="1:3" hidden="1" x14ac:dyDescent="0.2"/>
    <row r="290" spans="1:3" hidden="1" x14ac:dyDescent="0.2"/>
    <row r="291" spans="1:3" hidden="1" x14ac:dyDescent="0.2"/>
    <row r="292" spans="1:3" hidden="1" x14ac:dyDescent="0.2"/>
    <row r="293" spans="1:3" hidden="1" x14ac:dyDescent="0.2"/>
    <row r="294" spans="1:3" hidden="1" x14ac:dyDescent="0.2"/>
    <row r="295" spans="1:3" hidden="1" x14ac:dyDescent="0.2"/>
    <row r="296" spans="1:3" hidden="1" x14ac:dyDescent="0.2"/>
    <row r="297" spans="1:3" hidden="1" x14ac:dyDescent="0.2"/>
    <row r="298" spans="1:3" hidden="1" x14ac:dyDescent="0.2"/>
    <row r="299" spans="1:3" x14ac:dyDescent="0.2">
      <c r="A299" s="123"/>
      <c r="B299" s="123"/>
      <c r="C299" s="318" t="s">
        <v>263</v>
      </c>
    </row>
    <row r="300" spans="1:3" x14ac:dyDescent="0.2">
      <c r="A300" s="187">
        <v>1</v>
      </c>
      <c r="B300" s="124" t="str">
        <f t="shared" ref="B300:B309" si="0">IFERROR(INDEX(H$37:H$73,MATCH(A300&amp;". koht",H$38:H$74,0)),"")</f>
        <v>Andres Veski, Svetlana Veski</v>
      </c>
      <c r="C300" s="188">
        <v>10</v>
      </c>
    </row>
    <row r="301" spans="1:3" x14ac:dyDescent="0.2">
      <c r="A301" s="187">
        <v>2</v>
      </c>
      <c r="B301" s="615" t="str">
        <f t="shared" si="0"/>
        <v>Tõnu Kapper, Vladimir Ogneštšikov</v>
      </c>
      <c r="C301" s="88">
        <f>C300-1</f>
        <v>9</v>
      </c>
    </row>
    <row r="302" spans="1:3" x14ac:dyDescent="0.2">
      <c r="A302" s="187">
        <v>3</v>
      </c>
      <c r="B302" s="616" t="str">
        <f t="shared" si="0"/>
        <v>Einar Juhkam, Kenneth Muusikus</v>
      </c>
      <c r="C302" s="88">
        <f t="shared" ref="C302:C309" si="1">C301-1</f>
        <v>8</v>
      </c>
    </row>
    <row r="303" spans="1:3" x14ac:dyDescent="0.2">
      <c r="A303" s="187">
        <v>4</v>
      </c>
      <c r="B303" s="191" t="str">
        <f t="shared" si="0"/>
        <v>Matti Vinni, Vello Vasser</v>
      </c>
      <c r="C303" s="88">
        <f t="shared" si="1"/>
        <v>7</v>
      </c>
    </row>
    <row r="304" spans="1:3" x14ac:dyDescent="0.2">
      <c r="A304" s="187">
        <v>5</v>
      </c>
      <c r="B304" s="191" t="str">
        <f t="shared" si="0"/>
        <v>Klavdia Piik, Ülo Piik</v>
      </c>
      <c r="C304" s="88">
        <f t="shared" si="1"/>
        <v>6</v>
      </c>
    </row>
    <row r="305" spans="1:3" x14ac:dyDescent="0.2">
      <c r="A305" s="187">
        <v>6</v>
      </c>
      <c r="B305" s="191" t="str">
        <f t="shared" si="0"/>
        <v>Illar Tõnurist, Kati Tuzberg</v>
      </c>
      <c r="C305" s="88">
        <f t="shared" si="1"/>
        <v>5</v>
      </c>
    </row>
    <row r="306" spans="1:3" x14ac:dyDescent="0.2">
      <c r="A306" s="187">
        <v>7</v>
      </c>
      <c r="B306" s="191" t="str">
        <f t="shared" si="0"/>
        <v>Karla Purgats, Tõnu Piik</v>
      </c>
      <c r="C306" s="88">
        <f t="shared" si="1"/>
        <v>4</v>
      </c>
    </row>
    <row r="307" spans="1:3" x14ac:dyDescent="0.2">
      <c r="A307" s="187">
        <v>8</v>
      </c>
      <c r="B307" s="191" t="str">
        <f t="shared" si="0"/>
        <v>Henri Müür, Johannes Neiland, Oleg Rõndenkov</v>
      </c>
      <c r="C307" s="88">
        <f t="shared" si="1"/>
        <v>3</v>
      </c>
    </row>
    <row r="308" spans="1:3" x14ac:dyDescent="0.2">
      <c r="A308" s="187">
        <v>9</v>
      </c>
      <c r="B308" s="191" t="str">
        <f t="shared" si="0"/>
        <v>Enn Tokman, Tarmo Bombe</v>
      </c>
      <c r="C308" s="88">
        <f t="shared" si="1"/>
        <v>2</v>
      </c>
    </row>
    <row r="309" spans="1:3" x14ac:dyDescent="0.2">
      <c r="A309" s="187">
        <v>10</v>
      </c>
      <c r="B309" s="191" t="str">
        <f t="shared" si="0"/>
        <v>Peep Peenema, Väino Aul</v>
      </c>
      <c r="C309" s="88">
        <f t="shared" si="1"/>
        <v>1</v>
      </c>
    </row>
  </sheetData>
  <conditionalFormatting sqref="B303:B309">
    <cfRule type="containsBlanks" dxfId="1621" priority="28">
      <formula>LEN(TRIM(B303))=0</formula>
    </cfRule>
    <cfRule type="duplicateValues" dxfId="1620" priority="29"/>
  </conditionalFormatting>
  <conditionalFormatting sqref="E61 E63 E65 E67 G62 G66 G69 G71">
    <cfRule type="containsBlanks" dxfId="1619" priority="8">
      <formula>LEN(TRIM(E61))=0</formula>
    </cfRule>
  </conditionalFormatting>
  <conditionalFormatting sqref="C30 C32">
    <cfRule type="aboveAverage" dxfId="1618" priority="25"/>
  </conditionalFormatting>
  <conditionalFormatting sqref="C34 C36">
    <cfRule type="aboveAverage" dxfId="1617" priority="24"/>
  </conditionalFormatting>
  <conditionalFormatting sqref="E31 E35">
    <cfRule type="aboveAverage" dxfId="1616" priority="23"/>
  </conditionalFormatting>
  <conditionalFormatting sqref="C38 C40">
    <cfRule type="aboveAverage" dxfId="1615" priority="22"/>
  </conditionalFormatting>
  <conditionalFormatting sqref="C42 C44">
    <cfRule type="aboveAverage" dxfId="1614" priority="21"/>
  </conditionalFormatting>
  <conditionalFormatting sqref="E39 E43">
    <cfRule type="aboveAverage" dxfId="1613" priority="20"/>
  </conditionalFormatting>
  <conditionalFormatting sqref="G33 G41">
    <cfRule type="aboveAverage" dxfId="1612" priority="19"/>
  </conditionalFormatting>
  <conditionalFormatting sqref="G45 G47">
    <cfRule type="aboveAverage" dxfId="1611" priority="18"/>
  </conditionalFormatting>
  <conditionalFormatting sqref="C30 C32 C34 C36 C38 C40 C42 C44 E31 E35 E39 E43 G33 G41 G45 G47">
    <cfRule type="containsBlanks" dxfId="1610" priority="17">
      <formula>LEN(TRIM(C30))=0</formula>
    </cfRule>
  </conditionalFormatting>
  <conditionalFormatting sqref="E50 E52">
    <cfRule type="aboveAverage" dxfId="1609" priority="16"/>
  </conditionalFormatting>
  <conditionalFormatting sqref="E54 E56">
    <cfRule type="aboveAverage" dxfId="1608" priority="15"/>
  </conditionalFormatting>
  <conditionalFormatting sqref="G51 G55">
    <cfRule type="aboveAverage" dxfId="1607" priority="14"/>
  </conditionalFormatting>
  <conditionalFormatting sqref="E50 E52 E54 E56 G51 G55">
    <cfRule type="containsBlanks" dxfId="1606" priority="13">
      <formula>LEN(TRIM(E50))=0</formula>
    </cfRule>
  </conditionalFormatting>
  <conditionalFormatting sqref="E61 E63">
    <cfRule type="aboveAverage" dxfId="1605" priority="12"/>
  </conditionalFormatting>
  <conditionalFormatting sqref="E65 E67">
    <cfRule type="aboveAverage" dxfId="1604" priority="11"/>
  </conditionalFormatting>
  <conditionalFormatting sqref="G62 G66">
    <cfRule type="aboveAverage" dxfId="1603" priority="10"/>
  </conditionalFormatting>
  <conditionalFormatting sqref="G69 G71">
    <cfRule type="aboveAverage" dxfId="1602" priority="9"/>
  </conditionalFormatting>
  <conditionalFormatting sqref="A30:A44">
    <cfRule type="cellIs" dxfId="1601" priority="6" operator="equal">
      <formula>"-"</formula>
    </cfRule>
    <cfRule type="duplicateValues" dxfId="1600" priority="7"/>
  </conditionalFormatting>
  <conditionalFormatting sqref="B61:B67">
    <cfRule type="cellIs" dxfId="1599" priority="4" operator="equal">
      <formula>"-"</formula>
    </cfRule>
    <cfRule type="duplicateValues" dxfId="1598" priority="5"/>
  </conditionalFormatting>
  <conditionalFormatting sqref="C7:F22">
    <cfRule type="cellIs" dxfId="1597" priority="3" operator="equal">
      <formula>13</formula>
    </cfRule>
  </conditionalFormatting>
  <conditionalFormatting sqref="B300:B302">
    <cfRule type="containsBlanks" dxfId="1596" priority="1">
      <formula>LEN(TRIM(B300))=0</formula>
    </cfRule>
    <cfRule type="duplicateValues" dxfId="1595" priority="2"/>
  </conditionalFormatting>
  <pageMargins left="0.78740157480314965" right="0.39370078740157483" top="0.78740157480314965" bottom="0.39370078740157483" header="0.59055118110236227" footer="0"/>
  <pageSetup paperSize="9" fitToHeight="0" orientation="landscape" horizontalDpi="1200" verticalDpi="1200" r:id="rId1"/>
  <headerFooter alignWithMargins="0">
    <oddHeader>&amp;R&amp;"Arial,Regular"&amp;9Page &amp;P of &amp;N</oddHeader>
  </headerFooter>
  <rowBreaks count="2" manualBreakCount="2">
    <brk id="26" max="16383" man="1"/>
    <brk id="57" max="16383" man="1"/>
  </rowBreaks>
  <ignoredErrors>
    <ignoredError sqref="I19:I22" numberStoredAsText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pageSetUpPr fitToPage="1"/>
  </sheetPr>
  <dimension ref="A1:J310"/>
  <sheetViews>
    <sheetView showGridLines="0" showRowColHeaders="0" zoomScaleNormal="100" workbookViewId="0">
      <pane ySplit="2" topLeftCell="A69" activePane="bottomLeft" state="frozen"/>
      <selection activeCell="P2" sqref="P2"/>
      <selection pane="bottomLeft" activeCell="H1" sqref="H1"/>
    </sheetView>
  </sheetViews>
  <sheetFormatPr defaultRowHeight="12.75" x14ac:dyDescent="0.2"/>
  <cols>
    <col min="1" max="1" width="3.28515625" style="88" customWidth="1"/>
    <col min="2" max="2" width="50.140625" style="87" customWidth="1"/>
    <col min="3" max="9" width="6.5703125" style="88" customWidth="1"/>
    <col min="10" max="16384" width="9.140625" style="88"/>
  </cols>
  <sheetData>
    <row r="1" spans="1:10" x14ac:dyDescent="0.2">
      <c r="A1" s="86" t="str">
        <f>UPPER((Kalend!E8)&amp;" - "&amp;(Kalend!C8)&amp;" - "&amp;(Kalend!D8))</f>
        <v>V3 - VOKA 1. SISE-KV 3. ETAPP - DUO</v>
      </c>
      <c r="D1" s="51" t="str">
        <f>HYPERLINK("#'Kalend'!I1","Kalender")</f>
        <v>Kalender</v>
      </c>
      <c r="E1" s="186"/>
      <c r="F1" s="51" t="str">
        <f>HYPERLINK("#'V'!AE1","Reiting")</f>
        <v>Reiting</v>
      </c>
    </row>
    <row r="2" spans="1:10" s="186" customFormat="1" x14ac:dyDescent="0.2">
      <c r="A2" s="186" t="str">
        <f>"Toimumisaeg: "&amp;(Kalend!A8)&amp;" kell "&amp;(Kalend!B8)</f>
        <v>Toimumisaeg: L, 11.11.2017 kell 11:00</v>
      </c>
    </row>
    <row r="3" spans="1:10" s="186" customFormat="1" x14ac:dyDescent="0.2">
      <c r="A3" s="186" t="str">
        <f>"Toimumiskoht: "&amp;(Kalend!F8)</f>
        <v>Toimumiskoht: Voka petangihall</v>
      </c>
    </row>
    <row r="4" spans="1:10" s="186" customFormat="1" x14ac:dyDescent="0.2">
      <c r="A4" s="186" t="str">
        <f>"Korraldaja: "&amp;(Kalend!G8)</f>
        <v>Korraldaja: Johannes Neiland</v>
      </c>
      <c r="C4" s="173" t="s">
        <v>283</v>
      </c>
    </row>
    <row r="5" spans="1:10" s="188" customFormat="1" x14ac:dyDescent="0.2">
      <c r="A5" s="121"/>
      <c r="B5" s="99"/>
      <c r="C5" s="96"/>
      <c r="D5" s="312"/>
      <c r="E5" s="96"/>
      <c r="F5" s="97"/>
      <c r="G5" s="98"/>
    </row>
    <row r="6" spans="1:10" s="186" customFormat="1" x14ac:dyDescent="0.2">
      <c r="A6" s="126" t="s">
        <v>66</v>
      </c>
      <c r="B6" s="126"/>
      <c r="C6" s="91">
        <v>1</v>
      </c>
      <c r="D6" s="91">
        <v>2</v>
      </c>
      <c r="E6" s="91">
        <v>3</v>
      </c>
      <c r="F6" s="91">
        <v>4</v>
      </c>
      <c r="G6" s="91" t="s">
        <v>73</v>
      </c>
      <c r="H6" s="91" t="s">
        <v>21</v>
      </c>
      <c r="J6" s="188"/>
    </row>
    <row r="7" spans="1:10" s="186" customFormat="1" x14ac:dyDescent="0.2">
      <c r="A7" s="126">
        <v>1</v>
      </c>
      <c r="B7" s="308"/>
      <c r="C7" s="127"/>
      <c r="D7" s="93"/>
      <c r="E7" s="93"/>
      <c r="F7" s="93"/>
      <c r="G7" s="132"/>
      <c r="H7" s="131"/>
      <c r="J7" s="188"/>
    </row>
    <row r="8" spans="1:10" s="186" customFormat="1" x14ac:dyDescent="0.2">
      <c r="A8" s="126">
        <v>2</v>
      </c>
      <c r="B8" s="164"/>
      <c r="C8" s="128"/>
      <c r="D8" s="127"/>
      <c r="E8" s="93"/>
      <c r="F8" s="93"/>
      <c r="G8" s="132"/>
      <c r="H8" s="131"/>
    </row>
    <row r="9" spans="1:10" s="186" customFormat="1" x14ac:dyDescent="0.2">
      <c r="A9" s="126">
        <v>3</v>
      </c>
      <c r="B9" s="164"/>
      <c r="C9" s="93"/>
      <c r="D9" s="311"/>
      <c r="E9" s="127"/>
      <c r="F9" s="93"/>
      <c r="G9" s="132"/>
      <c r="H9" s="131"/>
    </row>
    <row r="10" spans="1:10" s="186" customFormat="1" x14ac:dyDescent="0.2">
      <c r="A10" s="126">
        <v>4</v>
      </c>
      <c r="B10" s="164"/>
      <c r="C10" s="93"/>
      <c r="D10" s="93"/>
      <c r="E10" s="93"/>
      <c r="F10" s="127"/>
      <c r="G10" s="132"/>
      <c r="H10" s="131"/>
    </row>
    <row r="11" spans="1:10" s="186" customFormat="1" x14ac:dyDescent="0.2">
      <c r="A11" s="87"/>
      <c r="B11" s="413" t="s">
        <v>70</v>
      </c>
      <c r="C11" s="309"/>
      <c r="D11" s="309"/>
      <c r="E11" s="309"/>
      <c r="F11" s="310"/>
      <c r="G11" s="309"/>
      <c r="H11" s="420" t="s">
        <v>70</v>
      </c>
    </row>
    <row r="12" spans="1:10" s="188" customFormat="1" x14ac:dyDescent="0.2">
      <c r="A12" s="126" t="s">
        <v>90</v>
      </c>
      <c r="B12" s="126"/>
      <c r="C12" s="91">
        <v>1</v>
      </c>
      <c r="D12" s="91">
        <v>2</v>
      </c>
      <c r="E12" s="91">
        <v>3</v>
      </c>
      <c r="F12" s="91">
        <v>4</v>
      </c>
      <c r="G12" s="91" t="s">
        <v>73</v>
      </c>
      <c r="H12" s="91" t="s">
        <v>21</v>
      </c>
    </row>
    <row r="13" spans="1:10" s="188" customFormat="1" x14ac:dyDescent="0.2">
      <c r="A13" s="126">
        <v>1</v>
      </c>
      <c r="B13" s="308"/>
      <c r="C13" s="127"/>
      <c r="D13" s="93"/>
      <c r="E13" s="93"/>
      <c r="F13" s="93"/>
      <c r="G13" s="132"/>
      <c r="H13" s="131"/>
    </row>
    <row r="14" spans="1:10" s="188" customFormat="1" x14ac:dyDescent="0.2">
      <c r="A14" s="126">
        <v>2</v>
      </c>
      <c r="B14" s="164"/>
      <c r="C14" s="128"/>
      <c r="D14" s="127"/>
      <c r="E14" s="93"/>
      <c r="F14" s="93"/>
      <c r="G14" s="132"/>
      <c r="H14" s="131"/>
    </row>
    <row r="15" spans="1:10" s="188" customFormat="1" x14ac:dyDescent="0.2">
      <c r="A15" s="126">
        <v>3</v>
      </c>
      <c r="B15" s="164"/>
      <c r="C15" s="93"/>
      <c r="D15" s="311"/>
      <c r="E15" s="127"/>
      <c r="F15" s="93"/>
      <c r="G15" s="132"/>
      <c r="H15" s="131"/>
    </row>
    <row r="16" spans="1:10" s="188" customFormat="1" x14ac:dyDescent="0.2">
      <c r="A16" s="126">
        <v>4</v>
      </c>
      <c r="B16" s="164"/>
      <c r="C16" s="93"/>
      <c r="D16" s="93"/>
      <c r="E16" s="93"/>
      <c r="F16" s="127"/>
      <c r="G16" s="132"/>
      <c r="H16" s="131"/>
    </row>
    <row r="17" spans="1:9" s="186" customFormat="1" x14ac:dyDescent="0.2"/>
    <row r="18" spans="1:9" s="188" customFormat="1" x14ac:dyDescent="0.2">
      <c r="A18" s="126" t="s">
        <v>166</v>
      </c>
      <c r="B18" s="126"/>
      <c r="C18" s="91">
        <v>1</v>
      </c>
      <c r="D18" s="91">
        <v>2</v>
      </c>
      <c r="E18" s="91">
        <v>3</v>
      </c>
      <c r="F18" s="91">
        <v>4</v>
      </c>
      <c r="G18" s="91" t="s">
        <v>73</v>
      </c>
      <c r="H18" s="91" t="s">
        <v>21</v>
      </c>
    </row>
    <row r="19" spans="1:9" s="188" customFormat="1" x14ac:dyDescent="0.2">
      <c r="A19" s="126">
        <v>1</v>
      </c>
      <c r="B19" s="308"/>
      <c r="C19" s="127"/>
      <c r="D19" s="93"/>
      <c r="E19" s="93"/>
      <c r="F19" s="93"/>
      <c r="G19" s="132"/>
      <c r="H19" s="131"/>
      <c r="I19" s="192"/>
    </row>
    <row r="20" spans="1:9" s="188" customFormat="1" x14ac:dyDescent="0.2">
      <c r="A20" s="126">
        <v>2</v>
      </c>
      <c r="B20" s="164"/>
      <c r="C20" s="128"/>
      <c r="D20" s="127"/>
      <c r="E20" s="93"/>
      <c r="F20" s="93"/>
      <c r="G20" s="132"/>
      <c r="H20" s="131"/>
    </row>
    <row r="21" spans="1:9" s="188" customFormat="1" x14ac:dyDescent="0.2">
      <c r="A21" s="126">
        <v>3</v>
      </c>
      <c r="B21" s="164"/>
      <c r="C21" s="93"/>
      <c r="D21" s="311"/>
      <c r="E21" s="127"/>
      <c r="F21" s="93"/>
      <c r="G21" s="132"/>
      <c r="H21" s="131"/>
      <c r="I21" s="192"/>
    </row>
    <row r="22" spans="1:9" s="188" customFormat="1" x14ac:dyDescent="0.2">
      <c r="A22" s="126">
        <v>4</v>
      </c>
      <c r="B22" s="164"/>
      <c r="C22" s="93"/>
      <c r="D22" s="93"/>
      <c r="E22" s="93"/>
      <c r="F22" s="127"/>
      <c r="G22" s="132"/>
      <c r="H22" s="131"/>
      <c r="I22" s="192"/>
    </row>
    <row r="23" spans="1:9" s="188" customFormat="1" x14ac:dyDescent="0.2">
      <c r="A23" s="314"/>
      <c r="B23" s="314"/>
      <c r="C23" s="314"/>
      <c r="D23" s="314"/>
      <c r="E23" s="314"/>
      <c r="F23" s="314"/>
      <c r="G23" s="314"/>
    </row>
    <row r="24" spans="1:9" s="188" customFormat="1" x14ac:dyDescent="0.2">
      <c r="A24" s="314"/>
      <c r="B24" s="213" t="s">
        <v>98</v>
      </c>
      <c r="C24" s="98" t="s">
        <v>99</v>
      </c>
      <c r="D24" s="98" t="s">
        <v>100</v>
      </c>
      <c r="E24" s="314"/>
      <c r="F24" s="314"/>
      <c r="G24" s="314"/>
    </row>
    <row r="25" spans="1:9" s="188" customFormat="1" x14ac:dyDescent="0.2">
      <c r="A25" s="314"/>
      <c r="B25" s="213" t="s">
        <v>101</v>
      </c>
      <c r="C25" s="98" t="s">
        <v>102</v>
      </c>
      <c r="D25" s="98" t="s">
        <v>103</v>
      </c>
      <c r="E25" s="314"/>
      <c r="F25" s="314"/>
      <c r="G25" s="314"/>
    </row>
    <row r="26" spans="1:9" s="188" customFormat="1" x14ac:dyDescent="0.2">
      <c r="A26" s="314"/>
      <c r="B26" s="213" t="s">
        <v>104</v>
      </c>
      <c r="C26" s="98" t="s">
        <v>92</v>
      </c>
      <c r="D26" s="98" t="s">
        <v>105</v>
      </c>
      <c r="E26" s="314"/>
      <c r="F26" s="314"/>
      <c r="G26" s="314"/>
    </row>
    <row r="27" spans="1:9" s="188" customFormat="1" x14ac:dyDescent="0.2"/>
    <row r="28" spans="1:9" s="349" customFormat="1" x14ac:dyDescent="0.2">
      <c r="A28" s="348" t="s">
        <v>72</v>
      </c>
    </row>
    <row r="29" spans="1:9" s="349" customFormat="1" x14ac:dyDescent="0.2">
      <c r="A29" s="348"/>
    </row>
    <row r="30" spans="1:9" s="349" customFormat="1" x14ac:dyDescent="0.2">
      <c r="A30" s="350"/>
      <c r="B30" s="351"/>
      <c r="C30" s="352"/>
    </row>
    <row r="31" spans="1:9" s="349" customFormat="1" x14ac:dyDescent="0.2">
      <c r="A31" s="353"/>
      <c r="B31" s="354"/>
      <c r="C31" s="351"/>
      <c r="E31" s="352"/>
    </row>
    <row r="32" spans="1:9" s="349" customFormat="1" x14ac:dyDescent="0.2">
      <c r="A32" s="350"/>
      <c r="B32" s="355"/>
      <c r="C32" s="356"/>
      <c r="D32" s="354"/>
    </row>
    <row r="33" spans="1:9" s="349" customFormat="1" x14ac:dyDescent="0.2">
      <c r="A33" s="353"/>
      <c r="C33" s="358"/>
      <c r="D33" s="359"/>
      <c r="G33" s="352"/>
    </row>
    <row r="34" spans="1:9" s="349" customFormat="1" x14ac:dyDescent="0.2">
      <c r="A34" s="350"/>
      <c r="B34" s="360"/>
      <c r="C34" s="361"/>
      <c r="D34" s="359"/>
      <c r="E34" s="357"/>
      <c r="F34" s="354"/>
    </row>
    <row r="35" spans="1:9" s="349" customFormat="1" x14ac:dyDescent="0.2">
      <c r="A35" s="353"/>
      <c r="B35" s="357"/>
      <c r="C35" s="362"/>
      <c r="D35" s="364"/>
      <c r="E35" s="361"/>
      <c r="F35" s="359"/>
    </row>
    <row r="36" spans="1:9" s="349" customFormat="1" x14ac:dyDescent="0.2">
      <c r="A36" s="350"/>
      <c r="B36" s="355"/>
      <c r="C36" s="365"/>
      <c r="E36" s="358"/>
      <c r="F36" s="359"/>
    </row>
    <row r="37" spans="1:9" s="349" customFormat="1" ht="13.5" thickBot="1" x14ac:dyDescent="0.25">
      <c r="A37" s="353"/>
      <c r="E37" s="358"/>
      <c r="F37" s="359"/>
    </row>
    <row r="38" spans="1:9" s="349" customFormat="1" x14ac:dyDescent="0.2">
      <c r="A38" s="350"/>
      <c r="B38" s="351"/>
      <c r="C38" s="352"/>
      <c r="E38" s="358"/>
      <c r="F38" s="359"/>
      <c r="G38" s="366"/>
      <c r="H38" s="367" t="s">
        <v>275</v>
      </c>
      <c r="I38" s="368"/>
    </row>
    <row r="39" spans="1:9" s="349" customFormat="1" x14ac:dyDescent="0.2">
      <c r="A39" s="353"/>
      <c r="B39" s="357"/>
      <c r="C39" s="362"/>
      <c r="E39" s="361"/>
      <c r="F39" s="359"/>
    </row>
    <row r="40" spans="1:9" s="349" customFormat="1" ht="13.5" thickBot="1" x14ac:dyDescent="0.25">
      <c r="A40" s="350"/>
      <c r="B40" s="355"/>
      <c r="C40" s="369"/>
      <c r="D40" s="354"/>
      <c r="E40" s="358"/>
      <c r="F40" s="359"/>
      <c r="H40" s="370"/>
      <c r="I40" s="370"/>
    </row>
    <row r="41" spans="1:9" s="349" customFormat="1" x14ac:dyDescent="0.2">
      <c r="A41" s="353"/>
      <c r="C41" s="358"/>
      <c r="D41" s="359"/>
      <c r="E41" s="363"/>
      <c r="F41" s="364"/>
      <c r="G41" s="352"/>
      <c r="H41" s="367" t="s">
        <v>276</v>
      </c>
    </row>
    <row r="42" spans="1:9" s="349" customFormat="1" x14ac:dyDescent="0.2">
      <c r="A42" s="350"/>
      <c r="B42" s="351"/>
      <c r="C42" s="361"/>
      <c r="D42" s="359"/>
    </row>
    <row r="43" spans="1:9" s="349" customFormat="1" x14ac:dyDescent="0.2">
      <c r="A43" s="353"/>
      <c r="B43" s="357"/>
      <c r="C43" s="362"/>
      <c r="D43" s="364"/>
      <c r="E43" s="352"/>
    </row>
    <row r="44" spans="1:9" s="349" customFormat="1" x14ac:dyDescent="0.2">
      <c r="A44" s="350"/>
      <c r="B44" s="371"/>
      <c r="C44" s="365"/>
    </row>
    <row r="45" spans="1:9" s="349" customFormat="1" x14ac:dyDescent="0.2">
      <c r="G45" s="361"/>
      <c r="H45" s="358"/>
      <c r="I45" s="358"/>
    </row>
    <row r="46" spans="1:9" s="349" customFormat="1" ht="13.5" thickBot="1" x14ac:dyDescent="0.25">
      <c r="E46" s="357"/>
      <c r="F46" s="354"/>
      <c r="G46" s="370"/>
      <c r="H46" s="370"/>
      <c r="I46" s="370"/>
    </row>
    <row r="47" spans="1:9" s="349" customFormat="1" x14ac:dyDescent="0.2">
      <c r="E47" s="363"/>
      <c r="F47" s="364"/>
      <c r="G47" s="352"/>
      <c r="H47" s="372" t="s">
        <v>277</v>
      </c>
      <c r="I47" s="358"/>
    </row>
    <row r="48" spans="1:9" s="349" customFormat="1" x14ac:dyDescent="0.2">
      <c r="H48" s="358"/>
      <c r="I48" s="358"/>
    </row>
    <row r="49" spans="1:9" s="349" customFormat="1" ht="13.5" thickBot="1" x14ac:dyDescent="0.25">
      <c r="F49" s="358"/>
      <c r="H49" s="370"/>
      <c r="I49" s="370"/>
    </row>
    <row r="50" spans="1:9" s="349" customFormat="1" x14ac:dyDescent="0.2">
      <c r="C50" s="360"/>
      <c r="E50" s="352"/>
      <c r="H50" s="373" t="s">
        <v>50</v>
      </c>
    </row>
    <row r="51" spans="1:9" s="349" customFormat="1" x14ac:dyDescent="0.2">
      <c r="C51" s="357"/>
      <c r="D51" s="354"/>
      <c r="E51" s="362"/>
      <c r="F51" s="363"/>
      <c r="G51" s="352"/>
    </row>
    <row r="52" spans="1:9" s="349" customFormat="1" x14ac:dyDescent="0.2">
      <c r="C52" s="371"/>
      <c r="D52" s="364"/>
      <c r="E52" s="365"/>
      <c r="F52" s="359"/>
    </row>
    <row r="53" spans="1:9" s="349" customFormat="1" ht="13.5" thickBot="1" x14ac:dyDescent="0.25">
      <c r="E53" s="358"/>
      <c r="F53" s="359"/>
    </row>
    <row r="54" spans="1:9" s="349" customFormat="1" x14ac:dyDescent="0.2">
      <c r="C54" s="351"/>
      <c r="E54" s="361"/>
      <c r="F54" s="359"/>
      <c r="G54" s="366"/>
      <c r="H54" s="367" t="s">
        <v>51</v>
      </c>
      <c r="I54" s="368"/>
    </row>
    <row r="55" spans="1:9" s="349" customFormat="1" x14ac:dyDescent="0.2">
      <c r="C55" s="357"/>
      <c r="D55" s="354"/>
      <c r="E55" s="374"/>
      <c r="F55" s="364"/>
      <c r="G55" s="361"/>
    </row>
    <row r="56" spans="1:9" s="349" customFormat="1" ht="13.5" thickBot="1" x14ac:dyDescent="0.25">
      <c r="C56" s="371"/>
      <c r="D56" s="364"/>
      <c r="E56" s="369"/>
      <c r="G56" s="358"/>
      <c r="H56" s="375"/>
      <c r="I56" s="370"/>
    </row>
    <row r="57" spans="1:9" s="349" customFormat="1" x14ac:dyDescent="0.2">
      <c r="G57" s="358"/>
      <c r="H57" s="367" t="s">
        <v>52</v>
      </c>
      <c r="I57" s="358"/>
    </row>
    <row r="58" spans="1:9" s="349" customFormat="1" x14ac:dyDescent="0.2">
      <c r="H58" s="358"/>
      <c r="I58" s="358"/>
    </row>
    <row r="59" spans="1:9" s="349" customFormat="1" x14ac:dyDescent="0.2">
      <c r="A59" s="182" t="s">
        <v>278</v>
      </c>
      <c r="B59" s="123"/>
      <c r="C59" s="123"/>
      <c r="D59" s="123"/>
      <c r="E59" s="123"/>
      <c r="F59" s="123"/>
      <c r="G59" s="123"/>
      <c r="H59" s="123"/>
      <c r="I59" s="123"/>
    </row>
    <row r="60" spans="1:9" s="349" customFormat="1" x14ac:dyDescent="0.2">
      <c r="A60" s="182"/>
      <c r="B60" s="123"/>
      <c r="C60" s="123"/>
      <c r="D60" s="123"/>
      <c r="E60" s="123"/>
      <c r="F60" s="123"/>
      <c r="G60" s="123"/>
      <c r="H60" s="123"/>
      <c r="I60" s="123"/>
    </row>
    <row r="61" spans="1:9" s="349" customFormat="1" x14ac:dyDescent="0.2">
      <c r="A61" s="123"/>
      <c r="B61" s="183"/>
      <c r="C61" s="410" t="str">
        <f>IFERROR(INDEX(B$7:B$22,MATCH(B61,H$7:H$22,0)),"")</f>
        <v/>
      </c>
      <c r="D61" s="88"/>
      <c r="E61" s="120"/>
      <c r="F61" s="88"/>
      <c r="G61" s="88"/>
      <c r="H61" s="88"/>
      <c r="I61" s="88"/>
    </row>
    <row r="62" spans="1:9" s="349" customFormat="1" x14ac:dyDescent="0.2">
      <c r="A62" s="123"/>
      <c r="B62" s="123"/>
      <c r="C62" s="417"/>
      <c r="D62" s="111"/>
      <c r="E62" s="117"/>
      <c r="F62" s="88"/>
      <c r="G62" s="120"/>
      <c r="H62" s="88"/>
      <c r="I62" s="88"/>
    </row>
    <row r="63" spans="1:9" s="349" customFormat="1" x14ac:dyDescent="0.2">
      <c r="A63" s="123"/>
      <c r="B63" s="183"/>
      <c r="C63" s="418" t="str">
        <f>IFERROR(INDEX(B$7:B$22,MATCH(B63,H$7:H$22,0)),"")</f>
        <v/>
      </c>
      <c r="D63" s="377"/>
      <c r="E63" s="122"/>
      <c r="F63" s="111"/>
      <c r="G63" s="88"/>
      <c r="H63" s="88"/>
      <c r="I63" s="88"/>
    </row>
    <row r="64" spans="1:9" s="349" customFormat="1" ht="13.5" thickBot="1" x14ac:dyDescent="0.25">
      <c r="A64" s="123"/>
      <c r="B64" s="123"/>
      <c r="C64" s="188"/>
      <c r="D64" s="88"/>
      <c r="E64" s="99"/>
      <c r="F64" s="112"/>
      <c r="G64" s="88"/>
      <c r="H64" s="88"/>
      <c r="I64" s="88"/>
    </row>
    <row r="65" spans="1:10" s="349" customFormat="1" x14ac:dyDescent="0.2">
      <c r="A65" s="123"/>
      <c r="B65" s="183"/>
      <c r="C65" s="410" t="str">
        <f>IFERROR(INDEX(B$7:B$22,MATCH(B65,H$7:H$22,0)),"")</f>
        <v/>
      </c>
      <c r="D65" s="88"/>
      <c r="E65" s="113"/>
      <c r="F65" s="112"/>
      <c r="G65" s="378"/>
      <c r="H65" s="379" t="s">
        <v>53</v>
      </c>
      <c r="I65" s="378"/>
    </row>
    <row r="66" spans="1:10" s="349" customFormat="1" x14ac:dyDescent="0.2">
      <c r="A66" s="123"/>
      <c r="B66" s="123"/>
      <c r="C66" s="417"/>
      <c r="D66" s="111"/>
      <c r="E66" s="109"/>
      <c r="F66" s="377"/>
      <c r="G66" s="120"/>
      <c r="H66" s="88"/>
      <c r="I66" s="88"/>
    </row>
    <row r="67" spans="1:10" s="188" customFormat="1" ht="13.5" thickBot="1" x14ac:dyDescent="0.25">
      <c r="A67" s="123"/>
      <c r="B67" s="183"/>
      <c r="C67" s="418" t="str">
        <f>IFERROR(INDEX(B$7:B$22,MATCH(B67,H$7:H$22,0)),"")</f>
        <v/>
      </c>
      <c r="D67" s="377"/>
      <c r="E67" s="110"/>
      <c r="F67" s="99"/>
      <c r="G67" s="88"/>
      <c r="H67" s="99"/>
      <c r="I67" s="119"/>
    </row>
    <row r="68" spans="1:10" s="188" customFormat="1" x14ac:dyDescent="0.2">
      <c r="A68" s="123"/>
      <c r="B68" s="123"/>
      <c r="C68" s="123"/>
      <c r="D68" s="88"/>
      <c r="E68" s="88"/>
      <c r="F68" s="99"/>
      <c r="G68" s="88"/>
      <c r="H68" s="379" t="s">
        <v>54</v>
      </c>
      <c r="I68" s="88"/>
    </row>
    <row r="69" spans="1:10" s="188" customFormat="1" x14ac:dyDescent="0.2">
      <c r="A69" s="123"/>
      <c r="B69" s="123"/>
      <c r="C69" s="123"/>
      <c r="D69" s="99"/>
      <c r="E69" s="88"/>
      <c r="F69" s="88"/>
      <c r="G69" s="113"/>
      <c r="H69" s="88"/>
      <c r="I69" s="88"/>
    </row>
    <row r="70" spans="1:10" s="188" customFormat="1" ht="13.5" thickBot="1" x14ac:dyDescent="0.25">
      <c r="A70" s="123"/>
      <c r="B70" s="123"/>
      <c r="C70" s="123"/>
      <c r="D70" s="99"/>
      <c r="E70" s="108"/>
      <c r="F70" s="111"/>
      <c r="G70" s="119"/>
      <c r="H70" s="119"/>
      <c r="I70" s="119"/>
    </row>
    <row r="71" spans="1:10" s="188" customFormat="1" x14ac:dyDescent="0.2">
      <c r="A71" s="123"/>
      <c r="B71" s="123"/>
      <c r="C71" s="123"/>
      <c r="D71" s="99"/>
      <c r="E71" s="376"/>
      <c r="F71" s="377"/>
      <c r="G71" s="120"/>
      <c r="H71" s="121" t="s">
        <v>55</v>
      </c>
      <c r="I71" s="99"/>
    </row>
    <row r="72" spans="1:10" s="188" customFormat="1" x14ac:dyDescent="0.2">
      <c r="A72" s="123"/>
      <c r="B72" s="123"/>
      <c r="C72" s="123"/>
      <c r="D72" s="99"/>
      <c r="E72" s="99"/>
      <c r="F72" s="88"/>
      <c r="G72" s="88"/>
      <c r="H72" s="99"/>
      <c r="I72" s="99"/>
    </row>
    <row r="73" spans="1:10" s="188" customFormat="1" ht="13.5" thickBot="1" x14ac:dyDescent="0.25">
      <c r="A73" s="123"/>
      <c r="B73" s="123"/>
      <c r="C73" s="123"/>
      <c r="D73" s="99"/>
      <c r="E73" s="99"/>
      <c r="F73" s="99"/>
      <c r="G73" s="88"/>
      <c r="H73" s="184"/>
      <c r="I73" s="119"/>
    </row>
    <row r="74" spans="1:10" s="188" customFormat="1" x14ac:dyDescent="0.2">
      <c r="A74" s="123"/>
      <c r="B74" s="318"/>
      <c r="C74" s="123"/>
      <c r="D74" s="99"/>
      <c r="E74" s="99"/>
      <c r="F74" s="99"/>
      <c r="G74" s="88"/>
      <c r="H74" s="87" t="s">
        <v>56</v>
      </c>
      <c r="I74" s="88"/>
    </row>
    <row r="75" spans="1:10" s="188" customFormat="1" x14ac:dyDescent="0.2">
      <c r="A75" s="123"/>
      <c r="B75" s="318"/>
      <c r="C75" s="123"/>
      <c r="D75" s="99"/>
      <c r="E75" s="99"/>
      <c r="F75" s="99"/>
      <c r="G75" s="88"/>
      <c r="H75" s="87"/>
      <c r="I75" s="88"/>
    </row>
    <row r="76" spans="1:10" s="188" customFormat="1" ht="13.5" thickBot="1" x14ac:dyDescent="0.25">
      <c r="A76" s="123"/>
      <c r="B76" s="318"/>
      <c r="C76" s="123"/>
      <c r="D76" s="99"/>
      <c r="E76" s="99"/>
      <c r="F76" s="99"/>
      <c r="G76" s="107" t="s">
        <v>122</v>
      </c>
      <c r="H76" s="184"/>
      <c r="I76" s="119"/>
    </row>
    <row r="77" spans="1:10" s="188" customFormat="1" x14ac:dyDescent="0.2">
      <c r="A77" s="123"/>
      <c r="B77" s="318"/>
      <c r="C77" s="123"/>
      <c r="D77" s="99"/>
      <c r="E77" s="99"/>
      <c r="F77" s="99"/>
      <c r="G77" s="88"/>
      <c r="H77" s="87" t="s">
        <v>57</v>
      </c>
      <c r="I77" s="88"/>
    </row>
    <row r="78" spans="1:10" s="188" customFormat="1" x14ac:dyDescent="0.2">
      <c r="A78" s="123"/>
      <c r="B78" s="318"/>
      <c r="C78" s="123"/>
      <c r="E78" s="99"/>
      <c r="F78" s="99"/>
      <c r="G78" s="99"/>
      <c r="H78" s="99"/>
      <c r="I78" s="88"/>
      <c r="J78" s="87"/>
    </row>
    <row r="79" spans="1:10" s="188" customFormat="1" hidden="1" x14ac:dyDescent="0.2">
      <c r="A79" s="123"/>
      <c r="B79" s="318"/>
      <c r="C79" s="123"/>
      <c r="E79" s="99"/>
      <c r="F79" s="99"/>
      <c r="G79" s="99"/>
      <c r="H79" s="99"/>
      <c r="I79" s="88"/>
      <c r="J79" s="87"/>
    </row>
    <row r="80" spans="1:10" s="188" customFormat="1" hidden="1" x14ac:dyDescent="0.2">
      <c r="E80" s="99"/>
      <c r="F80" s="99"/>
      <c r="G80" s="99"/>
      <c r="H80" s="99"/>
      <c r="I80" s="88"/>
      <c r="J80" s="87"/>
    </row>
    <row r="81" spans="2:2" s="188" customFormat="1" hidden="1" x14ac:dyDescent="0.2"/>
    <row r="82" spans="2:2" hidden="1" x14ac:dyDescent="0.2">
      <c r="B82" s="88"/>
    </row>
    <row r="83" spans="2:2" hidden="1" x14ac:dyDescent="0.2">
      <c r="B83" s="88"/>
    </row>
    <row r="84" spans="2:2" hidden="1" x14ac:dyDescent="0.2">
      <c r="B84" s="88"/>
    </row>
    <row r="85" spans="2:2" hidden="1" x14ac:dyDescent="0.2">
      <c r="B85" s="88"/>
    </row>
    <row r="86" spans="2:2" hidden="1" x14ac:dyDescent="0.2">
      <c r="B86" s="88"/>
    </row>
    <row r="87" spans="2:2" hidden="1" x14ac:dyDescent="0.2">
      <c r="B87" s="88"/>
    </row>
    <row r="88" spans="2:2" hidden="1" x14ac:dyDescent="0.2">
      <c r="B88" s="88"/>
    </row>
    <row r="89" spans="2:2" hidden="1" x14ac:dyDescent="0.2">
      <c r="B89" s="88"/>
    </row>
    <row r="90" spans="2:2" hidden="1" x14ac:dyDescent="0.2">
      <c r="B90" s="88"/>
    </row>
    <row r="91" spans="2:2" hidden="1" x14ac:dyDescent="0.2">
      <c r="B91" s="88"/>
    </row>
    <row r="92" spans="2:2" hidden="1" x14ac:dyDescent="0.2"/>
    <row r="93" spans="2:2" hidden="1" x14ac:dyDescent="0.2"/>
    <row r="94" spans="2:2" hidden="1" x14ac:dyDescent="0.2"/>
    <row r="95" spans="2:2" hidden="1" x14ac:dyDescent="0.2"/>
    <row r="96" spans="2:2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spans="4:4" hidden="1" x14ac:dyDescent="0.2"/>
    <row r="194" spans="4:4" hidden="1" x14ac:dyDescent="0.2"/>
    <row r="195" spans="4:4" hidden="1" x14ac:dyDescent="0.2"/>
    <row r="196" spans="4:4" hidden="1" x14ac:dyDescent="0.2"/>
    <row r="197" spans="4:4" hidden="1" x14ac:dyDescent="0.2"/>
    <row r="198" spans="4:4" hidden="1" x14ac:dyDescent="0.2"/>
    <row r="199" spans="4:4" hidden="1" x14ac:dyDescent="0.2"/>
    <row r="200" spans="4:4" hidden="1" x14ac:dyDescent="0.2"/>
    <row r="201" spans="4:4" hidden="1" x14ac:dyDescent="0.2">
      <c r="D201" s="99"/>
    </row>
    <row r="202" spans="4:4" hidden="1" x14ac:dyDescent="0.2">
      <c r="D202" s="188"/>
    </row>
    <row r="203" spans="4:4" hidden="1" x14ac:dyDescent="0.2"/>
    <row r="204" spans="4:4" hidden="1" x14ac:dyDescent="0.2"/>
    <row r="205" spans="4:4" hidden="1" x14ac:dyDescent="0.2"/>
    <row r="206" spans="4:4" hidden="1" x14ac:dyDescent="0.2"/>
    <row r="207" spans="4:4" hidden="1" x14ac:dyDescent="0.2"/>
    <row r="208" spans="4:4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spans="1:3" hidden="1" x14ac:dyDescent="0.2"/>
    <row r="290" spans="1:3" hidden="1" x14ac:dyDescent="0.2"/>
    <row r="291" spans="1:3" hidden="1" x14ac:dyDescent="0.2"/>
    <row r="292" spans="1:3" hidden="1" x14ac:dyDescent="0.2"/>
    <row r="293" spans="1:3" hidden="1" x14ac:dyDescent="0.2"/>
    <row r="294" spans="1:3" hidden="1" x14ac:dyDescent="0.2"/>
    <row r="295" spans="1:3" hidden="1" x14ac:dyDescent="0.2"/>
    <row r="296" spans="1:3" hidden="1" x14ac:dyDescent="0.2"/>
    <row r="297" spans="1:3" hidden="1" x14ac:dyDescent="0.2"/>
    <row r="298" spans="1:3" hidden="1" x14ac:dyDescent="0.2"/>
    <row r="299" spans="1:3" x14ac:dyDescent="0.2">
      <c r="A299" s="123"/>
      <c r="B299" s="123"/>
      <c r="C299" s="318" t="s">
        <v>263</v>
      </c>
    </row>
    <row r="300" spans="1:3" x14ac:dyDescent="0.2">
      <c r="A300" s="187">
        <v>1</v>
      </c>
      <c r="B300" s="124" t="s">
        <v>172</v>
      </c>
      <c r="C300" s="188">
        <v>11</v>
      </c>
    </row>
    <row r="301" spans="1:3" x14ac:dyDescent="0.2">
      <c r="A301" s="187">
        <v>2</v>
      </c>
      <c r="B301" s="615" t="s">
        <v>180</v>
      </c>
      <c r="C301" s="88">
        <f>C300-1</f>
        <v>10</v>
      </c>
    </row>
    <row r="302" spans="1:3" x14ac:dyDescent="0.2">
      <c r="A302" s="187">
        <v>3</v>
      </c>
      <c r="B302" s="616" t="s">
        <v>181</v>
      </c>
      <c r="C302" s="88">
        <f t="shared" ref="C302:C310" si="0">C301-1</f>
        <v>9</v>
      </c>
    </row>
    <row r="303" spans="1:3" x14ac:dyDescent="0.2">
      <c r="A303" s="187">
        <v>4</v>
      </c>
      <c r="B303" s="104" t="s">
        <v>216</v>
      </c>
      <c r="C303" s="88">
        <f t="shared" si="0"/>
        <v>8</v>
      </c>
    </row>
    <row r="304" spans="1:3" x14ac:dyDescent="0.2">
      <c r="A304" s="187">
        <v>5</v>
      </c>
      <c r="B304" s="189" t="s">
        <v>217</v>
      </c>
      <c r="C304" s="88">
        <f t="shared" si="0"/>
        <v>7</v>
      </c>
    </row>
    <row r="305" spans="1:3" x14ac:dyDescent="0.2">
      <c r="A305" s="187">
        <v>6</v>
      </c>
      <c r="B305" s="189" t="s">
        <v>130</v>
      </c>
      <c r="C305" s="88">
        <f t="shared" si="0"/>
        <v>6</v>
      </c>
    </row>
    <row r="306" spans="1:3" x14ac:dyDescent="0.2">
      <c r="A306" s="187">
        <v>7</v>
      </c>
      <c r="B306" s="189" t="s">
        <v>165</v>
      </c>
      <c r="C306" s="88">
        <f t="shared" si="0"/>
        <v>5</v>
      </c>
    </row>
    <row r="307" spans="1:3" x14ac:dyDescent="0.2">
      <c r="A307" s="187">
        <v>8</v>
      </c>
      <c r="B307" s="189" t="s">
        <v>219</v>
      </c>
      <c r="C307" s="88">
        <f>C306-1</f>
        <v>4</v>
      </c>
    </row>
    <row r="308" spans="1:3" x14ac:dyDescent="0.2">
      <c r="A308" s="187">
        <v>9</v>
      </c>
      <c r="B308" s="189" t="s">
        <v>215</v>
      </c>
      <c r="C308" s="88">
        <f t="shared" si="0"/>
        <v>3</v>
      </c>
    </row>
    <row r="309" spans="1:3" x14ac:dyDescent="0.2">
      <c r="A309" s="187">
        <v>10</v>
      </c>
      <c r="B309" s="189" t="s">
        <v>218</v>
      </c>
      <c r="C309" s="88">
        <f t="shared" si="0"/>
        <v>2</v>
      </c>
    </row>
    <row r="310" spans="1:3" x14ac:dyDescent="0.2">
      <c r="A310" s="187">
        <v>11</v>
      </c>
      <c r="B310" s="189" t="s">
        <v>168</v>
      </c>
      <c r="C310" s="88">
        <f t="shared" si="0"/>
        <v>1</v>
      </c>
    </row>
  </sheetData>
  <conditionalFormatting sqref="A30:A44">
    <cfRule type="cellIs" dxfId="1594" priority="5" operator="equal">
      <formula>"-"</formula>
    </cfRule>
    <cfRule type="duplicateValues" dxfId="1593" priority="6"/>
  </conditionalFormatting>
  <conditionalFormatting sqref="B61:B67">
    <cfRule type="cellIs" dxfId="1592" priority="3" operator="equal">
      <formula>"-"</formula>
    </cfRule>
    <cfRule type="duplicateValues" dxfId="1591" priority="4"/>
  </conditionalFormatting>
  <conditionalFormatting sqref="B300:B302">
    <cfRule type="containsBlanks" dxfId="1590" priority="1">
      <formula>LEN(TRIM(B300))=0</formula>
    </cfRule>
    <cfRule type="duplicateValues" dxfId="1589" priority="2"/>
  </conditionalFormatting>
  <pageMargins left="0.78740157480314965" right="0.39370078740157483" top="0.78740157480314965" bottom="0.39370078740157483" header="0.59055118110236227" footer="0"/>
  <pageSetup paperSize="9" fitToHeight="0" orientation="landscape" horizontalDpi="1200" verticalDpi="1200" r:id="rId1"/>
  <headerFooter alignWithMargins="0">
    <oddHeader>&amp;R&amp;"Arial,Regular"&amp;9Page &amp;P of &amp;N</oddHeader>
  </headerFooter>
  <rowBreaks count="2" manualBreakCount="2">
    <brk id="26" max="16383" man="1"/>
    <brk id="57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</sheetPr>
  <dimension ref="A1:J318"/>
  <sheetViews>
    <sheetView showGridLines="0" showRowColHeaders="0" zoomScaleNormal="100" workbookViewId="0">
      <pane ySplit="2" topLeftCell="A3" activePane="bottomLeft" state="frozen"/>
      <selection activeCell="P2" sqref="P2"/>
      <selection pane="bottomLeft" activeCell="L1" sqref="L1"/>
    </sheetView>
  </sheetViews>
  <sheetFormatPr defaultRowHeight="12.75" x14ac:dyDescent="0.2"/>
  <cols>
    <col min="1" max="1" width="3.28515625" style="88" customWidth="1"/>
    <col min="2" max="2" width="29.7109375" style="87" customWidth="1"/>
    <col min="3" max="8" width="5.28515625" style="88" customWidth="1"/>
    <col min="9" max="9" width="9.140625" style="88" customWidth="1"/>
    <col min="10" max="16384" width="9.140625" style="88"/>
  </cols>
  <sheetData>
    <row r="1" spans="1:10" x14ac:dyDescent="0.2">
      <c r="A1" s="86" t="str">
        <f>UPPER((Kalend!E12)&amp;" - "&amp;(Kalend!C12)&amp;" - "&amp;(Kalend!D12))</f>
        <v>V4 - VOKA 1. SISE-KV 4. ETAPP - DUO</v>
      </c>
      <c r="F1" s="186"/>
      <c r="H1" s="51" t="str">
        <f>HYPERLINK("#'Kalend'!I1","Kalender")</f>
        <v>Kalender</v>
      </c>
      <c r="I1" s="186"/>
      <c r="J1" s="51" t="str">
        <f>HYPERLINK("#'V'!AE1","Reiting")</f>
        <v>Reiting</v>
      </c>
    </row>
    <row r="2" spans="1:10" s="186" customFormat="1" x14ac:dyDescent="0.2">
      <c r="A2" s="186" t="str">
        <f>"Toimumisaeg: "&amp;(Kalend!A12)&amp;" kell "&amp;(Kalend!B12)</f>
        <v>Toimumisaeg: L, 02.12.2017 kell 11:00</v>
      </c>
    </row>
    <row r="3" spans="1:10" s="186" customFormat="1" x14ac:dyDescent="0.2">
      <c r="A3" s="186" t="str">
        <f>"Toimumiskoht: "&amp;(Kalend!F12)</f>
        <v>Toimumiskoht: Voka petangihall</v>
      </c>
    </row>
    <row r="4" spans="1:10" s="186" customFormat="1" x14ac:dyDescent="0.2">
      <c r="A4" s="186" t="str">
        <f>"Korraldaja: "&amp;(Kalend!G12)</f>
        <v>Korraldaja: Johannes Neiland</v>
      </c>
    </row>
    <row r="5" spans="1:10" s="188" customFormat="1" x14ac:dyDescent="0.2">
      <c r="A5" s="121"/>
      <c r="B5" s="99"/>
      <c r="C5" s="96"/>
      <c r="D5" s="312"/>
      <c r="E5" s="96"/>
      <c r="F5" s="97"/>
      <c r="G5" s="98"/>
    </row>
    <row r="6" spans="1:10" s="186" customFormat="1" x14ac:dyDescent="0.2">
      <c r="A6" s="126" t="s">
        <v>66</v>
      </c>
      <c r="B6" s="126"/>
      <c r="C6" s="91">
        <v>1</v>
      </c>
      <c r="D6" s="91">
        <v>2</v>
      </c>
      <c r="E6" s="91">
        <v>3</v>
      </c>
      <c r="F6" s="91" t="s">
        <v>73</v>
      </c>
      <c r="G6" s="91" t="s">
        <v>21</v>
      </c>
      <c r="J6" s="188"/>
    </row>
    <row r="7" spans="1:10" s="186" customFormat="1" x14ac:dyDescent="0.2">
      <c r="A7" s="126">
        <v>1</v>
      </c>
      <c r="B7" s="189" t="s">
        <v>262</v>
      </c>
      <c r="C7" s="127"/>
      <c r="D7" s="128">
        <v>10</v>
      </c>
      <c r="E7" s="128">
        <v>10</v>
      </c>
      <c r="F7" s="132" t="s">
        <v>78</v>
      </c>
      <c r="G7" s="131" t="s">
        <v>93</v>
      </c>
      <c r="H7" s="315"/>
      <c r="J7" s="188"/>
    </row>
    <row r="8" spans="1:10" s="186" customFormat="1" x14ac:dyDescent="0.2">
      <c r="A8" s="126">
        <v>2</v>
      </c>
      <c r="B8" s="189" t="s">
        <v>261</v>
      </c>
      <c r="C8" s="128">
        <v>13</v>
      </c>
      <c r="D8" s="127"/>
      <c r="E8" s="128">
        <v>7</v>
      </c>
      <c r="F8" s="132" t="s">
        <v>74</v>
      </c>
      <c r="G8" s="131" t="s">
        <v>76</v>
      </c>
      <c r="H8" s="315"/>
    </row>
    <row r="9" spans="1:10" s="186" customFormat="1" x14ac:dyDescent="0.2">
      <c r="A9" s="126">
        <v>3</v>
      </c>
      <c r="B9" s="189" t="s">
        <v>259</v>
      </c>
      <c r="C9" s="128">
        <v>13</v>
      </c>
      <c r="D9" s="128">
        <v>13</v>
      </c>
      <c r="E9" s="127"/>
      <c r="F9" s="132" t="s">
        <v>77</v>
      </c>
      <c r="G9" s="131" t="s">
        <v>84</v>
      </c>
      <c r="H9" s="315"/>
    </row>
    <row r="10" spans="1:10" s="186" customFormat="1" hidden="1" x14ac:dyDescent="0.2">
      <c r="A10" s="126"/>
      <c r="B10" s="189"/>
      <c r="C10" s="128"/>
      <c r="D10" s="128"/>
      <c r="E10" s="93"/>
      <c r="F10" s="132"/>
      <c r="G10" s="131"/>
      <c r="H10" s="315"/>
    </row>
    <row r="11" spans="1:10" s="186" customFormat="1" x14ac:dyDescent="0.2">
      <c r="A11" s="87"/>
      <c r="B11" s="413" t="s">
        <v>70</v>
      </c>
      <c r="C11" s="309"/>
      <c r="D11" s="309"/>
      <c r="E11" s="309"/>
      <c r="F11" s="310"/>
      <c r="G11" s="412" t="s">
        <v>70</v>
      </c>
    </row>
    <row r="12" spans="1:10" s="188" customFormat="1" x14ac:dyDescent="0.2">
      <c r="A12" s="126" t="s">
        <v>90</v>
      </c>
      <c r="B12" s="126"/>
      <c r="C12" s="91">
        <v>1</v>
      </c>
      <c r="D12" s="91">
        <v>2</v>
      </c>
      <c r="E12" s="91">
        <v>3</v>
      </c>
      <c r="F12" s="91" t="s">
        <v>73</v>
      </c>
      <c r="G12" s="91" t="s">
        <v>21</v>
      </c>
    </row>
    <row r="13" spans="1:10" s="188" customFormat="1" x14ac:dyDescent="0.2">
      <c r="A13" s="126">
        <v>1</v>
      </c>
      <c r="B13" s="189" t="s">
        <v>260</v>
      </c>
      <c r="C13" s="127"/>
      <c r="D13" s="128">
        <v>1</v>
      </c>
      <c r="E13" s="128">
        <v>13</v>
      </c>
      <c r="F13" s="132" t="s">
        <v>74</v>
      </c>
      <c r="G13" s="131" t="s">
        <v>71</v>
      </c>
    </row>
    <row r="14" spans="1:10" s="188" customFormat="1" x14ac:dyDescent="0.2">
      <c r="A14" s="126">
        <v>2</v>
      </c>
      <c r="B14" s="164" t="s">
        <v>279</v>
      </c>
      <c r="C14" s="128">
        <v>13</v>
      </c>
      <c r="D14" s="127"/>
      <c r="E14" s="128">
        <v>13</v>
      </c>
      <c r="F14" s="132" t="s">
        <v>77</v>
      </c>
      <c r="G14" s="131" t="s">
        <v>86</v>
      </c>
    </row>
    <row r="15" spans="1:10" s="188" customFormat="1" x14ac:dyDescent="0.2">
      <c r="A15" s="126">
        <v>3</v>
      </c>
      <c r="B15" s="189" t="s">
        <v>613</v>
      </c>
      <c r="C15" s="128">
        <v>5</v>
      </c>
      <c r="D15" s="311">
        <v>12</v>
      </c>
      <c r="E15" s="127"/>
      <c r="F15" s="132" t="s">
        <v>78</v>
      </c>
      <c r="G15" s="311" t="s">
        <v>94</v>
      </c>
    </row>
    <row r="16" spans="1:10" s="188" customFormat="1" hidden="1" x14ac:dyDescent="0.2">
      <c r="A16" s="126"/>
      <c r="B16" s="189"/>
      <c r="C16" s="128"/>
      <c r="D16" s="311"/>
      <c r="E16" s="93"/>
      <c r="F16" s="132"/>
      <c r="G16" s="311"/>
    </row>
    <row r="17" spans="1:9" s="186" customFormat="1" x14ac:dyDescent="0.2"/>
    <row r="18" spans="1:9" s="188" customFormat="1" x14ac:dyDescent="0.2">
      <c r="A18" s="126" t="s">
        <v>166</v>
      </c>
      <c r="B18" s="126"/>
      <c r="C18" s="91">
        <v>1</v>
      </c>
      <c r="D18" s="91">
        <v>2</v>
      </c>
      <c r="E18" s="91">
        <v>3</v>
      </c>
      <c r="F18" s="91" t="s">
        <v>73</v>
      </c>
      <c r="G18" s="91" t="s">
        <v>21</v>
      </c>
    </row>
    <row r="19" spans="1:9" s="188" customFormat="1" x14ac:dyDescent="0.2">
      <c r="A19" s="126">
        <v>1</v>
      </c>
      <c r="B19" s="189" t="s">
        <v>172</v>
      </c>
      <c r="C19" s="127"/>
      <c r="D19" s="316">
        <v>6</v>
      </c>
      <c r="E19" s="316">
        <v>13</v>
      </c>
      <c r="F19" s="317" t="s">
        <v>74</v>
      </c>
      <c r="G19" s="131" t="s">
        <v>75</v>
      </c>
      <c r="H19" s="1183" t="s">
        <v>280</v>
      </c>
      <c r="I19" s="431" t="s">
        <v>301</v>
      </c>
    </row>
    <row r="20" spans="1:9" s="188" customFormat="1" x14ac:dyDescent="0.2">
      <c r="A20" s="126">
        <v>2</v>
      </c>
      <c r="B20" s="189" t="s">
        <v>177</v>
      </c>
      <c r="C20" s="316">
        <v>13</v>
      </c>
      <c r="D20" s="127"/>
      <c r="E20" s="316">
        <v>4</v>
      </c>
      <c r="F20" s="317" t="s">
        <v>74</v>
      </c>
      <c r="G20" s="131" t="s">
        <v>118</v>
      </c>
      <c r="H20" s="1183" t="s">
        <v>281</v>
      </c>
      <c r="I20" s="433" t="s">
        <v>302</v>
      </c>
    </row>
    <row r="21" spans="1:9" s="188" customFormat="1" x14ac:dyDescent="0.2">
      <c r="A21" s="126">
        <v>3</v>
      </c>
      <c r="B21" s="164" t="s">
        <v>170</v>
      </c>
      <c r="C21" s="316">
        <v>7</v>
      </c>
      <c r="D21" s="403">
        <v>13</v>
      </c>
      <c r="E21" s="127"/>
      <c r="F21" s="317" t="s">
        <v>74</v>
      </c>
      <c r="G21" s="131" t="s">
        <v>85</v>
      </c>
      <c r="H21" s="1183" t="s">
        <v>121</v>
      </c>
      <c r="I21" s="431" t="s">
        <v>303</v>
      </c>
    </row>
    <row r="22" spans="1:9" s="188" customFormat="1" hidden="1" x14ac:dyDescent="0.2">
      <c r="A22" s="126"/>
      <c r="B22" s="164"/>
      <c r="C22" s="93"/>
      <c r="D22" s="548"/>
      <c r="E22" s="93"/>
      <c r="F22" s="535"/>
      <c r="G22" s="131"/>
      <c r="H22" s="192"/>
      <c r="I22" s="431"/>
    </row>
    <row r="23" spans="1:9" s="188" customFormat="1" x14ac:dyDescent="0.2">
      <c r="A23" s="314"/>
      <c r="B23" s="314"/>
      <c r="C23" s="314"/>
      <c r="D23" s="314"/>
      <c r="E23" s="314"/>
      <c r="F23" s="314"/>
      <c r="G23" s="314"/>
    </row>
    <row r="24" spans="1:9" s="188" customFormat="1" x14ac:dyDescent="0.2">
      <c r="A24" s="314"/>
      <c r="B24" s="213" t="s">
        <v>98</v>
      </c>
      <c r="C24" s="98" t="s">
        <v>100</v>
      </c>
      <c r="E24" s="314"/>
      <c r="F24" s="314"/>
      <c r="G24" s="314"/>
    </row>
    <row r="25" spans="1:9" s="188" customFormat="1" x14ac:dyDescent="0.2">
      <c r="A25" s="314"/>
      <c r="B25" s="213" t="s">
        <v>101</v>
      </c>
      <c r="C25" s="98" t="s">
        <v>102</v>
      </c>
      <c r="D25" s="98"/>
      <c r="E25" s="314"/>
      <c r="F25" s="314"/>
      <c r="G25" s="314"/>
    </row>
    <row r="26" spans="1:9" s="188" customFormat="1" x14ac:dyDescent="0.2">
      <c r="A26" s="314"/>
      <c r="B26" s="213" t="s">
        <v>104</v>
      </c>
      <c r="C26" s="98" t="s">
        <v>92</v>
      </c>
      <c r="D26" s="98"/>
      <c r="E26" s="314"/>
      <c r="F26" s="314"/>
      <c r="G26" s="314"/>
    </row>
    <row r="27" spans="1:9" s="188" customFormat="1" x14ac:dyDescent="0.2"/>
    <row r="28" spans="1:9" s="349" customFormat="1" x14ac:dyDescent="0.2">
      <c r="A28" s="214" t="s">
        <v>72</v>
      </c>
      <c r="B28" s="99"/>
      <c r="C28" s="96"/>
      <c r="D28" s="96"/>
      <c r="E28" s="96"/>
      <c r="F28" s="97"/>
      <c r="G28" s="98"/>
      <c r="H28" s="88"/>
      <c r="I28" s="88"/>
    </row>
    <row r="29" spans="1:9" s="349" customFormat="1" x14ac:dyDescent="0.2">
      <c r="A29" s="88"/>
      <c r="B29" s="88"/>
      <c r="C29" s="88"/>
      <c r="D29" s="88"/>
      <c r="E29" s="88"/>
      <c r="F29" s="88"/>
      <c r="G29" s="88"/>
      <c r="H29" s="88"/>
      <c r="I29" s="88"/>
    </row>
    <row r="30" spans="1:9" s="349" customFormat="1" x14ac:dyDescent="0.2">
      <c r="A30" s="106" t="s">
        <v>86</v>
      </c>
      <c r="B30" s="404" t="str">
        <f>IFERROR(INDEX(B$7:B$25,MATCH(A30,G$7:G$25,0)),"")</f>
        <v>Mait Metsla, Tõnu Piik</v>
      </c>
      <c r="C30" s="120">
        <v>13</v>
      </c>
      <c r="D30" s="88"/>
      <c r="E30" s="88"/>
      <c r="F30" s="88"/>
      <c r="G30" s="88"/>
      <c r="H30" s="88"/>
      <c r="I30" s="88"/>
    </row>
    <row r="31" spans="1:9" s="349" customFormat="1" x14ac:dyDescent="0.2">
      <c r="A31" s="107"/>
      <c r="B31" s="405"/>
      <c r="C31" s="400" t="str">
        <f>IF(COUNT(C30,C32)=2,IF(C30&gt;C32,B30,B32),"")</f>
        <v>Mait Metsla, Tõnu Piik</v>
      </c>
      <c r="D31" s="88"/>
      <c r="E31" s="120">
        <v>13</v>
      </c>
      <c r="F31" s="88"/>
      <c r="G31" s="88"/>
      <c r="H31" s="88"/>
      <c r="I31" s="88"/>
    </row>
    <row r="32" spans="1:9" s="349" customFormat="1" x14ac:dyDescent="0.2">
      <c r="A32" s="107" t="s">
        <v>75</v>
      </c>
      <c r="B32" s="406" t="str">
        <f>IFERROR(INDEX(B$7:B$25,MATCH(A32,G$7:G$25,0)),"")</f>
        <v>Boriss Klubov, Elmo Lageda</v>
      </c>
      <c r="C32" s="110">
        <v>9</v>
      </c>
      <c r="D32" s="111"/>
      <c r="E32" s="88"/>
      <c r="F32" s="88"/>
      <c r="G32" s="88"/>
      <c r="H32" s="88"/>
      <c r="I32" s="88"/>
    </row>
    <row r="33" spans="1:9" s="349" customFormat="1" x14ac:dyDescent="0.2">
      <c r="A33" s="107"/>
      <c r="B33" s="407"/>
      <c r="C33" s="88"/>
      <c r="D33" s="112"/>
      <c r="E33" s="400" t="str">
        <f>IF(COUNT(E31,E35)=2,IF(E31&gt;E35,C31,C35),"")</f>
        <v>Mait Metsla, Tõnu Piik</v>
      </c>
      <c r="F33" s="88"/>
      <c r="G33" s="120">
        <v>2</v>
      </c>
      <c r="H33" s="88"/>
      <c r="I33" s="88"/>
    </row>
    <row r="34" spans="1:9" s="349" customFormat="1" x14ac:dyDescent="0.2">
      <c r="A34" s="107" t="s">
        <v>84</v>
      </c>
      <c r="B34" s="404" t="str">
        <f>IFERROR(INDEX(B$7:B$25,MATCH(A34,G$7:G$25,0)),"")</f>
        <v>Raul Mõtus, Vello Vasser</v>
      </c>
      <c r="C34" s="120">
        <f>IF(B34="-",0,IF(B36="-",13,""))</f>
        <v>13</v>
      </c>
      <c r="D34" s="112"/>
      <c r="E34" s="216"/>
      <c r="F34" s="111"/>
      <c r="G34" s="88"/>
      <c r="H34" s="88"/>
      <c r="I34" s="88"/>
    </row>
    <row r="35" spans="1:9" s="349" customFormat="1" x14ac:dyDescent="0.2">
      <c r="A35" s="107"/>
      <c r="B35" s="405"/>
      <c r="C35" s="400" t="str">
        <f>IF(COUNT(C34,C36)=2,IF(C34&gt;C36,B34,B36),"")</f>
        <v>Raul Mõtus, Vello Vasser</v>
      </c>
      <c r="D35" s="377"/>
      <c r="E35" s="110">
        <v>2</v>
      </c>
      <c r="F35" s="112"/>
      <c r="G35" s="88"/>
      <c r="H35" s="88"/>
      <c r="I35" s="88"/>
    </row>
    <row r="36" spans="1:9" s="349" customFormat="1" x14ac:dyDescent="0.2">
      <c r="A36" s="107" t="s">
        <v>70</v>
      </c>
      <c r="B36" s="406" t="str">
        <f>IFERROR(INDEX(B$7:B$25,MATCH(A36,G$7:G$25,0)),"")</f>
        <v>-</v>
      </c>
      <c r="C36" s="110">
        <f>IF(B36="-",0,IF(B34="-",13,""))</f>
        <v>0</v>
      </c>
      <c r="D36" s="88"/>
      <c r="E36" s="99"/>
      <c r="F36" s="112"/>
      <c r="G36" s="88"/>
      <c r="H36" s="88"/>
      <c r="I36" s="88"/>
    </row>
    <row r="37" spans="1:9" s="349" customFormat="1" ht="13.5" thickBot="1" x14ac:dyDescent="0.25">
      <c r="A37" s="87"/>
      <c r="B37" s="407"/>
      <c r="C37" s="88"/>
      <c r="D37" s="88"/>
      <c r="E37" s="99"/>
      <c r="F37" s="112"/>
      <c r="G37" s="88"/>
      <c r="H37" s="184" t="str">
        <f>IF(COUNT(G33,G41)=2,IF(G33&gt;G41,E33,E41),"")</f>
        <v>Karla Purgats, Lemmit Toomra</v>
      </c>
      <c r="I37" s="88"/>
    </row>
    <row r="38" spans="1:9" s="349" customFormat="1" x14ac:dyDescent="0.2">
      <c r="A38" s="106" t="s">
        <v>85</v>
      </c>
      <c r="B38" s="404" t="str">
        <f>IFERROR(INDEX(B$7:B$25,MATCH(A38,G$7:G$25,0)),"")</f>
        <v>Karla Purgats, Lemmit Toomra</v>
      </c>
      <c r="C38" s="120">
        <f>IF(B38="-",0,IF(B40="-",13,""))</f>
        <v>13</v>
      </c>
      <c r="D38" s="88"/>
      <c r="E38" s="88"/>
      <c r="F38" s="112"/>
      <c r="G38" s="114"/>
      <c r="H38" s="379" t="s">
        <v>275</v>
      </c>
      <c r="I38" s="378"/>
    </row>
    <row r="39" spans="1:9" s="349" customFormat="1" x14ac:dyDescent="0.2">
      <c r="A39" s="107"/>
      <c r="B39" s="405"/>
      <c r="C39" s="400" t="str">
        <f>IF(COUNT(C38,C40)=2,IF(C38&gt;C40,B38,B40),"")</f>
        <v>Karla Purgats, Lemmit Toomra</v>
      </c>
      <c r="D39" s="88"/>
      <c r="E39" s="120">
        <v>13</v>
      </c>
      <c r="F39" s="112"/>
      <c r="G39" s="99"/>
      <c r="H39" s="88"/>
      <c r="I39" s="88"/>
    </row>
    <row r="40" spans="1:9" s="349" customFormat="1" x14ac:dyDescent="0.2">
      <c r="A40" s="107" t="s">
        <v>70</v>
      </c>
      <c r="B40" s="406" t="str">
        <f>IFERROR(INDEX(B$7:B$25,MATCH(A40,G$7:G$25,0)),"")</f>
        <v>-</v>
      </c>
      <c r="C40" s="110">
        <f>IF(B40="-",0,IF(B38="-",13,""))</f>
        <v>0</v>
      </c>
      <c r="D40" s="111"/>
      <c r="E40" s="88"/>
      <c r="F40" s="112"/>
      <c r="G40" s="99"/>
      <c r="H40" s="88"/>
      <c r="I40" s="88"/>
    </row>
    <row r="41" spans="1:9" s="349" customFormat="1" x14ac:dyDescent="0.2">
      <c r="A41" s="107"/>
      <c r="B41" s="407"/>
      <c r="C41" s="88"/>
      <c r="D41" s="112"/>
      <c r="E41" s="400" t="str">
        <f>IF(COUNT(E39,E43)=2,IF(E39&gt;E43,C39,C43),"")</f>
        <v>Karla Purgats, Lemmit Toomra</v>
      </c>
      <c r="F41" s="377"/>
      <c r="G41" s="110">
        <v>13</v>
      </c>
      <c r="H41" s="88"/>
      <c r="I41" s="88"/>
    </row>
    <row r="42" spans="1:9" s="349" customFormat="1" ht="13.5" thickBot="1" x14ac:dyDescent="0.25">
      <c r="A42" s="107" t="s">
        <v>71</v>
      </c>
      <c r="B42" s="404" t="str">
        <f>IFERROR(INDEX(B$7:B$25,MATCH(A42,G$7:G$25,0)),"")</f>
        <v>Johannes Neiland, Kati Tuzberg</v>
      </c>
      <c r="C42" s="120">
        <v>13</v>
      </c>
      <c r="D42" s="112"/>
      <c r="E42" s="216"/>
      <c r="F42" s="99"/>
      <c r="G42" s="99"/>
      <c r="H42" s="184" t="str">
        <f>IF(COUNT(G33,G41)=2,IF(G33&lt;G41,E33,E41),"")</f>
        <v>Mait Metsla, Tõnu Piik</v>
      </c>
      <c r="I42" s="119"/>
    </row>
    <row r="43" spans="1:9" s="349" customFormat="1" x14ac:dyDescent="0.2">
      <c r="A43" s="107"/>
      <c r="B43" s="405"/>
      <c r="C43" s="400" t="str">
        <f>IF(COUNT(C42,C44)=2,IF(C42&gt;C44,B42,B44),"")</f>
        <v>Johannes Neiland, Kati Tuzberg</v>
      </c>
      <c r="D43" s="377"/>
      <c r="E43" s="110">
        <v>5</v>
      </c>
      <c r="F43" s="88"/>
      <c r="G43" s="99"/>
      <c r="H43" s="379" t="s">
        <v>276</v>
      </c>
      <c r="I43" s="99"/>
    </row>
    <row r="44" spans="1:9" s="349" customFormat="1" x14ac:dyDescent="0.2">
      <c r="A44" s="107" t="s">
        <v>76</v>
      </c>
      <c r="B44" s="406" t="str">
        <f>IFERROR(INDEX(B$7:B$25,MATCH(A44,G$7:G$25,0)),"")</f>
        <v>Enn Tokman, Illar Tõnurist</v>
      </c>
      <c r="C44" s="110">
        <v>8</v>
      </c>
      <c r="D44" s="88"/>
      <c r="E44" s="99"/>
      <c r="F44" s="99"/>
      <c r="G44" s="99"/>
      <c r="H44" s="88"/>
      <c r="I44" s="88"/>
    </row>
    <row r="45" spans="1:9" s="349" customFormat="1" x14ac:dyDescent="0.2">
      <c r="A45" s="87"/>
      <c r="B45" s="407"/>
      <c r="C45" s="88"/>
      <c r="D45" s="88"/>
      <c r="E45" s="217" t="str">
        <f>IF(COUNT(E31,E35)=2,IF(E31&lt;E35,C31,C35),"")</f>
        <v>Raul Mõtus, Vello Vasser</v>
      </c>
      <c r="F45" s="88"/>
      <c r="G45" s="120">
        <v>13</v>
      </c>
      <c r="H45" s="88"/>
      <c r="I45" s="88"/>
    </row>
    <row r="46" spans="1:9" s="349" customFormat="1" ht="13.5" thickBot="1" x14ac:dyDescent="0.25">
      <c r="A46" s="88"/>
      <c r="B46" s="88"/>
      <c r="C46" s="88"/>
      <c r="D46" s="88"/>
      <c r="E46" s="231"/>
      <c r="F46" s="111"/>
      <c r="G46" s="119"/>
      <c r="H46" s="184" t="str">
        <f>IF(COUNT(G45,G47)=2,IF(G45&gt;G47,E45,E47),"")</f>
        <v>Raul Mõtus, Vello Vasser</v>
      </c>
      <c r="I46" s="119"/>
    </row>
    <row r="47" spans="1:9" s="349" customFormat="1" x14ac:dyDescent="0.2">
      <c r="A47" s="88"/>
      <c r="B47" s="88"/>
      <c r="C47" s="88"/>
      <c r="D47" s="88"/>
      <c r="E47" s="399" t="str">
        <f>IF(COUNT(E39,E43)=2,IF(E39&lt;E43,C39,C43),"")</f>
        <v>Johannes Neiland, Kati Tuzberg</v>
      </c>
      <c r="F47" s="377"/>
      <c r="G47" s="110">
        <v>12</v>
      </c>
      <c r="H47" s="121" t="s">
        <v>277</v>
      </c>
      <c r="I47" s="99"/>
    </row>
    <row r="48" spans="1:9" s="349" customFormat="1" x14ac:dyDescent="0.2">
      <c r="A48" s="88"/>
      <c r="B48" s="88"/>
      <c r="C48" s="88"/>
      <c r="D48" s="88"/>
      <c r="E48" s="88"/>
      <c r="F48" s="88"/>
      <c r="G48" s="88"/>
      <c r="H48" s="99"/>
      <c r="I48" s="99"/>
    </row>
    <row r="49" spans="1:9" s="349" customFormat="1" ht="13.5" thickBot="1" x14ac:dyDescent="0.25">
      <c r="A49" s="88"/>
      <c r="B49" s="88"/>
      <c r="C49" s="88"/>
      <c r="D49" s="88"/>
      <c r="E49" s="99"/>
      <c r="F49" s="99"/>
      <c r="G49" s="88"/>
      <c r="H49" s="184" t="str">
        <f>IF(COUNT(G45,G47)=2,IF(G45&lt;G47,E45,E47),"")</f>
        <v>Johannes Neiland, Kati Tuzberg</v>
      </c>
      <c r="I49" s="119"/>
    </row>
    <row r="50" spans="1:9" s="349" customFormat="1" x14ac:dyDescent="0.2">
      <c r="A50" s="88"/>
      <c r="B50" s="88"/>
      <c r="C50" s="88"/>
      <c r="D50" s="88"/>
      <c r="E50" s="88"/>
      <c r="F50" s="88"/>
      <c r="G50" s="88"/>
      <c r="H50" s="87" t="s">
        <v>50</v>
      </c>
      <c r="I50" s="88"/>
    </row>
    <row r="51" spans="1:9" s="349" customFormat="1" x14ac:dyDescent="0.2">
      <c r="A51" s="88"/>
      <c r="B51" s="88"/>
      <c r="C51" s="399" t="str">
        <f>IF(COUNT(C30,C32)=2,IF(C30&lt;C32,B30,B32),"")</f>
        <v>Boriss Klubov, Elmo Lageda</v>
      </c>
      <c r="D51" s="88"/>
      <c r="E51" s="120">
        <f>IF(C51="-",0,IF(C53="-",13,""))</f>
        <v>13</v>
      </c>
      <c r="F51" s="120"/>
      <c r="G51" s="120"/>
      <c r="H51" s="88"/>
      <c r="I51" s="88"/>
    </row>
    <row r="52" spans="1:9" s="349" customFormat="1" x14ac:dyDescent="0.2">
      <c r="A52" s="88"/>
      <c r="B52" s="88"/>
      <c r="C52" s="408"/>
      <c r="D52" s="220"/>
      <c r="E52" s="400" t="str">
        <f>IF(COUNT(E51,E53)=2,IF(E51&gt;E53,C51,C53),"")</f>
        <v>Boriss Klubov, Elmo Lageda</v>
      </c>
      <c r="F52" s="88"/>
      <c r="G52" s="120">
        <v>13</v>
      </c>
      <c r="H52" s="88"/>
      <c r="I52" s="88"/>
    </row>
    <row r="53" spans="1:9" s="349" customFormat="1" x14ac:dyDescent="0.2">
      <c r="A53" s="88"/>
      <c r="B53" s="88"/>
      <c r="C53" s="399" t="str">
        <f>IF(COUNT(C34,C36)=2,IF(C34&lt;C36,B34,B36),"")</f>
        <v>-</v>
      </c>
      <c r="D53" s="409"/>
      <c r="E53" s="110">
        <f>IF(C53="-",0,IF(C51="-",13,""))</f>
        <v>0</v>
      </c>
      <c r="F53" s="220"/>
      <c r="G53" s="120"/>
      <c r="H53" s="88"/>
      <c r="I53" s="88"/>
    </row>
    <row r="54" spans="1:9" s="349" customFormat="1" ht="13.5" thickBot="1" x14ac:dyDescent="0.25">
      <c r="A54" s="88"/>
      <c r="B54" s="88"/>
      <c r="C54" s="120"/>
      <c r="D54" s="120"/>
      <c r="E54" s="113"/>
      <c r="F54" s="221"/>
      <c r="G54" s="120"/>
      <c r="H54" s="184" t="str">
        <f>IF(COUNT(G52,G56)=2,IF(G52&gt;G56,E52,E56),"")</f>
        <v>Boriss Klubov, Elmo Lageda</v>
      </c>
      <c r="I54" s="88"/>
    </row>
    <row r="55" spans="1:9" s="349" customFormat="1" x14ac:dyDescent="0.2">
      <c r="A55" s="88"/>
      <c r="B55" s="88"/>
      <c r="C55" s="399" t="str">
        <f>IF(COUNT(C38,C40)=2,IF(C38&lt;C40,B38,B40),"")</f>
        <v>-</v>
      </c>
      <c r="D55" s="120"/>
      <c r="E55" s="120">
        <f>IF(C55="-",0,IF(C57="-",13,""))</f>
        <v>0</v>
      </c>
      <c r="F55" s="221"/>
      <c r="G55" s="222"/>
      <c r="H55" s="379" t="s">
        <v>51</v>
      </c>
      <c r="I55" s="378"/>
    </row>
    <row r="56" spans="1:9" s="349" customFormat="1" x14ac:dyDescent="0.2">
      <c r="A56" s="88"/>
      <c r="B56" s="88"/>
      <c r="C56" s="408"/>
      <c r="D56" s="220"/>
      <c r="E56" s="400" t="str">
        <f>IF(COUNT(E55,E57)=2,IF(E55&gt;E57,C55,C57),"")</f>
        <v>Enn Tokman, Illar Tõnurist</v>
      </c>
      <c r="F56" s="377"/>
      <c r="G56" s="110">
        <v>1</v>
      </c>
      <c r="H56" s="88"/>
      <c r="I56" s="88"/>
    </row>
    <row r="57" spans="1:9" s="349" customFormat="1" ht="13.5" thickBot="1" x14ac:dyDescent="0.25">
      <c r="A57" s="88"/>
      <c r="B57" s="88"/>
      <c r="C57" s="399" t="str">
        <f>IF(COUNT(C42,C44)=2,IF(C42&lt;C44,B42,B44),"")</f>
        <v>Enn Tokman, Illar Tõnurist</v>
      </c>
      <c r="D57" s="409"/>
      <c r="E57" s="110">
        <f>IF(C57="-",0,IF(C55="-",13,""))</f>
        <v>13</v>
      </c>
      <c r="F57" s="120"/>
      <c r="G57" s="113"/>
      <c r="H57" s="184" t="str">
        <f>IF(COUNT(G52,G56)=2,IF(G52&lt;G56,E52,E56),"")</f>
        <v>Enn Tokman, Illar Tõnurist</v>
      </c>
      <c r="I57" s="119"/>
    </row>
    <row r="58" spans="1:9" s="349" customFormat="1" x14ac:dyDescent="0.2">
      <c r="A58" s="88"/>
      <c r="B58" s="88"/>
      <c r="C58" s="120"/>
      <c r="D58" s="120"/>
      <c r="E58" s="120"/>
      <c r="F58" s="120"/>
      <c r="G58" s="113"/>
      <c r="H58" s="379" t="s">
        <v>52</v>
      </c>
      <c r="I58" s="99"/>
    </row>
    <row r="59" spans="1:9" s="349" customFormat="1" x14ac:dyDescent="0.2">
      <c r="A59" s="88"/>
      <c r="B59" s="88"/>
      <c r="C59" s="120"/>
      <c r="D59" s="113"/>
      <c r="E59" s="217" t="str">
        <f>IF(COUNT(E51,E53)=2,IF(E51&lt;E53,C51,C53),"")</f>
        <v>-</v>
      </c>
      <c r="F59" s="88"/>
      <c r="G59" s="120">
        <f>IF(E59="-",0,IF(E61="-",13,""))</f>
        <v>0</v>
      </c>
      <c r="H59" s="99"/>
      <c r="I59" s="99"/>
    </row>
    <row r="60" spans="1:9" s="349" customFormat="1" ht="13.5" thickBot="1" x14ac:dyDescent="0.25">
      <c r="A60" s="88"/>
      <c r="B60" s="88"/>
      <c r="C60" s="120"/>
      <c r="D60" s="113"/>
      <c r="E60" s="231"/>
      <c r="F60" s="111"/>
      <c r="G60" s="119"/>
      <c r="H60" s="184" t="str">
        <f>IF(COUNT(G59,G61)=2,IF(G59&gt;G61,E59,E61),"")</f>
        <v>-</v>
      </c>
      <c r="I60" s="119"/>
    </row>
    <row r="61" spans="1:9" s="349" customFormat="1" x14ac:dyDescent="0.2">
      <c r="A61" s="88"/>
      <c r="B61" s="88"/>
      <c r="C61" s="120"/>
      <c r="D61" s="113"/>
      <c r="E61" s="399" t="str">
        <f>IF(COUNT(E55,E57)=2,IF(E55&lt;E57,C55,C57),"")</f>
        <v>-</v>
      </c>
      <c r="F61" s="377"/>
      <c r="G61" s="110">
        <f>IF(E61="-",0,IF(E59="-",13,""))</f>
        <v>0</v>
      </c>
      <c r="H61" s="121"/>
      <c r="I61" s="99"/>
    </row>
    <row r="62" spans="1:9" s="349" customFormat="1" x14ac:dyDescent="0.2">
      <c r="A62" s="88"/>
      <c r="B62" s="88"/>
      <c r="C62" s="88"/>
      <c r="D62" s="99"/>
      <c r="E62" s="88"/>
      <c r="F62" s="88"/>
      <c r="G62" s="88"/>
      <c r="H62" s="99"/>
      <c r="I62" s="99"/>
    </row>
    <row r="63" spans="1:9" s="349" customFormat="1" ht="13.5" thickBot="1" x14ac:dyDescent="0.25">
      <c r="A63" s="88"/>
      <c r="B63" s="88"/>
      <c r="C63" s="88"/>
      <c r="D63" s="88"/>
      <c r="E63" s="99"/>
      <c r="F63" s="99"/>
      <c r="G63" s="88"/>
      <c r="H63" s="119" t="str">
        <f>IF(COUNT(G59,G61)=2,IF(G59&lt;G61,E59,E61),"")</f>
        <v>-</v>
      </c>
      <c r="I63" s="119"/>
    </row>
    <row r="64" spans="1:9" s="349" customFormat="1" x14ac:dyDescent="0.2">
      <c r="A64" s="95"/>
      <c r="B64" s="410"/>
      <c r="C64" s="97"/>
      <c r="D64" s="97"/>
      <c r="E64" s="97"/>
      <c r="F64" s="97"/>
      <c r="G64" s="402"/>
      <c r="H64" s="188"/>
      <c r="I64" s="188"/>
    </row>
    <row r="65" spans="1:9" s="349" customFormat="1" x14ac:dyDescent="0.2">
      <c r="A65" s="214" t="s">
        <v>87</v>
      </c>
      <c r="B65" s="99"/>
      <c r="C65" s="96"/>
      <c r="D65" s="96"/>
      <c r="E65" s="96"/>
      <c r="F65" s="97"/>
      <c r="G65" s="98"/>
      <c r="H65" s="88"/>
      <c r="I65" s="88"/>
    </row>
    <row r="66" spans="1:9" s="349" customFormat="1" x14ac:dyDescent="0.2">
      <c r="A66" s="88"/>
      <c r="B66" s="88"/>
      <c r="C66" s="88"/>
      <c r="D66" s="88"/>
      <c r="E66" s="88"/>
      <c r="F66" s="88"/>
      <c r="G66" s="88"/>
      <c r="H66" s="88"/>
      <c r="I66" s="88"/>
    </row>
    <row r="67" spans="1:9" s="349" customFormat="1" x14ac:dyDescent="0.2">
      <c r="A67" s="126"/>
      <c r="B67" s="126"/>
      <c r="C67" s="91">
        <v>1</v>
      </c>
      <c r="D67" s="91">
        <v>2</v>
      </c>
      <c r="E67" s="91">
        <v>3</v>
      </c>
      <c r="F67" s="91" t="s">
        <v>73</v>
      </c>
      <c r="G67" s="91" t="s">
        <v>21</v>
      </c>
      <c r="H67" s="88"/>
      <c r="I67" s="88"/>
    </row>
    <row r="68" spans="1:9" s="349" customFormat="1" x14ac:dyDescent="0.2">
      <c r="A68" s="126">
        <v>1</v>
      </c>
      <c r="B68" s="189" t="s">
        <v>262</v>
      </c>
      <c r="C68" s="127"/>
      <c r="D68" s="128">
        <v>3</v>
      </c>
      <c r="E68" s="128">
        <v>4</v>
      </c>
      <c r="F68" s="132" t="s">
        <v>78</v>
      </c>
      <c r="G68" s="131" t="s">
        <v>82</v>
      </c>
      <c r="H68" s="88"/>
      <c r="I68" s="88"/>
    </row>
    <row r="69" spans="1:9" s="349" customFormat="1" x14ac:dyDescent="0.2">
      <c r="A69" s="126">
        <v>2</v>
      </c>
      <c r="B69" s="189" t="s">
        <v>177</v>
      </c>
      <c r="C69" s="128">
        <v>13</v>
      </c>
      <c r="D69" s="127"/>
      <c r="E69" s="128">
        <v>13</v>
      </c>
      <c r="F69" s="132" t="s">
        <v>77</v>
      </c>
      <c r="G69" s="131" t="s">
        <v>80</v>
      </c>
      <c r="H69" s="88"/>
      <c r="I69" s="88"/>
    </row>
    <row r="70" spans="1:9" s="349" customFormat="1" x14ac:dyDescent="0.2">
      <c r="A70" s="126">
        <v>3</v>
      </c>
      <c r="B70" s="189" t="s">
        <v>613</v>
      </c>
      <c r="C70" s="128">
        <v>13</v>
      </c>
      <c r="D70" s="128">
        <v>9</v>
      </c>
      <c r="E70" s="127"/>
      <c r="F70" s="132" t="s">
        <v>74</v>
      </c>
      <c r="G70" s="131" t="s">
        <v>81</v>
      </c>
      <c r="H70" s="88"/>
      <c r="I70" s="88"/>
    </row>
    <row r="71" spans="1:9" s="349" customFormat="1" x14ac:dyDescent="0.2">
      <c r="A71" s="88"/>
      <c r="B71" s="88"/>
      <c r="C71" s="88"/>
      <c r="D71" s="88"/>
      <c r="E71" s="88"/>
      <c r="F71" s="88"/>
      <c r="G71" s="88"/>
      <c r="H71" s="88"/>
      <c r="I71" s="88"/>
    </row>
    <row r="72" spans="1:9" s="349" customFormat="1" ht="13.5" thickBot="1" x14ac:dyDescent="0.25">
      <c r="A72" s="88"/>
      <c r="B72" s="213" t="s">
        <v>98</v>
      </c>
      <c r="C72" s="98" t="s">
        <v>100</v>
      </c>
      <c r="D72" s="88"/>
      <c r="E72" s="88"/>
      <c r="F72" s="88"/>
      <c r="G72" s="88"/>
      <c r="H72" s="184" t="s">
        <v>177</v>
      </c>
      <c r="I72" s="119"/>
    </row>
    <row r="73" spans="1:9" s="349" customFormat="1" x14ac:dyDescent="0.2">
      <c r="A73" s="88"/>
      <c r="B73" s="213" t="s">
        <v>101</v>
      </c>
      <c r="C73" s="98" t="s">
        <v>102</v>
      </c>
      <c r="D73" s="88"/>
      <c r="E73" s="88"/>
      <c r="F73" s="88"/>
      <c r="G73" s="88"/>
      <c r="H73" s="379" t="s">
        <v>53</v>
      </c>
      <c r="I73" s="378"/>
    </row>
    <row r="74" spans="1:9" s="349" customFormat="1" x14ac:dyDescent="0.2">
      <c r="A74" s="87"/>
      <c r="B74" s="213" t="s">
        <v>104</v>
      </c>
      <c r="C74" s="98" t="s">
        <v>92</v>
      </c>
      <c r="D74" s="88"/>
      <c r="E74" s="88"/>
      <c r="F74" s="88"/>
      <c r="G74" s="88"/>
      <c r="H74" s="88"/>
      <c r="I74" s="88"/>
    </row>
    <row r="75" spans="1:9" s="349" customFormat="1" ht="13.5" thickBot="1" x14ac:dyDescent="0.25">
      <c r="A75" s="88"/>
      <c r="B75" s="88"/>
      <c r="C75" s="88"/>
      <c r="D75" s="88"/>
      <c r="E75" s="88"/>
      <c r="F75" s="88"/>
      <c r="G75" s="88"/>
      <c r="H75" s="184" t="s">
        <v>613</v>
      </c>
      <c r="I75" s="119"/>
    </row>
    <row r="76" spans="1:9" s="349" customFormat="1" x14ac:dyDescent="0.2">
      <c r="A76" s="88"/>
      <c r="B76" s="88"/>
      <c r="C76" s="88"/>
      <c r="D76" s="88"/>
      <c r="E76" s="88"/>
      <c r="F76" s="88"/>
      <c r="G76" s="88"/>
      <c r="H76" s="379" t="s">
        <v>54</v>
      </c>
      <c r="I76" s="378"/>
    </row>
    <row r="77" spans="1:9" s="349" customFormat="1" x14ac:dyDescent="0.2">
      <c r="A77" s="88"/>
      <c r="B77" s="88"/>
      <c r="C77" s="88"/>
      <c r="D77" s="88"/>
      <c r="E77" s="88"/>
      <c r="F77" s="88"/>
      <c r="G77" s="88"/>
      <c r="H77" s="88"/>
      <c r="I77" s="88"/>
    </row>
    <row r="78" spans="1:9" s="349" customFormat="1" ht="13.5" thickBot="1" x14ac:dyDescent="0.25">
      <c r="A78" s="88"/>
      <c r="B78" s="88"/>
      <c r="C78" s="88"/>
      <c r="D78" s="88"/>
      <c r="E78" s="88"/>
      <c r="F78" s="88"/>
      <c r="G78" s="88"/>
      <c r="H78" s="184" t="s">
        <v>262</v>
      </c>
      <c r="I78" s="119"/>
    </row>
    <row r="79" spans="1:9" s="349" customFormat="1" x14ac:dyDescent="0.2">
      <c r="A79" s="88"/>
      <c r="B79" s="88"/>
      <c r="C79" s="88"/>
      <c r="D79" s="88"/>
      <c r="E79" s="88"/>
      <c r="F79" s="88"/>
      <c r="G79" s="88"/>
      <c r="H79" s="379" t="s">
        <v>55</v>
      </c>
      <c r="I79" s="378"/>
    </row>
    <row r="80" spans="1:9" s="349" customFormat="1" x14ac:dyDescent="0.2">
      <c r="G80" s="358"/>
      <c r="H80" s="372"/>
      <c r="I80" s="358"/>
    </row>
    <row r="81" spans="7:9" s="349" customFormat="1" hidden="1" x14ac:dyDescent="0.2">
      <c r="G81" s="358"/>
      <c r="H81" s="372"/>
      <c r="I81" s="358"/>
    </row>
    <row r="82" spans="7:9" s="349" customFormat="1" hidden="1" x14ac:dyDescent="0.2">
      <c r="G82" s="358"/>
      <c r="H82" s="372"/>
      <c r="I82" s="358"/>
    </row>
    <row r="83" spans="7:9" s="349" customFormat="1" hidden="1" x14ac:dyDescent="0.2">
      <c r="G83" s="358"/>
      <c r="H83" s="372"/>
      <c r="I83" s="358"/>
    </row>
    <row r="84" spans="7:9" s="349" customFormat="1" hidden="1" x14ac:dyDescent="0.2">
      <c r="G84" s="358"/>
      <c r="H84" s="372"/>
      <c r="I84" s="358"/>
    </row>
    <row r="85" spans="7:9" s="349" customFormat="1" hidden="1" x14ac:dyDescent="0.2">
      <c r="G85" s="358"/>
      <c r="H85" s="372"/>
      <c r="I85" s="358"/>
    </row>
    <row r="86" spans="7:9" s="349" customFormat="1" hidden="1" x14ac:dyDescent="0.2">
      <c r="G86" s="358"/>
      <c r="H86" s="372"/>
      <c r="I86" s="358"/>
    </row>
    <row r="87" spans="7:9" s="349" customFormat="1" hidden="1" x14ac:dyDescent="0.2">
      <c r="G87" s="358"/>
      <c r="H87" s="372"/>
      <c r="I87" s="358"/>
    </row>
    <row r="88" spans="7:9" s="349" customFormat="1" hidden="1" x14ac:dyDescent="0.2">
      <c r="G88" s="358"/>
      <c r="H88" s="372"/>
      <c r="I88" s="358"/>
    </row>
    <row r="89" spans="7:9" s="349" customFormat="1" hidden="1" x14ac:dyDescent="0.2">
      <c r="G89" s="358"/>
      <c r="H89" s="372"/>
      <c r="I89" s="358"/>
    </row>
    <row r="90" spans="7:9" s="349" customFormat="1" hidden="1" x14ac:dyDescent="0.2">
      <c r="G90" s="358"/>
      <c r="H90" s="372"/>
      <c r="I90" s="358"/>
    </row>
    <row r="91" spans="7:9" s="349" customFormat="1" hidden="1" x14ac:dyDescent="0.2">
      <c r="G91" s="358"/>
      <c r="H91" s="372"/>
      <c r="I91" s="358"/>
    </row>
    <row r="92" spans="7:9" s="349" customFormat="1" hidden="1" x14ac:dyDescent="0.2">
      <c r="G92" s="358"/>
      <c r="H92" s="372"/>
      <c r="I92" s="358"/>
    </row>
    <row r="93" spans="7:9" s="349" customFormat="1" hidden="1" x14ac:dyDescent="0.2">
      <c r="G93" s="358"/>
      <c r="H93" s="372"/>
      <c r="I93" s="358"/>
    </row>
    <row r="94" spans="7:9" s="349" customFormat="1" hidden="1" x14ac:dyDescent="0.2">
      <c r="G94" s="358"/>
      <c r="H94" s="372"/>
      <c r="I94" s="358"/>
    </row>
    <row r="95" spans="7:9" s="349" customFormat="1" hidden="1" x14ac:dyDescent="0.2">
      <c r="G95" s="358"/>
      <c r="H95" s="372"/>
      <c r="I95" s="358"/>
    </row>
    <row r="96" spans="7:9" s="349" customFormat="1" hidden="1" x14ac:dyDescent="0.2">
      <c r="G96" s="358"/>
      <c r="H96" s="372"/>
      <c r="I96" s="358"/>
    </row>
    <row r="97" spans="7:9" s="349" customFormat="1" hidden="1" x14ac:dyDescent="0.2">
      <c r="G97" s="358"/>
      <c r="H97" s="372"/>
      <c r="I97" s="358"/>
    </row>
    <row r="98" spans="7:9" s="349" customFormat="1" hidden="1" x14ac:dyDescent="0.2">
      <c r="G98" s="358"/>
      <c r="H98" s="372"/>
      <c r="I98" s="358"/>
    </row>
    <row r="99" spans="7:9" s="349" customFormat="1" hidden="1" x14ac:dyDescent="0.2">
      <c r="G99" s="358"/>
      <c r="H99" s="372"/>
      <c r="I99" s="358"/>
    </row>
    <row r="100" spans="7:9" s="349" customFormat="1" hidden="1" x14ac:dyDescent="0.2">
      <c r="G100" s="358"/>
      <c r="H100" s="372"/>
      <c r="I100" s="358"/>
    </row>
    <row r="101" spans="7:9" s="349" customFormat="1" hidden="1" x14ac:dyDescent="0.2">
      <c r="G101" s="358"/>
      <c r="H101" s="372"/>
      <c r="I101" s="358"/>
    </row>
    <row r="102" spans="7:9" s="349" customFormat="1" hidden="1" x14ac:dyDescent="0.2">
      <c r="G102" s="358"/>
      <c r="H102" s="372"/>
      <c r="I102" s="358"/>
    </row>
    <row r="103" spans="7:9" s="349" customFormat="1" hidden="1" x14ac:dyDescent="0.2">
      <c r="G103" s="358"/>
      <c r="H103" s="372"/>
      <c r="I103" s="358"/>
    </row>
    <row r="104" spans="7:9" s="349" customFormat="1" hidden="1" x14ac:dyDescent="0.2">
      <c r="G104" s="358"/>
      <c r="H104" s="372"/>
      <c r="I104" s="358"/>
    </row>
    <row r="105" spans="7:9" s="349" customFormat="1" hidden="1" x14ac:dyDescent="0.2">
      <c r="G105" s="358"/>
      <c r="H105" s="372"/>
      <c r="I105" s="358"/>
    </row>
    <row r="106" spans="7:9" s="349" customFormat="1" hidden="1" x14ac:dyDescent="0.2">
      <c r="G106" s="358"/>
      <c r="H106" s="372"/>
      <c r="I106" s="358"/>
    </row>
    <row r="107" spans="7:9" s="349" customFormat="1" hidden="1" x14ac:dyDescent="0.2">
      <c r="G107" s="358"/>
      <c r="H107" s="372"/>
      <c r="I107" s="358"/>
    </row>
    <row r="108" spans="7:9" s="349" customFormat="1" hidden="1" x14ac:dyDescent="0.2">
      <c r="G108" s="358"/>
      <c r="H108" s="372"/>
      <c r="I108" s="358"/>
    </row>
    <row r="109" spans="7:9" s="349" customFormat="1" hidden="1" x14ac:dyDescent="0.2">
      <c r="G109" s="358"/>
      <c r="H109" s="372"/>
      <c r="I109" s="358"/>
    </row>
    <row r="110" spans="7:9" s="349" customFormat="1" hidden="1" x14ac:dyDescent="0.2">
      <c r="G110" s="358"/>
      <c r="H110" s="372"/>
      <c r="I110" s="358"/>
    </row>
    <row r="111" spans="7:9" s="349" customFormat="1" hidden="1" x14ac:dyDescent="0.2">
      <c r="G111" s="358"/>
      <c r="H111" s="372"/>
      <c r="I111" s="358"/>
    </row>
    <row r="112" spans="7:9" s="349" customFormat="1" hidden="1" x14ac:dyDescent="0.2">
      <c r="G112" s="358"/>
      <c r="H112" s="372"/>
      <c r="I112" s="358"/>
    </row>
    <row r="113" spans="7:9" s="349" customFormat="1" hidden="1" x14ac:dyDescent="0.2">
      <c r="G113" s="358"/>
      <c r="H113" s="372"/>
      <c r="I113" s="358"/>
    </row>
    <row r="114" spans="7:9" s="349" customFormat="1" hidden="1" x14ac:dyDescent="0.2">
      <c r="G114" s="358"/>
      <c r="H114" s="372"/>
      <c r="I114" s="358"/>
    </row>
    <row r="115" spans="7:9" s="349" customFormat="1" hidden="1" x14ac:dyDescent="0.2">
      <c r="G115" s="358"/>
      <c r="H115" s="372"/>
      <c r="I115" s="358"/>
    </row>
    <row r="116" spans="7:9" s="349" customFormat="1" hidden="1" x14ac:dyDescent="0.2">
      <c r="G116" s="358"/>
      <c r="H116" s="372"/>
      <c r="I116" s="358"/>
    </row>
    <row r="117" spans="7:9" s="349" customFormat="1" hidden="1" x14ac:dyDescent="0.2">
      <c r="G117" s="358"/>
      <c r="H117" s="372"/>
      <c r="I117" s="358"/>
    </row>
    <row r="118" spans="7:9" s="349" customFormat="1" hidden="1" x14ac:dyDescent="0.2">
      <c r="G118" s="358"/>
      <c r="H118" s="372"/>
      <c r="I118" s="358"/>
    </row>
    <row r="119" spans="7:9" s="349" customFormat="1" hidden="1" x14ac:dyDescent="0.2">
      <c r="G119" s="358"/>
      <c r="H119" s="372"/>
      <c r="I119" s="358"/>
    </row>
    <row r="120" spans="7:9" s="349" customFormat="1" hidden="1" x14ac:dyDescent="0.2">
      <c r="G120" s="358"/>
      <c r="H120" s="372"/>
      <c r="I120" s="358"/>
    </row>
    <row r="121" spans="7:9" s="349" customFormat="1" hidden="1" x14ac:dyDescent="0.2">
      <c r="G121" s="358"/>
      <c r="H121" s="372"/>
      <c r="I121" s="358"/>
    </row>
    <row r="122" spans="7:9" s="349" customFormat="1" hidden="1" x14ac:dyDescent="0.2">
      <c r="G122" s="358"/>
      <c r="H122" s="372"/>
      <c r="I122" s="358"/>
    </row>
    <row r="123" spans="7:9" s="349" customFormat="1" hidden="1" x14ac:dyDescent="0.2">
      <c r="G123" s="358"/>
      <c r="H123" s="372"/>
      <c r="I123" s="358"/>
    </row>
    <row r="124" spans="7:9" s="349" customFormat="1" hidden="1" x14ac:dyDescent="0.2">
      <c r="G124" s="358"/>
      <c r="H124" s="372"/>
      <c r="I124" s="358"/>
    </row>
    <row r="125" spans="7:9" s="349" customFormat="1" hidden="1" x14ac:dyDescent="0.2">
      <c r="G125" s="358"/>
      <c r="H125" s="372"/>
      <c r="I125" s="358"/>
    </row>
    <row r="126" spans="7:9" s="349" customFormat="1" hidden="1" x14ac:dyDescent="0.2">
      <c r="G126" s="358"/>
      <c r="H126" s="372"/>
      <c r="I126" s="358"/>
    </row>
    <row r="127" spans="7:9" s="349" customFormat="1" hidden="1" x14ac:dyDescent="0.2">
      <c r="G127" s="358"/>
      <c r="H127" s="372"/>
      <c r="I127" s="358"/>
    </row>
    <row r="128" spans="7:9" s="349" customFormat="1" hidden="1" x14ac:dyDescent="0.2">
      <c r="G128" s="358"/>
      <c r="H128" s="372"/>
      <c r="I128" s="358"/>
    </row>
    <row r="129" spans="7:9" s="349" customFormat="1" hidden="1" x14ac:dyDescent="0.2">
      <c r="G129" s="358"/>
      <c r="H129" s="372"/>
      <c r="I129" s="358"/>
    </row>
    <row r="130" spans="7:9" s="349" customFormat="1" hidden="1" x14ac:dyDescent="0.2">
      <c r="G130" s="358"/>
      <c r="H130" s="372"/>
      <c r="I130" s="358"/>
    </row>
    <row r="131" spans="7:9" s="349" customFormat="1" hidden="1" x14ac:dyDescent="0.2">
      <c r="G131" s="358"/>
      <c r="H131" s="372"/>
      <c r="I131" s="358"/>
    </row>
    <row r="132" spans="7:9" s="349" customFormat="1" hidden="1" x14ac:dyDescent="0.2">
      <c r="G132" s="358"/>
      <c r="H132" s="372"/>
      <c r="I132" s="358"/>
    </row>
    <row r="133" spans="7:9" s="349" customFormat="1" hidden="1" x14ac:dyDescent="0.2">
      <c r="G133" s="358"/>
      <c r="H133" s="372"/>
      <c r="I133" s="358"/>
    </row>
    <row r="134" spans="7:9" s="349" customFormat="1" hidden="1" x14ac:dyDescent="0.2">
      <c r="G134" s="358"/>
      <c r="H134" s="372"/>
      <c r="I134" s="358"/>
    </row>
    <row r="135" spans="7:9" s="349" customFormat="1" hidden="1" x14ac:dyDescent="0.2">
      <c r="G135" s="358"/>
      <c r="H135" s="372"/>
      <c r="I135" s="358"/>
    </row>
    <row r="136" spans="7:9" s="349" customFormat="1" hidden="1" x14ac:dyDescent="0.2">
      <c r="G136" s="358"/>
      <c r="H136" s="372"/>
      <c r="I136" s="358"/>
    </row>
    <row r="137" spans="7:9" s="349" customFormat="1" hidden="1" x14ac:dyDescent="0.2">
      <c r="G137" s="358"/>
      <c r="H137" s="372"/>
      <c r="I137" s="358"/>
    </row>
    <row r="138" spans="7:9" s="349" customFormat="1" hidden="1" x14ac:dyDescent="0.2">
      <c r="G138" s="358"/>
      <c r="H138" s="372"/>
      <c r="I138" s="358"/>
    </row>
    <row r="139" spans="7:9" s="349" customFormat="1" hidden="1" x14ac:dyDescent="0.2">
      <c r="G139" s="358"/>
      <c r="H139" s="372"/>
      <c r="I139" s="358"/>
    </row>
    <row r="140" spans="7:9" s="349" customFormat="1" hidden="1" x14ac:dyDescent="0.2">
      <c r="G140" s="358"/>
      <c r="H140" s="372"/>
      <c r="I140" s="358"/>
    </row>
    <row r="141" spans="7:9" s="349" customFormat="1" hidden="1" x14ac:dyDescent="0.2">
      <c r="G141" s="358"/>
      <c r="H141" s="372"/>
      <c r="I141" s="358"/>
    </row>
    <row r="142" spans="7:9" s="349" customFormat="1" hidden="1" x14ac:dyDescent="0.2">
      <c r="G142" s="358"/>
      <c r="H142" s="372"/>
      <c r="I142" s="358"/>
    </row>
    <row r="143" spans="7:9" s="349" customFormat="1" hidden="1" x14ac:dyDescent="0.2">
      <c r="G143" s="358"/>
      <c r="H143" s="372"/>
      <c r="I143" s="358"/>
    </row>
    <row r="144" spans="7:9" s="349" customFormat="1" hidden="1" x14ac:dyDescent="0.2">
      <c r="G144" s="358"/>
      <c r="H144" s="372"/>
      <c r="I144" s="358"/>
    </row>
    <row r="145" spans="7:9" s="349" customFormat="1" hidden="1" x14ac:dyDescent="0.2">
      <c r="G145" s="358"/>
      <c r="H145" s="372"/>
      <c r="I145" s="358"/>
    </row>
    <row r="146" spans="7:9" s="349" customFormat="1" hidden="1" x14ac:dyDescent="0.2">
      <c r="G146" s="358"/>
      <c r="H146" s="372"/>
      <c r="I146" s="358"/>
    </row>
    <row r="147" spans="7:9" s="349" customFormat="1" hidden="1" x14ac:dyDescent="0.2">
      <c r="G147" s="358"/>
      <c r="H147" s="372"/>
      <c r="I147" s="358"/>
    </row>
    <row r="148" spans="7:9" s="349" customFormat="1" hidden="1" x14ac:dyDescent="0.2">
      <c r="G148" s="358"/>
      <c r="H148" s="372"/>
      <c r="I148" s="358"/>
    </row>
    <row r="149" spans="7:9" s="349" customFormat="1" hidden="1" x14ac:dyDescent="0.2">
      <c r="G149" s="358"/>
      <c r="H149" s="372"/>
      <c r="I149" s="358"/>
    </row>
    <row r="150" spans="7:9" s="349" customFormat="1" hidden="1" x14ac:dyDescent="0.2">
      <c r="G150" s="358"/>
      <c r="H150" s="372"/>
      <c r="I150" s="358"/>
    </row>
    <row r="151" spans="7:9" s="349" customFormat="1" hidden="1" x14ac:dyDescent="0.2">
      <c r="G151" s="358"/>
      <c r="H151" s="372"/>
      <c r="I151" s="358"/>
    </row>
    <row r="152" spans="7:9" s="349" customFormat="1" hidden="1" x14ac:dyDescent="0.2">
      <c r="G152" s="358"/>
      <c r="H152" s="372"/>
      <c r="I152" s="358"/>
    </row>
    <row r="153" spans="7:9" s="349" customFormat="1" hidden="1" x14ac:dyDescent="0.2">
      <c r="G153" s="358"/>
      <c r="H153" s="372"/>
      <c r="I153" s="358"/>
    </row>
    <row r="154" spans="7:9" s="349" customFormat="1" hidden="1" x14ac:dyDescent="0.2">
      <c r="G154" s="358"/>
      <c r="H154" s="372"/>
      <c r="I154" s="358"/>
    </row>
    <row r="155" spans="7:9" s="349" customFormat="1" hidden="1" x14ac:dyDescent="0.2">
      <c r="G155" s="358"/>
      <c r="H155" s="372"/>
      <c r="I155" s="358"/>
    </row>
    <row r="156" spans="7:9" s="349" customFormat="1" hidden="1" x14ac:dyDescent="0.2">
      <c r="G156" s="358"/>
      <c r="H156" s="372"/>
      <c r="I156" s="358"/>
    </row>
    <row r="157" spans="7:9" s="349" customFormat="1" hidden="1" x14ac:dyDescent="0.2">
      <c r="G157" s="358"/>
      <c r="H157" s="372"/>
      <c r="I157" s="358"/>
    </row>
    <row r="158" spans="7:9" s="349" customFormat="1" hidden="1" x14ac:dyDescent="0.2">
      <c r="G158" s="358"/>
      <c r="H158" s="372"/>
      <c r="I158" s="358"/>
    </row>
    <row r="159" spans="7:9" s="349" customFormat="1" hidden="1" x14ac:dyDescent="0.2">
      <c r="G159" s="358"/>
      <c r="H159" s="372"/>
      <c r="I159" s="358"/>
    </row>
    <row r="160" spans="7:9" s="349" customFormat="1" hidden="1" x14ac:dyDescent="0.2">
      <c r="G160" s="358"/>
      <c r="H160" s="372"/>
      <c r="I160" s="358"/>
    </row>
    <row r="161" spans="7:9" s="349" customFormat="1" hidden="1" x14ac:dyDescent="0.2">
      <c r="G161" s="358"/>
      <c r="H161" s="372"/>
      <c r="I161" s="358"/>
    </row>
    <row r="162" spans="7:9" s="349" customFormat="1" hidden="1" x14ac:dyDescent="0.2">
      <c r="G162" s="358"/>
      <c r="H162" s="372"/>
      <c r="I162" s="358"/>
    </row>
    <row r="163" spans="7:9" s="349" customFormat="1" hidden="1" x14ac:dyDescent="0.2">
      <c r="G163" s="358"/>
      <c r="H163" s="372"/>
      <c r="I163" s="358"/>
    </row>
    <row r="164" spans="7:9" s="349" customFormat="1" hidden="1" x14ac:dyDescent="0.2">
      <c r="G164" s="358"/>
      <c r="H164" s="372"/>
      <c r="I164" s="358"/>
    </row>
    <row r="165" spans="7:9" s="349" customFormat="1" hidden="1" x14ac:dyDescent="0.2">
      <c r="G165" s="358"/>
      <c r="H165" s="372"/>
      <c r="I165" s="358"/>
    </row>
    <row r="166" spans="7:9" s="349" customFormat="1" hidden="1" x14ac:dyDescent="0.2">
      <c r="G166" s="358"/>
      <c r="H166" s="372"/>
      <c r="I166" s="358"/>
    </row>
    <row r="167" spans="7:9" s="349" customFormat="1" hidden="1" x14ac:dyDescent="0.2">
      <c r="G167" s="358"/>
      <c r="H167" s="372"/>
      <c r="I167" s="358"/>
    </row>
    <row r="168" spans="7:9" s="349" customFormat="1" hidden="1" x14ac:dyDescent="0.2">
      <c r="G168" s="358"/>
      <c r="H168" s="372"/>
      <c r="I168" s="358"/>
    </row>
    <row r="169" spans="7:9" s="349" customFormat="1" hidden="1" x14ac:dyDescent="0.2">
      <c r="G169" s="358"/>
      <c r="H169" s="372"/>
      <c r="I169" s="358"/>
    </row>
    <row r="170" spans="7:9" s="349" customFormat="1" hidden="1" x14ac:dyDescent="0.2">
      <c r="G170" s="358"/>
      <c r="H170" s="372"/>
      <c r="I170" s="358"/>
    </row>
    <row r="171" spans="7:9" s="349" customFormat="1" hidden="1" x14ac:dyDescent="0.2">
      <c r="G171" s="358"/>
      <c r="H171" s="372"/>
      <c r="I171" s="358"/>
    </row>
    <row r="172" spans="7:9" s="349" customFormat="1" hidden="1" x14ac:dyDescent="0.2">
      <c r="G172" s="358"/>
      <c r="H172" s="372"/>
      <c r="I172" s="358"/>
    </row>
    <row r="173" spans="7:9" s="349" customFormat="1" hidden="1" x14ac:dyDescent="0.2">
      <c r="G173" s="358"/>
      <c r="H173" s="372"/>
      <c r="I173" s="358"/>
    </row>
    <row r="174" spans="7:9" s="349" customFormat="1" hidden="1" x14ac:dyDescent="0.2">
      <c r="G174" s="358"/>
      <c r="H174" s="372"/>
      <c r="I174" s="358"/>
    </row>
    <row r="175" spans="7:9" s="349" customFormat="1" hidden="1" x14ac:dyDescent="0.2">
      <c r="G175" s="358"/>
      <c r="H175" s="372"/>
      <c r="I175" s="358"/>
    </row>
    <row r="176" spans="7:9" s="349" customFormat="1" hidden="1" x14ac:dyDescent="0.2">
      <c r="G176" s="358"/>
      <c r="H176" s="372"/>
      <c r="I176" s="358"/>
    </row>
    <row r="177" spans="7:9" s="349" customFormat="1" hidden="1" x14ac:dyDescent="0.2">
      <c r="G177" s="358"/>
      <c r="H177" s="372"/>
      <c r="I177" s="358"/>
    </row>
    <row r="178" spans="7:9" s="349" customFormat="1" hidden="1" x14ac:dyDescent="0.2">
      <c r="G178" s="358"/>
      <c r="H178" s="372"/>
      <c r="I178" s="358"/>
    </row>
    <row r="179" spans="7:9" s="349" customFormat="1" hidden="1" x14ac:dyDescent="0.2">
      <c r="G179" s="358"/>
      <c r="H179" s="372"/>
      <c r="I179" s="358"/>
    </row>
    <row r="180" spans="7:9" s="349" customFormat="1" hidden="1" x14ac:dyDescent="0.2">
      <c r="G180" s="358"/>
      <c r="H180" s="372"/>
      <c r="I180" s="358"/>
    </row>
    <row r="181" spans="7:9" s="349" customFormat="1" hidden="1" x14ac:dyDescent="0.2">
      <c r="G181" s="358"/>
      <c r="H181" s="372"/>
      <c r="I181" s="358"/>
    </row>
    <row r="182" spans="7:9" s="349" customFormat="1" hidden="1" x14ac:dyDescent="0.2">
      <c r="G182" s="358"/>
      <c r="H182" s="372"/>
      <c r="I182" s="358"/>
    </row>
    <row r="183" spans="7:9" s="349" customFormat="1" hidden="1" x14ac:dyDescent="0.2">
      <c r="G183" s="358"/>
      <c r="H183" s="372"/>
      <c r="I183" s="358"/>
    </row>
    <row r="184" spans="7:9" s="349" customFormat="1" hidden="1" x14ac:dyDescent="0.2">
      <c r="G184" s="358"/>
      <c r="H184" s="372"/>
      <c r="I184" s="358"/>
    </row>
    <row r="185" spans="7:9" s="349" customFormat="1" hidden="1" x14ac:dyDescent="0.2">
      <c r="G185" s="358"/>
      <c r="H185" s="372"/>
      <c r="I185" s="358"/>
    </row>
    <row r="186" spans="7:9" s="349" customFormat="1" hidden="1" x14ac:dyDescent="0.2">
      <c r="G186" s="358"/>
      <c r="H186" s="372"/>
      <c r="I186" s="358"/>
    </row>
    <row r="187" spans="7:9" s="349" customFormat="1" hidden="1" x14ac:dyDescent="0.2">
      <c r="G187" s="358"/>
      <c r="H187" s="372"/>
      <c r="I187" s="358"/>
    </row>
    <row r="188" spans="7:9" s="349" customFormat="1" hidden="1" x14ac:dyDescent="0.2">
      <c r="G188" s="358"/>
      <c r="H188" s="372"/>
      <c r="I188" s="358"/>
    </row>
    <row r="189" spans="7:9" s="349" customFormat="1" hidden="1" x14ac:dyDescent="0.2">
      <c r="G189" s="358"/>
      <c r="H189" s="372"/>
      <c r="I189" s="358"/>
    </row>
    <row r="190" spans="7:9" s="349" customFormat="1" hidden="1" x14ac:dyDescent="0.2">
      <c r="G190" s="358"/>
      <c r="H190" s="372"/>
      <c r="I190" s="358"/>
    </row>
    <row r="191" spans="7:9" s="349" customFormat="1" hidden="1" x14ac:dyDescent="0.2">
      <c r="G191" s="358"/>
      <c r="H191" s="372"/>
      <c r="I191" s="358"/>
    </row>
    <row r="192" spans="7:9" s="349" customFormat="1" hidden="1" x14ac:dyDescent="0.2">
      <c r="G192" s="358"/>
      <c r="H192" s="372"/>
      <c r="I192" s="358"/>
    </row>
    <row r="193" spans="7:9" s="349" customFormat="1" hidden="1" x14ac:dyDescent="0.2">
      <c r="G193" s="358"/>
      <c r="H193" s="372"/>
      <c r="I193" s="358"/>
    </row>
    <row r="194" spans="7:9" s="349" customFormat="1" hidden="1" x14ac:dyDescent="0.2">
      <c r="G194" s="358"/>
      <c r="H194" s="372"/>
      <c r="I194" s="358"/>
    </row>
    <row r="195" spans="7:9" s="349" customFormat="1" hidden="1" x14ac:dyDescent="0.2">
      <c r="G195" s="358"/>
      <c r="H195" s="372"/>
      <c r="I195" s="358"/>
    </row>
    <row r="196" spans="7:9" s="349" customFormat="1" hidden="1" x14ac:dyDescent="0.2">
      <c r="G196" s="358"/>
      <c r="H196" s="372"/>
      <c r="I196" s="358"/>
    </row>
    <row r="197" spans="7:9" s="349" customFormat="1" hidden="1" x14ac:dyDescent="0.2">
      <c r="G197" s="358"/>
      <c r="H197" s="372"/>
      <c r="I197" s="358"/>
    </row>
    <row r="198" spans="7:9" s="349" customFormat="1" hidden="1" x14ac:dyDescent="0.2">
      <c r="G198" s="358"/>
      <c r="H198" s="372"/>
      <c r="I198" s="358"/>
    </row>
    <row r="199" spans="7:9" s="349" customFormat="1" hidden="1" x14ac:dyDescent="0.2">
      <c r="G199" s="358"/>
      <c r="H199" s="372"/>
      <c r="I199" s="358"/>
    </row>
    <row r="200" spans="7:9" s="349" customFormat="1" hidden="1" x14ac:dyDescent="0.2">
      <c r="G200" s="358"/>
      <c r="H200" s="372"/>
      <c r="I200" s="358"/>
    </row>
    <row r="201" spans="7:9" s="349" customFormat="1" hidden="1" x14ac:dyDescent="0.2">
      <c r="G201" s="358"/>
      <c r="H201" s="372"/>
      <c r="I201" s="358"/>
    </row>
    <row r="202" spans="7:9" s="349" customFormat="1" hidden="1" x14ac:dyDescent="0.2">
      <c r="G202" s="358"/>
      <c r="H202" s="372"/>
      <c r="I202" s="358"/>
    </row>
    <row r="203" spans="7:9" s="349" customFormat="1" hidden="1" x14ac:dyDescent="0.2">
      <c r="G203" s="358"/>
      <c r="H203" s="372"/>
      <c r="I203" s="358"/>
    </row>
    <row r="204" spans="7:9" s="349" customFormat="1" hidden="1" x14ac:dyDescent="0.2">
      <c r="G204" s="358"/>
      <c r="H204" s="372"/>
      <c r="I204" s="358"/>
    </row>
    <row r="205" spans="7:9" s="349" customFormat="1" hidden="1" x14ac:dyDescent="0.2">
      <c r="G205" s="358"/>
      <c r="H205" s="372"/>
      <c r="I205" s="358"/>
    </row>
    <row r="206" spans="7:9" s="349" customFormat="1" hidden="1" x14ac:dyDescent="0.2">
      <c r="G206" s="358"/>
      <c r="H206" s="372"/>
      <c r="I206" s="358"/>
    </row>
    <row r="207" spans="7:9" s="349" customFormat="1" hidden="1" x14ac:dyDescent="0.2">
      <c r="G207" s="358"/>
      <c r="H207" s="372"/>
      <c r="I207" s="358"/>
    </row>
    <row r="208" spans="7:9" s="349" customFormat="1" hidden="1" x14ac:dyDescent="0.2">
      <c r="G208" s="358"/>
      <c r="H208" s="372"/>
      <c r="I208" s="358"/>
    </row>
    <row r="209" spans="7:9" s="349" customFormat="1" hidden="1" x14ac:dyDescent="0.2">
      <c r="G209" s="358"/>
      <c r="H209" s="372"/>
      <c r="I209" s="358"/>
    </row>
    <row r="210" spans="7:9" s="349" customFormat="1" hidden="1" x14ac:dyDescent="0.2">
      <c r="G210" s="358"/>
      <c r="H210" s="372"/>
      <c r="I210" s="358"/>
    </row>
    <row r="211" spans="7:9" s="349" customFormat="1" hidden="1" x14ac:dyDescent="0.2">
      <c r="G211" s="358"/>
      <c r="H211" s="372"/>
      <c r="I211" s="358"/>
    </row>
    <row r="212" spans="7:9" s="349" customFormat="1" hidden="1" x14ac:dyDescent="0.2">
      <c r="G212" s="358"/>
      <c r="H212" s="372"/>
      <c r="I212" s="358"/>
    </row>
    <row r="213" spans="7:9" s="349" customFormat="1" hidden="1" x14ac:dyDescent="0.2">
      <c r="G213" s="358"/>
      <c r="H213" s="372"/>
      <c r="I213" s="358"/>
    </row>
    <row r="214" spans="7:9" s="349" customFormat="1" hidden="1" x14ac:dyDescent="0.2">
      <c r="G214" s="358"/>
      <c r="H214" s="372"/>
      <c r="I214" s="358"/>
    </row>
    <row r="215" spans="7:9" s="349" customFormat="1" hidden="1" x14ac:dyDescent="0.2">
      <c r="G215" s="358"/>
      <c r="H215" s="372"/>
      <c r="I215" s="358"/>
    </row>
    <row r="216" spans="7:9" s="349" customFormat="1" hidden="1" x14ac:dyDescent="0.2">
      <c r="G216" s="358"/>
      <c r="H216" s="372"/>
      <c r="I216" s="358"/>
    </row>
    <row r="217" spans="7:9" s="349" customFormat="1" hidden="1" x14ac:dyDescent="0.2">
      <c r="G217" s="358"/>
      <c r="H217" s="372"/>
      <c r="I217" s="358"/>
    </row>
    <row r="218" spans="7:9" s="349" customFormat="1" hidden="1" x14ac:dyDescent="0.2">
      <c r="G218" s="358"/>
      <c r="H218" s="372"/>
      <c r="I218" s="358"/>
    </row>
    <row r="219" spans="7:9" s="349" customFormat="1" hidden="1" x14ac:dyDescent="0.2">
      <c r="G219" s="358"/>
      <c r="H219" s="372"/>
      <c r="I219" s="358"/>
    </row>
    <row r="220" spans="7:9" s="349" customFormat="1" hidden="1" x14ac:dyDescent="0.2">
      <c r="G220" s="358"/>
      <c r="H220" s="372"/>
      <c r="I220" s="358"/>
    </row>
    <row r="221" spans="7:9" s="349" customFormat="1" hidden="1" x14ac:dyDescent="0.2">
      <c r="G221" s="358"/>
      <c r="H221" s="372"/>
      <c r="I221" s="358"/>
    </row>
    <row r="222" spans="7:9" s="349" customFormat="1" hidden="1" x14ac:dyDescent="0.2">
      <c r="G222" s="358"/>
      <c r="H222" s="372"/>
      <c r="I222" s="358"/>
    </row>
    <row r="223" spans="7:9" s="349" customFormat="1" hidden="1" x14ac:dyDescent="0.2">
      <c r="G223" s="358"/>
      <c r="H223" s="372"/>
      <c r="I223" s="358"/>
    </row>
    <row r="224" spans="7:9" s="349" customFormat="1" hidden="1" x14ac:dyDescent="0.2">
      <c r="G224" s="358"/>
      <c r="H224" s="372"/>
      <c r="I224" s="358"/>
    </row>
    <row r="225" spans="1:10" s="349" customFormat="1" hidden="1" x14ac:dyDescent="0.2">
      <c r="G225" s="358"/>
      <c r="H225" s="372"/>
      <c r="I225" s="358"/>
    </row>
    <row r="226" spans="1:10" s="349" customFormat="1" hidden="1" x14ac:dyDescent="0.2">
      <c r="G226" s="358"/>
      <c r="H226" s="372"/>
      <c r="I226" s="358"/>
    </row>
    <row r="227" spans="1:10" s="349" customFormat="1" hidden="1" x14ac:dyDescent="0.2">
      <c r="G227" s="358"/>
      <c r="H227" s="372"/>
      <c r="I227" s="358"/>
    </row>
    <row r="228" spans="1:10" s="349" customFormat="1" hidden="1" x14ac:dyDescent="0.2">
      <c r="G228" s="358"/>
      <c r="H228" s="372"/>
      <c r="I228" s="358"/>
    </row>
    <row r="229" spans="1:10" s="349" customFormat="1" hidden="1" x14ac:dyDescent="0.2">
      <c r="G229" s="358"/>
      <c r="H229" s="372"/>
      <c r="I229" s="358"/>
    </row>
    <row r="230" spans="1:10" s="349" customFormat="1" hidden="1" x14ac:dyDescent="0.2">
      <c r="G230" s="358"/>
      <c r="H230" s="372"/>
      <c r="I230" s="358"/>
    </row>
    <row r="231" spans="1:10" s="349" customFormat="1" hidden="1" x14ac:dyDescent="0.2">
      <c r="G231" s="358"/>
      <c r="H231" s="372"/>
      <c r="I231" s="358"/>
    </row>
    <row r="232" spans="1:10" s="349" customFormat="1" hidden="1" x14ac:dyDescent="0.2">
      <c r="G232" s="358"/>
      <c r="H232" s="372"/>
      <c r="I232" s="358"/>
    </row>
    <row r="233" spans="1:10" s="349" customFormat="1" hidden="1" x14ac:dyDescent="0.2">
      <c r="G233" s="358"/>
      <c r="H233" s="372"/>
      <c r="I233" s="358"/>
    </row>
    <row r="234" spans="1:10" s="349" customFormat="1" hidden="1" x14ac:dyDescent="0.2">
      <c r="G234" s="358"/>
      <c r="H234" s="372"/>
      <c r="I234" s="358"/>
    </row>
    <row r="235" spans="1:10" s="349" customFormat="1" hidden="1" x14ac:dyDescent="0.2">
      <c r="G235" s="358"/>
      <c r="H235" s="372"/>
      <c r="I235" s="358"/>
    </row>
    <row r="236" spans="1:10" s="349" customFormat="1" hidden="1" x14ac:dyDescent="0.2">
      <c r="G236" s="358"/>
      <c r="H236" s="372"/>
      <c r="I236" s="358"/>
    </row>
    <row r="237" spans="1:10" s="349" customFormat="1" hidden="1" x14ac:dyDescent="0.2">
      <c r="H237" s="358"/>
      <c r="I237" s="358"/>
    </row>
    <row r="238" spans="1:10" s="188" customFormat="1" hidden="1" x14ac:dyDescent="0.2">
      <c r="A238" s="123"/>
      <c r="B238" s="318"/>
      <c r="C238" s="123"/>
      <c r="E238" s="99"/>
      <c r="F238" s="99"/>
      <c r="G238" s="99"/>
      <c r="H238" s="99"/>
      <c r="I238" s="88"/>
      <c r="J238" s="87"/>
    </row>
    <row r="239" spans="1:10" s="188" customFormat="1" hidden="1" x14ac:dyDescent="0.2">
      <c r="A239" s="123"/>
      <c r="B239" s="318"/>
      <c r="C239" s="123"/>
      <c r="E239" s="99"/>
      <c r="F239" s="99"/>
      <c r="G239" s="99"/>
      <c r="H239" s="99"/>
      <c r="I239" s="88"/>
      <c r="J239" s="87"/>
    </row>
    <row r="240" spans="1:10" s="188" customFormat="1" hidden="1" x14ac:dyDescent="0.2">
      <c r="D240" s="99"/>
      <c r="E240" s="99"/>
      <c r="F240" s="99"/>
      <c r="G240" s="99"/>
      <c r="H240" s="99"/>
      <c r="I240" s="88"/>
      <c r="J240" s="87"/>
    </row>
    <row r="241" spans="2:10" s="188" customFormat="1" hidden="1" x14ac:dyDescent="0.2"/>
    <row r="242" spans="2:10" hidden="1" x14ac:dyDescent="0.2">
      <c r="B242" s="88"/>
    </row>
    <row r="243" spans="2:10" hidden="1" x14ac:dyDescent="0.2">
      <c r="B243" s="88"/>
    </row>
    <row r="244" spans="2:10" hidden="1" x14ac:dyDescent="0.2">
      <c r="B244" s="88"/>
    </row>
    <row r="245" spans="2:10" hidden="1" x14ac:dyDescent="0.2">
      <c r="B245" s="88"/>
    </row>
    <row r="246" spans="2:10" hidden="1" x14ac:dyDescent="0.2">
      <c r="B246" s="88"/>
    </row>
    <row r="247" spans="2:10" hidden="1" x14ac:dyDescent="0.2">
      <c r="B247" s="88"/>
      <c r="J247" s="215"/>
    </row>
    <row r="248" spans="2:10" hidden="1" x14ac:dyDescent="0.2">
      <c r="B248" s="88"/>
    </row>
    <row r="249" spans="2:10" hidden="1" x14ac:dyDescent="0.2">
      <c r="B249" s="88"/>
      <c r="J249" s="215"/>
    </row>
    <row r="250" spans="2:10" hidden="1" x14ac:dyDescent="0.2">
      <c r="B250" s="88"/>
    </row>
    <row r="251" spans="2:10" hidden="1" x14ac:dyDescent="0.2"/>
    <row r="252" spans="2:10" hidden="1" x14ac:dyDescent="0.2"/>
    <row r="253" spans="2:10" hidden="1" x14ac:dyDescent="0.2"/>
    <row r="254" spans="2:10" hidden="1" x14ac:dyDescent="0.2"/>
    <row r="255" spans="2:10" hidden="1" x14ac:dyDescent="0.2"/>
    <row r="256" spans="2:10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spans="1:3" hidden="1" x14ac:dyDescent="0.2"/>
    <row r="290" spans="1:3" hidden="1" x14ac:dyDescent="0.2"/>
    <row r="291" spans="1:3" hidden="1" x14ac:dyDescent="0.2"/>
    <row r="292" spans="1:3" hidden="1" x14ac:dyDescent="0.2"/>
    <row r="293" spans="1:3" hidden="1" x14ac:dyDescent="0.2"/>
    <row r="294" spans="1:3" hidden="1" x14ac:dyDescent="0.2"/>
    <row r="295" spans="1:3" hidden="1" x14ac:dyDescent="0.2"/>
    <row r="296" spans="1:3" hidden="1" x14ac:dyDescent="0.2"/>
    <row r="297" spans="1:3" hidden="1" x14ac:dyDescent="0.2"/>
    <row r="298" spans="1:3" hidden="1" x14ac:dyDescent="0.2"/>
    <row r="299" spans="1:3" x14ac:dyDescent="0.2">
      <c r="A299" s="123"/>
      <c r="B299" s="123"/>
      <c r="C299" s="318" t="s">
        <v>263</v>
      </c>
    </row>
    <row r="300" spans="1:3" x14ac:dyDescent="0.2">
      <c r="A300" s="187">
        <v>1</v>
      </c>
      <c r="B300" s="124" t="str">
        <f t="shared" ref="B300:B308" si="0">IFERROR(INDEX(H$37:H$78,MATCH(A300&amp;". koht",H$38:H$79,0)),"")</f>
        <v>Karla Purgats, Lemmit Toomra</v>
      </c>
      <c r="C300" s="188">
        <v>9</v>
      </c>
    </row>
    <row r="301" spans="1:3" x14ac:dyDescent="0.2">
      <c r="A301" s="187">
        <v>2</v>
      </c>
      <c r="B301" s="615" t="str">
        <f t="shared" si="0"/>
        <v>Mait Metsla, Tõnu Piik</v>
      </c>
      <c r="C301" s="88">
        <f>C300-1</f>
        <v>8</v>
      </c>
    </row>
    <row r="302" spans="1:3" x14ac:dyDescent="0.2">
      <c r="A302" s="187">
        <v>3</v>
      </c>
      <c r="B302" s="616" t="str">
        <f t="shared" si="0"/>
        <v>Raul Mõtus, Vello Vasser</v>
      </c>
      <c r="C302" s="88">
        <f t="shared" ref="C302:C308" si="1">C301-1</f>
        <v>7</v>
      </c>
    </row>
    <row r="303" spans="1:3" x14ac:dyDescent="0.2">
      <c r="A303" s="187">
        <v>4</v>
      </c>
      <c r="B303" s="191" t="str">
        <f t="shared" si="0"/>
        <v>Johannes Neiland, Kati Tuzberg</v>
      </c>
      <c r="C303" s="88">
        <f t="shared" si="1"/>
        <v>6</v>
      </c>
    </row>
    <row r="304" spans="1:3" x14ac:dyDescent="0.2">
      <c r="A304" s="187">
        <v>5</v>
      </c>
      <c r="B304" s="191" t="str">
        <f t="shared" si="0"/>
        <v>Boriss Klubov, Elmo Lageda</v>
      </c>
      <c r="C304" s="88">
        <f t="shared" si="1"/>
        <v>5</v>
      </c>
    </row>
    <row r="305" spans="1:5" x14ac:dyDescent="0.2">
      <c r="A305" s="187">
        <v>6</v>
      </c>
      <c r="B305" s="191" t="str">
        <f t="shared" si="0"/>
        <v>Enn Tokman, Illar Tõnurist</v>
      </c>
      <c r="C305" s="88">
        <f t="shared" si="1"/>
        <v>4</v>
      </c>
    </row>
    <row r="306" spans="1:5" x14ac:dyDescent="0.2">
      <c r="A306" s="187">
        <v>7</v>
      </c>
      <c r="B306" s="191" t="str">
        <f t="shared" si="0"/>
        <v>Tõnu Kapper, Vladimir Ogneštšikov</v>
      </c>
      <c r="C306" s="88">
        <f t="shared" si="1"/>
        <v>3</v>
      </c>
    </row>
    <row r="307" spans="1:5" x14ac:dyDescent="0.2">
      <c r="A307" s="187">
        <v>8</v>
      </c>
      <c r="B307" s="191" t="str">
        <f t="shared" si="0"/>
        <v>Henri Mitt, Peep Peenema</v>
      </c>
      <c r="C307" s="88">
        <f t="shared" si="1"/>
        <v>2</v>
      </c>
    </row>
    <row r="308" spans="1:5" x14ac:dyDescent="0.2">
      <c r="A308" s="187">
        <v>9</v>
      </c>
      <c r="B308" s="191" t="str">
        <f t="shared" si="0"/>
        <v>Einar Juhkam, Klavdia Piik</v>
      </c>
      <c r="C308" s="88">
        <f t="shared" si="1"/>
        <v>1</v>
      </c>
    </row>
    <row r="309" spans="1:5" x14ac:dyDescent="0.2">
      <c r="B309" s="88"/>
      <c r="E309" s="215"/>
    </row>
    <row r="310" spans="1:5" x14ac:dyDescent="0.2">
      <c r="B310" s="88"/>
      <c r="E310" s="215"/>
    </row>
    <row r="311" spans="1:5" x14ac:dyDescent="0.2">
      <c r="B311" s="88"/>
      <c r="E311" s="215"/>
    </row>
    <row r="312" spans="1:5" x14ac:dyDescent="0.2">
      <c r="B312" s="88"/>
    </row>
    <row r="313" spans="1:5" x14ac:dyDescent="0.2">
      <c r="B313" s="88"/>
    </row>
    <row r="314" spans="1:5" x14ac:dyDescent="0.2">
      <c r="B314" s="88"/>
    </row>
    <row r="315" spans="1:5" x14ac:dyDescent="0.2">
      <c r="B315" s="88"/>
    </row>
    <row r="316" spans="1:5" x14ac:dyDescent="0.2">
      <c r="B316" s="88"/>
    </row>
    <row r="317" spans="1:5" x14ac:dyDescent="0.2">
      <c r="B317" s="88"/>
    </row>
    <row r="318" spans="1:5" x14ac:dyDescent="0.2">
      <c r="B318" s="88"/>
    </row>
  </sheetData>
  <conditionalFormatting sqref="C30 C32 C34 C36 C38 C40 C42 C44 E31 E35 E39 E43 G33 G41 G45 G47">
    <cfRule type="containsBlanks" dxfId="1588" priority="8">
      <formula>LEN(TRIM(C30))=0</formula>
    </cfRule>
  </conditionalFormatting>
  <conditionalFormatting sqref="A30:A44">
    <cfRule type="cellIs" dxfId="1587" priority="4" operator="equal">
      <formula>"-"</formula>
    </cfRule>
    <cfRule type="duplicateValues" dxfId="1586" priority="27"/>
  </conditionalFormatting>
  <conditionalFormatting sqref="E51 E53">
    <cfRule type="aboveAverage" dxfId="1585" priority="26"/>
  </conditionalFormatting>
  <conditionalFormatting sqref="E55 E57">
    <cfRule type="aboveAverage" dxfId="1584" priority="25"/>
  </conditionalFormatting>
  <conditionalFormatting sqref="G52 G56">
    <cfRule type="aboveAverage" dxfId="1583" priority="24"/>
  </conditionalFormatting>
  <conditionalFormatting sqref="G59 G61">
    <cfRule type="aboveAverage" dxfId="1582" priority="23"/>
  </conditionalFormatting>
  <conditionalFormatting sqref="E51 E53 E55 E57 G52 G56 G59 G61">
    <cfRule type="containsBlanks" dxfId="1581" priority="22">
      <formula>LEN(TRIM(E51))=0</formula>
    </cfRule>
  </conditionalFormatting>
  <conditionalFormatting sqref="C30 C32">
    <cfRule type="aboveAverage" dxfId="1580" priority="16"/>
  </conditionalFormatting>
  <conditionalFormatting sqref="C34 C36">
    <cfRule type="aboveAverage" dxfId="1579" priority="15"/>
  </conditionalFormatting>
  <conditionalFormatting sqref="E31 E35">
    <cfRule type="aboveAverage" dxfId="1578" priority="14"/>
  </conditionalFormatting>
  <conditionalFormatting sqref="C38 C40">
    <cfRule type="aboveAverage" dxfId="1577" priority="13"/>
  </conditionalFormatting>
  <conditionalFormatting sqref="C42 C44">
    <cfRule type="aboveAverage" dxfId="1576" priority="12"/>
  </conditionalFormatting>
  <conditionalFormatting sqref="E39 E43">
    <cfRule type="aboveAverage" dxfId="1575" priority="11"/>
  </conditionalFormatting>
  <conditionalFormatting sqref="G33 G41">
    <cfRule type="aboveAverage" dxfId="1574" priority="10"/>
  </conditionalFormatting>
  <conditionalFormatting sqref="G45 G47">
    <cfRule type="aboveAverage" dxfId="1573" priority="9"/>
  </conditionalFormatting>
  <conditionalFormatting sqref="B303:B308">
    <cfRule type="containsBlanks" dxfId="1572" priority="5">
      <formula>LEN(TRIM(B303))=0</formula>
    </cfRule>
    <cfRule type="duplicateValues" dxfId="1571" priority="6"/>
  </conditionalFormatting>
  <conditionalFormatting sqref="C7:E21">
    <cfRule type="cellIs" dxfId="1570" priority="3" operator="equal">
      <formula>13</formula>
    </cfRule>
  </conditionalFormatting>
  <conditionalFormatting sqref="B300:B302">
    <cfRule type="containsBlanks" dxfId="1569" priority="1">
      <formula>LEN(TRIM(B300))=0</formula>
    </cfRule>
    <cfRule type="duplicateValues" dxfId="1568" priority="2"/>
  </conditionalFormatting>
  <pageMargins left="0.78740157480314965" right="0.39370078740157483" top="0.78740157480314965" bottom="0.39370078740157483" header="0.59055118110236227" footer="0"/>
  <pageSetup paperSize="9" fitToHeight="0" orientation="portrait" horizontalDpi="1200" verticalDpi="1200" r:id="rId1"/>
  <headerFooter alignWithMargins="0">
    <oddHeader>&amp;R&amp;"Arial,Regular"&amp;9Page &amp;P of &amp;N</oddHeader>
  </headerFooter>
  <ignoredErrors>
    <ignoredError sqref="H19:H21" numberStoredAsText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pageSetUpPr fitToPage="1"/>
  </sheetPr>
  <dimension ref="A1:M310"/>
  <sheetViews>
    <sheetView showGridLines="0" showRowColHeaders="0" zoomScaleNormal="100" workbookViewId="0">
      <pane ySplit="2" topLeftCell="A3" activePane="bottomLeft" state="frozen"/>
      <selection activeCell="G1" sqref="G1"/>
      <selection pane="bottomLeft" activeCell="I1" sqref="I1"/>
    </sheetView>
  </sheetViews>
  <sheetFormatPr defaultRowHeight="12.75" x14ac:dyDescent="0.2"/>
  <cols>
    <col min="1" max="1" width="5.5703125" style="139" customWidth="1"/>
    <col min="2" max="2" width="38.42578125" style="139" bestFit="1" customWidth="1"/>
    <col min="3" max="8" width="6.7109375" style="139" customWidth="1"/>
    <col min="9" max="9" width="4.28515625" style="139" customWidth="1"/>
    <col min="10" max="10" width="5.5703125" style="139" bestFit="1" customWidth="1"/>
    <col min="11" max="13" width="9.140625" style="139" customWidth="1"/>
    <col min="14" max="16384" width="9.140625" style="139"/>
  </cols>
  <sheetData>
    <row r="1" spans="1:13" x14ac:dyDescent="0.2">
      <c r="A1" s="86" t="str">
        <f>UPPER((Kalend!E14)&amp;" - "&amp;(Kalend!C14)&amp;" - "&amp;(Kalend!D14))</f>
        <v>V5 - VOKA 1. SISE-KV 5. ETAPP - DUO</v>
      </c>
      <c r="E1" s="51" t="str">
        <f>HYPERLINK("#'Kalend'!I1","Kalender")</f>
        <v>Kalender</v>
      </c>
      <c r="G1" s="51" t="str">
        <f>HYPERLINK("#'V'!AE1","Reiting")</f>
        <v>Reiting</v>
      </c>
      <c r="H1" s="88"/>
      <c r="I1" s="88"/>
      <c r="K1" s="88"/>
      <c r="L1" s="88"/>
    </row>
    <row r="2" spans="1:13" x14ac:dyDescent="0.2">
      <c r="A2" s="186" t="str">
        <f>"Toimumisaeg: "&amp;(Kalend!A14)&amp;" kell "&amp;(Kalend!B14)</f>
        <v>Toimumisaeg: L, 09.12.2017 kell 11:00</v>
      </c>
    </row>
    <row r="3" spans="1:13" x14ac:dyDescent="0.2">
      <c r="A3" s="186" t="str">
        <f>"Toimumiskoht: "&amp;(Kalend!F14)</f>
        <v>Toimumiskoht: Voka petangihall</v>
      </c>
    </row>
    <row r="4" spans="1:13" x14ac:dyDescent="0.2">
      <c r="A4" s="186" t="str">
        <f>"Korraldaja: "&amp;(Kalend!G14)</f>
        <v>Korraldaja: Johannes Neiland</v>
      </c>
    </row>
    <row r="6" spans="1:13" s="188" customFormat="1" x14ac:dyDescent="0.2">
      <c r="A6" s="126" t="s">
        <v>66</v>
      </c>
      <c r="B6" s="126"/>
      <c r="C6" s="91">
        <v>1</v>
      </c>
      <c r="D6" s="91">
        <v>2</v>
      </c>
      <c r="E6" s="91">
        <v>3</v>
      </c>
      <c r="F6" s="91"/>
      <c r="G6" s="91" t="s">
        <v>73</v>
      </c>
      <c r="H6" s="91" t="s">
        <v>21</v>
      </c>
      <c r="I6" s="139"/>
      <c r="J6" s="139"/>
      <c r="K6" s="139"/>
      <c r="L6" s="139"/>
      <c r="M6" s="139"/>
    </row>
    <row r="7" spans="1:13" s="188" customFormat="1" x14ac:dyDescent="0.2">
      <c r="A7" s="126">
        <v>1</v>
      </c>
      <c r="B7" s="189" t="s">
        <v>172</v>
      </c>
      <c r="C7" s="127"/>
      <c r="D7" s="93">
        <v>13</v>
      </c>
      <c r="E7" s="93">
        <v>1</v>
      </c>
      <c r="F7" s="93"/>
      <c r="G7" s="132" t="s">
        <v>74</v>
      </c>
      <c r="H7" s="131" t="s">
        <v>76</v>
      </c>
      <c r="I7" s="139"/>
      <c r="J7" s="139"/>
      <c r="K7" s="139"/>
      <c r="L7" s="139"/>
      <c r="M7" s="139"/>
    </row>
    <row r="8" spans="1:13" s="188" customFormat="1" x14ac:dyDescent="0.2">
      <c r="A8" s="126">
        <v>2</v>
      </c>
      <c r="B8" s="189" t="s">
        <v>287</v>
      </c>
      <c r="C8" s="128">
        <v>10</v>
      </c>
      <c r="D8" s="127"/>
      <c r="E8" s="93">
        <v>11</v>
      </c>
      <c r="F8" s="93"/>
      <c r="G8" s="132" t="s">
        <v>78</v>
      </c>
      <c r="H8" s="131" t="s">
        <v>93</v>
      </c>
      <c r="I8" s="139"/>
      <c r="J8" s="139"/>
      <c r="K8" s="139"/>
      <c r="L8" s="139"/>
      <c r="M8" s="139"/>
    </row>
    <row r="9" spans="1:13" s="188" customFormat="1" x14ac:dyDescent="0.2">
      <c r="A9" s="126">
        <v>3</v>
      </c>
      <c r="B9" s="189" t="s">
        <v>115</v>
      </c>
      <c r="C9" s="93">
        <v>13</v>
      </c>
      <c r="D9" s="311">
        <v>13</v>
      </c>
      <c r="E9" s="127"/>
      <c r="F9" s="93"/>
      <c r="G9" s="132" t="s">
        <v>77</v>
      </c>
      <c r="H9" s="131" t="s">
        <v>84</v>
      </c>
      <c r="I9" s="139"/>
      <c r="J9" s="139"/>
      <c r="K9" s="139"/>
      <c r="L9" s="139"/>
      <c r="M9" s="139"/>
    </row>
    <row r="10" spans="1:13" s="188" customFormat="1" hidden="1" x14ac:dyDescent="0.2">
      <c r="A10" s="139"/>
      <c r="B10" s="139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</row>
    <row r="11" spans="1:13" x14ac:dyDescent="0.2">
      <c r="A11" s="87"/>
      <c r="B11" s="413" t="s">
        <v>70</v>
      </c>
      <c r="C11" s="309"/>
      <c r="D11" s="309"/>
      <c r="E11" s="309"/>
      <c r="F11" s="310"/>
      <c r="G11" s="309"/>
      <c r="H11" s="420" t="s">
        <v>70</v>
      </c>
    </row>
    <row r="12" spans="1:13" s="188" customFormat="1" x14ac:dyDescent="0.2">
      <c r="A12" s="126" t="s">
        <v>90</v>
      </c>
      <c r="B12" s="126"/>
      <c r="C12" s="91">
        <v>1</v>
      </c>
      <c r="D12" s="91">
        <v>2</v>
      </c>
      <c r="E12" s="91">
        <v>3</v>
      </c>
      <c r="F12" s="91">
        <v>4</v>
      </c>
      <c r="G12" s="91" t="s">
        <v>73</v>
      </c>
      <c r="H12" s="91" t="s">
        <v>21</v>
      </c>
      <c r="I12" s="139"/>
      <c r="J12" s="139"/>
      <c r="K12" s="139"/>
      <c r="L12" s="139"/>
      <c r="M12" s="139"/>
    </row>
    <row r="13" spans="1:13" s="188" customFormat="1" x14ac:dyDescent="0.2">
      <c r="A13" s="126">
        <v>1</v>
      </c>
      <c r="B13" s="189" t="s">
        <v>612</v>
      </c>
      <c r="C13" s="127"/>
      <c r="D13" s="93">
        <v>9</v>
      </c>
      <c r="E13" s="93">
        <v>1</v>
      </c>
      <c r="F13" s="93">
        <v>1</v>
      </c>
      <c r="G13" s="132" t="s">
        <v>119</v>
      </c>
      <c r="H13" s="131" t="s">
        <v>189</v>
      </c>
      <c r="I13" s="139"/>
      <c r="J13" s="139"/>
      <c r="K13" s="139"/>
      <c r="L13" s="139"/>
      <c r="M13" s="139"/>
    </row>
    <row r="14" spans="1:13" s="188" customFormat="1" x14ac:dyDescent="0.2">
      <c r="A14" s="126">
        <v>2</v>
      </c>
      <c r="B14" s="189" t="s">
        <v>286</v>
      </c>
      <c r="C14" s="128">
        <v>13</v>
      </c>
      <c r="D14" s="127"/>
      <c r="E14" s="93">
        <v>11</v>
      </c>
      <c r="F14" s="93">
        <v>12</v>
      </c>
      <c r="G14" s="132" t="s">
        <v>92</v>
      </c>
      <c r="H14" s="131" t="s">
        <v>94</v>
      </c>
      <c r="I14" s="139"/>
      <c r="J14" s="139"/>
      <c r="K14" s="139"/>
      <c r="L14" s="139"/>
      <c r="M14" s="139"/>
    </row>
    <row r="15" spans="1:13" s="188" customFormat="1" x14ac:dyDescent="0.2">
      <c r="A15" s="126">
        <v>3</v>
      </c>
      <c r="B15" s="189" t="s">
        <v>285</v>
      </c>
      <c r="C15" s="93">
        <v>13</v>
      </c>
      <c r="D15" s="311">
        <v>13</v>
      </c>
      <c r="E15" s="127"/>
      <c r="F15" s="93">
        <v>13</v>
      </c>
      <c r="G15" s="132" t="s">
        <v>125</v>
      </c>
      <c r="H15" s="131" t="s">
        <v>86</v>
      </c>
      <c r="I15" s="139"/>
      <c r="J15" s="139"/>
      <c r="K15" s="139"/>
      <c r="L15" s="139"/>
      <c r="M15" s="139"/>
    </row>
    <row r="16" spans="1:13" s="188" customFormat="1" x14ac:dyDescent="0.2">
      <c r="A16" s="126">
        <v>4</v>
      </c>
      <c r="B16" s="189" t="s">
        <v>293</v>
      </c>
      <c r="C16" s="93">
        <v>13</v>
      </c>
      <c r="D16" s="93">
        <v>13</v>
      </c>
      <c r="E16" s="93">
        <v>6</v>
      </c>
      <c r="F16" s="127"/>
      <c r="G16" s="132" t="s">
        <v>91</v>
      </c>
      <c r="H16" s="131" t="s">
        <v>71</v>
      </c>
      <c r="I16" s="139"/>
      <c r="J16" s="139"/>
      <c r="K16" s="139"/>
      <c r="L16" s="139"/>
      <c r="M16" s="139"/>
    </row>
    <row r="17" spans="1:13" x14ac:dyDescent="0.2">
      <c r="A17" s="186"/>
      <c r="B17" s="186"/>
      <c r="C17" s="186"/>
      <c r="D17" s="186"/>
      <c r="E17" s="186"/>
      <c r="F17" s="186"/>
      <c r="G17" s="186"/>
      <c r="H17" s="186"/>
    </row>
    <row r="18" spans="1:13" s="188" customFormat="1" x14ac:dyDescent="0.2">
      <c r="A18" s="126" t="s">
        <v>166</v>
      </c>
      <c r="B18" s="126"/>
      <c r="C18" s="91">
        <v>1</v>
      </c>
      <c r="D18" s="91">
        <v>2</v>
      </c>
      <c r="E18" s="91">
        <v>3</v>
      </c>
      <c r="F18" s="91">
        <v>4</v>
      </c>
      <c r="G18" s="91" t="s">
        <v>73</v>
      </c>
      <c r="H18" s="91" t="s">
        <v>21</v>
      </c>
      <c r="I18" s="139"/>
      <c r="J18" s="139"/>
      <c r="K18" s="139"/>
      <c r="L18" s="139"/>
      <c r="M18" s="139"/>
    </row>
    <row r="19" spans="1:13" s="188" customFormat="1" x14ac:dyDescent="0.2">
      <c r="A19" s="126">
        <v>1</v>
      </c>
      <c r="B19" s="189" t="s">
        <v>130</v>
      </c>
      <c r="C19" s="127"/>
      <c r="D19" s="316">
        <v>1</v>
      </c>
      <c r="E19" s="93">
        <v>7</v>
      </c>
      <c r="F19" s="316">
        <v>13</v>
      </c>
      <c r="G19" s="317" t="s">
        <v>92</v>
      </c>
      <c r="H19" s="131" t="s">
        <v>122</v>
      </c>
      <c r="I19" s="1184" t="s">
        <v>298</v>
      </c>
      <c r="J19" s="427" t="s">
        <v>294</v>
      </c>
      <c r="K19" s="139"/>
      <c r="L19" s="139"/>
      <c r="M19" s="139"/>
    </row>
    <row r="20" spans="1:13" s="188" customFormat="1" x14ac:dyDescent="0.2">
      <c r="A20" s="126">
        <v>2</v>
      </c>
      <c r="B20" s="189" t="s">
        <v>170</v>
      </c>
      <c r="C20" s="316">
        <v>13</v>
      </c>
      <c r="D20" s="127"/>
      <c r="E20" s="93">
        <v>11</v>
      </c>
      <c r="F20" s="316">
        <v>3</v>
      </c>
      <c r="G20" s="317" t="s">
        <v>92</v>
      </c>
      <c r="H20" s="131" t="s">
        <v>118</v>
      </c>
      <c r="I20" s="1184" t="s">
        <v>299</v>
      </c>
      <c r="J20" s="427" t="s">
        <v>295</v>
      </c>
      <c r="K20" s="139"/>
      <c r="L20" s="139"/>
      <c r="M20" s="139"/>
    </row>
    <row r="21" spans="1:13" s="188" customFormat="1" x14ac:dyDescent="0.2">
      <c r="A21" s="126">
        <v>3</v>
      </c>
      <c r="B21" s="104" t="s">
        <v>284</v>
      </c>
      <c r="C21" s="93">
        <v>13</v>
      </c>
      <c r="D21" s="311">
        <v>13</v>
      </c>
      <c r="E21" s="127"/>
      <c r="F21" s="93">
        <v>13</v>
      </c>
      <c r="G21" s="132" t="s">
        <v>125</v>
      </c>
      <c r="H21" s="131" t="s">
        <v>85</v>
      </c>
      <c r="I21" s="425"/>
      <c r="J21" s="426"/>
      <c r="K21" s="139"/>
      <c r="L21" s="139"/>
      <c r="M21" s="139"/>
    </row>
    <row r="22" spans="1:13" s="188" customFormat="1" x14ac:dyDescent="0.2">
      <c r="A22" s="126">
        <v>4</v>
      </c>
      <c r="B22" s="189" t="s">
        <v>117</v>
      </c>
      <c r="C22" s="316">
        <v>9</v>
      </c>
      <c r="D22" s="316">
        <v>13</v>
      </c>
      <c r="E22" s="93">
        <v>8</v>
      </c>
      <c r="F22" s="127"/>
      <c r="G22" s="317" t="s">
        <v>92</v>
      </c>
      <c r="H22" s="131" t="s">
        <v>75</v>
      </c>
      <c r="I22" s="1184" t="s">
        <v>297</v>
      </c>
      <c r="J22" s="427" t="s">
        <v>296</v>
      </c>
      <c r="K22" s="139"/>
      <c r="L22" s="139"/>
      <c r="M22" s="139"/>
    </row>
    <row r="23" spans="1:13" s="188" customFormat="1" x14ac:dyDescent="0.2">
      <c r="A23" s="95"/>
      <c r="B23" s="410"/>
      <c r="C23" s="97"/>
      <c r="D23" s="97"/>
      <c r="E23" s="97"/>
      <c r="F23" s="97"/>
      <c r="G23" s="402"/>
    </row>
    <row r="24" spans="1:13" s="88" customFormat="1" x14ac:dyDescent="0.2">
      <c r="A24" s="214" t="s">
        <v>72</v>
      </c>
      <c r="B24" s="99"/>
      <c r="C24" s="96"/>
      <c r="D24" s="96"/>
      <c r="E24" s="96"/>
      <c r="F24" s="97"/>
      <c r="G24" s="98"/>
    </row>
    <row r="25" spans="1:13" s="88" customFormat="1" x14ac:dyDescent="0.2"/>
    <row r="26" spans="1:13" s="88" customFormat="1" x14ac:dyDescent="0.2">
      <c r="A26" s="106" t="s">
        <v>76</v>
      </c>
      <c r="B26" s="404" t="str">
        <f>IFERROR(INDEX(B$7:B$22,MATCH(A26,H$7:H$22,0)),"")</f>
        <v>Boriss Klubov, Elmo Lageda</v>
      </c>
      <c r="C26" s="120">
        <v>13</v>
      </c>
      <c r="M26" s="88" t="s">
        <v>231</v>
      </c>
    </row>
    <row r="27" spans="1:13" s="88" customFormat="1" x14ac:dyDescent="0.2">
      <c r="A27" s="107"/>
      <c r="B27" s="423"/>
      <c r="C27" s="400" t="str">
        <f>IF(COUNT(C26,C28)=2,IF(C26&gt;C28,B26,B28),"")</f>
        <v>Boriss Klubov, Elmo Lageda</v>
      </c>
      <c r="E27" s="120">
        <v>8</v>
      </c>
      <c r="M27" s="88" t="s">
        <v>231</v>
      </c>
    </row>
    <row r="28" spans="1:13" s="88" customFormat="1" x14ac:dyDescent="0.2">
      <c r="A28" s="107" t="s">
        <v>75</v>
      </c>
      <c r="B28" s="406" t="str">
        <f>IFERROR(INDEX(B$7:B$22,MATCH(A28,H$7:H$22,0)),"")</f>
        <v>Ljudmila Varendi, Viktor Švarõgin</v>
      </c>
      <c r="C28" s="110">
        <v>6</v>
      </c>
      <c r="D28" s="111"/>
    </row>
    <row r="29" spans="1:13" s="88" customFormat="1" x14ac:dyDescent="0.2">
      <c r="A29" s="107"/>
      <c r="B29" s="407"/>
      <c r="D29" s="112"/>
      <c r="E29" s="400" t="str">
        <f>IF(COUNT(E27,E31)=2,IF(E27&gt;E31,C27,C31),"")</f>
        <v>Johannes Neiland, Meelis Luud</v>
      </c>
      <c r="G29" s="429">
        <v>0</v>
      </c>
    </row>
    <row r="30" spans="1:13" s="88" customFormat="1" x14ac:dyDescent="0.2">
      <c r="A30" s="107" t="s">
        <v>86</v>
      </c>
      <c r="B30" s="404" t="str">
        <f>IFERROR(INDEX(B$7:B$22,MATCH(A30,H$7:H$22,0)),"")</f>
        <v>Johannes Neiland, Meelis Luud</v>
      </c>
      <c r="C30" s="120">
        <f>IF(B30="-",0,IF(B32="-",13,""))</f>
        <v>13</v>
      </c>
      <c r="D30" s="112"/>
      <c r="E30" s="216"/>
      <c r="F30" s="111"/>
    </row>
    <row r="31" spans="1:13" s="88" customFormat="1" x14ac:dyDescent="0.2">
      <c r="A31" s="107"/>
      <c r="B31" s="423"/>
      <c r="C31" s="400" t="str">
        <f>IF(COUNT(C30,C32)=2,IF(C30&gt;C32,B30,B32),"")</f>
        <v>Johannes Neiland, Meelis Luud</v>
      </c>
      <c r="D31" s="377"/>
      <c r="E31" s="110">
        <v>13</v>
      </c>
      <c r="F31" s="112"/>
    </row>
    <row r="32" spans="1:13" s="88" customFormat="1" x14ac:dyDescent="0.2">
      <c r="A32" s="107" t="s">
        <v>70</v>
      </c>
      <c r="B32" s="406" t="str">
        <f>IFERROR(INDEX(B$7:B$22,MATCH(A32,H$7:H$22,0)),"")</f>
        <v>-</v>
      </c>
      <c r="C32" s="110">
        <f>IF(B32="-",0,IF(B30="-",13,""))</f>
        <v>0</v>
      </c>
      <c r="E32" s="99"/>
      <c r="F32" s="112"/>
    </row>
    <row r="33" spans="1:9" s="88" customFormat="1" ht="13.5" thickBot="1" x14ac:dyDescent="0.25">
      <c r="A33" s="87"/>
      <c r="B33" s="407"/>
      <c r="E33" s="99"/>
      <c r="F33" s="112"/>
      <c r="H33" s="184" t="str">
        <f>IF(COUNT(G29,G37)=2,IF(G29&gt;G37,E29,E37),"")</f>
        <v>Argo Sepp, Jaan Sepp</v>
      </c>
    </row>
    <row r="34" spans="1:9" s="88" customFormat="1" x14ac:dyDescent="0.2">
      <c r="A34" s="106" t="s">
        <v>85</v>
      </c>
      <c r="B34" s="404" t="str">
        <f>IFERROR(INDEX(B$7:B$22,MATCH(A34,H$7:H$22,0)),"")</f>
        <v>Argo Sepp, Jaan Sepp</v>
      </c>
      <c r="C34" s="120">
        <f>IF(B34="-",0,IF(B36="-",13,""))</f>
        <v>13</v>
      </c>
      <c r="F34" s="112"/>
      <c r="G34" s="114"/>
      <c r="H34" s="379" t="s">
        <v>275</v>
      </c>
      <c r="I34" s="378"/>
    </row>
    <row r="35" spans="1:9" s="88" customFormat="1" x14ac:dyDescent="0.2">
      <c r="A35" s="107"/>
      <c r="B35" s="423"/>
      <c r="C35" s="400" t="str">
        <f>IF(COUNT(C34,C36)=2,IF(C34&gt;C36,B34,B36),"")</f>
        <v>Argo Sepp, Jaan Sepp</v>
      </c>
      <c r="E35" s="120">
        <v>13</v>
      </c>
      <c r="F35" s="112"/>
      <c r="G35" s="99"/>
    </row>
    <row r="36" spans="1:9" s="88" customFormat="1" x14ac:dyDescent="0.2">
      <c r="A36" s="107" t="s">
        <v>70</v>
      </c>
      <c r="B36" s="406" t="str">
        <f>IFERROR(INDEX(B$7:B$22,MATCH(A36,H$7:H$22,0)),"")</f>
        <v>-</v>
      </c>
      <c r="C36" s="110">
        <f>IF(B36="-",0,IF(B34="-",13,""))</f>
        <v>0</v>
      </c>
      <c r="D36" s="111"/>
      <c r="F36" s="112"/>
      <c r="G36" s="99"/>
    </row>
    <row r="37" spans="1:9" s="88" customFormat="1" x14ac:dyDescent="0.2">
      <c r="A37" s="107"/>
      <c r="B37" s="407"/>
      <c r="D37" s="112"/>
      <c r="E37" s="400" t="str">
        <f>IF(COUNT(E35,E39)=2,IF(E35&gt;E39,C35,C39),"")</f>
        <v>Argo Sepp, Jaan Sepp</v>
      </c>
      <c r="F37" s="377"/>
      <c r="G37" s="110">
        <v>13</v>
      </c>
    </row>
    <row r="38" spans="1:9" s="88" customFormat="1" ht="13.5" thickBot="1" x14ac:dyDescent="0.25">
      <c r="A38" s="107" t="s">
        <v>84</v>
      </c>
      <c r="B38" s="404" t="str">
        <f>IFERROR(INDEX(B$7:B$22,MATCH(A38,H$7:H$22,0)),"")</f>
        <v>Andres Veski, Svetlana Veski</v>
      </c>
      <c r="C38" s="120">
        <v>13</v>
      </c>
      <c r="D38" s="112"/>
      <c r="E38" s="216"/>
      <c r="F38" s="99"/>
      <c r="G38" s="99"/>
      <c r="H38" s="184" t="str">
        <f>IF(COUNT(G29,G37)=2,IF(G29&lt;G37,E29,E37),"")</f>
        <v>Johannes Neiland, Meelis Luud</v>
      </c>
      <c r="I38" s="119"/>
    </row>
    <row r="39" spans="1:9" s="88" customFormat="1" x14ac:dyDescent="0.2">
      <c r="A39" s="107"/>
      <c r="B39" s="423"/>
      <c r="C39" s="400" t="str">
        <f>IF(COUNT(C38,C40)=2,IF(C38&gt;C40,B38,B40),"")</f>
        <v>Andres Veski, Svetlana Veski</v>
      </c>
      <c r="D39" s="377"/>
      <c r="E39" s="110">
        <v>5</v>
      </c>
      <c r="G39" s="99"/>
      <c r="H39" s="379" t="s">
        <v>276</v>
      </c>
      <c r="I39" s="99"/>
    </row>
    <row r="40" spans="1:9" s="88" customFormat="1" x14ac:dyDescent="0.2">
      <c r="A40" s="107" t="s">
        <v>71</v>
      </c>
      <c r="B40" s="406" t="str">
        <f>IFERROR(INDEX(B$7:B$22,MATCH(A40,H$7:H$22,0)),"")</f>
        <v>Oleg Rõndenkov, Tomas Kivestu</v>
      </c>
      <c r="C40" s="110">
        <v>4</v>
      </c>
      <c r="E40" s="99"/>
      <c r="F40" s="99"/>
      <c r="G40" s="99"/>
    </row>
    <row r="41" spans="1:9" s="88" customFormat="1" x14ac:dyDescent="0.2">
      <c r="A41" s="87"/>
      <c r="B41" s="407"/>
      <c r="E41" s="217" t="str">
        <f>IF(COUNT(E27,E31)=2,IF(E27&lt;E31,C27,C31),"")</f>
        <v>Boriss Klubov, Elmo Lageda</v>
      </c>
      <c r="G41" s="120">
        <v>13</v>
      </c>
    </row>
    <row r="42" spans="1:9" s="88" customFormat="1" ht="13.5" thickBot="1" x14ac:dyDescent="0.25">
      <c r="E42" s="108"/>
      <c r="F42" s="111"/>
      <c r="G42" s="119"/>
      <c r="H42" s="184" t="str">
        <f>IF(COUNT(G41,G43)=2,IF(G41&gt;G43,E41,E43),"")</f>
        <v>Boriss Klubov, Elmo Lageda</v>
      </c>
      <c r="I42" s="119"/>
    </row>
    <row r="43" spans="1:9" s="88" customFormat="1" x14ac:dyDescent="0.2">
      <c r="E43" s="399" t="str">
        <f>IF(COUNT(E35,E39)=2,IF(E35&lt;E39,C35,C39),"")</f>
        <v>Andres Veski, Svetlana Veski</v>
      </c>
      <c r="F43" s="377"/>
      <c r="G43" s="430">
        <v>0</v>
      </c>
      <c r="H43" s="121" t="s">
        <v>277</v>
      </c>
      <c r="I43" s="99"/>
    </row>
    <row r="44" spans="1:9" s="88" customFormat="1" x14ac:dyDescent="0.2">
      <c r="H44" s="99"/>
      <c r="I44" s="99"/>
    </row>
    <row r="45" spans="1:9" s="88" customFormat="1" ht="13.5" thickBot="1" x14ac:dyDescent="0.25">
      <c r="E45" s="99"/>
      <c r="F45" s="99"/>
      <c r="H45" s="184" t="str">
        <f>IF(COUNT(G41,G43)=2,IF(G41&lt;G43,E41,E43),"")</f>
        <v>Andres Veski, Svetlana Veski</v>
      </c>
      <c r="I45" s="119"/>
    </row>
    <row r="46" spans="1:9" s="88" customFormat="1" x14ac:dyDescent="0.2">
      <c r="H46" s="87" t="s">
        <v>50</v>
      </c>
    </row>
    <row r="47" spans="1:9" s="88" customFormat="1" x14ac:dyDescent="0.2">
      <c r="C47" s="399" t="str">
        <f>IF(COUNT(C26,C28)=2,IF(C26&lt;C28,B26,B28),"")</f>
        <v>Ljudmila Varendi, Viktor Švarõgin</v>
      </c>
      <c r="E47" s="120">
        <f>IF(C47="-",0,IF(C49="-",13,""))</f>
        <v>13</v>
      </c>
      <c r="F47" s="120"/>
      <c r="G47" s="120"/>
    </row>
    <row r="48" spans="1:9" s="88" customFormat="1" x14ac:dyDescent="0.2">
      <c r="C48" s="219"/>
      <c r="D48" s="220"/>
      <c r="E48" s="400" t="str">
        <f>IF(COUNT(E47,E49)=2,IF(E47&gt;E49,C47,C49),"")</f>
        <v>Ljudmila Varendi, Viktor Švarõgin</v>
      </c>
      <c r="G48" s="120">
        <v>13</v>
      </c>
    </row>
    <row r="49" spans="1:9" s="88" customFormat="1" x14ac:dyDescent="0.2">
      <c r="C49" s="399" t="str">
        <f>IF(COUNT(C30,C32)=2,IF(C30&lt;C32,B30,B32),"")</f>
        <v>-</v>
      </c>
      <c r="D49" s="409"/>
      <c r="E49" s="110">
        <f>IF(C49="-",0,IF(C47="-",13,""))</f>
        <v>0</v>
      </c>
      <c r="F49" s="220"/>
      <c r="G49" s="120"/>
    </row>
    <row r="50" spans="1:9" s="88" customFormat="1" ht="13.5" thickBot="1" x14ac:dyDescent="0.25">
      <c r="C50" s="120"/>
      <c r="D50" s="120"/>
      <c r="E50" s="113"/>
      <c r="F50" s="221"/>
      <c r="G50" s="120"/>
      <c r="H50" s="184" t="str">
        <f>IF(COUNT(G48,G52)=2,IF(G48&gt;G52,E48,E52),"")</f>
        <v>Ljudmila Varendi, Viktor Švarõgin</v>
      </c>
    </row>
    <row r="51" spans="1:9" s="88" customFormat="1" x14ac:dyDescent="0.2">
      <c r="C51" s="399" t="str">
        <f>IF(COUNT(C34,C36)=2,IF(C34&lt;C36,B34,B36),"")</f>
        <v>-</v>
      </c>
      <c r="D51" s="120"/>
      <c r="E51" s="120">
        <f>IF(C51="-",0,IF(C53="-",13,""))</f>
        <v>0</v>
      </c>
      <c r="F51" s="221"/>
      <c r="G51" s="222"/>
      <c r="H51" s="379" t="s">
        <v>51</v>
      </c>
      <c r="I51" s="378"/>
    </row>
    <row r="52" spans="1:9" s="88" customFormat="1" x14ac:dyDescent="0.2">
      <c r="C52" s="219"/>
      <c r="D52" s="220"/>
      <c r="E52" s="400" t="str">
        <f>IF(COUNT(E51,E53)=2,IF(E51&gt;E53,C51,C53),"")</f>
        <v>Oleg Rõndenkov, Tomas Kivestu</v>
      </c>
      <c r="F52" s="377"/>
      <c r="G52" s="110">
        <v>6</v>
      </c>
    </row>
    <row r="53" spans="1:9" s="88" customFormat="1" ht="13.5" thickBot="1" x14ac:dyDescent="0.25">
      <c r="C53" s="399" t="str">
        <f>IF(COUNT(C38,C40)=2,IF(C38&lt;C40,B38,B40),"")</f>
        <v>Oleg Rõndenkov, Tomas Kivestu</v>
      </c>
      <c r="D53" s="409"/>
      <c r="E53" s="110">
        <f>IF(C53="-",0,IF(C51="-",13,""))</f>
        <v>13</v>
      </c>
      <c r="F53" s="120"/>
      <c r="G53" s="113"/>
      <c r="H53" s="184" t="str">
        <f>IF(COUNT(G48,G52)=2,IF(G48&lt;G52,E48,E52),"")</f>
        <v>Oleg Rõndenkov, Tomas Kivestu</v>
      </c>
      <c r="I53" s="119"/>
    </row>
    <row r="54" spans="1:9" s="88" customFormat="1" x14ac:dyDescent="0.2">
      <c r="C54" s="120"/>
      <c r="D54" s="120"/>
      <c r="E54" s="120"/>
      <c r="F54" s="120"/>
      <c r="G54" s="113"/>
      <c r="H54" s="379" t="s">
        <v>52</v>
      </c>
      <c r="I54" s="99"/>
    </row>
    <row r="55" spans="1:9" s="88" customFormat="1" x14ac:dyDescent="0.2">
      <c r="C55" s="120"/>
      <c r="D55" s="113"/>
      <c r="E55" s="217" t="str">
        <f>IF(COUNT(E47,E49)=2,IF(E47&lt;E49,C47,C49),"")</f>
        <v>-</v>
      </c>
      <c r="G55" s="120">
        <f>IF(E55="-",0,IF(E57="-",13,""))</f>
        <v>0</v>
      </c>
      <c r="H55" s="99"/>
      <c r="I55" s="99"/>
    </row>
    <row r="56" spans="1:9" s="88" customFormat="1" ht="13.5" thickBot="1" x14ac:dyDescent="0.25">
      <c r="C56" s="120"/>
      <c r="D56" s="113"/>
      <c r="E56" s="108"/>
      <c r="F56" s="111"/>
      <c r="G56" s="119"/>
      <c r="H56" s="184" t="str">
        <f>IF(COUNT(G55,G57)=2,IF(G55&gt;G57,E55,E57),"")</f>
        <v>-</v>
      </c>
      <c r="I56" s="119"/>
    </row>
    <row r="57" spans="1:9" s="88" customFormat="1" x14ac:dyDescent="0.2">
      <c r="C57" s="120"/>
      <c r="D57" s="113"/>
      <c r="E57" s="399" t="str">
        <f>IF(COUNT(E51,E53)=2,IF(E51&lt;E53,C51,C53),"")</f>
        <v>-</v>
      </c>
      <c r="F57" s="377"/>
      <c r="G57" s="110">
        <f>IF(E57="-",0,IF(E55="-",13,""))</f>
        <v>0</v>
      </c>
      <c r="H57" s="121"/>
      <c r="I57" s="99"/>
    </row>
    <row r="58" spans="1:9" s="88" customFormat="1" x14ac:dyDescent="0.2">
      <c r="D58" s="99"/>
      <c r="H58" s="99"/>
      <c r="I58" s="99"/>
    </row>
    <row r="59" spans="1:9" s="88" customFormat="1" ht="13.5" thickBot="1" x14ac:dyDescent="0.25">
      <c r="E59" s="99"/>
      <c r="F59" s="99"/>
      <c r="H59" s="119" t="str">
        <f>IF(COUNT(G55,G57)=2,IF(G55&lt;G57,E55,E57),"")</f>
        <v>-</v>
      </c>
      <c r="I59" s="119"/>
    </row>
    <row r="60" spans="1:9" s="188" customFormat="1" x14ac:dyDescent="0.2">
      <c r="A60" s="95"/>
      <c r="B60" s="410"/>
      <c r="C60" s="97"/>
      <c r="D60" s="97"/>
      <c r="E60" s="97"/>
      <c r="F60" s="97"/>
      <c r="G60" s="402"/>
    </row>
    <row r="61" spans="1:9" s="88" customFormat="1" x14ac:dyDescent="0.2">
      <c r="A61" s="214" t="s">
        <v>278</v>
      </c>
      <c r="B61" s="99"/>
      <c r="C61" s="96"/>
      <c r="D61" s="96"/>
      <c r="E61" s="96"/>
      <c r="F61" s="97"/>
      <c r="G61" s="98"/>
    </row>
    <row r="62" spans="1:9" s="88" customFormat="1" x14ac:dyDescent="0.2"/>
    <row r="63" spans="1:9" s="88" customFormat="1" x14ac:dyDescent="0.2">
      <c r="A63" s="106" t="s">
        <v>94</v>
      </c>
      <c r="B63" s="404" t="str">
        <f>IFERROR(INDEX(B$7:B$22,MATCH(A63,H$7:H$22,0)),"")</f>
        <v>Kenneth Muusikus, Taavi Press</v>
      </c>
      <c r="C63" s="120">
        <f>IF(B63="-",0,IF(B65="-",13,""))</f>
        <v>13</v>
      </c>
    </row>
    <row r="64" spans="1:9" s="88" customFormat="1" x14ac:dyDescent="0.2">
      <c r="A64" s="107"/>
      <c r="B64" s="423"/>
      <c r="C64" s="400" t="str">
        <f>IF(COUNT(C63,C65)=2,IF(C63&gt;C65,B63,B65),"")</f>
        <v>Kenneth Muusikus, Taavi Press</v>
      </c>
      <c r="E64" s="120">
        <v>13</v>
      </c>
    </row>
    <row r="65" spans="1:9" s="88" customFormat="1" x14ac:dyDescent="0.2">
      <c r="A65" s="107" t="s">
        <v>70</v>
      </c>
      <c r="B65" s="406" t="str">
        <f>IFERROR(INDEX(B$7:B$22,MATCH(A65,H$7:H$22,0)),"")</f>
        <v>-</v>
      </c>
      <c r="C65" s="110">
        <f>IF(B65="-",0,IF(B63="-",13,""))</f>
        <v>0</v>
      </c>
      <c r="D65" s="111"/>
    </row>
    <row r="66" spans="1:9" s="88" customFormat="1" x14ac:dyDescent="0.2">
      <c r="A66" s="107"/>
      <c r="B66" s="407"/>
      <c r="D66" s="112"/>
      <c r="E66" s="400" t="str">
        <f>IF(COUNT(E64,E68)=2,IF(E64&gt;E68,C64,C68),"")</f>
        <v>Kenneth Muusikus, Taavi Press</v>
      </c>
      <c r="G66" s="120">
        <v>13</v>
      </c>
    </row>
    <row r="67" spans="1:9" s="88" customFormat="1" x14ac:dyDescent="0.2">
      <c r="A67" s="107" t="s">
        <v>122</v>
      </c>
      <c r="B67" s="404" t="str">
        <f>IFERROR(INDEX(B$7:B$22,MATCH(A67,H$7:H$22,0)),"")</f>
        <v>Enn Tokman, Tarmo Bombe</v>
      </c>
      <c r="C67" s="120">
        <f>IF(B67="-",0,IF(B69="-",13,""))</f>
        <v>13</v>
      </c>
      <c r="D67" s="112"/>
      <c r="E67" s="216"/>
      <c r="F67" s="111"/>
    </row>
    <row r="68" spans="1:9" s="88" customFormat="1" x14ac:dyDescent="0.2">
      <c r="A68" s="107"/>
      <c r="B68" s="423"/>
      <c r="C68" s="400" t="str">
        <f>IF(COUNT(C67,C69)=2,IF(C67&gt;C69,B67,B69),"")</f>
        <v>Enn Tokman, Tarmo Bombe</v>
      </c>
      <c r="D68" s="377"/>
      <c r="E68" s="110">
        <v>7</v>
      </c>
      <c r="F68" s="112"/>
    </row>
    <row r="69" spans="1:9" s="88" customFormat="1" x14ac:dyDescent="0.2">
      <c r="A69" s="107" t="s">
        <v>70</v>
      </c>
      <c r="B69" s="406" t="str">
        <f>IFERROR(INDEX(B$7:B$22,MATCH(A69,H$7:H$22,0)),"")</f>
        <v>-</v>
      </c>
      <c r="C69" s="110">
        <f>IF(B69="-",0,IF(B67="-",13,""))</f>
        <v>0</v>
      </c>
      <c r="E69" s="99"/>
      <c r="F69" s="112"/>
    </row>
    <row r="70" spans="1:9" s="88" customFormat="1" ht="13.5" thickBot="1" x14ac:dyDescent="0.25">
      <c r="A70" s="87"/>
      <c r="B70" s="407"/>
      <c r="E70" s="99"/>
      <c r="F70" s="112"/>
      <c r="H70" s="184" t="str">
        <f>IF(COUNT(G66,G74)=2,IF(G66&gt;G74,E66,E74),"")</f>
        <v>Kenneth Muusikus, Taavi Press</v>
      </c>
    </row>
    <row r="71" spans="1:9" s="88" customFormat="1" x14ac:dyDescent="0.2">
      <c r="A71" s="106" t="s">
        <v>93</v>
      </c>
      <c r="B71" s="404" t="str">
        <f>IFERROR(INDEX(B$7:B$22,MATCH(A71,H$7:H$22,0)),"")</f>
        <v>Margus Vasser, Vello Vasser</v>
      </c>
      <c r="C71" s="120">
        <v>13</v>
      </c>
      <c r="F71" s="112"/>
      <c r="G71" s="114"/>
      <c r="H71" s="379" t="s">
        <v>53</v>
      </c>
      <c r="I71" s="378"/>
    </row>
    <row r="72" spans="1:9" s="88" customFormat="1" x14ac:dyDescent="0.2">
      <c r="A72" s="107"/>
      <c r="B72" s="423"/>
      <c r="C72" s="400" t="str">
        <f>IF(COUNT(C71,C73)=2,IF(C71&gt;C73,B71,B73),"")</f>
        <v>Margus Vasser, Vello Vasser</v>
      </c>
      <c r="E72" s="120">
        <v>9</v>
      </c>
      <c r="F72" s="112"/>
      <c r="G72" s="99"/>
    </row>
    <row r="73" spans="1:9" s="88" customFormat="1" x14ac:dyDescent="0.2">
      <c r="A73" s="107" t="s">
        <v>189</v>
      </c>
      <c r="B73" s="406" t="str">
        <f>IFERROR(INDEX(B$7:B$22,MATCH(A73,H$7:H$22,0)),"")</f>
        <v>Illar Tõnurist, Kati Tuzberg, Peep Peenema</v>
      </c>
      <c r="C73" s="110">
        <v>9</v>
      </c>
      <c r="D73" s="111"/>
      <c r="F73" s="112"/>
      <c r="G73" s="99"/>
    </row>
    <row r="74" spans="1:9" s="88" customFormat="1" x14ac:dyDescent="0.2">
      <c r="A74" s="107"/>
      <c r="B74" s="407"/>
      <c r="D74" s="112"/>
      <c r="E74" s="400" t="str">
        <f>IF(COUNT(E72,E76)=2,IF(E72&gt;E76,C72,C76),"")</f>
        <v>Karla Purgats, Lemmit Toomra</v>
      </c>
      <c r="F74" s="377"/>
      <c r="G74" s="430">
        <v>0</v>
      </c>
    </row>
    <row r="75" spans="1:9" s="88" customFormat="1" ht="13.5" thickBot="1" x14ac:dyDescent="0.25">
      <c r="A75" s="107" t="s">
        <v>118</v>
      </c>
      <c r="B75" s="404" t="str">
        <f>IFERROR(INDEX(B$7:B$22,MATCH(A75,H$7:H$22,0)),"")</f>
        <v>Karla Purgats, Lemmit Toomra</v>
      </c>
      <c r="C75" s="120">
        <f>IF(B75="-",0,IF(B77="-",13,""))</f>
        <v>13</v>
      </c>
      <c r="D75" s="112"/>
      <c r="E75" s="216"/>
      <c r="F75" s="99"/>
      <c r="G75" s="99"/>
      <c r="H75" s="184" t="str">
        <f>IF(COUNT(G66,G74)=2,IF(G66&lt;G74,E66,E74),"")</f>
        <v>Karla Purgats, Lemmit Toomra</v>
      </c>
      <c r="I75" s="119"/>
    </row>
    <row r="76" spans="1:9" s="88" customFormat="1" x14ac:dyDescent="0.2">
      <c r="A76" s="107"/>
      <c r="B76" s="423"/>
      <c r="C76" s="400" t="str">
        <f>IF(COUNT(C75,C77)=2,IF(C75&gt;C77,B75,B77),"")</f>
        <v>Karla Purgats, Lemmit Toomra</v>
      </c>
      <c r="D76" s="377"/>
      <c r="E76" s="110">
        <v>13</v>
      </c>
      <c r="G76" s="99"/>
      <c r="H76" s="379" t="s">
        <v>54</v>
      </c>
      <c r="I76" s="99"/>
    </row>
    <row r="77" spans="1:9" s="88" customFormat="1" x14ac:dyDescent="0.2">
      <c r="A77" s="107" t="s">
        <v>70</v>
      </c>
      <c r="B77" s="406" t="str">
        <f>IFERROR(INDEX(B$7:B$22,MATCH(A77,H$7:H$22,0)),"")</f>
        <v>-</v>
      </c>
      <c r="C77" s="110">
        <f>IF(B77="-",0,IF(B75="-",13,""))</f>
        <v>0</v>
      </c>
      <c r="E77" s="99"/>
      <c r="F77" s="99"/>
      <c r="G77" s="99"/>
    </row>
    <row r="78" spans="1:9" s="88" customFormat="1" x14ac:dyDescent="0.2">
      <c r="A78" s="87"/>
      <c r="B78" s="407"/>
      <c r="E78" s="217" t="str">
        <f>IF(COUNT(E64,E68)=2,IF(E64&lt;E68,C64,C68),"")</f>
        <v>Enn Tokman, Tarmo Bombe</v>
      </c>
      <c r="G78" s="120">
        <v>5</v>
      </c>
    </row>
    <row r="79" spans="1:9" s="88" customFormat="1" ht="13.5" thickBot="1" x14ac:dyDescent="0.25">
      <c r="E79" s="108"/>
      <c r="F79" s="111"/>
      <c r="G79" s="119"/>
      <c r="H79" s="184" t="str">
        <f>IF(COUNT(G78,G80)=2,IF(G78&gt;G80,E78,E80),"")</f>
        <v>Margus Vasser, Vello Vasser</v>
      </c>
      <c r="I79" s="119"/>
    </row>
    <row r="80" spans="1:9" s="88" customFormat="1" x14ac:dyDescent="0.2">
      <c r="E80" s="399" t="str">
        <f>IF(COUNT(E72,E76)=2,IF(E72&lt;E76,C72,C76),"")</f>
        <v>Margus Vasser, Vello Vasser</v>
      </c>
      <c r="F80" s="377"/>
      <c r="G80" s="110">
        <v>13</v>
      </c>
      <c r="H80" s="121" t="s">
        <v>55</v>
      </c>
      <c r="I80" s="99"/>
    </row>
    <row r="81" spans="2:9" s="88" customFormat="1" x14ac:dyDescent="0.2">
      <c r="H81" s="99"/>
      <c r="I81" s="99"/>
    </row>
    <row r="82" spans="2:9" s="88" customFormat="1" ht="13.5" thickBot="1" x14ac:dyDescent="0.25">
      <c r="E82" s="99"/>
      <c r="F82" s="99"/>
      <c r="H82" s="184" t="str">
        <f>IF(COUNT(G78,G80)=2,IF(G78&lt;G80,E78,E80),"")</f>
        <v>Enn Tokman, Tarmo Bombe</v>
      </c>
      <c r="I82" s="119"/>
    </row>
    <row r="83" spans="2:9" s="88" customFormat="1" x14ac:dyDescent="0.2">
      <c r="H83" s="87" t="s">
        <v>56</v>
      </c>
    </row>
    <row r="84" spans="2:9" s="88" customFormat="1" x14ac:dyDescent="0.2">
      <c r="H84" s="87"/>
    </row>
    <row r="85" spans="2:9" s="88" customFormat="1" ht="13.5" thickBot="1" x14ac:dyDescent="0.25">
      <c r="G85" s="228" t="s">
        <v>189</v>
      </c>
      <c r="H85" s="184" t="s">
        <v>612</v>
      </c>
      <c r="I85" s="119"/>
    </row>
    <row r="86" spans="2:9" s="88" customFormat="1" x14ac:dyDescent="0.2">
      <c r="F86" s="120"/>
      <c r="G86" s="120"/>
      <c r="H86" s="87" t="s">
        <v>57</v>
      </c>
    </row>
    <row r="87" spans="2:9" s="88" customFormat="1" hidden="1" x14ac:dyDescent="0.2">
      <c r="C87" s="264"/>
      <c r="D87" s="139"/>
      <c r="E87" s="139"/>
      <c r="F87" s="139"/>
      <c r="G87" s="139"/>
      <c r="H87" s="139"/>
      <c r="I87" s="139"/>
    </row>
    <row r="88" spans="2:9" s="88" customFormat="1" hidden="1" x14ac:dyDescent="0.2">
      <c r="C88" s="139"/>
      <c r="D88" s="139"/>
      <c r="E88" s="139"/>
      <c r="F88" s="139"/>
      <c r="G88" s="139"/>
      <c r="H88" s="139"/>
      <c r="I88" s="139"/>
    </row>
    <row r="89" spans="2:9" s="88" customFormat="1" hidden="1" x14ac:dyDescent="0.2">
      <c r="C89" s="139"/>
      <c r="D89" s="139"/>
      <c r="E89" s="139"/>
      <c r="F89" s="139"/>
      <c r="G89" s="139"/>
      <c r="H89" s="139"/>
      <c r="I89" s="139"/>
    </row>
    <row r="90" spans="2:9" s="88" customFormat="1" hidden="1" x14ac:dyDescent="0.2">
      <c r="C90" s="139"/>
      <c r="D90" s="139"/>
      <c r="E90" s="139"/>
      <c r="F90" s="139"/>
      <c r="G90" s="139"/>
      <c r="H90" s="139"/>
      <c r="I90" s="139"/>
    </row>
    <row r="91" spans="2:9" s="88" customFormat="1" hidden="1" x14ac:dyDescent="0.2">
      <c r="C91" s="139"/>
      <c r="D91" s="139"/>
      <c r="E91" s="139"/>
      <c r="F91" s="139"/>
      <c r="G91" s="139"/>
      <c r="H91" s="139"/>
      <c r="I91" s="139"/>
    </row>
    <row r="92" spans="2:9" s="88" customFormat="1" hidden="1" x14ac:dyDescent="0.2">
      <c r="C92" s="139"/>
      <c r="D92" s="139"/>
      <c r="E92" s="139"/>
      <c r="F92" s="139"/>
      <c r="G92" s="139"/>
      <c r="H92" s="139"/>
      <c r="I92" s="139"/>
    </row>
    <row r="93" spans="2:9" s="88" customFormat="1" hidden="1" x14ac:dyDescent="0.2">
      <c r="C93" s="139"/>
      <c r="D93" s="139"/>
      <c r="E93" s="139"/>
      <c r="F93" s="139"/>
      <c r="G93" s="139"/>
      <c r="H93" s="139"/>
      <c r="I93" s="139"/>
    </row>
    <row r="94" spans="2:9" s="349" customFormat="1" hidden="1" x14ac:dyDescent="0.2">
      <c r="B94" s="88"/>
      <c r="C94" s="139"/>
      <c r="D94" s="139"/>
      <c r="E94" s="139"/>
      <c r="F94" s="139"/>
      <c r="G94" s="139"/>
      <c r="H94" s="139"/>
      <c r="I94" s="139"/>
    </row>
    <row r="95" spans="2:9" hidden="1" x14ac:dyDescent="0.2">
      <c r="B95" s="88"/>
    </row>
    <row r="96" spans="2:9" hidden="1" x14ac:dyDescent="0.2">
      <c r="B96" s="88"/>
    </row>
    <row r="97" spans="3:5" hidden="1" x14ac:dyDescent="0.2"/>
    <row r="98" spans="3:5" hidden="1" x14ac:dyDescent="0.2">
      <c r="C98" s="88"/>
    </row>
    <row r="99" spans="3:5" hidden="1" x14ac:dyDescent="0.2">
      <c r="C99" s="88"/>
    </row>
    <row r="100" spans="3:5" hidden="1" x14ac:dyDescent="0.2">
      <c r="C100" s="88"/>
    </row>
    <row r="101" spans="3:5" hidden="1" x14ac:dyDescent="0.2">
      <c r="C101" s="88"/>
      <c r="D101" s="88"/>
      <c r="E101" s="88"/>
    </row>
    <row r="102" spans="3:5" hidden="1" x14ac:dyDescent="0.2">
      <c r="C102" s="88"/>
      <c r="D102" s="88"/>
      <c r="E102" s="88"/>
    </row>
    <row r="103" spans="3:5" hidden="1" x14ac:dyDescent="0.2">
      <c r="C103" s="88"/>
      <c r="D103" s="88"/>
      <c r="E103" s="88"/>
    </row>
    <row r="104" spans="3:5" hidden="1" x14ac:dyDescent="0.2">
      <c r="C104" s="88"/>
      <c r="D104" s="88"/>
      <c r="E104" s="88"/>
    </row>
    <row r="105" spans="3:5" hidden="1" x14ac:dyDescent="0.2">
      <c r="C105" s="88"/>
      <c r="D105" s="88"/>
      <c r="E105" s="88"/>
    </row>
    <row r="106" spans="3:5" hidden="1" x14ac:dyDescent="0.2">
      <c r="C106" s="88"/>
      <c r="D106" s="88"/>
      <c r="E106" s="88"/>
    </row>
    <row r="107" spans="3:5" hidden="1" x14ac:dyDescent="0.2">
      <c r="C107" s="88"/>
      <c r="D107" s="88"/>
      <c r="E107" s="88"/>
    </row>
    <row r="108" spans="3:5" hidden="1" x14ac:dyDescent="0.2">
      <c r="C108" s="88"/>
      <c r="D108" s="88"/>
      <c r="E108" s="88"/>
    </row>
    <row r="109" spans="3:5" hidden="1" x14ac:dyDescent="0.2">
      <c r="C109" s="88"/>
      <c r="D109" s="88"/>
      <c r="E109" s="88"/>
    </row>
    <row r="110" spans="3:5" hidden="1" x14ac:dyDescent="0.2">
      <c r="C110" s="88"/>
      <c r="D110" s="88"/>
      <c r="E110" s="88"/>
    </row>
    <row r="111" spans="3:5" hidden="1" x14ac:dyDescent="0.2">
      <c r="C111" s="88"/>
      <c r="D111" s="88"/>
      <c r="E111" s="88"/>
    </row>
    <row r="112" spans="3:5" hidden="1" x14ac:dyDescent="0.2">
      <c r="C112" s="88"/>
      <c r="D112" s="88"/>
      <c r="E112" s="88"/>
    </row>
    <row r="113" spans="3:5" hidden="1" x14ac:dyDescent="0.2">
      <c r="C113" s="88"/>
      <c r="D113" s="88"/>
      <c r="E113" s="88"/>
    </row>
    <row r="114" spans="3:5" hidden="1" x14ac:dyDescent="0.2">
      <c r="C114" s="88"/>
      <c r="D114" s="88"/>
      <c r="E114" s="88"/>
    </row>
    <row r="115" spans="3:5" hidden="1" x14ac:dyDescent="0.2">
      <c r="C115" s="88"/>
      <c r="D115" s="88"/>
      <c r="E115" s="88"/>
    </row>
    <row r="116" spans="3:5" hidden="1" x14ac:dyDescent="0.2">
      <c r="C116" s="88"/>
      <c r="D116" s="88"/>
      <c r="E116" s="88"/>
    </row>
    <row r="117" spans="3:5" hidden="1" x14ac:dyDescent="0.2">
      <c r="C117" s="88"/>
      <c r="D117" s="88"/>
      <c r="E117" s="88"/>
    </row>
    <row r="118" spans="3:5" hidden="1" x14ac:dyDescent="0.2">
      <c r="C118" s="88"/>
      <c r="D118" s="88"/>
      <c r="E118" s="88"/>
    </row>
    <row r="119" spans="3:5" hidden="1" x14ac:dyDescent="0.2">
      <c r="C119" s="88"/>
      <c r="D119" s="88"/>
      <c r="E119" s="88"/>
    </row>
    <row r="120" spans="3:5" hidden="1" x14ac:dyDescent="0.2">
      <c r="C120" s="88"/>
      <c r="D120" s="88"/>
      <c r="E120" s="88"/>
    </row>
    <row r="121" spans="3:5" hidden="1" x14ac:dyDescent="0.2">
      <c r="C121" s="88"/>
      <c r="D121" s="88"/>
      <c r="E121" s="88"/>
    </row>
    <row r="122" spans="3:5" hidden="1" x14ac:dyDescent="0.2">
      <c r="C122" s="88"/>
      <c r="D122" s="88"/>
      <c r="E122" s="88"/>
    </row>
    <row r="123" spans="3:5" hidden="1" x14ac:dyDescent="0.2">
      <c r="C123" s="88"/>
      <c r="D123" s="88"/>
      <c r="E123" s="88"/>
    </row>
    <row r="124" spans="3:5" hidden="1" x14ac:dyDescent="0.2">
      <c r="C124" s="88"/>
      <c r="D124" s="88"/>
      <c r="E124" s="88"/>
    </row>
    <row r="125" spans="3:5" hidden="1" x14ac:dyDescent="0.2">
      <c r="C125" s="88"/>
      <c r="D125" s="88"/>
      <c r="E125" s="88"/>
    </row>
    <row r="126" spans="3:5" hidden="1" x14ac:dyDescent="0.2">
      <c r="C126" s="88"/>
      <c r="D126" s="88"/>
      <c r="E126" s="88"/>
    </row>
    <row r="127" spans="3:5" hidden="1" x14ac:dyDescent="0.2">
      <c r="C127" s="88"/>
      <c r="D127" s="88"/>
      <c r="E127" s="88"/>
    </row>
    <row r="128" spans="3:5" hidden="1" x14ac:dyDescent="0.2">
      <c r="C128" s="88"/>
      <c r="D128" s="88"/>
      <c r="E128" s="88"/>
    </row>
    <row r="129" spans="3:5" hidden="1" x14ac:dyDescent="0.2">
      <c r="C129" s="88"/>
      <c r="D129" s="88"/>
      <c r="E129" s="88"/>
    </row>
    <row r="130" spans="3:5" hidden="1" x14ac:dyDescent="0.2">
      <c r="C130" s="88"/>
      <c r="D130" s="88"/>
      <c r="E130" s="88"/>
    </row>
    <row r="131" spans="3:5" hidden="1" x14ac:dyDescent="0.2">
      <c r="C131" s="88"/>
      <c r="D131" s="88"/>
      <c r="E131" s="88"/>
    </row>
    <row r="132" spans="3:5" hidden="1" x14ac:dyDescent="0.2">
      <c r="C132" s="88"/>
      <c r="D132" s="88"/>
      <c r="E132" s="88"/>
    </row>
    <row r="133" spans="3:5" hidden="1" x14ac:dyDescent="0.2">
      <c r="C133" s="88"/>
      <c r="D133" s="88"/>
      <c r="E133" s="88"/>
    </row>
    <row r="134" spans="3:5" hidden="1" x14ac:dyDescent="0.2">
      <c r="C134" s="88"/>
      <c r="D134" s="88"/>
      <c r="E134" s="88"/>
    </row>
    <row r="135" spans="3:5" hidden="1" x14ac:dyDescent="0.2">
      <c r="C135" s="88"/>
      <c r="D135" s="88"/>
      <c r="E135" s="88"/>
    </row>
    <row r="136" spans="3:5" hidden="1" x14ac:dyDescent="0.2">
      <c r="C136" s="88"/>
      <c r="D136" s="88"/>
      <c r="E136" s="88"/>
    </row>
    <row r="137" spans="3:5" hidden="1" x14ac:dyDescent="0.2">
      <c r="C137" s="88"/>
      <c r="D137" s="88"/>
      <c r="E137" s="88"/>
    </row>
    <row r="138" spans="3:5" hidden="1" x14ac:dyDescent="0.2">
      <c r="C138" s="88"/>
      <c r="D138" s="88"/>
      <c r="E138" s="88"/>
    </row>
    <row r="139" spans="3:5" hidden="1" x14ac:dyDescent="0.2">
      <c r="C139" s="88"/>
      <c r="D139" s="88"/>
      <c r="E139" s="88"/>
    </row>
    <row r="140" spans="3:5" hidden="1" x14ac:dyDescent="0.2">
      <c r="C140" s="88"/>
      <c r="D140" s="88"/>
      <c r="E140" s="88"/>
    </row>
    <row r="141" spans="3:5" hidden="1" x14ac:dyDescent="0.2">
      <c r="C141" s="88"/>
      <c r="D141" s="88"/>
      <c r="E141" s="88"/>
    </row>
    <row r="142" spans="3:5" hidden="1" x14ac:dyDescent="0.2">
      <c r="C142" s="88"/>
      <c r="D142" s="88"/>
      <c r="E142" s="88"/>
    </row>
    <row r="143" spans="3:5" hidden="1" x14ac:dyDescent="0.2">
      <c r="C143" s="88"/>
      <c r="D143" s="88"/>
      <c r="E143" s="88"/>
    </row>
    <row r="144" spans="3:5" hidden="1" x14ac:dyDescent="0.2">
      <c r="C144" s="88"/>
      <c r="D144" s="88"/>
      <c r="E144" s="88"/>
    </row>
    <row r="145" spans="3:5" hidden="1" x14ac:dyDescent="0.2">
      <c r="C145" s="88"/>
      <c r="D145" s="88"/>
      <c r="E145" s="88"/>
    </row>
    <row r="146" spans="3:5" hidden="1" x14ac:dyDescent="0.2">
      <c r="C146" s="88"/>
      <c r="D146" s="88"/>
      <c r="E146" s="88"/>
    </row>
    <row r="147" spans="3:5" hidden="1" x14ac:dyDescent="0.2">
      <c r="C147" s="88"/>
      <c r="D147" s="88"/>
      <c r="E147" s="88"/>
    </row>
    <row r="148" spans="3:5" hidden="1" x14ac:dyDescent="0.2">
      <c r="C148" s="88"/>
      <c r="D148" s="88"/>
      <c r="E148" s="88"/>
    </row>
    <row r="149" spans="3:5" hidden="1" x14ac:dyDescent="0.2">
      <c r="C149" s="88"/>
      <c r="D149" s="88"/>
      <c r="E149" s="88"/>
    </row>
    <row r="150" spans="3:5" hidden="1" x14ac:dyDescent="0.2">
      <c r="C150" s="88"/>
      <c r="D150" s="88"/>
      <c r="E150" s="88"/>
    </row>
    <row r="151" spans="3:5" hidden="1" x14ac:dyDescent="0.2">
      <c r="C151" s="88"/>
      <c r="D151" s="88"/>
      <c r="E151" s="88"/>
    </row>
    <row r="152" spans="3:5" hidden="1" x14ac:dyDescent="0.2">
      <c r="C152" s="88"/>
      <c r="D152" s="88"/>
      <c r="E152" s="88"/>
    </row>
    <row r="153" spans="3:5" hidden="1" x14ac:dyDescent="0.2">
      <c r="C153" s="88"/>
      <c r="D153" s="88"/>
      <c r="E153" s="88"/>
    </row>
    <row r="154" spans="3:5" hidden="1" x14ac:dyDescent="0.2">
      <c r="C154" s="88"/>
      <c r="D154" s="88"/>
      <c r="E154" s="88"/>
    </row>
    <row r="155" spans="3:5" hidden="1" x14ac:dyDescent="0.2">
      <c r="C155" s="88"/>
      <c r="D155" s="88"/>
      <c r="E155" s="88"/>
    </row>
    <row r="156" spans="3:5" hidden="1" x14ac:dyDescent="0.2">
      <c r="C156" s="88"/>
      <c r="D156" s="88"/>
      <c r="E156" s="88"/>
    </row>
    <row r="157" spans="3:5" hidden="1" x14ac:dyDescent="0.2">
      <c r="C157" s="88"/>
      <c r="D157" s="88"/>
      <c r="E157" s="88"/>
    </row>
    <row r="158" spans="3:5" hidden="1" x14ac:dyDescent="0.2">
      <c r="C158" s="88"/>
      <c r="D158" s="88"/>
      <c r="E158" s="88"/>
    </row>
    <row r="159" spans="3:5" hidden="1" x14ac:dyDescent="0.2">
      <c r="C159" s="88"/>
      <c r="D159" s="88"/>
      <c r="E159" s="88"/>
    </row>
    <row r="160" spans="3:5" hidden="1" x14ac:dyDescent="0.2">
      <c r="C160" s="88"/>
      <c r="D160" s="88"/>
      <c r="E160" s="88"/>
    </row>
    <row r="161" spans="3:5" hidden="1" x14ac:dyDescent="0.2">
      <c r="C161" s="88"/>
      <c r="D161" s="88"/>
      <c r="E161" s="88"/>
    </row>
    <row r="162" spans="3:5" hidden="1" x14ac:dyDescent="0.2">
      <c r="C162" s="88"/>
      <c r="D162" s="88"/>
      <c r="E162" s="88"/>
    </row>
    <row r="163" spans="3:5" hidden="1" x14ac:dyDescent="0.2">
      <c r="C163" s="88"/>
      <c r="D163" s="88"/>
      <c r="E163" s="88"/>
    </row>
    <row r="164" spans="3:5" hidden="1" x14ac:dyDescent="0.2">
      <c r="C164" s="88"/>
      <c r="D164" s="88"/>
      <c r="E164" s="88"/>
    </row>
    <row r="165" spans="3:5" hidden="1" x14ac:dyDescent="0.2">
      <c r="C165" s="88"/>
      <c r="D165" s="88"/>
      <c r="E165" s="88"/>
    </row>
    <row r="166" spans="3:5" hidden="1" x14ac:dyDescent="0.2">
      <c r="C166" s="88"/>
      <c r="D166" s="88"/>
      <c r="E166" s="88"/>
    </row>
    <row r="167" spans="3:5" hidden="1" x14ac:dyDescent="0.2">
      <c r="C167" s="88"/>
      <c r="D167" s="88"/>
      <c r="E167" s="88"/>
    </row>
    <row r="168" spans="3:5" hidden="1" x14ac:dyDescent="0.2">
      <c r="C168" s="88"/>
      <c r="D168" s="88"/>
      <c r="E168" s="88"/>
    </row>
    <row r="169" spans="3:5" hidden="1" x14ac:dyDescent="0.2">
      <c r="C169" s="88"/>
      <c r="D169" s="88"/>
      <c r="E169" s="88"/>
    </row>
    <row r="170" spans="3:5" hidden="1" x14ac:dyDescent="0.2">
      <c r="C170" s="88"/>
      <c r="D170" s="88"/>
      <c r="E170" s="88"/>
    </row>
    <row r="171" spans="3:5" hidden="1" x14ac:dyDescent="0.2">
      <c r="C171" s="88"/>
      <c r="D171" s="88"/>
      <c r="E171" s="88"/>
    </row>
    <row r="172" spans="3:5" hidden="1" x14ac:dyDescent="0.2">
      <c r="C172" s="88"/>
      <c r="D172" s="88"/>
      <c r="E172" s="88"/>
    </row>
    <row r="173" spans="3:5" hidden="1" x14ac:dyDescent="0.2">
      <c r="C173" s="88"/>
      <c r="D173" s="88"/>
      <c r="E173" s="88"/>
    </row>
    <row r="174" spans="3:5" hidden="1" x14ac:dyDescent="0.2">
      <c r="C174" s="88"/>
      <c r="D174" s="88"/>
      <c r="E174" s="88"/>
    </row>
    <row r="175" spans="3:5" hidden="1" x14ac:dyDescent="0.2">
      <c r="C175" s="88"/>
      <c r="D175" s="88"/>
      <c r="E175" s="88"/>
    </row>
    <row r="176" spans="3:5" hidden="1" x14ac:dyDescent="0.2">
      <c r="C176" s="88"/>
      <c r="D176" s="88"/>
      <c r="E176" s="88"/>
    </row>
    <row r="177" spans="3:5" hidden="1" x14ac:dyDescent="0.2">
      <c r="C177" s="88"/>
      <c r="D177" s="88"/>
      <c r="E177" s="88"/>
    </row>
    <row r="178" spans="3:5" hidden="1" x14ac:dyDescent="0.2">
      <c r="C178" s="88"/>
      <c r="D178" s="88"/>
      <c r="E178" s="88"/>
    </row>
    <row r="179" spans="3:5" hidden="1" x14ac:dyDescent="0.2">
      <c r="C179" s="88"/>
      <c r="D179" s="88"/>
      <c r="E179" s="88"/>
    </row>
    <row r="180" spans="3:5" hidden="1" x14ac:dyDescent="0.2">
      <c r="C180" s="88"/>
      <c r="D180" s="88"/>
      <c r="E180" s="88"/>
    </row>
    <row r="181" spans="3:5" hidden="1" x14ac:dyDescent="0.2">
      <c r="C181" s="88"/>
      <c r="D181" s="88"/>
      <c r="E181" s="88"/>
    </row>
    <row r="182" spans="3:5" hidden="1" x14ac:dyDescent="0.2">
      <c r="C182" s="88"/>
      <c r="D182" s="88"/>
      <c r="E182" s="88"/>
    </row>
    <row r="183" spans="3:5" hidden="1" x14ac:dyDescent="0.2">
      <c r="C183" s="88"/>
      <c r="D183" s="88"/>
      <c r="E183" s="88"/>
    </row>
    <row r="184" spans="3:5" hidden="1" x14ac:dyDescent="0.2">
      <c r="C184" s="88"/>
      <c r="D184" s="88"/>
      <c r="E184" s="88"/>
    </row>
    <row r="185" spans="3:5" hidden="1" x14ac:dyDescent="0.2">
      <c r="C185" s="88"/>
      <c r="D185" s="88"/>
      <c r="E185" s="88"/>
    </row>
    <row r="186" spans="3:5" hidden="1" x14ac:dyDescent="0.2">
      <c r="C186" s="88"/>
      <c r="D186" s="88"/>
      <c r="E186" s="88"/>
    </row>
    <row r="187" spans="3:5" hidden="1" x14ac:dyDescent="0.2">
      <c r="C187" s="88"/>
      <c r="D187" s="88"/>
      <c r="E187" s="88"/>
    </row>
    <row r="188" spans="3:5" hidden="1" x14ac:dyDescent="0.2">
      <c r="C188" s="88"/>
      <c r="D188" s="88"/>
      <c r="E188" s="88"/>
    </row>
    <row r="189" spans="3:5" hidden="1" x14ac:dyDescent="0.2">
      <c r="C189" s="88"/>
      <c r="D189" s="88"/>
      <c r="E189" s="88"/>
    </row>
    <row r="190" spans="3:5" hidden="1" x14ac:dyDescent="0.2">
      <c r="C190" s="88"/>
      <c r="D190" s="88"/>
      <c r="E190" s="88"/>
    </row>
    <row r="191" spans="3:5" hidden="1" x14ac:dyDescent="0.2">
      <c r="C191" s="88"/>
      <c r="D191" s="88"/>
      <c r="E191" s="88"/>
    </row>
    <row r="192" spans="3:5" hidden="1" x14ac:dyDescent="0.2">
      <c r="C192" s="88"/>
      <c r="D192" s="88"/>
      <c r="E192" s="88"/>
    </row>
    <row r="193" spans="3:5" hidden="1" x14ac:dyDescent="0.2">
      <c r="C193" s="88"/>
      <c r="D193" s="88"/>
      <c r="E193" s="88"/>
    </row>
    <row r="194" spans="3:5" hidden="1" x14ac:dyDescent="0.2">
      <c r="C194" s="88"/>
      <c r="D194" s="88"/>
      <c r="E194" s="88"/>
    </row>
    <row r="195" spans="3:5" hidden="1" x14ac:dyDescent="0.2">
      <c r="C195" s="88"/>
      <c r="D195" s="88"/>
      <c r="E195" s="88"/>
    </row>
    <row r="196" spans="3:5" hidden="1" x14ac:dyDescent="0.2">
      <c r="C196" s="88"/>
      <c r="D196" s="88"/>
      <c r="E196" s="88"/>
    </row>
    <row r="197" spans="3:5" hidden="1" x14ac:dyDescent="0.2">
      <c r="E197" s="88"/>
    </row>
    <row r="198" spans="3:5" hidden="1" x14ac:dyDescent="0.2">
      <c r="E198" s="88"/>
    </row>
    <row r="199" spans="3:5" hidden="1" x14ac:dyDescent="0.2"/>
    <row r="200" spans="3:5" hidden="1" x14ac:dyDescent="0.2"/>
    <row r="201" spans="3:5" hidden="1" x14ac:dyDescent="0.2"/>
    <row r="202" spans="3:5" hidden="1" x14ac:dyDescent="0.2"/>
    <row r="203" spans="3:5" hidden="1" x14ac:dyDescent="0.2"/>
    <row r="204" spans="3:5" hidden="1" x14ac:dyDescent="0.2"/>
    <row r="205" spans="3:5" hidden="1" x14ac:dyDescent="0.2"/>
    <row r="206" spans="3:5" hidden="1" x14ac:dyDescent="0.2"/>
    <row r="207" spans="3:5" hidden="1" x14ac:dyDescent="0.2"/>
    <row r="208" spans="3:5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spans="1:3" hidden="1" x14ac:dyDescent="0.2"/>
    <row r="290" spans="1:3" hidden="1" x14ac:dyDescent="0.2"/>
    <row r="291" spans="1:3" hidden="1" x14ac:dyDescent="0.2"/>
    <row r="292" spans="1:3" hidden="1" x14ac:dyDescent="0.2"/>
    <row r="293" spans="1:3" hidden="1" x14ac:dyDescent="0.2"/>
    <row r="294" spans="1:3" hidden="1" x14ac:dyDescent="0.2"/>
    <row r="295" spans="1:3" hidden="1" x14ac:dyDescent="0.2"/>
    <row r="296" spans="1:3" hidden="1" x14ac:dyDescent="0.2"/>
    <row r="297" spans="1:3" hidden="1" x14ac:dyDescent="0.2"/>
    <row r="298" spans="1:3" hidden="1" x14ac:dyDescent="0.2"/>
    <row r="299" spans="1:3" x14ac:dyDescent="0.2">
      <c r="C299" s="318" t="s">
        <v>263</v>
      </c>
    </row>
    <row r="300" spans="1:3" x14ac:dyDescent="0.2">
      <c r="A300" s="424">
        <v>1</v>
      </c>
      <c r="B300" s="124" t="str">
        <f t="shared" ref="B300:B310" si="0">IFERROR(INDEX(H$33:H$85,MATCH(A300&amp;". koht",H$34:H$86,0)),"")</f>
        <v>Argo Sepp, Jaan Sepp</v>
      </c>
      <c r="C300" s="188">
        <v>11</v>
      </c>
    </row>
    <row r="301" spans="1:3" x14ac:dyDescent="0.2">
      <c r="A301" s="424">
        <v>2</v>
      </c>
      <c r="B301" s="615" t="str">
        <f t="shared" si="0"/>
        <v>Johannes Neiland, Meelis Luud</v>
      </c>
      <c r="C301" s="88">
        <f>C300-1</f>
        <v>10</v>
      </c>
    </row>
    <row r="302" spans="1:3" x14ac:dyDescent="0.2">
      <c r="A302" s="424">
        <v>3</v>
      </c>
      <c r="B302" s="616" t="str">
        <f t="shared" si="0"/>
        <v>Boriss Klubov, Elmo Lageda</v>
      </c>
      <c r="C302" s="88">
        <f t="shared" ref="C302:C310" si="1">C301-1</f>
        <v>9</v>
      </c>
    </row>
    <row r="303" spans="1:3" x14ac:dyDescent="0.2">
      <c r="A303" s="424">
        <v>4</v>
      </c>
      <c r="B303" s="191" t="str">
        <f t="shared" si="0"/>
        <v>Andres Veski, Svetlana Veski</v>
      </c>
      <c r="C303" s="88">
        <f t="shared" si="1"/>
        <v>8</v>
      </c>
    </row>
    <row r="304" spans="1:3" x14ac:dyDescent="0.2">
      <c r="A304" s="424">
        <v>5</v>
      </c>
      <c r="B304" s="191" t="str">
        <f t="shared" si="0"/>
        <v>Ljudmila Varendi, Viktor Švarõgin</v>
      </c>
      <c r="C304" s="88">
        <f t="shared" si="1"/>
        <v>7</v>
      </c>
    </row>
    <row r="305" spans="1:3" x14ac:dyDescent="0.2">
      <c r="A305" s="424">
        <v>6</v>
      </c>
      <c r="B305" s="191" t="str">
        <f t="shared" si="0"/>
        <v>Oleg Rõndenkov, Tomas Kivestu</v>
      </c>
      <c r="C305" s="88">
        <f t="shared" si="1"/>
        <v>6</v>
      </c>
    </row>
    <row r="306" spans="1:3" x14ac:dyDescent="0.2">
      <c r="A306" s="424">
        <v>7</v>
      </c>
      <c r="B306" s="191" t="str">
        <f t="shared" si="0"/>
        <v>Kenneth Muusikus, Taavi Press</v>
      </c>
      <c r="C306" s="88">
        <f t="shared" si="1"/>
        <v>5</v>
      </c>
    </row>
    <row r="307" spans="1:3" x14ac:dyDescent="0.2">
      <c r="A307" s="424">
        <v>8</v>
      </c>
      <c r="B307" s="191" t="str">
        <f t="shared" si="0"/>
        <v>Karla Purgats, Lemmit Toomra</v>
      </c>
      <c r="C307" s="88">
        <f>C306-1</f>
        <v>4</v>
      </c>
    </row>
    <row r="308" spans="1:3" x14ac:dyDescent="0.2">
      <c r="A308" s="424">
        <v>9</v>
      </c>
      <c r="B308" s="191" t="str">
        <f t="shared" si="0"/>
        <v>Margus Vasser, Vello Vasser</v>
      </c>
      <c r="C308" s="88">
        <f t="shared" si="1"/>
        <v>3</v>
      </c>
    </row>
    <row r="309" spans="1:3" x14ac:dyDescent="0.2">
      <c r="A309" s="424">
        <v>10</v>
      </c>
      <c r="B309" s="191" t="str">
        <f t="shared" si="0"/>
        <v>Enn Tokman, Tarmo Bombe</v>
      </c>
      <c r="C309" s="88">
        <f t="shared" si="1"/>
        <v>2</v>
      </c>
    </row>
    <row r="310" spans="1:3" x14ac:dyDescent="0.2">
      <c r="A310" s="424">
        <v>11</v>
      </c>
      <c r="B310" s="191" t="str">
        <f t="shared" si="0"/>
        <v>Illar Tõnurist, Kati Tuzberg, Peep Peenema</v>
      </c>
      <c r="C310" s="88">
        <f t="shared" si="1"/>
        <v>1</v>
      </c>
    </row>
  </sheetData>
  <conditionalFormatting sqref="B303:B310">
    <cfRule type="containsBlanks" dxfId="1567" priority="15">
      <formula>LEN(TRIM(B303))=0</formula>
    </cfRule>
    <cfRule type="duplicateValues" dxfId="1566" priority="41"/>
  </conditionalFormatting>
  <conditionalFormatting sqref="A26:A40">
    <cfRule type="cellIs" dxfId="1565" priority="14" operator="equal">
      <formula>"-"</formula>
    </cfRule>
    <cfRule type="duplicateValues" dxfId="1564" priority="40"/>
  </conditionalFormatting>
  <conditionalFormatting sqref="A63:A77">
    <cfRule type="cellIs" dxfId="1563" priority="13" operator="equal">
      <formula>"-"</formula>
    </cfRule>
    <cfRule type="duplicateValues" dxfId="1562" priority="39"/>
  </conditionalFormatting>
  <conditionalFormatting sqref="E47 E49">
    <cfRule type="aboveAverage" dxfId="1561" priority="38"/>
  </conditionalFormatting>
  <conditionalFormatting sqref="E51 E53">
    <cfRule type="aboveAverage" dxfId="1560" priority="37"/>
  </conditionalFormatting>
  <conditionalFormatting sqref="G48 G52">
    <cfRule type="aboveAverage" dxfId="1559" priority="36"/>
  </conditionalFormatting>
  <conditionalFormatting sqref="G55 G57">
    <cfRule type="aboveAverage" dxfId="1558" priority="35"/>
  </conditionalFormatting>
  <conditionalFormatting sqref="E47 E49 E51 E53 G48 G52 G55 G57">
    <cfRule type="containsBlanks" dxfId="1557" priority="34">
      <formula>LEN(TRIM(E47))=0</formula>
    </cfRule>
  </conditionalFormatting>
  <conditionalFormatting sqref="C26 C28">
    <cfRule type="aboveAverage" dxfId="1556" priority="33"/>
  </conditionalFormatting>
  <conditionalFormatting sqref="C30 C32">
    <cfRule type="aboveAverage" dxfId="1555" priority="32"/>
  </conditionalFormatting>
  <conditionalFormatting sqref="E27 E31">
    <cfRule type="aboveAverage" dxfId="1554" priority="31"/>
  </conditionalFormatting>
  <conditionalFormatting sqref="C34 C36">
    <cfRule type="aboveAverage" dxfId="1553" priority="30"/>
  </conditionalFormatting>
  <conditionalFormatting sqref="C38 C40">
    <cfRule type="aboveAverage" dxfId="1552" priority="29"/>
  </conditionalFormatting>
  <conditionalFormatting sqref="E35 E39">
    <cfRule type="aboveAverage" dxfId="1551" priority="28"/>
  </conditionalFormatting>
  <conditionalFormatting sqref="G29 G37">
    <cfRule type="aboveAverage" dxfId="1550" priority="27"/>
  </conditionalFormatting>
  <conditionalFormatting sqref="G41 G43">
    <cfRule type="aboveAverage" dxfId="1549" priority="26"/>
  </conditionalFormatting>
  <conditionalFormatting sqref="C26 C28 C30 C32 C34 C36 C38 C40 E27 E31 E35 E39 G29 G37 G41 G43">
    <cfRule type="containsBlanks" dxfId="1548" priority="25">
      <formula>LEN(TRIM(C26))=0</formula>
    </cfRule>
  </conditionalFormatting>
  <conditionalFormatting sqref="C63 C65">
    <cfRule type="aboveAverage" dxfId="1547" priority="24"/>
  </conditionalFormatting>
  <conditionalFormatting sqref="C67 C69">
    <cfRule type="aboveAverage" dxfId="1546" priority="23"/>
  </conditionalFormatting>
  <conditionalFormatting sqref="E64 E68">
    <cfRule type="aboveAverage" dxfId="1545" priority="22"/>
  </conditionalFormatting>
  <conditionalFormatting sqref="C71 C73">
    <cfRule type="aboveAverage" dxfId="1544" priority="21"/>
  </conditionalFormatting>
  <conditionalFormatting sqref="C75 C77">
    <cfRule type="aboveAverage" dxfId="1543" priority="20"/>
  </conditionalFormatting>
  <conditionalFormatting sqref="E72 E76">
    <cfRule type="aboveAverage" dxfId="1542" priority="19"/>
  </conditionalFormatting>
  <conditionalFormatting sqref="G66 G74">
    <cfRule type="aboveAverage" dxfId="1541" priority="18"/>
  </conditionalFormatting>
  <conditionalFormatting sqref="G78 G80">
    <cfRule type="aboveAverage" dxfId="1540" priority="17"/>
  </conditionalFormatting>
  <conditionalFormatting sqref="C63 C65 C67 C69 C71 C73 C75 C77 E64 E68 E72 E76 G66 G74 G78 G80">
    <cfRule type="containsBlanks" dxfId="1539" priority="16">
      <formula>LEN(TRIM(C63))=0</formula>
    </cfRule>
  </conditionalFormatting>
  <conditionalFormatting sqref="C7:F22">
    <cfRule type="cellIs" dxfId="1538" priority="3" operator="equal">
      <formula>13</formula>
    </cfRule>
  </conditionalFormatting>
  <conditionalFormatting sqref="B300:B302">
    <cfRule type="containsBlanks" dxfId="1537" priority="1">
      <formula>LEN(TRIM(B300))=0</formula>
    </cfRule>
    <cfRule type="duplicateValues" dxfId="1536" priority="2"/>
  </conditionalFormatting>
  <pageMargins left="0.78740157480314965" right="0.39370078740157483" top="0.78740157480314965" bottom="0.31496062992125984" header="0.59055118110236227" footer="0"/>
  <pageSetup paperSize="9" fitToHeight="0" orientation="landscape" horizontalDpi="1200" verticalDpi="1200" r:id="rId1"/>
  <headerFooter>
    <oddHeader>&amp;R&amp;"Arial,Regular"&amp;9Page &amp;P of &amp;N</oddHeader>
  </headerFooter>
  <rowBreaks count="2" manualBreakCount="2">
    <brk id="22" max="16383" man="1"/>
    <brk id="60" max="16383" man="1"/>
  </rowBreaks>
  <ignoredErrors>
    <ignoredError sqref="I19:I22" numberStoredAsText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99"/>
    <pageSetUpPr fitToPage="1"/>
  </sheetPr>
  <dimension ref="A1:M64"/>
  <sheetViews>
    <sheetView showGridLines="0" showRowColHeaders="0" zoomScaleNormal="100" workbookViewId="0">
      <pane ySplit="2" topLeftCell="A3" activePane="bottomLeft" state="frozen"/>
      <selection activeCell="F31" sqref="F31"/>
      <selection pane="bottomLeft" activeCell="H1" sqref="H1"/>
    </sheetView>
  </sheetViews>
  <sheetFormatPr defaultRowHeight="12.75" x14ac:dyDescent="0.2"/>
  <cols>
    <col min="1" max="1" width="5.5703125" style="139" customWidth="1"/>
    <col min="2" max="2" width="47" style="139" bestFit="1" customWidth="1"/>
    <col min="3" max="9" width="6.7109375" style="139" customWidth="1"/>
    <col min="10" max="10" width="5.5703125" style="139" bestFit="1" customWidth="1"/>
    <col min="11" max="11" width="9.140625" style="139" customWidth="1"/>
    <col min="12" max="13" width="1.7109375" style="139" customWidth="1"/>
    <col min="14" max="16384" width="9.140625" style="139"/>
  </cols>
  <sheetData>
    <row r="1" spans="1:13" x14ac:dyDescent="0.2">
      <c r="A1" s="86" t="str">
        <f>UPPER((Kalend!E16)&amp;" - "&amp;(Kalend!C16)&amp;" - "&amp;(Kalend!D16))</f>
        <v>V-JH - "JÕULUHANE" TURNIIR - DUO</v>
      </c>
      <c r="D1" s="51" t="str">
        <f>HYPERLINK("#'Kalend'!I1","Kalender")</f>
        <v>Kalender</v>
      </c>
      <c r="F1" s="51" t="str">
        <f>HYPERLINK("#'V'!AE1","Reiting")</f>
        <v>Reiting</v>
      </c>
      <c r="G1" s="88"/>
      <c r="H1" s="88"/>
      <c r="K1" s="88"/>
      <c r="L1" s="88"/>
    </row>
    <row r="2" spans="1:13" x14ac:dyDescent="0.2">
      <c r="A2" s="186" t="str">
        <f>"Toimumisaeg: "&amp;(Kalend!A16)&amp;" kell "&amp;(Kalend!B16)</f>
        <v>Toimumisaeg: L, 23.12.2017 kell 11:00</v>
      </c>
    </row>
    <row r="3" spans="1:13" x14ac:dyDescent="0.2">
      <c r="A3" s="186" t="str">
        <f>"Toimumiskoht: "&amp;(Kalend!F16)</f>
        <v>Toimumiskoht: Voka petangihall</v>
      </c>
    </row>
    <row r="4" spans="1:13" x14ac:dyDescent="0.2">
      <c r="A4" s="186" t="str">
        <f>"Korraldaja: "&amp;(Kalend!G16)</f>
        <v>Korraldaja: Johannes Neiland</v>
      </c>
    </row>
    <row r="6" spans="1:13" s="188" customFormat="1" x14ac:dyDescent="0.2">
      <c r="A6" s="126" t="s">
        <v>66</v>
      </c>
      <c r="B6" s="126"/>
      <c r="C6" s="91">
        <v>1</v>
      </c>
      <c r="D6" s="91">
        <v>2</v>
      </c>
      <c r="E6" s="91">
        <v>3</v>
      </c>
      <c r="F6" s="91">
        <v>4</v>
      </c>
      <c r="G6" s="128"/>
      <c r="H6" s="91" t="s">
        <v>73</v>
      </c>
      <c r="I6" s="91" t="s">
        <v>21</v>
      </c>
      <c r="J6" s="139"/>
      <c r="K6" s="139"/>
      <c r="L6" s="139"/>
      <c r="M6" s="139"/>
    </row>
    <row r="7" spans="1:13" s="188" customFormat="1" x14ac:dyDescent="0.2">
      <c r="A7" s="126">
        <v>1</v>
      </c>
      <c r="B7" s="189" t="s">
        <v>351</v>
      </c>
      <c r="C7" s="127"/>
      <c r="D7" s="93">
        <v>5</v>
      </c>
      <c r="E7" s="93">
        <v>13</v>
      </c>
      <c r="F7" s="93">
        <v>9</v>
      </c>
      <c r="G7" s="128"/>
      <c r="H7" s="132" t="s">
        <v>92</v>
      </c>
      <c r="I7" s="131" t="s">
        <v>93</v>
      </c>
      <c r="J7" s="139"/>
      <c r="K7" s="139"/>
      <c r="L7" s="139"/>
      <c r="M7" s="139"/>
    </row>
    <row r="8" spans="1:13" s="188" customFormat="1" x14ac:dyDescent="0.2">
      <c r="A8" s="126">
        <v>2</v>
      </c>
      <c r="B8" s="189" t="s">
        <v>115</v>
      </c>
      <c r="C8" s="128">
        <v>13</v>
      </c>
      <c r="D8" s="127"/>
      <c r="E8" s="93">
        <v>13</v>
      </c>
      <c r="F8" s="93">
        <v>13</v>
      </c>
      <c r="G8" s="128"/>
      <c r="H8" s="132" t="s">
        <v>125</v>
      </c>
      <c r="I8" s="131" t="s">
        <v>84</v>
      </c>
      <c r="J8" s="139"/>
      <c r="K8" s="139"/>
      <c r="L8" s="139"/>
      <c r="M8" s="139"/>
    </row>
    <row r="9" spans="1:13" s="188" customFormat="1" x14ac:dyDescent="0.2">
      <c r="A9" s="126">
        <v>3</v>
      </c>
      <c r="B9" s="189" t="s">
        <v>130</v>
      </c>
      <c r="C9" s="93">
        <v>3</v>
      </c>
      <c r="D9" s="311">
        <v>2</v>
      </c>
      <c r="E9" s="127"/>
      <c r="F9" s="93">
        <v>2</v>
      </c>
      <c r="G9" s="128"/>
      <c r="H9" s="132" t="s">
        <v>119</v>
      </c>
      <c r="I9" s="131" t="s">
        <v>95</v>
      </c>
      <c r="J9" s="139"/>
      <c r="K9" s="139"/>
      <c r="L9" s="139"/>
      <c r="M9" s="139"/>
    </row>
    <row r="10" spans="1:13" s="188" customFormat="1" x14ac:dyDescent="0.2">
      <c r="A10" s="126">
        <v>4</v>
      </c>
      <c r="B10" s="189" t="s">
        <v>352</v>
      </c>
      <c r="C10" s="93">
        <v>13</v>
      </c>
      <c r="D10" s="93">
        <v>7</v>
      </c>
      <c r="E10" s="93">
        <v>13</v>
      </c>
      <c r="F10" s="127"/>
      <c r="G10" s="128"/>
      <c r="H10" s="132" t="s">
        <v>91</v>
      </c>
      <c r="I10" s="131" t="s">
        <v>76</v>
      </c>
      <c r="J10" s="139"/>
      <c r="K10" s="139"/>
      <c r="L10" s="139"/>
      <c r="M10" s="139"/>
    </row>
    <row r="11" spans="1:13" x14ac:dyDescent="0.2">
      <c r="A11" s="87"/>
      <c r="B11" s="413" t="s">
        <v>70</v>
      </c>
      <c r="C11" s="309"/>
      <c r="D11" s="309"/>
      <c r="E11" s="309"/>
      <c r="F11" s="310"/>
      <c r="H11" s="309"/>
      <c r="I11" s="420" t="s">
        <v>70</v>
      </c>
    </row>
    <row r="12" spans="1:13" x14ac:dyDescent="0.2">
      <c r="A12" s="87"/>
      <c r="B12" s="213" t="s">
        <v>98</v>
      </c>
      <c r="C12" s="98" t="s">
        <v>99</v>
      </c>
      <c r="D12" s="98" t="s">
        <v>100</v>
      </c>
      <c r="F12" s="310"/>
      <c r="H12" s="309"/>
      <c r="I12" s="420"/>
    </row>
    <row r="13" spans="1:13" x14ac:dyDescent="0.2">
      <c r="A13" s="87"/>
      <c r="B13" s="213" t="s">
        <v>101</v>
      </c>
      <c r="C13" s="485" t="s">
        <v>102</v>
      </c>
      <c r="D13" s="98" t="s">
        <v>103</v>
      </c>
      <c r="E13" s="309"/>
      <c r="F13" s="310"/>
      <c r="H13" s="309"/>
      <c r="I13" s="420"/>
    </row>
    <row r="14" spans="1:13" x14ac:dyDescent="0.2">
      <c r="A14" s="87"/>
      <c r="B14" s="213" t="s">
        <v>104</v>
      </c>
      <c r="C14" s="485" t="s">
        <v>92</v>
      </c>
      <c r="D14" s="485" t="s">
        <v>105</v>
      </c>
      <c r="E14" s="309"/>
      <c r="F14" s="310"/>
      <c r="H14" s="309"/>
      <c r="I14" s="420"/>
    </row>
    <row r="15" spans="1:13" x14ac:dyDescent="0.2">
      <c r="A15" s="87"/>
      <c r="B15" s="413"/>
      <c r="C15" s="309"/>
      <c r="D15" s="309"/>
      <c r="E15" s="309"/>
      <c r="F15" s="310"/>
      <c r="H15" s="309"/>
      <c r="I15" s="420"/>
    </row>
    <row r="16" spans="1:13" s="188" customFormat="1" x14ac:dyDescent="0.2">
      <c r="A16" s="126" t="s">
        <v>90</v>
      </c>
      <c r="B16" s="126"/>
      <c r="C16" s="91">
        <v>1</v>
      </c>
      <c r="D16" s="91">
        <v>2</v>
      </c>
      <c r="E16" s="91">
        <v>3</v>
      </c>
      <c r="F16" s="91">
        <v>4</v>
      </c>
      <c r="G16" s="91">
        <v>5</v>
      </c>
      <c r="H16" s="91" t="s">
        <v>73</v>
      </c>
      <c r="I16" s="91" t="s">
        <v>21</v>
      </c>
      <c r="J16" s="139"/>
      <c r="K16" s="139"/>
      <c r="L16" s="139"/>
      <c r="M16" s="139"/>
    </row>
    <row r="17" spans="1:13" s="188" customFormat="1" x14ac:dyDescent="0.2">
      <c r="A17" s="126">
        <v>1</v>
      </c>
      <c r="B17" s="189" t="s">
        <v>178</v>
      </c>
      <c r="C17" s="127"/>
      <c r="D17" s="93">
        <v>13</v>
      </c>
      <c r="E17" s="93">
        <v>1</v>
      </c>
      <c r="F17" s="93">
        <v>1</v>
      </c>
      <c r="G17" s="128">
        <v>3</v>
      </c>
      <c r="H17" s="132" t="s">
        <v>102</v>
      </c>
      <c r="I17" s="131" t="s">
        <v>189</v>
      </c>
      <c r="J17" s="139"/>
      <c r="K17" s="139"/>
      <c r="L17" s="139"/>
      <c r="M17" s="139"/>
    </row>
    <row r="18" spans="1:13" s="188" customFormat="1" x14ac:dyDescent="0.2">
      <c r="A18" s="126">
        <v>2</v>
      </c>
      <c r="B18" s="189" t="s">
        <v>170</v>
      </c>
      <c r="C18" s="128">
        <v>10</v>
      </c>
      <c r="D18" s="127"/>
      <c r="E18" s="93">
        <v>12</v>
      </c>
      <c r="F18" s="93">
        <v>6</v>
      </c>
      <c r="G18" s="128">
        <v>6</v>
      </c>
      <c r="H18" s="132" t="s">
        <v>272</v>
      </c>
      <c r="I18" s="131" t="s">
        <v>354</v>
      </c>
      <c r="J18" s="139"/>
      <c r="K18" s="139"/>
      <c r="L18" s="139"/>
      <c r="M18" s="139"/>
    </row>
    <row r="19" spans="1:13" s="188" customFormat="1" x14ac:dyDescent="0.2">
      <c r="A19" s="126">
        <v>3</v>
      </c>
      <c r="B19" s="189" t="s">
        <v>117</v>
      </c>
      <c r="C19" s="93">
        <v>13</v>
      </c>
      <c r="D19" s="311">
        <v>13</v>
      </c>
      <c r="E19" s="127"/>
      <c r="F19" s="93">
        <v>7</v>
      </c>
      <c r="G19" s="128">
        <v>13</v>
      </c>
      <c r="H19" s="132" t="s">
        <v>274</v>
      </c>
      <c r="I19" s="131" t="s">
        <v>71</v>
      </c>
      <c r="J19" s="139"/>
      <c r="K19" s="139"/>
      <c r="L19" s="139"/>
      <c r="M19" s="139"/>
    </row>
    <row r="20" spans="1:13" s="188" customFormat="1" x14ac:dyDescent="0.2">
      <c r="A20" s="126">
        <v>4</v>
      </c>
      <c r="B20" s="189" t="s">
        <v>165</v>
      </c>
      <c r="C20" s="93">
        <v>13</v>
      </c>
      <c r="D20" s="311">
        <v>13</v>
      </c>
      <c r="E20" s="93">
        <v>13</v>
      </c>
      <c r="F20" s="127"/>
      <c r="G20" s="128">
        <v>13</v>
      </c>
      <c r="H20" s="132" t="s">
        <v>353</v>
      </c>
      <c r="I20" s="131" t="s">
        <v>86</v>
      </c>
      <c r="J20" s="139"/>
      <c r="K20" s="139"/>
      <c r="L20" s="139"/>
      <c r="M20" s="139"/>
    </row>
    <row r="21" spans="1:13" s="188" customFormat="1" x14ac:dyDescent="0.2">
      <c r="A21" s="126">
        <v>5</v>
      </c>
      <c r="B21" s="189" t="s">
        <v>172</v>
      </c>
      <c r="C21" s="93">
        <v>13</v>
      </c>
      <c r="D21" s="93">
        <v>13</v>
      </c>
      <c r="E21" s="93">
        <v>8</v>
      </c>
      <c r="F21" s="93">
        <v>6</v>
      </c>
      <c r="G21" s="127"/>
      <c r="H21" s="132" t="s">
        <v>271</v>
      </c>
      <c r="I21" s="131" t="s">
        <v>94</v>
      </c>
      <c r="J21" s="139"/>
      <c r="K21" s="139"/>
      <c r="L21" s="139"/>
      <c r="M21" s="139"/>
    </row>
    <row r="22" spans="1:13" s="188" customFormat="1" x14ac:dyDescent="0.2">
      <c r="A22" s="121"/>
      <c r="B22" s="482"/>
      <c r="C22" s="97"/>
      <c r="D22" s="97"/>
      <c r="E22" s="97"/>
      <c r="F22" s="97"/>
      <c r="G22" s="139"/>
      <c r="H22" s="485"/>
      <c r="I22" s="483"/>
      <c r="J22" s="139"/>
      <c r="K22" s="139"/>
      <c r="L22" s="139"/>
      <c r="M22" s="139"/>
    </row>
    <row r="23" spans="1:13" s="188" customFormat="1" x14ac:dyDescent="0.2">
      <c r="A23" s="121"/>
      <c r="B23" s="213" t="s">
        <v>98</v>
      </c>
      <c r="C23" s="98" t="s">
        <v>99</v>
      </c>
      <c r="D23" s="98" t="s">
        <v>100</v>
      </c>
      <c r="G23" s="139"/>
      <c r="H23" s="485"/>
      <c r="I23" s="483"/>
      <c r="J23" s="139"/>
      <c r="K23" s="139"/>
      <c r="L23" s="139"/>
      <c r="M23" s="139"/>
    </row>
    <row r="24" spans="1:13" s="188" customFormat="1" x14ac:dyDescent="0.2">
      <c r="A24" s="121"/>
      <c r="B24" s="213" t="s">
        <v>101</v>
      </c>
      <c r="C24" s="98" t="s">
        <v>106</v>
      </c>
      <c r="D24" s="98" t="s">
        <v>103</v>
      </c>
      <c r="G24" s="139"/>
      <c r="H24" s="485"/>
      <c r="I24" s="483"/>
      <c r="J24" s="139"/>
      <c r="K24" s="139"/>
      <c r="L24" s="139"/>
      <c r="M24" s="139"/>
    </row>
    <row r="25" spans="1:13" s="188" customFormat="1" x14ac:dyDescent="0.2">
      <c r="A25" s="121"/>
      <c r="B25" s="213" t="s">
        <v>104</v>
      </c>
      <c r="C25" s="485" t="s">
        <v>92</v>
      </c>
      <c r="D25" s="98" t="s">
        <v>110</v>
      </c>
      <c r="G25" s="139"/>
      <c r="H25" s="485"/>
      <c r="I25" s="483"/>
      <c r="J25" s="139"/>
      <c r="K25" s="139"/>
      <c r="L25" s="139"/>
      <c r="M25" s="139"/>
    </row>
    <row r="26" spans="1:13" s="188" customFormat="1" x14ac:dyDescent="0.2">
      <c r="A26" s="121"/>
      <c r="B26" s="213" t="s">
        <v>109</v>
      </c>
      <c r="C26" s="98" t="s">
        <v>108</v>
      </c>
      <c r="D26" s="98" t="s">
        <v>105</v>
      </c>
      <c r="G26" s="139"/>
      <c r="H26" s="485"/>
      <c r="I26" s="483"/>
      <c r="J26" s="139"/>
      <c r="K26" s="139"/>
      <c r="L26" s="139"/>
      <c r="M26" s="139"/>
    </row>
    <row r="27" spans="1:13" s="188" customFormat="1" x14ac:dyDescent="0.2">
      <c r="A27" s="121"/>
      <c r="B27" s="213" t="s">
        <v>111</v>
      </c>
      <c r="C27" s="98" t="s">
        <v>102</v>
      </c>
      <c r="D27" s="98" t="s">
        <v>107</v>
      </c>
      <c r="G27" s="139"/>
      <c r="H27" s="485"/>
      <c r="I27" s="483"/>
      <c r="J27" s="139"/>
      <c r="K27" s="139"/>
      <c r="L27" s="139"/>
      <c r="M27" s="139"/>
    </row>
    <row r="28" spans="1:13" s="188" customFormat="1" x14ac:dyDescent="0.2">
      <c r="A28" s="121"/>
      <c r="B28" s="482"/>
      <c r="C28" s="97"/>
      <c r="D28" s="97"/>
      <c r="E28" s="97"/>
      <c r="F28" s="97"/>
      <c r="G28" s="139"/>
      <c r="H28" s="485"/>
      <c r="I28" s="483"/>
      <c r="J28" s="139"/>
      <c r="K28" s="139"/>
      <c r="L28" s="139"/>
      <c r="M28" s="139"/>
    </row>
    <row r="29" spans="1:13" s="88" customFormat="1" x14ac:dyDescent="0.2">
      <c r="A29" s="214" t="s">
        <v>60</v>
      </c>
      <c r="H29" s="87"/>
    </row>
    <row r="30" spans="1:13" s="88" customFormat="1" x14ac:dyDescent="0.2">
      <c r="H30" s="87"/>
    </row>
    <row r="31" spans="1:13" s="88" customFormat="1" x14ac:dyDescent="0.2">
      <c r="B31" s="107" t="s">
        <v>84</v>
      </c>
      <c r="C31" s="404" t="str">
        <f>IFERROR(INDEX(B$7:B$21,MATCH(B31,I$7:I$21,0)),"")</f>
        <v>Andres Veski, Svetlana Veski</v>
      </c>
      <c r="E31" s="120">
        <v>7</v>
      </c>
      <c r="F31" s="120"/>
      <c r="G31" s="120"/>
    </row>
    <row r="32" spans="1:13" s="88" customFormat="1" x14ac:dyDescent="0.2">
      <c r="B32" s="107"/>
      <c r="C32" s="423"/>
      <c r="D32" s="220"/>
      <c r="E32" s="400" t="str">
        <f>IF(COUNT(E31,E33)=2,IF(E31&gt;E33,C31,C33),"")</f>
        <v>Ljudmila Varendi, Viktor Švarõgin</v>
      </c>
      <c r="G32" s="120">
        <v>4</v>
      </c>
    </row>
    <row r="33" spans="1:9" s="88" customFormat="1" x14ac:dyDescent="0.2">
      <c r="B33" s="107" t="s">
        <v>71</v>
      </c>
      <c r="C33" s="447" t="str">
        <f>IFERROR(INDEX(B$7:B$21,MATCH(B33,I$7:I$21,0)),"")</f>
        <v>Ljudmila Varendi, Viktor Švarõgin</v>
      </c>
      <c r="D33" s="409"/>
      <c r="E33" s="110">
        <v>13</v>
      </c>
      <c r="F33" s="220"/>
      <c r="G33" s="120"/>
    </row>
    <row r="34" spans="1:9" s="88" customFormat="1" ht="13.5" thickBot="1" x14ac:dyDescent="0.25">
      <c r="B34" s="107"/>
      <c r="C34" s="448"/>
      <c r="D34" s="120"/>
      <c r="E34" s="113"/>
      <c r="F34" s="221"/>
      <c r="G34" s="120"/>
      <c r="H34" s="184" t="str">
        <f>IF(COUNT(G32,G36)=2,IF(G32&gt;G36,E32,E36),"")</f>
        <v>Aigi Orro, Kalle Orro</v>
      </c>
    </row>
    <row r="35" spans="1:9" s="88" customFormat="1" x14ac:dyDescent="0.2">
      <c r="B35" s="107" t="s">
        <v>86</v>
      </c>
      <c r="C35" s="449" t="str">
        <f>IFERROR(INDEX(B$7:B$21,MATCH(B35,I$7:I$21,0)),"")</f>
        <v>Tõnu Piik, Ülo Piik</v>
      </c>
      <c r="D35" s="120"/>
      <c r="E35" s="120">
        <v>6</v>
      </c>
      <c r="F35" s="221"/>
      <c r="G35" s="222"/>
      <c r="H35" s="379" t="s">
        <v>275</v>
      </c>
      <c r="I35" s="378"/>
    </row>
    <row r="36" spans="1:9" s="88" customFormat="1" x14ac:dyDescent="0.2">
      <c r="B36" s="107"/>
      <c r="C36" s="405"/>
      <c r="D36" s="220"/>
      <c r="E36" s="400" t="str">
        <f>IF(COUNT(E35,E37)=2,IF(E35&gt;E37,C35,C37),"")</f>
        <v>Aigi Orro, Kalle Orro</v>
      </c>
      <c r="F36" s="377"/>
      <c r="G36" s="110">
        <v>13</v>
      </c>
    </row>
    <row r="37" spans="1:9" s="88" customFormat="1" ht="13.5" thickBot="1" x14ac:dyDescent="0.25">
      <c r="B37" s="107" t="s">
        <v>76</v>
      </c>
      <c r="C37" s="447" t="str">
        <f>IFERROR(INDEX(B$7:B$21,MATCH(B37,I$7:I$21,0)),"")</f>
        <v>Aigi Orro, Kalle Orro</v>
      </c>
      <c r="D37" s="409"/>
      <c r="E37" s="110">
        <v>13</v>
      </c>
      <c r="F37" s="120"/>
      <c r="G37" s="113"/>
      <c r="H37" s="184" t="str">
        <f>IF(COUNT(G32,G36)=2,IF(G32&lt;G36,E32,E36),"")</f>
        <v>Ljudmila Varendi, Viktor Švarõgin</v>
      </c>
      <c r="I37" s="119"/>
    </row>
    <row r="38" spans="1:9" s="88" customFormat="1" x14ac:dyDescent="0.2">
      <c r="C38" s="120"/>
      <c r="D38" s="120"/>
      <c r="E38" s="120"/>
      <c r="F38" s="120"/>
      <c r="G38" s="113"/>
      <c r="H38" s="379" t="s">
        <v>276</v>
      </c>
      <c r="I38" s="99"/>
    </row>
    <row r="39" spans="1:9" s="88" customFormat="1" x14ac:dyDescent="0.2">
      <c r="C39" s="120"/>
      <c r="D39" s="113"/>
      <c r="E39" s="217" t="str">
        <f>IF(COUNT(E31,E33)=2,IF(E31&lt;E33,C31,C33),"")</f>
        <v>Andres Veski, Svetlana Veski</v>
      </c>
      <c r="G39" s="120">
        <v>13</v>
      </c>
      <c r="H39" s="99"/>
      <c r="I39" s="99"/>
    </row>
    <row r="40" spans="1:9" s="88" customFormat="1" ht="13.5" thickBot="1" x14ac:dyDescent="0.25">
      <c r="C40" s="120"/>
      <c r="D40" s="113"/>
      <c r="E40" s="108"/>
      <c r="F40" s="111"/>
      <c r="G40" s="119"/>
      <c r="H40" s="184" t="str">
        <f>IF(COUNT(G39,G41)=2,IF(G39&gt;G41,E39,E41),"")</f>
        <v>Andres Veski, Svetlana Veski</v>
      </c>
      <c r="I40" s="119"/>
    </row>
    <row r="41" spans="1:9" s="88" customFormat="1" x14ac:dyDescent="0.2">
      <c r="C41" s="120"/>
      <c r="D41" s="113"/>
      <c r="E41" s="399" t="str">
        <f>IF(COUNT(E35,E37)=2,IF(E35&lt;E37,C35,C37),"")</f>
        <v>Tõnu Piik, Ülo Piik</v>
      </c>
      <c r="F41" s="377"/>
      <c r="G41" s="110">
        <v>7</v>
      </c>
      <c r="H41" s="121" t="s">
        <v>277</v>
      </c>
      <c r="I41" s="99"/>
    </row>
    <row r="42" spans="1:9" s="88" customFormat="1" x14ac:dyDescent="0.2">
      <c r="D42" s="99"/>
      <c r="H42" s="99"/>
      <c r="I42" s="99"/>
    </row>
    <row r="43" spans="1:9" s="88" customFormat="1" ht="13.5" thickBot="1" x14ac:dyDescent="0.25">
      <c r="E43" s="99"/>
      <c r="F43" s="99"/>
      <c r="H43" s="119" t="str">
        <f>IF(COUNT(G39,G41)=2,IF(G39&lt;G41,E39,E41),"")</f>
        <v>Tõnu Piik, Ülo Piik</v>
      </c>
      <c r="I43" s="119"/>
    </row>
    <row r="44" spans="1:9" s="188" customFormat="1" x14ac:dyDescent="0.2">
      <c r="A44" s="95"/>
      <c r="B44" s="410"/>
      <c r="C44" s="97"/>
      <c r="D44" s="97"/>
      <c r="E44" s="97"/>
      <c r="F44" s="97"/>
      <c r="G44" s="402"/>
      <c r="H44" s="227" t="s">
        <v>50</v>
      </c>
    </row>
    <row r="46" spans="1:9" x14ac:dyDescent="0.2">
      <c r="A46" s="214" t="s">
        <v>355</v>
      </c>
    </row>
    <row r="48" spans="1:9" x14ac:dyDescent="0.2">
      <c r="A48" s="126"/>
      <c r="B48" s="126"/>
      <c r="C48" s="91">
        <v>1</v>
      </c>
      <c r="D48" s="91">
        <v>2</v>
      </c>
      <c r="E48" s="91">
        <v>3</v>
      </c>
      <c r="F48" s="91">
        <v>4</v>
      </c>
      <c r="G48" s="91">
        <v>5</v>
      </c>
      <c r="H48" s="91" t="s">
        <v>73</v>
      </c>
      <c r="I48" s="91" t="s">
        <v>21</v>
      </c>
    </row>
    <row r="49" spans="1:11" x14ac:dyDescent="0.2">
      <c r="A49" s="126">
        <v>1</v>
      </c>
      <c r="B49" s="189" t="s">
        <v>351</v>
      </c>
      <c r="C49" s="127"/>
      <c r="D49" s="93">
        <v>13</v>
      </c>
      <c r="E49" s="93">
        <v>13</v>
      </c>
      <c r="F49" s="93">
        <v>3</v>
      </c>
      <c r="G49" s="128">
        <v>13</v>
      </c>
      <c r="H49" s="132" t="s">
        <v>274</v>
      </c>
      <c r="I49" s="131" t="s">
        <v>80</v>
      </c>
      <c r="K49" s="227" t="s">
        <v>51</v>
      </c>
    </row>
    <row r="50" spans="1:11" x14ac:dyDescent="0.2">
      <c r="A50" s="126">
        <v>2</v>
      </c>
      <c r="B50" s="189" t="s">
        <v>130</v>
      </c>
      <c r="C50" s="128">
        <v>3</v>
      </c>
      <c r="D50" s="127"/>
      <c r="E50" s="93">
        <v>9</v>
      </c>
      <c r="F50" s="93">
        <v>8</v>
      </c>
      <c r="G50" s="128">
        <v>13</v>
      </c>
      <c r="H50" s="132" t="s">
        <v>102</v>
      </c>
      <c r="I50" s="131" t="s">
        <v>273</v>
      </c>
      <c r="K50" s="227" t="s">
        <v>52</v>
      </c>
    </row>
    <row r="51" spans="1:11" x14ac:dyDescent="0.2">
      <c r="A51" s="126">
        <v>3</v>
      </c>
      <c r="B51" s="189" t="s">
        <v>178</v>
      </c>
      <c r="C51" s="93">
        <v>3</v>
      </c>
      <c r="D51" s="311">
        <v>13</v>
      </c>
      <c r="E51" s="127"/>
      <c r="F51" s="316">
        <v>13</v>
      </c>
      <c r="G51" s="316">
        <v>3</v>
      </c>
      <c r="H51" s="317" t="s">
        <v>271</v>
      </c>
      <c r="I51" s="131" t="s">
        <v>82</v>
      </c>
      <c r="J51" s="484" t="s">
        <v>358</v>
      </c>
      <c r="K51" s="227" t="s">
        <v>53</v>
      </c>
    </row>
    <row r="52" spans="1:11" x14ac:dyDescent="0.2">
      <c r="A52" s="126">
        <v>4</v>
      </c>
      <c r="B52" s="189" t="s">
        <v>170</v>
      </c>
      <c r="C52" s="93">
        <v>13</v>
      </c>
      <c r="D52" s="311">
        <v>13</v>
      </c>
      <c r="E52" s="316">
        <v>10</v>
      </c>
      <c r="F52" s="127"/>
      <c r="G52" s="316">
        <v>6</v>
      </c>
      <c r="H52" s="317" t="s">
        <v>271</v>
      </c>
      <c r="I52" s="131" t="s">
        <v>113</v>
      </c>
      <c r="J52" s="484" t="s">
        <v>357</v>
      </c>
      <c r="K52" s="227" t="s">
        <v>54</v>
      </c>
    </row>
    <row r="53" spans="1:11" x14ac:dyDescent="0.2">
      <c r="A53" s="126">
        <v>5</v>
      </c>
      <c r="B53" s="189" t="s">
        <v>172</v>
      </c>
      <c r="C53" s="93">
        <v>11</v>
      </c>
      <c r="D53" s="93">
        <v>12</v>
      </c>
      <c r="E53" s="316">
        <v>13</v>
      </c>
      <c r="F53" s="316">
        <v>13</v>
      </c>
      <c r="G53" s="127"/>
      <c r="H53" s="317" t="s">
        <v>271</v>
      </c>
      <c r="I53" s="131" t="s">
        <v>81</v>
      </c>
      <c r="J53" s="484" t="s">
        <v>356</v>
      </c>
      <c r="K53" s="227" t="s">
        <v>55</v>
      </c>
    </row>
    <row r="54" spans="1:11" x14ac:dyDescent="0.2">
      <c r="A54" s="121"/>
      <c r="B54" s="482"/>
      <c r="C54" s="97"/>
      <c r="D54" s="97"/>
      <c r="J54" s="484"/>
    </row>
    <row r="56" spans="1:11" x14ac:dyDescent="0.2">
      <c r="A56" s="424">
        <v>1</v>
      </c>
      <c r="B56" s="201" t="str">
        <f>IFERROR(INDEX(H$33:H$53,MATCH(A56&amp;". koht",H$34:H$53,0)),"")</f>
        <v>Aigi Orro, Kalle Orro</v>
      </c>
    </row>
    <row r="57" spans="1:11" x14ac:dyDescent="0.2">
      <c r="A57" s="424">
        <v>2</v>
      </c>
      <c r="B57" s="191" t="str">
        <f>IFERROR(INDEX(H$33:H$53,MATCH(A57&amp;". koht",H$34:H$53,0)),"")</f>
        <v>Ljudmila Varendi, Viktor Švarõgin</v>
      </c>
    </row>
    <row r="58" spans="1:11" x14ac:dyDescent="0.2">
      <c r="A58" s="424">
        <v>3</v>
      </c>
      <c r="B58" s="191" t="str">
        <f>IFERROR(INDEX(H$33:H$53,MATCH(A58&amp;". koht",H$34:H$53,0)),"")</f>
        <v>Andres Veski, Svetlana Veski</v>
      </c>
    </row>
    <row r="59" spans="1:11" x14ac:dyDescent="0.2">
      <c r="A59" s="424">
        <v>4</v>
      </c>
      <c r="B59" s="191" t="str">
        <f>IFERROR(INDEX(H$33:H$53,MATCH(A59&amp;". koht",H$34:H$53,0)),"")</f>
        <v>Tõnu Piik, Ülo Piik</v>
      </c>
    </row>
    <row r="60" spans="1:11" x14ac:dyDescent="0.2">
      <c r="A60" s="424">
        <v>5</v>
      </c>
      <c r="B60" s="189" t="s">
        <v>351</v>
      </c>
    </row>
    <row r="61" spans="1:11" x14ac:dyDescent="0.2">
      <c r="A61" s="424">
        <v>6</v>
      </c>
      <c r="B61" s="189" t="s">
        <v>172</v>
      </c>
    </row>
    <row r="62" spans="1:11" x14ac:dyDescent="0.2">
      <c r="A62" s="424">
        <v>7</v>
      </c>
      <c r="B62" s="189" t="s">
        <v>178</v>
      </c>
    </row>
    <row r="63" spans="1:11" x14ac:dyDescent="0.2">
      <c r="A63" s="424">
        <v>8</v>
      </c>
      <c r="B63" s="189" t="s">
        <v>170</v>
      </c>
    </row>
    <row r="64" spans="1:11" x14ac:dyDescent="0.2">
      <c r="A64" s="424">
        <v>9</v>
      </c>
      <c r="B64" s="189" t="s">
        <v>130</v>
      </c>
    </row>
  </sheetData>
  <conditionalFormatting sqref="E31 E33">
    <cfRule type="aboveAverage" dxfId="1535" priority="34"/>
  </conditionalFormatting>
  <conditionalFormatting sqref="E35 E37">
    <cfRule type="aboveAverage" dxfId="1534" priority="33"/>
  </conditionalFormatting>
  <conditionalFormatting sqref="G39 G41">
    <cfRule type="aboveAverage" dxfId="1533" priority="31"/>
  </conditionalFormatting>
  <conditionalFormatting sqref="E31 E33 E35 E37 G39 G41">
    <cfRule type="containsBlanks" dxfId="1532" priority="30">
      <formula>LEN(TRIM(E31))=0</formula>
    </cfRule>
  </conditionalFormatting>
  <conditionalFormatting sqref="C7:G11 C28:F28 C22:F22 E13:G14 F12:G12 C12:D14 C15:G21 C23:D27">
    <cfRule type="cellIs" dxfId="1531" priority="8" operator="equal">
      <formula>13</formula>
    </cfRule>
  </conditionalFormatting>
  <conditionalFormatting sqref="G32 G36">
    <cfRule type="aboveAverage" dxfId="1530" priority="7"/>
  </conditionalFormatting>
  <conditionalFormatting sqref="G32 G36">
    <cfRule type="containsBlanks" dxfId="1529" priority="6">
      <formula>LEN(TRIM(G32))=0</formula>
    </cfRule>
  </conditionalFormatting>
  <conditionalFormatting sqref="B56:B59">
    <cfRule type="containsBlanks" dxfId="1528" priority="4">
      <formula>LEN(TRIM(B56))=0</formula>
    </cfRule>
    <cfRule type="duplicateValues" dxfId="1527" priority="5"/>
  </conditionalFormatting>
  <conditionalFormatting sqref="C48:G53 C54:D54">
    <cfRule type="cellIs" dxfId="1526" priority="3" operator="equal">
      <formula>13</formula>
    </cfRule>
  </conditionalFormatting>
  <pageMargins left="0.78740157480314965" right="0.39370078740157483" top="0.78740157480314965" bottom="0.31496062992125984" header="0.59055118110236227" footer="0"/>
  <pageSetup paperSize="9" fitToHeight="0" orientation="landscape" verticalDpi="1200" r:id="rId1"/>
  <headerFooter>
    <oddHeader>&amp;R&amp;"Arial,Regular"&amp;9Page &amp;P of &amp;N</oddHeader>
  </headerFooter>
  <rowBreaks count="1" manualBreakCount="1">
    <brk id="27" max="16383" man="1"/>
  </row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CFF99"/>
    <pageSetUpPr fitToPage="1"/>
  </sheetPr>
  <dimension ref="A1:R21"/>
  <sheetViews>
    <sheetView showGridLines="0" showRowColHeaders="0" workbookViewId="0">
      <pane ySplit="2" topLeftCell="A3" activePane="bottomLeft" state="frozen"/>
      <selection pane="bottomLeft" activeCell="K1" sqref="K1"/>
    </sheetView>
  </sheetViews>
  <sheetFormatPr defaultRowHeight="12.75" x14ac:dyDescent="0.2"/>
  <cols>
    <col min="1" max="1" width="5.28515625" style="32" customWidth="1"/>
    <col min="2" max="2" width="30.5703125" style="32" bestFit="1" customWidth="1"/>
    <col min="3" max="8" width="7" style="32" customWidth="1"/>
    <col min="9" max="9" width="7" style="32" hidden="1" customWidth="1"/>
    <col min="10" max="11" width="7" style="32" customWidth="1"/>
    <col min="12" max="14" width="7" style="32" hidden="1" customWidth="1"/>
    <col min="15" max="15" width="3.140625" style="32" bestFit="1" customWidth="1"/>
    <col min="16" max="16" width="3.140625" style="32" customWidth="1"/>
    <col min="17" max="17" width="2.85546875" style="32" customWidth="1"/>
    <col min="18" max="16384" width="9.140625" style="32"/>
  </cols>
  <sheetData>
    <row r="1" spans="1:18" x14ac:dyDescent="0.2">
      <c r="A1" s="86" t="str">
        <f>UPPER((Kalend!E17)&amp;" - "&amp;(Kalend!C17)&amp;" - "&amp;(Kalend!D17))</f>
        <v>V-JH2 - "JÕULUHANE" JÄTKUTURNIIR - LOOSIDUO</v>
      </c>
      <c r="B1" s="139"/>
      <c r="C1" s="139"/>
      <c r="F1" s="51" t="str">
        <f>HYPERLINK("#'Kalend'!I1","Kalender")</f>
        <v>Kalender</v>
      </c>
      <c r="G1" s="139"/>
      <c r="H1" s="51" t="str">
        <f>HYPERLINK("#'V'!AE1","Reiting")</f>
        <v>Reiting</v>
      </c>
      <c r="I1" s="88"/>
      <c r="J1" s="88"/>
      <c r="L1" s="502" t="s">
        <v>380</v>
      </c>
      <c r="M1" s="498"/>
      <c r="N1" s="498"/>
    </row>
    <row r="2" spans="1:18" x14ac:dyDescent="0.2">
      <c r="A2" s="186" t="str">
        <f>"Toimumisaeg: "&amp;(Kalend!A17)&amp;" kell "&amp;(Kalend!B17)</f>
        <v>Toimumisaeg:  kell 18:00</v>
      </c>
      <c r="B2" s="139"/>
      <c r="C2" s="139"/>
      <c r="D2" s="139"/>
      <c r="E2" s="139"/>
      <c r="F2" s="139"/>
      <c r="G2" s="139"/>
      <c r="H2" s="139"/>
    </row>
    <row r="3" spans="1:18" x14ac:dyDescent="0.2">
      <c r="A3" s="186" t="str">
        <f>"Toimumiskoht: "&amp;(Kalend!F17)</f>
        <v>Toimumiskoht: Voka petangihall</v>
      </c>
      <c r="B3" s="139"/>
      <c r="C3" s="139"/>
      <c r="D3" s="139"/>
      <c r="E3" s="139"/>
      <c r="F3" s="139"/>
      <c r="G3" s="139"/>
      <c r="H3" s="139"/>
    </row>
    <row r="4" spans="1:18" x14ac:dyDescent="0.2">
      <c r="A4" s="186" t="str">
        <f>"Korraldaja: "&amp;(Kalend!G17)</f>
        <v>Korraldaja: Johannes Neiland</v>
      </c>
      <c r="B4" s="139"/>
      <c r="C4" s="139"/>
      <c r="D4" s="139"/>
      <c r="E4" s="139"/>
      <c r="F4" s="139"/>
      <c r="G4" s="139"/>
      <c r="H4" s="139"/>
    </row>
    <row r="5" spans="1:18" x14ac:dyDescent="0.2">
      <c r="J5" s="595" t="str">
        <f>IF(COUNTIF(J7:J13,"3-2")&gt;=4,"Kontrolli omavaheliste mängude võite!","")</f>
        <v/>
      </c>
    </row>
    <row r="6" spans="1:18" x14ac:dyDescent="0.2">
      <c r="A6" s="126" t="s">
        <v>66</v>
      </c>
      <c r="B6" s="126"/>
      <c r="C6" s="91">
        <v>1</v>
      </c>
      <c r="D6" s="91">
        <v>2</v>
      </c>
      <c r="E6" s="91">
        <v>3</v>
      </c>
      <c r="F6" s="91">
        <v>4</v>
      </c>
      <c r="G6" s="91">
        <v>5</v>
      </c>
      <c r="H6" s="91">
        <v>6</v>
      </c>
      <c r="I6" s="91"/>
      <c r="J6" s="438" t="s">
        <v>73</v>
      </c>
      <c r="K6" s="438" t="s">
        <v>21</v>
      </c>
      <c r="L6" s="586" t="s">
        <v>273</v>
      </c>
      <c r="M6" s="587" t="s">
        <v>430</v>
      </c>
      <c r="N6" s="588" t="b">
        <f>OR(AND(COUNTA(B7:B13)=3,COUNTA(C7:I13)=6),AND(COUNTA(B7:B13)=4,COUNTA(C7:I13)=12),AND(COUNTA(B7:B13)=5,COUNTA(C7:I13)=20),AND(COUNTA(B7:B13)=6,COUNTA(C7:I13)=30),AND(COUNTA(B7:B13)=7,COUNTA(C7:I13)=42))</f>
        <v>1</v>
      </c>
    </row>
    <row r="7" spans="1:18" x14ac:dyDescent="0.2">
      <c r="A7" s="126">
        <v>1</v>
      </c>
      <c r="B7" s="581" t="s">
        <v>441</v>
      </c>
      <c r="C7" s="127"/>
      <c r="D7" s="93">
        <v>6</v>
      </c>
      <c r="E7" s="93">
        <v>13</v>
      </c>
      <c r="F7" s="93">
        <v>13</v>
      </c>
      <c r="G7" s="93">
        <v>2</v>
      </c>
      <c r="H7" s="93">
        <v>9</v>
      </c>
      <c r="I7" s="93"/>
      <c r="J7" s="576" t="str">
        <f>(IF(D7-C8&gt;0,1)+IF(E7-C9&gt;0,1)+IF(F7-C10&gt;0,1)+IF(G7-C11&gt;0,1)+IF(H7-C12&gt;0,1)+IF(I7-C13&gt;0,1))&amp;"-"&amp;(IF(D7-C8&lt;0,1)+IF(E7-C9&lt;0,1)+IF(F7-C10&lt;0,1)+IF(G7-C11&lt;0,1)+IF(H7-C12&lt;0,1)+IF(I7-C13&lt;0,1))</f>
        <v>2-3</v>
      </c>
      <c r="K7" s="93" t="str">
        <f>IF(AND(B7&lt;&gt;"",N$6=TRUE),A$6&amp;RANK(N7,N$7:N$13,0),"")</f>
        <v>A5</v>
      </c>
      <c r="L7" s="584">
        <f>VALUE(LEFT(J7,1))</f>
        <v>2</v>
      </c>
      <c r="M7" s="584">
        <f>IF(AND(L7=1,L8=1),D7-C8)+IF(AND(L7=1,L9=1),E7-C9)+IF(AND(L7=1,L10=1),F7-C10)+IF(AND(L7=1,L11=1),G7-C11)+IF(AND(L7=1,L12=1),H7-C12)+IF(AND(L7=1,L13=1),I7-C13)+IF(AND(L7=2,L8=2),D7-C8)+IF(AND(L7=2,L9=2),E7-C9)+IF(AND(L7=2,L10=2),F7-C10)+IF(AND(L7=2,L11=2),G7-C11)+IF(AND(L7=2,L12=2),H7-C12)+IF(AND(L7=2,L13=2),I7-C13)+IF(AND(L7=3,L8=3),D7-C8)+IF(AND(L7=3,L9=3),E7-C9)+IF(AND(L7=3,L10=3),F7-C10)+IF(AND(L7=3,L11=3),G7-C11)+IF(AND(L7=3,L12=3),H7-C12)+IF(AND(L7=3,L13=3),I7-C13)+IF(AND(L7=4,L8=4),D7-C8)+IF(AND(L7=4,L9=4),E7-C9)+IF(AND(L7=4,L10=4),F7-C10)+IF(AND(L7=4,L11=4),G7-C11)+IF(AND(L7=4,L12=4),H7-C12)+IF(AND(L7=4,L13=4),I7-C13)+IF(AND(L7=5,L8=5),D7-C8)+IF(AND(L7=5,L9=5),E7-C9)+IF(AND(L7=5,L10=5),F7-C10)+IF(AND(L7=5,L11=5),G7-C11)+IF(AND(L7=5,L12=5),H7-C12)+IF(AND(L7=5,L13=5),I7-C13)</f>
        <v>0</v>
      </c>
      <c r="N7" s="584">
        <f t="shared" ref="N7:N13" si="0">1000*L7+M7</f>
        <v>2000</v>
      </c>
    </row>
    <row r="8" spans="1:18" x14ac:dyDescent="0.2">
      <c r="A8" s="126">
        <v>2</v>
      </c>
      <c r="B8" s="581" t="s">
        <v>442</v>
      </c>
      <c r="C8" s="128">
        <v>13</v>
      </c>
      <c r="D8" s="127"/>
      <c r="E8" s="93">
        <v>13</v>
      </c>
      <c r="F8" s="93">
        <v>12</v>
      </c>
      <c r="G8" s="93">
        <v>13</v>
      </c>
      <c r="H8" s="93">
        <v>13</v>
      </c>
      <c r="I8" s="93"/>
      <c r="J8" s="576" t="str">
        <f>(IF(C8-D7&gt;0,1)+IF(E8-D9&gt;0,1)+IF(F8-D10&gt;0,1)+IF(G8-D11&gt;0,1)+IF(H8-D12&gt;0,1)+IF(I8-D13&gt;0,1))&amp;"-"&amp;(IF(C8-D7&lt;0,1)+IF(E8-D9&lt;0,1)+IF(F8-D10&lt;0,1)+IF(G8-D11&lt;0,1)+IF(H8-D12&lt;0,1)+IF(I8-D13&lt;0,1))</f>
        <v>4-1</v>
      </c>
      <c r="K8" s="93" t="str">
        <f t="shared" ref="K8:K13" si="1">IF(AND(B8&lt;&gt;"",N$6=TRUE),A$6&amp;RANK(N8,N$7:N$13,0),"")</f>
        <v>A1</v>
      </c>
      <c r="L8" s="584">
        <f t="shared" ref="L8:L13" si="2">VALUE(LEFT(J8,1))</f>
        <v>4</v>
      </c>
      <c r="M8" s="584">
        <f>IF(AND(L8=1,L7=1),C8-D7)+IF(AND(L8=1,L9=1),E8-D9)+IF(AND(L8=1,L10=1),F8-D10)+IF(AND(L8=1,L11=1),G8-D11)+IF(AND(L8=1,L12=1),H8-D12)+IF(AND(L8=1,L12=1),I8-D13)+IF(AND(L8=2,L7=2),C8-D7)+IF(AND(L8=2,L9=2),E8-D9)+IF(AND(L8=2,L10=2),F8-D10)+IF(AND(L8=2,L11=2),G8-D11)+IF(AND(L8=2,L12=2),H8-D12)+IF(AND(L8=2,L12=2),I8-D13)+IF(AND(L8=3,L7=3),C8-D7)+IF(AND(L8=3,L9=3),E8-D9)+IF(AND(L8=3,L10=3),F8-D10)+IF(AND(L8=3,L11=3),G8-D11)+IF(AND(L8=3,L12=3),H8-D12)+IF(AND(L8=3,L12=3),I8-D13)+IF(AND(L8=4,L7=4),C8-D7)+IF(AND(L8=4,L9=4),E8-D9)+IF(AND(L8=4,L10=4),F8-D10)+IF(AND(L8=4,L11=4),G8-D11)+IF(AND(L8=4,L12=4),H8-D12)+IF(AND(L8=4,L12=4),I8-D13)+IF(AND(L8=5,L7=5),C8-D7)+IF(AND(L8=5,L9=5),E8-D9)+IF(AND(L8=5,L10=5),F8-D10)+IF(AND(L8=5,L11=5),G8-D11)+IF(AND(L8=5,L12=5),H8-D12)+IF(AND(L8=5,L12=5),I8-D13)</f>
        <v>0</v>
      </c>
      <c r="N8" s="584">
        <f t="shared" si="0"/>
        <v>4000</v>
      </c>
    </row>
    <row r="9" spans="1:18" x14ac:dyDescent="0.2">
      <c r="A9" s="126">
        <v>3</v>
      </c>
      <c r="B9" s="581" t="s">
        <v>261</v>
      </c>
      <c r="C9" s="93">
        <v>2</v>
      </c>
      <c r="D9" s="548">
        <v>9</v>
      </c>
      <c r="E9" s="127"/>
      <c r="F9" s="93">
        <v>1</v>
      </c>
      <c r="G9" s="93">
        <v>11</v>
      </c>
      <c r="H9" s="93">
        <v>6</v>
      </c>
      <c r="I9" s="93"/>
      <c r="J9" s="576" t="str">
        <f>(IF(C9-E7&gt;0,1)+IF(D9-E8&gt;0,1)+IF(F9-E10&gt;0,1)+IF(G9-E11&gt;0,1)+IF(H9-E12&gt;0,1)+IF(I9-E13&gt;0,1))&amp;"-"&amp;(IF(C9-E7&lt;0,1)+IF(D9-E8&lt;0,1)+IF(F9-E10&lt;0,1)+IF(G9-E11&lt;0,1)+IF(H9-E12&lt;0,1)+IF(I9-E13&lt;0,1))</f>
        <v>0-5</v>
      </c>
      <c r="K9" s="93" t="str">
        <f t="shared" si="1"/>
        <v>A6</v>
      </c>
      <c r="L9" s="584">
        <f t="shared" si="2"/>
        <v>0</v>
      </c>
      <c r="M9" s="584">
        <f>IF(AND(L9=1,L7=1),C9-E7)+IF(AND(L9=1,L8=1),D9-E8)+IF(AND(L9=1,L10=1),F9-E10)+IF(AND(L9=1,L11=1),G9-E11)+IF(AND(L9=1,L12=1),H9-E12)+IF(AND(L9=1,L13=1),I9-E13)+IF(AND(L9=2,L7=2),C9-E7)+IF(AND(L9=2,L8=2),D9-E8)+IF(AND(L9=2,L10=2),F9-E10)+IF(AND(L9=2,L11=2),G9-E11)+IF(AND(L9=2,L12=2),H9-E12)+IF(AND(L9=2,L13=2),I9-E13)+IF(AND(L9=3,L7=3),C9-E7)+IF(AND(L9=3,L8=3),D9-E8)+IF(AND(L9=3,L10=3),F9-E10)+IF(AND(L9=3,L11=3),G9-E11)+IF(AND(L9=3,L12=3),H9-E12)+IF(AND(L9=3,L13=3),I9-E13)+IF(AND(L9=4,L7=4),C9-E7)+IF(AND(L9=4,L8=4),D9-E8)+IF(AND(L9=4,L10=4),F9-E10)+IF(AND(L9=4,L11=4),G9-E11)+IF(AND(L9=4,L12=4),H9-E12)+IF(AND(L9=4,L13=4),I9-E13)+IF(AND(L9=5,L7=5),C9-E7)+IF(AND(L9=5,L8=5),D9-E8)+IF(AND(L9=5,L10=5),F9-E10)+IF(AND(L9=5,L11=5),G9-E11)+IF(AND(L9=5,L12=5),H9-E12)+IF(AND(L9=5,L13=5),I9-E13)</f>
        <v>0</v>
      </c>
      <c r="N9" s="584">
        <f t="shared" si="0"/>
        <v>0</v>
      </c>
    </row>
    <row r="10" spans="1:18" x14ac:dyDescent="0.2">
      <c r="A10" s="126">
        <v>4</v>
      </c>
      <c r="B10" s="581" t="s">
        <v>443</v>
      </c>
      <c r="C10" s="93">
        <v>1</v>
      </c>
      <c r="D10" s="311">
        <v>13</v>
      </c>
      <c r="E10" s="93">
        <v>13</v>
      </c>
      <c r="F10" s="127"/>
      <c r="G10" s="316">
        <v>13</v>
      </c>
      <c r="H10" s="316">
        <v>11</v>
      </c>
      <c r="I10" s="93"/>
      <c r="J10" s="602" t="str">
        <f>(IF(C10-F7&gt;0,1)+IF(D10-F8&gt;0,1)+IF(E10-F9&gt;0,1)+IF(G10-F11&gt;0,1)+IF(H10-F12&gt;0,1)+IF(I10-F13&gt;0,1))&amp;"-"&amp;(IF(C10-F7&lt;0,1)+IF(D10-F8&lt;0,1)+IF(E10-F9&lt;0,1)+IF(G10-F11&lt;0,1)+IF(H10-F12&lt;0,1)+IF(I10-F13&lt;0,1))</f>
        <v>3-2</v>
      </c>
      <c r="K10" s="93" t="str">
        <f t="shared" si="1"/>
        <v>A2</v>
      </c>
      <c r="L10" s="584">
        <f t="shared" si="2"/>
        <v>3</v>
      </c>
      <c r="M10" s="584">
        <f>IF(AND(L10=1,L7=1),C10-F7)+IF(AND(L10=1,L8=1),D10-F8)+IF(AND(L10=1,L9=1),E10-F9)+IF(AND(L10=1,L11=1),G10-F11)+IF(AND(L10=1,L12=1),H10-F12)+IF(AND(L10=1,L13=1),I10-F13)+IF(AND(L10=2,L7=2),C10-F7)+IF(AND(L10=2,L8=2),D10-F8)+IF(AND(L10=2,L9=2),E10-F9)+IF(AND(L10=2,L11=2),G10-F11)+IF(AND(L10=2,L12=2),H10-F12)+IF(AND(L10=2,L13=2),I10-F13)+IF(AND(L10=3,L7=3),C10-F7)+IF(AND(L10=3,L8=3),D10-F8)+IF(AND(L10=3,L9=3),E10-F9)+IF(AND(L10=3,L11=3),G10-F11)+IF(AND(L10=3,L12=3),H10-F12)+IF(AND(L10=3,L13=3),I10-F13)+IF(AND(L10=4,L7=4),C10-F7)+IF(AND(L10=4,L8=4),D10-F8)+IF(AND(L10=4,L9=4),E10-F9)+IF(AND(L10=4,L11=4),G10-F11)+IF(AND(L10=4,L12=4),H10-F12)+IF(AND(L10=4,L13=4),I10-F13)+IF(AND(L10=5,L7=5),C10-F7)+IF(AND(L10=5,L8=5),D10-F8)+IF(AND(L10=5,L9=5),E10-F9)+IF(AND(L10=5,L11=5),G10-F11)+IF(AND(L10=5,L12=5),H10-F12)+IF(AND(L10=5,L13=5),I10-F13)</f>
        <v>4</v>
      </c>
      <c r="N10" s="584">
        <f t="shared" si="0"/>
        <v>3004</v>
      </c>
      <c r="O10" s="607" t="s">
        <v>358</v>
      </c>
      <c r="P10" s="726" t="s">
        <v>405</v>
      </c>
      <c r="Q10" s="727" t="s">
        <v>312</v>
      </c>
      <c r="R10" s="32" t="s">
        <v>421</v>
      </c>
    </row>
    <row r="11" spans="1:18" x14ac:dyDescent="0.2">
      <c r="A11" s="126">
        <v>5</v>
      </c>
      <c r="B11" s="189" t="s">
        <v>444</v>
      </c>
      <c r="C11" s="93">
        <v>13</v>
      </c>
      <c r="D11" s="93">
        <v>2</v>
      </c>
      <c r="E11" s="93">
        <v>13</v>
      </c>
      <c r="F11" s="316">
        <v>7</v>
      </c>
      <c r="G11" s="127"/>
      <c r="H11" s="316">
        <v>13</v>
      </c>
      <c r="I11" s="93"/>
      <c r="J11" s="602" t="str">
        <f>(IF(C11-G7&gt;0,1)+IF(D11-G8&gt;0,1)+IF(E11-G9&gt;0,1)+IF(F11-G10&gt;0,1)+IF(H11-G12&gt;0,1)+IF(I11-G13&gt;0,1))&amp;"-"&amp;(IF(C11-G7&lt;0,1)+IF(D11-G8&lt;0,1)+IF(E11-G9&lt;0,1)+IF(F11-G10&lt;0,1)+IF(H11-G12&lt;0,1)+IF(I11-G13&lt;0,1))</f>
        <v>3-2</v>
      </c>
      <c r="K11" s="613" t="s">
        <v>93</v>
      </c>
      <c r="L11" s="584">
        <f t="shared" si="2"/>
        <v>3</v>
      </c>
      <c r="M11" s="584">
        <f>IF(AND(L11=1,L7=1),C11-G7)+IF(AND(L11=1,L8=1),D11-G8)+IF(AND(L11=1,L9=1),E11-G9)+IF(AND(L11=1,L10=1),F11-G10)+IF(AND(L11=1,L12=1),H11-G12)+IF(AND(L11=1,L13=1),I11-G13)+IF(AND(L11=2,L7=2),C11-G7)+IF(AND(L11=2,L8=2),D11-G8)+IF(AND(L11=2,L9=2),E11-G9)+IF(AND(L11=2,L10=2),F11-G10)+IF(AND(L11=2,L12=2),H11-G12)+IF(AND(L11=2,L13=2),I11-G13)+IF(AND(L11=3,L7=3),C11-G7)+IF(AND(L11=3,L8=3),D11-G8)+IF(AND(L11=3,L9=3),E11-G9)+IF(AND(L11=3,L10=3),F11-G10)+IF(AND(L11=3,L12=3),H11-G12)+IF(AND(L11=3,L13=3),I11-G13)+IF(AND(L11=4,L7=4),C11-G7)+IF(AND(L11=4,L8=4),D11-G8)+IF(AND(L11=4,L9=4),E11-G9)+IF(AND(L11=4,L10=4),F11-G10)+IF(AND(L11=4,L12=4),H11-G12)+IF(AND(L11=4,L13=4),I11-G13)+IF(AND(L11=5,L7=5),C11-G7)+IF(AND(L11=5,L8=5),D11-G8)+IF(AND(L11=5,L9=5),E11-G9)+IF(AND(L11=5,L10=5),F11-G10)+IF(AND(L11=5,L12=5),H11-G12)+IF(AND(L11=5,L13=5),I11-G13)</f>
        <v>4</v>
      </c>
      <c r="N11" s="584">
        <f t="shared" si="0"/>
        <v>3004</v>
      </c>
      <c r="O11" s="607" t="s">
        <v>358</v>
      </c>
      <c r="P11" s="726" t="s">
        <v>405</v>
      </c>
      <c r="Q11" s="727" t="s">
        <v>230</v>
      </c>
      <c r="R11" s="32" t="s">
        <v>448</v>
      </c>
    </row>
    <row r="12" spans="1:18" x14ac:dyDescent="0.2">
      <c r="A12" s="126">
        <v>6</v>
      </c>
      <c r="B12" s="581" t="s">
        <v>450</v>
      </c>
      <c r="C12" s="397">
        <v>13</v>
      </c>
      <c r="D12" s="598">
        <v>5</v>
      </c>
      <c r="E12" s="598">
        <v>13</v>
      </c>
      <c r="F12" s="601">
        <v>13</v>
      </c>
      <c r="G12" s="601">
        <v>3</v>
      </c>
      <c r="H12" s="596"/>
      <c r="I12" s="397"/>
      <c r="J12" s="603" t="str">
        <f>(IF(C12-H7&gt;0,1)+IF(D12-H8&gt;0,1)+IF(E12-H9&gt;0,1)+IF(F12-H10&gt;0,1)+IF(G12-H11&gt;0,1)+IF(I12-H13&gt;0,1))&amp;"-"&amp;(IF(C12-H7&lt;0,1)+IF(D12-H8&lt;0,1)+IF(E12-H9&lt;0,1)+IF(F12-H10&lt;0,1)+IF(G12-H11&lt;0,1)+IF(I12-H13&lt;0,1))</f>
        <v>3-2</v>
      </c>
      <c r="K12" s="93" t="str">
        <f t="shared" si="1"/>
        <v>A4</v>
      </c>
      <c r="L12" s="584">
        <f t="shared" si="2"/>
        <v>3</v>
      </c>
      <c r="M12" s="584">
        <f>IF(AND(L12=1,L7=1),C12-H7)+IF(AND(L12=1,L8=1),D12-H8)+IF(AND(L12=1,L9=1),E12-H9)+IF(AND(L12=1,L10=1),F12-H10)+IF(AND(L12=1,L11=1),G12-H11)+IF(AND(L12=1,L13=1),I12-H13)+IF(AND(L12=2,L7=2),C12-H7)+IF(AND(L12=2,L8=2),D12-H8)+IF(AND(L12=2,L9=2),E12-H9)+IF(AND(L12=2,L10=2),F12-H10)+IF(AND(L12=2,L11=2),G12-H11)+IF(AND(L12=2,L13=2),I12-H13)+IF(AND(L12=3,L7=3),C12-H7)+IF(AND(L12=3,L8=3),D12-H8)+IF(AND(L12=3,L9=3),E12-H9)+IF(AND(L12=3,L10=3),F12-H10)+IF(AND(L12=3,L11=3),G12-H11)+IF(AND(L12=3,L13=3),I12-H13)+IF(AND(L12=4,L7=4),C12-H7)+IF(AND(L12=4,L8=4),D12-H8)+IF(AND(L12=4,L9=4),E12-H9)+IF(AND(L12=4,L10=4),F12-H10)+IF(AND(L12=4,L11=4),G12-H11)+IF(AND(L12=4,L13=4),I12-H13)+IF(AND(L12=5,L7=5),C12-H7)+IF(AND(L12=5,L8=5),D12-H8)+IF(AND(L12=5,L9=5),E12-H9)+IF(AND(L12=5,L10=5),F12-H10)+IF(AND(L12=5,L11=5),G12-H11)+IF(AND(L12=5,L13=5),I12-H13)</f>
        <v>-8</v>
      </c>
      <c r="N12" s="584">
        <f t="shared" si="0"/>
        <v>2992</v>
      </c>
      <c r="O12" s="607" t="s">
        <v>358</v>
      </c>
      <c r="P12" s="614" t="s">
        <v>298</v>
      </c>
      <c r="R12" s="32" t="s">
        <v>449</v>
      </c>
    </row>
    <row r="13" spans="1:18" hidden="1" x14ac:dyDescent="0.2">
      <c r="A13" s="126">
        <v>7</v>
      </c>
      <c r="B13" s="581"/>
      <c r="C13" s="397"/>
      <c r="D13" s="598"/>
      <c r="E13" s="598"/>
      <c r="F13" s="598"/>
      <c r="G13" s="598"/>
      <c r="H13" s="397"/>
      <c r="I13" s="596"/>
      <c r="J13" s="598" t="str">
        <f>(IF(C13-I7&gt;0,1)+IF(D13-I8&gt;0,1)+IF(E13-I9&gt;0,1)+IF(F13-I10&gt;0,1)+IF(G13-I11&gt;0,1)+IF(H13-I12&gt;0,1))&amp;"-"&amp;(IF(C13-I7&lt;0,1)+IF(D13-I8&lt;0,1)+IF(E13-I9&lt;0,1)+IF(F13-I10&lt;0,1)+IF(G13-I11&lt;0,1)+IF(H13-I12&lt;0,1))</f>
        <v>0-0</v>
      </c>
      <c r="K13" s="93" t="str">
        <f t="shared" si="1"/>
        <v/>
      </c>
      <c r="L13" s="584">
        <f t="shared" si="2"/>
        <v>0</v>
      </c>
      <c r="M13" s="584">
        <f>IF(AND(L13=1,L7=1),C13-I7)+IF(AND(L13=1,L8=1),D13-I8)+IF(AND(L13=1,L9=1),E13-I9)+IF(AND(L13=1,L10=1),F13-I10)+IF(AND(L13=1,L11=1),G13-I11)+IF(AND(L13=1,L12=1),H13-I12)+IF(AND(L13=2,L7=2),C13-I7)+IF(AND(L13=2,L8=2),D13-I8)+IF(AND(L13=2,L9=2),E13-I9)+IF(AND(L13=2,L10=2),F13-I10)+IF(AND(L13=2,L11=2),G13-I11)+IF(AND(L13=2,L12=2),H13-I12)+IF(AND(L13=3,L7=3),C13-I7)+IF(AND(L13=3,L8=3),D13-I8)+IF(AND(L13=3,L9=3),E13-I9)+IF(AND(L13=3,L10=3),F13-I10)+IF(AND(L13=3,L11=3),G13-I11)+IF(AND(L13=3,L12=3),H13-I12)+IF(AND(L13=4,L7=4),C13-I7)+IF(AND(L13=4,L8=4),D13-I8)+IF(AND(L13=4,L9=4),E13-I9)+IF(AND(L13=4,L10=4),F13-I10)+IF(AND(L13=4,L11=4),G13-I11)+IF(AND(L13=4,L12=4),H13-I12)+IF(AND(L13=5,L7=5),C13-I7)+IF(AND(L13=5,L8=5),D13-I8)+IF(AND(L13=5,L9=5),E13-I9)+IF(AND(L13=5,L10=5),F13-I10)+IF(AND(L13=5,L11=5),G13-I11)+IF(AND(L13=5,L12=5),H13-I12)</f>
        <v>0</v>
      </c>
      <c r="N13" s="584">
        <f t="shared" si="0"/>
        <v>0</v>
      </c>
    </row>
    <row r="16" spans="1:18" x14ac:dyDescent="0.2">
      <c r="A16" s="187">
        <v>1</v>
      </c>
      <c r="B16" s="187" t="s">
        <v>442</v>
      </c>
    </row>
    <row r="17" spans="1:2" x14ac:dyDescent="0.2">
      <c r="A17" s="187">
        <v>2</v>
      </c>
      <c r="B17" s="104" t="s">
        <v>443</v>
      </c>
    </row>
    <row r="18" spans="1:2" x14ac:dyDescent="0.2">
      <c r="A18" s="187">
        <v>3</v>
      </c>
      <c r="B18" s="104" t="s">
        <v>444</v>
      </c>
    </row>
    <row r="19" spans="1:2" x14ac:dyDescent="0.2">
      <c r="A19" s="187">
        <v>4</v>
      </c>
      <c r="B19" s="189" t="s">
        <v>450</v>
      </c>
    </row>
    <row r="20" spans="1:2" x14ac:dyDescent="0.2">
      <c r="A20" s="187">
        <v>5</v>
      </c>
      <c r="B20" s="104" t="s">
        <v>441</v>
      </c>
    </row>
    <row r="21" spans="1:2" x14ac:dyDescent="0.2">
      <c r="A21" s="187">
        <v>6</v>
      </c>
      <c r="B21" s="104" t="s">
        <v>261</v>
      </c>
    </row>
  </sheetData>
  <conditionalFormatting sqref="K7:K13">
    <cfRule type="expression" dxfId="1525" priority="29">
      <formula>FIND(2,K7,1)</formula>
    </cfRule>
    <cfRule type="expression" dxfId="1524" priority="30">
      <formula>FIND(1,K7,1)</formula>
    </cfRule>
  </conditionalFormatting>
  <conditionalFormatting sqref="C8 D7">
    <cfRule type="aboveAverage" dxfId="1523" priority="27"/>
  </conditionalFormatting>
  <conditionalFormatting sqref="E7 C9">
    <cfRule type="aboveAverage" dxfId="1522" priority="26"/>
  </conditionalFormatting>
  <conditionalFormatting sqref="F7 C10">
    <cfRule type="aboveAverage" dxfId="1521" priority="25"/>
  </conditionalFormatting>
  <conditionalFormatting sqref="D9 E8">
    <cfRule type="aboveAverage" dxfId="1520" priority="24"/>
  </conditionalFormatting>
  <conditionalFormatting sqref="C11 G7">
    <cfRule type="aboveAverage" dxfId="1519" priority="23"/>
  </conditionalFormatting>
  <conditionalFormatting sqref="D10 F8">
    <cfRule type="aboveAverage" dxfId="1518" priority="22"/>
  </conditionalFormatting>
  <conditionalFormatting sqref="C12 H7">
    <cfRule type="aboveAverage" dxfId="1517" priority="21"/>
  </conditionalFormatting>
  <conditionalFormatting sqref="D11 G8">
    <cfRule type="aboveAverage" dxfId="1516" priority="20"/>
  </conditionalFormatting>
  <conditionalFormatting sqref="E10 F9">
    <cfRule type="aboveAverage" dxfId="1515" priority="19"/>
  </conditionalFormatting>
  <conditionalFormatting sqref="C13 I7">
    <cfRule type="aboveAverage" dxfId="1514" priority="18"/>
  </conditionalFormatting>
  <conditionalFormatting sqref="D12 H8">
    <cfRule type="aboveAverage" dxfId="1513" priority="17"/>
  </conditionalFormatting>
  <conditionalFormatting sqref="E11 G9">
    <cfRule type="aboveAverage" dxfId="1512" priority="16"/>
  </conditionalFormatting>
  <conditionalFormatting sqref="D13 I8">
    <cfRule type="aboveAverage" dxfId="1511" priority="15"/>
  </conditionalFormatting>
  <conditionalFormatting sqref="E12 H9">
    <cfRule type="aboveAverage" dxfId="1510" priority="14"/>
  </conditionalFormatting>
  <conditionalFormatting sqref="F11 G10">
    <cfRule type="aboveAverage" dxfId="1509" priority="13"/>
  </conditionalFormatting>
  <conditionalFormatting sqref="E13 I9">
    <cfRule type="aboveAverage" dxfId="1508" priority="12"/>
  </conditionalFormatting>
  <conditionalFormatting sqref="F12 H10">
    <cfRule type="aboveAverage" dxfId="1507" priority="11"/>
  </conditionalFormatting>
  <conditionalFormatting sqref="F13 I10">
    <cfRule type="aboveAverage" dxfId="1506" priority="10"/>
  </conditionalFormatting>
  <conditionalFormatting sqref="G12 H11">
    <cfRule type="aboveAverage" dxfId="1505" priority="9"/>
  </conditionalFormatting>
  <conditionalFormatting sqref="G13 I11">
    <cfRule type="aboveAverage" dxfId="1504" priority="8"/>
  </conditionalFormatting>
  <conditionalFormatting sqref="H13 I12">
    <cfRule type="aboveAverage" dxfId="1503" priority="7"/>
  </conditionalFormatting>
  <conditionalFormatting sqref="J7:J13">
    <cfRule type="expression" dxfId="1502" priority="5">
      <formula>B7=""</formula>
    </cfRule>
    <cfRule type="expression" dxfId="1501" priority="6">
      <formula>IF(AND(J7="2-3",COUNTIF(J$7:J$13,"2-3")&gt;=4),TRUE,FALSE)</formula>
    </cfRule>
    <cfRule type="expression" dxfId="1500" priority="28">
      <formula>IF(AND(J7="3-2",COUNTIF(J$7:J$13,"3-2")&gt;=4),TRUE,FALSE)</formula>
    </cfRule>
  </conditionalFormatting>
  <conditionalFormatting sqref="B16:B21">
    <cfRule type="containsBlanks" dxfId="1499" priority="1">
      <formula>LEN(TRIM(B16))=0</formula>
    </cfRule>
    <cfRule type="duplicateValues" dxfId="1498" priority="2"/>
  </conditionalFormatting>
  <pageMargins left="0.78740157480314965" right="0.39370078740157483" top="0.78740157480314965" bottom="0.39370078740157483" header="0.59055118110236227" footer="0"/>
  <pageSetup paperSize="9" fitToHeight="0" orientation="landscape" verticalDpi="1200" r:id="rId1"/>
  <headerFooter>
    <oddHeader>&amp;R&amp;9Page &amp;P of &amp;N</oddHeader>
  </headerFooter>
  <drawing r:id="rId2"/>
  <legacy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pageSetUpPr fitToPage="1"/>
  </sheetPr>
  <dimension ref="A1:W313"/>
  <sheetViews>
    <sheetView showGridLines="0" showRowColHeaders="0" zoomScaleNormal="100" workbookViewId="0">
      <pane ySplit="2" topLeftCell="A3" activePane="bottomLeft" state="frozen"/>
      <selection activeCell="G1" sqref="G1"/>
      <selection pane="bottomLeft" activeCell="H1" sqref="H1"/>
    </sheetView>
  </sheetViews>
  <sheetFormatPr defaultRowHeight="12.75" x14ac:dyDescent="0.2"/>
  <cols>
    <col min="1" max="1" width="5.5703125" style="139" customWidth="1"/>
    <col min="2" max="2" width="46.42578125" style="139" bestFit="1" customWidth="1"/>
    <col min="3" max="8" width="6.7109375" style="139" customWidth="1"/>
    <col min="9" max="9" width="3.5703125" style="139" bestFit="1" customWidth="1"/>
    <col min="10" max="12" width="9.140625" style="139" customWidth="1"/>
    <col min="13" max="13" width="7.7109375" style="139" hidden="1" customWidth="1"/>
    <col min="14" max="14" width="17.140625" style="139" hidden="1" customWidth="1"/>
    <col min="15" max="15" width="6" style="139" hidden="1" customWidth="1"/>
    <col min="16" max="16" width="32.7109375" style="139" hidden="1" customWidth="1"/>
    <col min="17" max="17" width="6" style="139" hidden="1" customWidth="1"/>
    <col min="18" max="18" width="17.28515625" style="139" hidden="1" customWidth="1"/>
    <col min="19" max="19" width="6" style="139" hidden="1" customWidth="1"/>
    <col min="20" max="20" width="13.85546875" style="139" hidden="1" customWidth="1"/>
    <col min="21" max="21" width="6" style="139" hidden="1" customWidth="1"/>
    <col min="22" max="16384" width="9.140625" style="139"/>
  </cols>
  <sheetData>
    <row r="1" spans="1:22" x14ac:dyDescent="0.2">
      <c r="A1" s="86" t="str">
        <f>UPPER((Kalend!E18)&amp;" - "&amp;(Kalend!C18)&amp;" - "&amp;(Kalend!D18))</f>
        <v>V6 - VOKA 1. SISE-KV 6. ETAPP - DUO</v>
      </c>
      <c r="D1" s="51" t="str">
        <f>HYPERLINK("#'Kalend'!I1","Kalender")</f>
        <v>Kalender</v>
      </c>
      <c r="F1" s="51" t="str">
        <f>HYPERLINK("#'V'!AE1","Reiting")</f>
        <v>Reiting</v>
      </c>
      <c r="G1" s="88"/>
      <c r="H1" s="88"/>
      <c r="M1" s="502" t="s">
        <v>380</v>
      </c>
      <c r="N1" s="504"/>
      <c r="O1" s="504"/>
      <c r="P1" s="503"/>
      <c r="Q1" s="504"/>
      <c r="R1" s="504"/>
      <c r="S1" s="504"/>
      <c r="T1" s="504"/>
      <c r="U1" s="504"/>
    </row>
    <row r="2" spans="1:22" x14ac:dyDescent="0.2">
      <c r="A2" s="186" t="str">
        <f>"Toimumisaeg: "&amp;(Kalend!A18)&amp;" kell "&amp;(Kalend!B18)</f>
        <v>Toimumisaeg: L, 30.12.2017 kell 11:00</v>
      </c>
      <c r="N2" s="314"/>
      <c r="P2" s="314"/>
    </row>
    <row r="3" spans="1:22" x14ac:dyDescent="0.2">
      <c r="A3" s="186" t="str">
        <f>"Toimumiskoht: "&amp;(Kalend!F18)</f>
        <v>Toimumiskoht: Voka petangihall</v>
      </c>
      <c r="N3" s="505" t="s">
        <v>381</v>
      </c>
      <c r="P3" s="314"/>
      <c r="R3" s="261"/>
    </row>
    <row r="4" spans="1:22" x14ac:dyDescent="0.2">
      <c r="A4" s="186" t="str">
        <f>"Korraldaja: "&amp;(Kalend!G18)</f>
        <v>Korraldaja: Johannes Neiland</v>
      </c>
      <c r="M4" s="506" t="s">
        <v>36</v>
      </c>
      <c r="N4" s="507"/>
      <c r="O4" s="508"/>
      <c r="P4" s="509"/>
      <c r="Q4" s="508"/>
      <c r="R4" s="508"/>
      <c r="S4" s="508"/>
      <c r="T4" s="508"/>
      <c r="U4" s="508"/>
    </row>
    <row r="5" spans="1:22" x14ac:dyDescent="0.2">
      <c r="M5" s="506" t="s">
        <v>382</v>
      </c>
      <c r="N5" s="510" t="s">
        <v>383</v>
      </c>
      <c r="O5" s="510"/>
      <c r="P5" s="511" t="s">
        <v>384</v>
      </c>
      <c r="Q5" s="510"/>
      <c r="R5" s="510" t="s">
        <v>385</v>
      </c>
      <c r="S5" s="510"/>
      <c r="T5" s="510" t="s">
        <v>386</v>
      </c>
      <c r="U5" s="512"/>
    </row>
    <row r="6" spans="1:22" s="188" customFormat="1" x14ac:dyDescent="0.2">
      <c r="A6" s="126" t="s">
        <v>66</v>
      </c>
      <c r="B6" s="126"/>
      <c r="C6" s="91">
        <v>1</v>
      </c>
      <c r="D6" s="91">
        <v>2</v>
      </c>
      <c r="E6" s="91">
        <v>3</v>
      </c>
      <c r="F6" s="91"/>
      <c r="G6" s="91" t="s">
        <v>73</v>
      </c>
      <c r="H6" s="91" t="s">
        <v>21</v>
      </c>
      <c r="M6" s="506" t="s">
        <v>387</v>
      </c>
      <c r="N6" s="507"/>
      <c r="O6" s="508"/>
      <c r="P6" s="507"/>
      <c r="Q6" s="508"/>
      <c r="R6" s="513"/>
      <c r="S6" s="513"/>
      <c r="T6" s="513"/>
      <c r="U6" s="513"/>
    </row>
    <row r="7" spans="1:22" s="188" customFormat="1" x14ac:dyDescent="0.2">
      <c r="A7" s="126">
        <v>1</v>
      </c>
      <c r="B7" s="164" t="s">
        <v>172</v>
      </c>
      <c r="C7" s="127"/>
      <c r="D7" s="316">
        <v>1</v>
      </c>
      <c r="E7" s="316">
        <v>13</v>
      </c>
      <c r="F7" s="128"/>
      <c r="G7" s="317" t="s">
        <v>74</v>
      </c>
      <c r="H7" s="131" t="s">
        <v>93</v>
      </c>
      <c r="I7" s="1183" t="s">
        <v>401</v>
      </c>
      <c r="J7" s="319" t="s">
        <v>400</v>
      </c>
      <c r="M7" s="512">
        <f>SUM(O7:U7)</f>
        <v>165</v>
      </c>
      <c r="N7" s="514" t="str">
        <f>IFERROR(LEFT($B7,(FIND(",",$B7,1)-1)),"")</f>
        <v>Boriss Klubov</v>
      </c>
      <c r="O7" s="515">
        <f>IFERROR(INDEX(V!$O:$O,MATCH(N7,V!$J:$J,0)),"")</f>
        <v>89</v>
      </c>
      <c r="P7" s="514" t="str">
        <f t="shared" ref="P7:P28" si="0">IFERROR(MID($B7,FIND(", ",$B7)+2,256),"")</f>
        <v>Elmo Lageda</v>
      </c>
      <c r="Q7" s="515">
        <f>IFERROR(INDEX(V!$O:$O,MATCH(P7,V!$J:$J,0)),"")</f>
        <v>76</v>
      </c>
      <c r="R7" s="516" t="str">
        <f t="shared" ref="R7:R28" si="1">IFERROR(MID($B7,FIND("^",SUBSTITUTE($B7,", ","^",1))+2,FIND("^",SUBSTITUTE($B7,", ","^",2))-FIND("^",SUBSTITUTE($B7,", ","^",1))-2),"")</f>
        <v/>
      </c>
      <c r="S7" s="515" t="str">
        <f>IFERROR(INDEX(V!$O:$O,MATCH(R7,V!$J:$J,0)),"")</f>
        <v/>
      </c>
      <c r="T7" s="516" t="str">
        <f t="shared" ref="T7:T28" si="2">IFERROR(MID($B7,FIND(", ",$B7,FIND(", ",$B7,FIND(", ",$B7))+1)+2,30000),"")</f>
        <v/>
      </c>
      <c r="U7" s="515" t="str">
        <f>IFERROR(INDEX(V!$O:$O,MATCH(T7,V!$J:$J,0)),"")</f>
        <v/>
      </c>
    </row>
    <row r="8" spans="1:22" s="188" customFormat="1" x14ac:dyDescent="0.2">
      <c r="A8" s="126">
        <v>2</v>
      </c>
      <c r="B8" s="164" t="s">
        <v>116</v>
      </c>
      <c r="C8" s="316">
        <v>13</v>
      </c>
      <c r="D8" s="127"/>
      <c r="E8" s="316">
        <v>8</v>
      </c>
      <c r="F8" s="128"/>
      <c r="G8" s="317" t="s">
        <v>74</v>
      </c>
      <c r="H8" s="131" t="s">
        <v>84</v>
      </c>
      <c r="I8" s="1183" t="s">
        <v>404</v>
      </c>
      <c r="J8" s="319" t="s">
        <v>402</v>
      </c>
      <c r="M8" s="512">
        <f t="shared" ref="M8:M28" si="3">SUM(O8:U8)</f>
        <v>139</v>
      </c>
      <c r="N8" s="514" t="str">
        <f t="shared" ref="N8:N28" si="4">IFERROR(LEFT($B8,(FIND(",",$B8,1)-1)),"")</f>
        <v>Jaan Sepp</v>
      </c>
      <c r="O8" s="515">
        <f>IFERROR(INDEX(V!$O:$O,MATCH(N8,V!$J:$J,0)),"")</f>
        <v>82.5</v>
      </c>
      <c r="P8" s="514" t="str">
        <f t="shared" si="0"/>
        <v>Oskar Sepp</v>
      </c>
      <c r="Q8" s="515">
        <f>IFERROR(INDEX(V!$O:$O,MATCH(P8,V!$J:$J,0)),"")</f>
        <v>56.5</v>
      </c>
      <c r="R8" s="516" t="str">
        <f t="shared" si="1"/>
        <v/>
      </c>
      <c r="S8" s="515" t="str">
        <f>IFERROR(INDEX(V!$O:$O,MATCH(R8,V!$J:$J,0)),"")</f>
        <v/>
      </c>
      <c r="T8" s="516" t="str">
        <f t="shared" si="2"/>
        <v/>
      </c>
      <c r="U8" s="515" t="str">
        <f>IFERROR(INDEX(V!$O:$O,MATCH(T8,V!$J:$J,0)),"")</f>
        <v/>
      </c>
    </row>
    <row r="9" spans="1:22" s="188" customFormat="1" x14ac:dyDescent="0.2">
      <c r="A9" s="126">
        <v>3</v>
      </c>
      <c r="B9" s="164" t="s">
        <v>352</v>
      </c>
      <c r="C9" s="316">
        <v>12</v>
      </c>
      <c r="D9" s="403">
        <v>13</v>
      </c>
      <c r="E9" s="127"/>
      <c r="F9" s="128"/>
      <c r="G9" s="317" t="s">
        <v>74</v>
      </c>
      <c r="H9" s="131" t="s">
        <v>76</v>
      </c>
      <c r="I9" s="1183" t="s">
        <v>405</v>
      </c>
      <c r="J9" s="319" t="s">
        <v>403</v>
      </c>
      <c r="M9" s="512">
        <f t="shared" si="3"/>
        <v>54</v>
      </c>
      <c r="N9" s="514" t="str">
        <f t="shared" si="4"/>
        <v>Aigi Orro</v>
      </c>
      <c r="O9" s="515">
        <f>IFERROR(INDEX(V!$O:$O,MATCH(N9,V!$J:$J,0)),"")</f>
        <v>43</v>
      </c>
      <c r="P9" s="514" t="str">
        <f t="shared" si="0"/>
        <v>Kalle Orro</v>
      </c>
      <c r="Q9" s="515">
        <f>IFERROR(INDEX(V!$O:$O,MATCH(P9,V!$J:$J,0)),"")</f>
        <v>11</v>
      </c>
      <c r="R9" s="516" t="str">
        <f t="shared" si="1"/>
        <v/>
      </c>
      <c r="S9" s="515" t="str">
        <f>IFERROR(INDEX(V!$O:$O,MATCH(R9,V!$J:$J,0)),"")</f>
        <v/>
      </c>
      <c r="T9" s="516" t="str">
        <f t="shared" si="2"/>
        <v/>
      </c>
      <c r="U9" s="515" t="str">
        <f>IFERROR(INDEX(V!$O:$O,MATCH(T9,V!$J:$J,0)),"")</f>
        <v/>
      </c>
    </row>
    <row r="10" spans="1:22" s="188" customFormat="1" hidden="1" x14ac:dyDescent="0.2">
      <c r="A10" s="126"/>
      <c r="B10" s="164"/>
      <c r="C10" s="128"/>
      <c r="D10" s="128"/>
      <c r="E10" s="93"/>
      <c r="F10" s="547"/>
      <c r="G10" s="132"/>
      <c r="H10" s="131"/>
      <c r="I10" s="192"/>
      <c r="J10" s="319"/>
      <c r="M10" s="512">
        <f t="shared" si="3"/>
        <v>0</v>
      </c>
      <c r="N10" s="514" t="str">
        <f t="shared" si="4"/>
        <v/>
      </c>
      <c r="O10" s="515" t="str">
        <f>IFERROR(INDEX(V!$O:$O,MATCH(N10,V!$J:$J,0)),"")</f>
        <v/>
      </c>
      <c r="P10" s="514" t="str">
        <f t="shared" si="0"/>
        <v/>
      </c>
      <c r="Q10" s="515" t="str">
        <f>IFERROR(INDEX(V!$O:$O,MATCH(P10,V!$J:$J,0)),"")</f>
        <v/>
      </c>
      <c r="R10" s="516" t="str">
        <f t="shared" si="1"/>
        <v/>
      </c>
      <c r="S10" s="515" t="str">
        <f>IFERROR(INDEX(V!$O:$O,MATCH(R10,V!$J:$J,0)),"")</f>
        <v/>
      </c>
      <c r="T10" s="516" t="str">
        <f t="shared" si="2"/>
        <v/>
      </c>
      <c r="U10" s="515" t="str">
        <f>IFERROR(INDEX(V!$O:$O,MATCH(T10,V!$J:$J,0)),"")</f>
        <v/>
      </c>
    </row>
    <row r="11" spans="1:22" s="188" customFormat="1" x14ac:dyDescent="0.2">
      <c r="A11" s="121"/>
      <c r="B11" s="415" t="s">
        <v>70</v>
      </c>
      <c r="C11" s="96"/>
      <c r="D11" s="312"/>
      <c r="E11" s="96"/>
      <c r="F11" s="97"/>
      <c r="G11" s="98"/>
      <c r="H11" s="414" t="s">
        <v>70</v>
      </c>
    </row>
    <row r="12" spans="1:22" s="186" customFormat="1" x14ac:dyDescent="0.2">
      <c r="A12" s="126" t="s">
        <v>90</v>
      </c>
      <c r="B12" s="126"/>
      <c r="C12" s="91">
        <v>1</v>
      </c>
      <c r="D12" s="91">
        <v>2</v>
      </c>
      <c r="E12" s="91">
        <v>3</v>
      </c>
      <c r="F12" s="91"/>
      <c r="G12" s="91" t="s">
        <v>73</v>
      </c>
      <c r="H12" s="91" t="s">
        <v>21</v>
      </c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</row>
    <row r="13" spans="1:22" s="186" customFormat="1" x14ac:dyDescent="0.2">
      <c r="A13" s="126">
        <v>1</v>
      </c>
      <c r="B13" s="308" t="s">
        <v>260</v>
      </c>
      <c r="C13" s="127"/>
      <c r="D13" s="128">
        <v>13</v>
      </c>
      <c r="E13" s="128">
        <v>13</v>
      </c>
      <c r="F13" s="131"/>
      <c r="G13" s="132" t="s">
        <v>77</v>
      </c>
      <c r="H13" s="131" t="s">
        <v>86</v>
      </c>
      <c r="I13" s="435"/>
      <c r="J13" s="433"/>
      <c r="M13" s="512">
        <f t="shared" si="3"/>
        <v>155</v>
      </c>
      <c r="N13" s="514" t="str">
        <f t="shared" si="4"/>
        <v>Johannes Neiland</v>
      </c>
      <c r="O13" s="515">
        <f>IFERROR(INDEX(V!$O:$O,MATCH(N13,V!$J:$J,0)),"")</f>
        <v>94</v>
      </c>
      <c r="P13" s="514" t="str">
        <f t="shared" si="0"/>
        <v>Kati Tuzberg</v>
      </c>
      <c r="Q13" s="515">
        <f>IFERROR(INDEX(V!$O:$O,MATCH(P13,V!$J:$J,0)),"")</f>
        <v>61</v>
      </c>
      <c r="R13" s="516" t="str">
        <f t="shared" si="1"/>
        <v/>
      </c>
      <c r="S13" s="515" t="str">
        <f>IFERROR(INDEX(V!$O:$O,MATCH(R13,V!$J:$J,0)),"")</f>
        <v/>
      </c>
      <c r="T13" s="516" t="str">
        <f t="shared" si="2"/>
        <v/>
      </c>
      <c r="U13" s="515" t="str">
        <f>IFERROR(INDEX(V!$O:$O,MATCH(T13,V!$J:$J,0)),"")</f>
        <v/>
      </c>
    </row>
    <row r="14" spans="1:22" s="186" customFormat="1" x14ac:dyDescent="0.2">
      <c r="A14" s="126">
        <v>2</v>
      </c>
      <c r="B14" s="164" t="s">
        <v>395</v>
      </c>
      <c r="C14" s="128">
        <v>3</v>
      </c>
      <c r="D14" s="127"/>
      <c r="E14" s="128">
        <v>6</v>
      </c>
      <c r="F14" s="131"/>
      <c r="G14" s="132" t="s">
        <v>78</v>
      </c>
      <c r="H14" s="131" t="s">
        <v>94</v>
      </c>
      <c r="I14" s="435"/>
      <c r="J14" s="434"/>
      <c r="M14" s="512">
        <f t="shared" si="3"/>
        <v>80</v>
      </c>
      <c r="N14" s="514" t="str">
        <f t="shared" si="4"/>
        <v>Kenneth Muusikus</v>
      </c>
      <c r="O14" s="515">
        <f>IFERROR(INDEX(V!$O:$O,MATCH(N14,V!$J:$J,0)),"")</f>
        <v>80</v>
      </c>
      <c r="P14" s="514" t="str">
        <f t="shared" si="0"/>
        <v>Oleg Rõndenkov / Joana Taalberg</v>
      </c>
      <c r="Q14" s="515" t="str">
        <f>IFERROR(INDEX(V!$O:$O,MATCH(P14,V!$J:$J,0)),"")</f>
        <v/>
      </c>
      <c r="R14" s="516" t="str">
        <f t="shared" si="1"/>
        <v/>
      </c>
      <c r="S14" s="515" t="str">
        <f>IFERROR(INDEX(V!$O:$O,MATCH(R14,V!$J:$J,0)),"")</f>
        <v/>
      </c>
      <c r="T14" s="516" t="str">
        <f t="shared" si="2"/>
        <v/>
      </c>
      <c r="U14" s="515" t="str">
        <f>IFERROR(INDEX(V!$O:$O,MATCH(T14,V!$J:$J,0)),"")</f>
        <v/>
      </c>
    </row>
    <row r="15" spans="1:22" s="186" customFormat="1" x14ac:dyDescent="0.2">
      <c r="A15" s="126">
        <v>3</v>
      </c>
      <c r="B15" s="164" t="s">
        <v>399</v>
      </c>
      <c r="C15" s="128">
        <v>2</v>
      </c>
      <c r="D15" s="311">
        <v>13</v>
      </c>
      <c r="E15" s="127"/>
      <c r="F15" s="523"/>
      <c r="G15" s="132" t="s">
        <v>74</v>
      </c>
      <c r="H15" s="131" t="s">
        <v>71</v>
      </c>
      <c r="I15" s="435"/>
      <c r="J15" s="434"/>
      <c r="M15" s="512">
        <f t="shared" si="3"/>
        <v>127</v>
      </c>
      <c r="N15" s="514" t="str">
        <f t="shared" si="4"/>
        <v>Henri Mitt</v>
      </c>
      <c r="O15" s="515">
        <f>IFERROR(INDEX(V!$O:$O,MATCH(N15,V!$J:$J,0)),"")</f>
        <v>55</v>
      </c>
      <c r="P15" s="514" t="str">
        <f t="shared" si="0"/>
        <v>Klavdia Piik</v>
      </c>
      <c r="Q15" s="515">
        <f>IFERROR(INDEX(V!$O:$O,MATCH(P15,V!$J:$J,0)),"")</f>
        <v>72</v>
      </c>
      <c r="R15" s="516" t="str">
        <f t="shared" si="1"/>
        <v/>
      </c>
      <c r="S15" s="515" t="str">
        <f>IFERROR(INDEX(V!$O:$O,MATCH(R15,V!$J:$J,0)),"")</f>
        <v/>
      </c>
      <c r="T15" s="516" t="str">
        <f t="shared" si="2"/>
        <v/>
      </c>
      <c r="U15" s="515" t="str">
        <f>IFERROR(INDEX(V!$O:$O,MATCH(T15,V!$J:$J,0)),"")</f>
        <v/>
      </c>
    </row>
    <row r="16" spans="1:22" s="186" customFormat="1" hidden="1" x14ac:dyDescent="0.2">
      <c r="A16" s="126"/>
      <c r="B16" s="164"/>
      <c r="C16" s="128"/>
      <c r="D16" s="128"/>
      <c r="E16" s="93"/>
      <c r="F16" s="547"/>
      <c r="G16" s="132"/>
      <c r="H16" s="131"/>
      <c r="I16" s="435"/>
      <c r="J16" s="434"/>
      <c r="M16" s="512">
        <f t="shared" si="3"/>
        <v>0</v>
      </c>
      <c r="N16" s="514" t="str">
        <f t="shared" si="4"/>
        <v/>
      </c>
      <c r="O16" s="515" t="str">
        <f>IFERROR(INDEX(V!$O:$O,MATCH(N16,V!$J:$J,0)),"")</f>
        <v/>
      </c>
      <c r="P16" s="514" t="str">
        <f t="shared" si="0"/>
        <v/>
      </c>
      <c r="Q16" s="515" t="str">
        <f>IFERROR(INDEX(V!$O:$O,MATCH(P16,V!$J:$J,0)),"")</f>
        <v/>
      </c>
      <c r="R16" s="516" t="str">
        <f t="shared" si="1"/>
        <v/>
      </c>
      <c r="S16" s="515" t="str">
        <f>IFERROR(INDEX(V!$O:$O,MATCH(R16,V!$J:$J,0)),"")</f>
        <v/>
      </c>
      <c r="T16" s="516" t="str">
        <f t="shared" si="2"/>
        <v/>
      </c>
      <c r="U16" s="515" t="str">
        <f>IFERROR(INDEX(V!$O:$O,MATCH(T16,V!$J:$J,0)),"")</f>
        <v/>
      </c>
    </row>
    <row r="17" spans="1:23" s="186" customFormat="1" x14ac:dyDescent="0.2">
      <c r="A17" s="87"/>
      <c r="B17" s="88"/>
      <c r="C17" s="309"/>
      <c r="D17" s="309"/>
      <c r="E17" s="309"/>
      <c r="G17" s="310"/>
      <c r="H17" s="309"/>
      <c r="I17" s="188"/>
      <c r="J17" s="188"/>
      <c r="K17" s="188"/>
      <c r="L17" s="212"/>
      <c r="M17" s="188"/>
      <c r="N17" s="188"/>
      <c r="O17" s="188"/>
      <c r="P17" s="188"/>
      <c r="Q17" s="188"/>
      <c r="R17" s="188"/>
      <c r="S17" s="188"/>
      <c r="T17" s="188"/>
      <c r="U17" s="188"/>
      <c r="V17" s="188"/>
    </row>
    <row r="18" spans="1:23" s="188" customFormat="1" x14ac:dyDescent="0.2">
      <c r="A18" s="126" t="s">
        <v>166</v>
      </c>
      <c r="B18" s="126"/>
      <c r="C18" s="91">
        <v>1</v>
      </c>
      <c r="D18" s="91">
        <v>2</v>
      </c>
      <c r="E18" s="91">
        <v>3</v>
      </c>
      <c r="F18" s="91"/>
      <c r="G18" s="91" t="s">
        <v>73</v>
      </c>
      <c r="H18" s="91" t="s">
        <v>21</v>
      </c>
      <c r="L18" s="212"/>
    </row>
    <row r="19" spans="1:23" s="188" customFormat="1" x14ac:dyDescent="0.2">
      <c r="A19" s="126">
        <v>1</v>
      </c>
      <c r="B19" s="308" t="s">
        <v>279</v>
      </c>
      <c r="C19" s="127"/>
      <c r="D19" s="128">
        <v>13</v>
      </c>
      <c r="E19" s="128">
        <v>10</v>
      </c>
      <c r="F19" s="128"/>
      <c r="G19" s="132" t="s">
        <v>74</v>
      </c>
      <c r="H19" s="131" t="s">
        <v>75</v>
      </c>
      <c r="M19" s="512">
        <f t="shared" si="3"/>
        <v>132</v>
      </c>
      <c r="N19" s="514" t="str">
        <f t="shared" si="4"/>
        <v>Mait Metsla</v>
      </c>
      <c r="O19" s="515">
        <f>IFERROR(INDEX(V!$O:$O,MATCH(N19,V!$J:$J,0)),"")</f>
        <v>59</v>
      </c>
      <c r="P19" s="514" t="str">
        <f t="shared" si="0"/>
        <v>Tõnu Piik</v>
      </c>
      <c r="Q19" s="515">
        <f>IFERROR(INDEX(V!$O:$O,MATCH(P19,V!$J:$J,0)),"")</f>
        <v>73</v>
      </c>
      <c r="R19" s="516" t="str">
        <f t="shared" si="1"/>
        <v/>
      </c>
      <c r="S19" s="515" t="str">
        <f>IFERROR(INDEX(V!$O:$O,MATCH(R19,V!$J:$J,0)),"")</f>
        <v/>
      </c>
      <c r="T19" s="516" t="str">
        <f t="shared" si="2"/>
        <v/>
      </c>
      <c r="U19" s="515" t="str">
        <f>IFERROR(INDEX(V!$O:$O,MATCH(T19,V!$J:$J,0)),"")</f>
        <v/>
      </c>
    </row>
    <row r="20" spans="1:23" s="188" customFormat="1" x14ac:dyDescent="0.2">
      <c r="A20" s="126">
        <v>2</v>
      </c>
      <c r="B20" s="164" t="s">
        <v>130</v>
      </c>
      <c r="C20" s="128">
        <v>5</v>
      </c>
      <c r="D20" s="127"/>
      <c r="E20" s="128">
        <v>11</v>
      </c>
      <c r="F20" s="128"/>
      <c r="G20" s="132" t="s">
        <v>78</v>
      </c>
      <c r="H20" s="131" t="s">
        <v>118</v>
      </c>
      <c r="M20" s="512">
        <f t="shared" si="3"/>
        <v>73</v>
      </c>
      <c r="N20" s="514" t="str">
        <f t="shared" si="4"/>
        <v>Enn Tokman</v>
      </c>
      <c r="O20" s="515">
        <f>IFERROR(INDEX(V!$O:$O,MATCH(N20,V!$J:$J,0)),"")</f>
        <v>41</v>
      </c>
      <c r="P20" s="514" t="str">
        <f t="shared" si="0"/>
        <v>Tarmo Bombe</v>
      </c>
      <c r="Q20" s="515">
        <f>IFERROR(INDEX(V!$O:$O,MATCH(P20,V!$J:$J,0)),"")</f>
        <v>32</v>
      </c>
      <c r="R20" s="516" t="str">
        <f t="shared" si="1"/>
        <v/>
      </c>
      <c r="S20" s="515" t="str">
        <f>IFERROR(INDEX(V!$O:$O,MATCH(R20,V!$J:$J,0)),"")</f>
        <v/>
      </c>
      <c r="T20" s="516" t="str">
        <f t="shared" si="2"/>
        <v/>
      </c>
      <c r="U20" s="515" t="str">
        <f>IFERROR(INDEX(V!$O:$O,MATCH(T20,V!$J:$J,0)),"")</f>
        <v/>
      </c>
    </row>
    <row r="21" spans="1:23" s="188" customFormat="1" x14ac:dyDescent="0.2">
      <c r="A21" s="126">
        <v>3</v>
      </c>
      <c r="B21" s="164" t="s">
        <v>117</v>
      </c>
      <c r="C21" s="128">
        <v>13</v>
      </c>
      <c r="D21" s="311">
        <v>13</v>
      </c>
      <c r="E21" s="127"/>
      <c r="F21" s="128"/>
      <c r="G21" s="132" t="s">
        <v>77</v>
      </c>
      <c r="H21" s="131" t="s">
        <v>85</v>
      </c>
      <c r="M21" s="512">
        <f t="shared" si="3"/>
        <v>102</v>
      </c>
      <c r="N21" s="514" t="str">
        <f t="shared" si="4"/>
        <v>Ljudmila Varendi</v>
      </c>
      <c r="O21" s="515">
        <f>IFERROR(INDEX(V!$O:$O,MATCH(N21,V!$J:$J,0)),"")</f>
        <v>51</v>
      </c>
      <c r="P21" s="514" t="str">
        <f t="shared" si="0"/>
        <v>Viktor Švarõgin</v>
      </c>
      <c r="Q21" s="515">
        <f>IFERROR(INDEX(V!$O:$O,MATCH(P21,V!$J:$J,0)),"")</f>
        <v>51</v>
      </c>
      <c r="R21" s="516" t="str">
        <f t="shared" si="1"/>
        <v/>
      </c>
      <c r="S21" s="515" t="str">
        <f>IFERROR(INDEX(V!$O:$O,MATCH(R21,V!$J:$J,0)),"")</f>
        <v/>
      </c>
      <c r="T21" s="516" t="str">
        <f t="shared" si="2"/>
        <v/>
      </c>
      <c r="U21" s="515" t="str">
        <f>IFERROR(INDEX(V!$O:$O,MATCH(T21,V!$J:$J,0)),"")</f>
        <v/>
      </c>
    </row>
    <row r="22" spans="1:23" s="188" customFormat="1" hidden="1" x14ac:dyDescent="0.2">
      <c r="A22" s="126"/>
      <c r="B22" s="164"/>
      <c r="C22" s="128"/>
      <c r="D22" s="128"/>
      <c r="E22" s="93"/>
      <c r="F22" s="547"/>
      <c r="G22" s="132"/>
      <c r="H22" s="131"/>
      <c r="M22" s="512">
        <f t="shared" si="3"/>
        <v>0</v>
      </c>
      <c r="N22" s="514" t="str">
        <f t="shared" si="4"/>
        <v/>
      </c>
      <c r="O22" s="515" t="str">
        <f>IFERROR(INDEX(V!$O:$O,MATCH(N22,V!$J:$J,0)),"")</f>
        <v/>
      </c>
      <c r="P22" s="514" t="str">
        <f t="shared" si="0"/>
        <v/>
      </c>
      <c r="Q22" s="515" t="str">
        <f>IFERROR(INDEX(V!$O:$O,MATCH(P22,V!$J:$J,0)),"")</f>
        <v/>
      </c>
      <c r="R22" s="516" t="str">
        <f t="shared" si="1"/>
        <v/>
      </c>
      <c r="S22" s="515" t="str">
        <f>IFERROR(INDEX(V!$O:$O,MATCH(R22,V!$J:$J,0)),"")</f>
        <v/>
      </c>
      <c r="T22" s="516" t="str">
        <f t="shared" si="2"/>
        <v/>
      </c>
      <c r="U22" s="515" t="str">
        <f>IFERROR(INDEX(V!$O:$O,MATCH(T22,V!$J:$J,0)),"")</f>
        <v/>
      </c>
    </row>
    <row r="23" spans="1:23" s="188" customFormat="1" x14ac:dyDescent="0.2">
      <c r="A23" s="121"/>
      <c r="B23" s="217"/>
      <c r="C23" s="96"/>
      <c r="D23" s="501"/>
      <c r="F23" s="94"/>
      <c r="G23" s="485"/>
      <c r="H23" s="501"/>
      <c r="L23" s="212"/>
    </row>
    <row r="24" spans="1:23" s="188" customFormat="1" x14ac:dyDescent="0.2">
      <c r="A24" s="126" t="s">
        <v>323</v>
      </c>
      <c r="B24" s="126"/>
      <c r="C24" s="91">
        <v>1</v>
      </c>
      <c r="D24" s="91">
        <v>2</v>
      </c>
      <c r="E24" s="91">
        <v>3</v>
      </c>
      <c r="F24" s="91">
        <v>4</v>
      </c>
      <c r="G24" s="91" t="s">
        <v>73</v>
      </c>
      <c r="H24" s="91" t="s">
        <v>21</v>
      </c>
      <c r="L24" s="212"/>
    </row>
    <row r="25" spans="1:23" s="188" customFormat="1" x14ac:dyDescent="0.2">
      <c r="A25" s="126">
        <v>1</v>
      </c>
      <c r="B25" s="308" t="s">
        <v>168</v>
      </c>
      <c r="C25" s="127"/>
      <c r="D25" s="128">
        <v>13</v>
      </c>
      <c r="E25" s="316">
        <v>9</v>
      </c>
      <c r="F25" s="128">
        <v>13</v>
      </c>
      <c r="G25" s="317" t="s">
        <v>91</v>
      </c>
      <c r="H25" s="131" t="s">
        <v>406</v>
      </c>
      <c r="I25" s="1179" t="s">
        <v>230</v>
      </c>
      <c r="M25" s="512">
        <f t="shared" si="3"/>
        <v>102</v>
      </c>
      <c r="N25" s="514" t="str">
        <f t="shared" si="4"/>
        <v>Heili Vasser</v>
      </c>
      <c r="O25" s="515">
        <f>IFERROR(INDEX(V!$O:$O,MATCH(N25,V!$J:$J,0)),"")</f>
        <v>31.5</v>
      </c>
      <c r="P25" s="514" t="str">
        <f t="shared" si="0"/>
        <v>Vello Vasser</v>
      </c>
      <c r="Q25" s="515">
        <f>IFERROR(INDEX(V!$O:$O,MATCH(P25,V!$J:$J,0)),"")</f>
        <v>70.5</v>
      </c>
      <c r="R25" s="516" t="str">
        <f t="shared" si="1"/>
        <v/>
      </c>
      <c r="S25" s="515" t="str">
        <f>IFERROR(INDEX(V!$O:$O,MATCH(R25,V!$J:$J,0)),"")</f>
        <v/>
      </c>
      <c r="T25" s="516" t="str">
        <f t="shared" si="2"/>
        <v/>
      </c>
      <c r="U25" s="515" t="str">
        <f>IFERROR(INDEX(V!$O:$O,MATCH(T25,V!$J:$J,0)),"")</f>
        <v/>
      </c>
    </row>
    <row r="26" spans="1:23" s="188" customFormat="1" x14ac:dyDescent="0.2">
      <c r="A26" s="126">
        <v>2</v>
      </c>
      <c r="B26" s="164" t="s">
        <v>115</v>
      </c>
      <c r="C26" s="128">
        <v>6</v>
      </c>
      <c r="D26" s="127"/>
      <c r="E26" s="128">
        <v>9</v>
      </c>
      <c r="F26" s="661">
        <v>13</v>
      </c>
      <c r="G26" s="1185" t="s">
        <v>92</v>
      </c>
      <c r="H26" s="131" t="s">
        <v>408</v>
      </c>
      <c r="I26" s="1181" t="s">
        <v>312</v>
      </c>
      <c r="M26" s="512">
        <f t="shared" si="3"/>
        <v>162</v>
      </c>
      <c r="N26" s="514" t="str">
        <f t="shared" si="4"/>
        <v>Andres Veski</v>
      </c>
      <c r="O26" s="515">
        <f>IFERROR(INDEX(V!$O:$O,MATCH(N26,V!$J:$J,0)),"")</f>
        <v>76</v>
      </c>
      <c r="P26" s="514" t="str">
        <f t="shared" si="0"/>
        <v>Svetlana Veski</v>
      </c>
      <c r="Q26" s="515">
        <f>IFERROR(INDEX(V!$O:$O,MATCH(P26,V!$J:$J,0)),"")</f>
        <v>86</v>
      </c>
      <c r="R26" s="516" t="str">
        <f t="shared" si="1"/>
        <v/>
      </c>
      <c r="S26" s="515" t="str">
        <f>IFERROR(INDEX(V!$O:$O,MATCH(R26,V!$J:$J,0)),"")</f>
        <v/>
      </c>
      <c r="T26" s="516" t="str">
        <f t="shared" si="2"/>
        <v/>
      </c>
      <c r="U26" s="515" t="str">
        <f>IFERROR(INDEX(V!$O:$O,MATCH(T26,V!$J:$J,0)),"")</f>
        <v/>
      </c>
    </row>
    <row r="27" spans="1:23" s="188" customFormat="1" x14ac:dyDescent="0.2">
      <c r="A27" s="126">
        <v>3</v>
      </c>
      <c r="B27" s="164" t="s">
        <v>393</v>
      </c>
      <c r="C27" s="316">
        <v>13</v>
      </c>
      <c r="D27" s="311">
        <v>13</v>
      </c>
      <c r="E27" s="127"/>
      <c r="F27" s="128">
        <v>2</v>
      </c>
      <c r="G27" s="317" t="s">
        <v>91</v>
      </c>
      <c r="H27" s="131" t="s">
        <v>407</v>
      </c>
      <c r="I27" s="1179" t="s">
        <v>312</v>
      </c>
      <c r="M27" s="512">
        <f t="shared" si="3"/>
        <v>66</v>
      </c>
      <c r="N27" s="514" t="str">
        <f t="shared" si="4"/>
        <v>Karla Purgats</v>
      </c>
      <c r="O27" s="515">
        <f>IFERROR(INDEX(V!$O:$O,MATCH(N27,V!$J:$J,0)),"")</f>
        <v>66</v>
      </c>
      <c r="P27" s="514" t="str">
        <f t="shared" si="0"/>
        <v>Toomas Tedrekull / Jaan Saar</v>
      </c>
      <c r="Q27" s="515" t="str">
        <f>IFERROR(INDEX(V!$O:$O,MATCH(P27,V!$J:$J,0)),"")</f>
        <v/>
      </c>
      <c r="R27" s="516" t="str">
        <f t="shared" si="1"/>
        <v/>
      </c>
      <c r="S27" s="515" t="str">
        <f>IFERROR(INDEX(V!$O:$O,MATCH(R27,V!$J:$J,0)),"")</f>
        <v/>
      </c>
      <c r="T27" s="516" t="str">
        <f t="shared" si="2"/>
        <v/>
      </c>
      <c r="U27" s="515" t="str">
        <f>IFERROR(INDEX(V!$O:$O,MATCH(T27,V!$J:$J,0)),"")</f>
        <v/>
      </c>
    </row>
    <row r="28" spans="1:23" s="188" customFormat="1" x14ac:dyDescent="0.2">
      <c r="A28" s="126">
        <v>4</v>
      </c>
      <c r="B28" s="164" t="s">
        <v>392</v>
      </c>
      <c r="C28" s="128">
        <v>6</v>
      </c>
      <c r="D28" s="661">
        <v>8</v>
      </c>
      <c r="E28" s="128">
        <v>13</v>
      </c>
      <c r="F28" s="127"/>
      <c r="G28" s="1185" t="s">
        <v>92</v>
      </c>
      <c r="H28" s="131" t="s">
        <v>409</v>
      </c>
      <c r="I28" s="1181" t="s">
        <v>230</v>
      </c>
      <c r="M28" s="512">
        <f t="shared" si="3"/>
        <v>41</v>
      </c>
      <c r="N28" s="514" t="str">
        <f t="shared" si="4"/>
        <v>Einar Juhkam</v>
      </c>
      <c r="O28" s="515" t="str">
        <f>IFERROR(INDEX(V!$H:$H,MATCH(N28,V!$F:$F,0)),"")</f>
        <v/>
      </c>
      <c r="P28" s="514" t="str">
        <f t="shared" si="0"/>
        <v>Illar Tõnurist</v>
      </c>
      <c r="Q28" s="515">
        <f>IFERROR(INDEX(V!$O:$O,MATCH(P28,V!$J:$J,0)),"")</f>
        <v>41</v>
      </c>
      <c r="R28" s="516" t="str">
        <f t="shared" si="1"/>
        <v/>
      </c>
      <c r="S28" s="515" t="str">
        <f>IFERROR(INDEX(V!$O:$O,MATCH(R28,V!$J:$J,0)),"")</f>
        <v/>
      </c>
      <c r="T28" s="516" t="str">
        <f t="shared" si="2"/>
        <v/>
      </c>
      <c r="U28" s="515" t="str">
        <f>IFERROR(INDEX(V!$O:$O,MATCH(T28,V!$J:$J,0)),"")</f>
        <v/>
      </c>
    </row>
    <row r="29" spans="1:23" s="188" customFormat="1" x14ac:dyDescent="0.2">
      <c r="A29" s="121"/>
      <c r="B29" s="217"/>
      <c r="C29" s="96"/>
      <c r="D29" s="501"/>
      <c r="F29" s="94"/>
      <c r="G29" s="485"/>
      <c r="H29" s="501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</row>
    <row r="30" spans="1:23" s="188" customFormat="1" x14ac:dyDescent="0.2">
      <c r="A30" s="314"/>
      <c r="B30" s="213" t="s">
        <v>98</v>
      </c>
      <c r="C30" s="98" t="s">
        <v>99</v>
      </c>
      <c r="D30" s="98" t="s">
        <v>100</v>
      </c>
      <c r="E30" s="314"/>
      <c r="F30" s="314"/>
      <c r="G30" s="314"/>
      <c r="L30" s="88"/>
      <c r="N30" s="212"/>
      <c r="O30" s="88"/>
      <c r="P30" s="88"/>
      <c r="Q30" s="88"/>
      <c r="R30" s="88"/>
      <c r="S30" s="88"/>
      <c r="T30" s="88"/>
      <c r="U30" s="88"/>
      <c r="V30" s="88"/>
      <c r="W30" s="88"/>
    </row>
    <row r="31" spans="1:23" s="188" customFormat="1" x14ac:dyDescent="0.2">
      <c r="A31" s="314"/>
      <c r="B31" s="213" t="s">
        <v>101</v>
      </c>
      <c r="C31" s="98" t="s">
        <v>102</v>
      </c>
      <c r="D31" s="98" t="s">
        <v>103</v>
      </c>
      <c r="E31" s="314"/>
      <c r="F31" s="314"/>
      <c r="G31" s="314"/>
      <c r="L31" s="88"/>
      <c r="O31" s="88"/>
      <c r="P31" s="88"/>
      <c r="Q31" s="88"/>
      <c r="R31" s="88"/>
      <c r="S31" s="88"/>
      <c r="T31" s="88"/>
      <c r="U31" s="88"/>
      <c r="V31" s="88"/>
      <c r="W31" s="88"/>
    </row>
    <row r="32" spans="1:23" s="188" customFormat="1" x14ac:dyDescent="0.2">
      <c r="A32" s="314"/>
      <c r="B32" s="213" t="s">
        <v>104</v>
      </c>
      <c r="C32" s="98" t="s">
        <v>92</v>
      </c>
      <c r="D32" s="98" t="s">
        <v>105</v>
      </c>
      <c r="E32" s="314"/>
      <c r="F32" s="314"/>
      <c r="G32" s="314"/>
      <c r="L32" s="88"/>
      <c r="O32" s="88"/>
      <c r="P32" s="88"/>
      <c r="Q32" s="88"/>
      <c r="R32" s="88"/>
      <c r="S32" s="88"/>
      <c r="T32" s="88"/>
      <c r="U32" s="88"/>
      <c r="V32" s="88"/>
      <c r="W32" s="88"/>
    </row>
    <row r="33" spans="1:23" s="188" customFormat="1" x14ac:dyDescent="0.2">
      <c r="A33" s="95"/>
      <c r="B33" s="410"/>
      <c r="C33" s="97"/>
      <c r="D33" s="97"/>
      <c r="E33" s="97"/>
      <c r="F33" s="97"/>
      <c r="G33" s="402"/>
      <c r="L33" s="88"/>
      <c r="N33" s="212"/>
      <c r="O33" s="88"/>
      <c r="P33" s="88"/>
      <c r="Q33" s="88"/>
      <c r="R33" s="88"/>
      <c r="S33" s="88"/>
      <c r="T33" s="88"/>
      <c r="U33" s="88"/>
      <c r="V33" s="88"/>
      <c r="W33" s="88"/>
    </row>
    <row r="34" spans="1:23" s="88" customFormat="1" x14ac:dyDescent="0.2">
      <c r="A34" s="214" t="s">
        <v>411</v>
      </c>
      <c r="B34" s="99"/>
      <c r="C34" s="96"/>
      <c r="D34" s="96"/>
      <c r="E34" s="96"/>
      <c r="F34" s="97"/>
      <c r="G34" s="98"/>
      <c r="M34" s="188"/>
      <c r="N34" s="188"/>
    </row>
    <row r="35" spans="1:23" s="88" customFormat="1" x14ac:dyDescent="0.2">
      <c r="M35" s="188"/>
      <c r="N35" s="212"/>
    </row>
    <row r="36" spans="1:23" s="88" customFormat="1" x14ac:dyDescent="0.2">
      <c r="A36" s="106" t="s">
        <v>84</v>
      </c>
      <c r="B36" s="404" t="str">
        <f>IFERROR(INDEX(B$7:B$32,MATCH(A36,H$7:H$28,0)),"")</f>
        <v>Jaan Sepp, Oskar Sepp</v>
      </c>
      <c r="C36" s="120">
        <v>13</v>
      </c>
      <c r="M36" s="188"/>
      <c r="N36" s="215"/>
    </row>
    <row r="37" spans="1:23" s="88" customFormat="1" x14ac:dyDescent="0.2">
      <c r="A37" s="107"/>
      <c r="B37" s="423"/>
      <c r="C37" s="400" t="str">
        <f>IF(COUNT(C36,C38)=2,IF(C36&gt;C38,B36,B38),"")</f>
        <v>Jaan Sepp, Oskar Sepp</v>
      </c>
      <c r="E37" s="120">
        <v>13</v>
      </c>
      <c r="M37" s="188"/>
      <c r="N37" s="215"/>
    </row>
    <row r="38" spans="1:23" s="88" customFormat="1" x14ac:dyDescent="0.2">
      <c r="A38" s="107" t="s">
        <v>406</v>
      </c>
      <c r="B38" s="406" t="str">
        <f>IFERROR(INDEX(B$7:B$32,MATCH(A38,H$7:H$28,0)),"")</f>
        <v>Heili Vasser, Vello Vasser</v>
      </c>
      <c r="C38" s="110">
        <v>2</v>
      </c>
      <c r="D38" s="111"/>
      <c r="M38" s="188"/>
      <c r="N38" s="188"/>
    </row>
    <row r="39" spans="1:23" s="88" customFormat="1" x14ac:dyDescent="0.2">
      <c r="A39" s="107"/>
      <c r="B39" s="407"/>
      <c r="D39" s="112"/>
      <c r="E39" s="400" t="str">
        <f>IF(COUNT(E37,E41)=2,IF(E37&gt;E41,C37,C41),"")</f>
        <v>Jaan Sepp, Oskar Sepp</v>
      </c>
      <c r="G39" s="120">
        <v>13</v>
      </c>
      <c r="M39" s="188"/>
      <c r="N39" s="215"/>
    </row>
    <row r="40" spans="1:23" s="88" customFormat="1" x14ac:dyDescent="0.2">
      <c r="A40" s="107" t="s">
        <v>86</v>
      </c>
      <c r="B40" s="404" t="str">
        <f>IFERROR(INDEX(B$7:B$32,MATCH(A40,H$7:H$28,0)),"")</f>
        <v>Johannes Neiland, Kati Tuzberg</v>
      </c>
      <c r="C40" s="120">
        <v>13</v>
      </c>
      <c r="D40" s="112"/>
      <c r="E40" s="216"/>
      <c r="F40" s="111"/>
      <c r="M40" s="188"/>
      <c r="N40" s="215"/>
    </row>
    <row r="41" spans="1:23" s="88" customFormat="1" x14ac:dyDescent="0.2">
      <c r="A41" s="107"/>
      <c r="B41" s="423"/>
      <c r="C41" s="400" t="str">
        <f>IF(COUNT(C40,C42)=2,IF(C40&gt;C42,B40,B42),"")</f>
        <v>Johannes Neiland, Kati Tuzberg</v>
      </c>
      <c r="D41" s="377"/>
      <c r="E41" s="110">
        <v>10</v>
      </c>
      <c r="F41" s="112"/>
      <c r="M41" s="188"/>
      <c r="N41" s="188"/>
    </row>
    <row r="42" spans="1:23" s="88" customFormat="1" x14ac:dyDescent="0.2">
      <c r="A42" s="107" t="s">
        <v>75</v>
      </c>
      <c r="B42" s="406" t="str">
        <f>IFERROR(INDEX(B$7:B$32,MATCH(A42,H$7:H$28,0)),"")</f>
        <v>Mait Metsla, Tõnu Piik</v>
      </c>
      <c r="C42" s="110">
        <v>8</v>
      </c>
      <c r="E42" s="99"/>
      <c r="F42" s="112"/>
      <c r="M42" s="188"/>
      <c r="N42" s="517"/>
    </row>
    <row r="43" spans="1:23" s="88" customFormat="1" ht="13.5" thickBot="1" x14ac:dyDescent="0.25">
      <c r="A43" s="87"/>
      <c r="B43" s="407"/>
      <c r="E43" s="99"/>
      <c r="F43" s="112"/>
      <c r="H43" s="184" t="str">
        <f>IF(COUNT(G39,G47)=2,IF(G39&gt;G47,E39,E47),"")</f>
        <v>Jaan Sepp, Oskar Sepp</v>
      </c>
      <c r="N43" s="215"/>
    </row>
    <row r="44" spans="1:23" s="88" customFormat="1" x14ac:dyDescent="0.2">
      <c r="A44" s="106" t="s">
        <v>85</v>
      </c>
      <c r="B44" s="404" t="str">
        <f>IFERROR(INDEX(B$7:B$32,MATCH(A44,H$7:H$28,0)),"")</f>
        <v>Ljudmila Varendi, Viktor Švarõgin</v>
      </c>
      <c r="C44" s="120">
        <v>13</v>
      </c>
      <c r="F44" s="112"/>
      <c r="G44" s="114"/>
      <c r="H44" s="379" t="s">
        <v>275</v>
      </c>
      <c r="I44" s="378"/>
    </row>
    <row r="45" spans="1:23" s="88" customFormat="1" x14ac:dyDescent="0.2">
      <c r="A45" s="107"/>
      <c r="B45" s="423"/>
      <c r="C45" s="400" t="str">
        <f>IF(COUNT(C44,C46)=2,IF(C44&gt;C46,B44,B46),"")</f>
        <v>Ljudmila Varendi, Viktor Švarõgin</v>
      </c>
      <c r="E45" s="120">
        <v>13</v>
      </c>
      <c r="F45" s="112"/>
      <c r="G45" s="99"/>
    </row>
    <row r="46" spans="1:23" s="88" customFormat="1" x14ac:dyDescent="0.2">
      <c r="A46" s="107" t="s">
        <v>71</v>
      </c>
      <c r="B46" s="406" t="str">
        <f>IFERROR(INDEX(B$7:B$32,MATCH(A46,H$7:H$28,0)),"")</f>
        <v>Henri Mitt, Klavdia Piik</v>
      </c>
      <c r="C46" s="110">
        <v>2</v>
      </c>
      <c r="D46" s="111"/>
      <c r="F46" s="112"/>
      <c r="G46" s="99"/>
    </row>
    <row r="47" spans="1:23" s="88" customFormat="1" x14ac:dyDescent="0.2">
      <c r="A47" s="107"/>
      <c r="B47" s="407"/>
      <c r="D47" s="112"/>
      <c r="E47" s="400" t="str">
        <f>IF(COUNT(E45,E49)=2,IF(E45&gt;E49,C45,C49),"")</f>
        <v>Ljudmila Varendi, Viktor Švarõgin</v>
      </c>
      <c r="F47" s="377"/>
      <c r="G47" s="110">
        <v>5</v>
      </c>
    </row>
    <row r="48" spans="1:23" s="88" customFormat="1" ht="13.5" thickBot="1" x14ac:dyDescent="0.25">
      <c r="A48" s="107" t="s">
        <v>76</v>
      </c>
      <c r="B48" s="404" t="str">
        <f>IFERROR(INDEX(B$7:B$32,MATCH(A48,H$7:H$28,0)),"")</f>
        <v>Aigi Orro, Kalle Orro</v>
      </c>
      <c r="C48" s="120">
        <v>13</v>
      </c>
      <c r="D48" s="112"/>
      <c r="E48" s="216"/>
      <c r="F48" s="99"/>
      <c r="G48" s="99"/>
      <c r="H48" s="184" t="str">
        <f>IF(COUNT(G39,G47)=2,IF(G39&lt;G47,E39,E47),"")</f>
        <v>Ljudmila Varendi, Viktor Švarõgin</v>
      </c>
      <c r="I48" s="119"/>
    </row>
    <row r="49" spans="1:13" s="88" customFormat="1" x14ac:dyDescent="0.2">
      <c r="A49" s="107"/>
      <c r="B49" s="423"/>
      <c r="C49" s="400" t="str">
        <f>IF(COUNT(C48,C50)=2,IF(C48&gt;C50,B48,B50),"")</f>
        <v>Aigi Orro, Kalle Orro</v>
      </c>
      <c r="D49" s="377"/>
      <c r="E49" s="110">
        <v>8</v>
      </c>
      <c r="G49" s="99"/>
      <c r="H49" s="379" t="s">
        <v>276</v>
      </c>
      <c r="I49" s="99"/>
    </row>
    <row r="50" spans="1:13" s="88" customFormat="1" x14ac:dyDescent="0.2">
      <c r="A50" s="107" t="s">
        <v>407</v>
      </c>
      <c r="B50" s="406" t="str">
        <f>IFERROR(INDEX(B$7:B$32,MATCH(A50,H$7:H$28,0)),"")</f>
        <v>Karla Purgats, Toomas Tedrekull / Jaan Saar</v>
      </c>
      <c r="C50" s="110">
        <v>1</v>
      </c>
      <c r="E50" s="99"/>
      <c r="F50" s="99"/>
      <c r="G50" s="99"/>
    </row>
    <row r="51" spans="1:13" s="88" customFormat="1" x14ac:dyDescent="0.2">
      <c r="A51" s="87"/>
      <c r="B51" s="407"/>
      <c r="E51" s="217" t="str">
        <f>IF(COUNT(E37,E41)=2,IF(E37&lt;E41,C37,C41),"")</f>
        <v>Johannes Neiland, Kati Tuzberg</v>
      </c>
      <c r="G51" s="120">
        <v>11</v>
      </c>
    </row>
    <row r="52" spans="1:13" s="88" customFormat="1" ht="13.5" thickBot="1" x14ac:dyDescent="0.25">
      <c r="E52" s="108"/>
      <c r="F52" s="111"/>
      <c r="G52" s="119"/>
      <c r="H52" s="184" t="str">
        <f>IF(COUNT(G51,G53)=2,IF(G51&gt;G53,E51,E53),"")</f>
        <v>Aigi Orro, Kalle Orro</v>
      </c>
      <c r="I52" s="119"/>
    </row>
    <row r="53" spans="1:13" s="88" customFormat="1" x14ac:dyDescent="0.2">
      <c r="E53" s="399" t="str">
        <f>IF(COUNT(E45,E49)=2,IF(E45&lt;E49,C45,C49),"")</f>
        <v>Aigi Orro, Kalle Orro</v>
      </c>
      <c r="F53" s="377"/>
      <c r="G53" s="110">
        <v>13</v>
      </c>
      <c r="H53" s="121" t="s">
        <v>277</v>
      </c>
      <c r="I53" s="99"/>
    </row>
    <row r="54" spans="1:13" s="88" customFormat="1" x14ac:dyDescent="0.2">
      <c r="H54" s="99"/>
      <c r="I54" s="99"/>
    </row>
    <row r="55" spans="1:13" s="88" customFormat="1" ht="13.5" thickBot="1" x14ac:dyDescent="0.25">
      <c r="E55" s="99"/>
      <c r="F55" s="99"/>
      <c r="H55" s="184" t="str">
        <f>IF(COUNT(G51,G53)=2,IF(G51&lt;G53,E51,E53),"")</f>
        <v>Johannes Neiland, Kati Tuzberg</v>
      </c>
      <c r="I55" s="119"/>
    </row>
    <row r="56" spans="1:13" s="88" customFormat="1" x14ac:dyDescent="0.2">
      <c r="H56" s="87" t="s">
        <v>50</v>
      </c>
    </row>
    <row r="57" spans="1:13" s="88" customFormat="1" x14ac:dyDescent="0.2">
      <c r="C57" s="399" t="str">
        <f>IF(COUNT(C36,C38)=2,IF(C36&lt;C38,B36,B38),"")</f>
        <v>Heili Vasser, Vello Vasser</v>
      </c>
      <c r="E57" s="120">
        <v>13</v>
      </c>
      <c r="F57" s="120"/>
      <c r="G57" s="120"/>
    </row>
    <row r="58" spans="1:13" s="88" customFormat="1" x14ac:dyDescent="0.2">
      <c r="C58" s="219"/>
      <c r="D58" s="220"/>
      <c r="E58" s="400" t="str">
        <f>IF(COUNT(E57,E59)=2,IF(E57&gt;E59,C57,C59),"")</f>
        <v>Heili Vasser, Vello Vasser</v>
      </c>
      <c r="G58" s="120">
        <v>13</v>
      </c>
      <c r="M58" s="188"/>
    </row>
    <row r="59" spans="1:13" s="88" customFormat="1" x14ac:dyDescent="0.2">
      <c r="C59" s="399" t="str">
        <f>IF(COUNT(C40,C42)=2,IF(C40&lt;C42,B40,B42),"")</f>
        <v>Mait Metsla, Tõnu Piik</v>
      </c>
      <c r="D59" s="409"/>
      <c r="E59" s="110">
        <v>11</v>
      </c>
      <c r="F59" s="220"/>
      <c r="G59" s="120"/>
      <c r="M59" s="188"/>
    </row>
    <row r="60" spans="1:13" s="88" customFormat="1" ht="13.5" thickBot="1" x14ac:dyDescent="0.25">
      <c r="C60" s="120"/>
      <c r="D60" s="120"/>
      <c r="E60" s="113"/>
      <c r="F60" s="221"/>
      <c r="G60" s="120"/>
      <c r="H60" s="184" t="str">
        <f>IF(COUNT(G58,G62)=2,IF(G58&gt;G62,E58,E62),"")</f>
        <v>Heili Vasser, Vello Vasser</v>
      </c>
      <c r="M60" s="215"/>
    </row>
    <row r="61" spans="1:13" s="88" customFormat="1" x14ac:dyDescent="0.2">
      <c r="C61" s="399" t="str">
        <f>IF(COUNT(C44,C46)=2,IF(C44&lt;C46,B44,B46),"")</f>
        <v>Henri Mitt, Klavdia Piik</v>
      </c>
      <c r="D61" s="120"/>
      <c r="E61" s="120">
        <v>13</v>
      </c>
      <c r="F61" s="221"/>
      <c r="G61" s="222"/>
      <c r="H61" s="379" t="s">
        <v>51</v>
      </c>
      <c r="I61" s="378"/>
    </row>
    <row r="62" spans="1:13" s="88" customFormat="1" x14ac:dyDescent="0.2">
      <c r="C62" s="219"/>
      <c r="D62" s="220"/>
      <c r="E62" s="400" t="str">
        <f>IF(COUNT(E61,E63)=2,IF(E61&gt;E63,C61,C63),"")</f>
        <v>Henri Mitt, Klavdia Piik</v>
      </c>
      <c r="F62" s="377"/>
      <c r="G62" s="110">
        <v>1</v>
      </c>
    </row>
    <row r="63" spans="1:13" s="88" customFormat="1" ht="13.5" thickBot="1" x14ac:dyDescent="0.25">
      <c r="C63" s="399" t="str">
        <f>IF(COUNT(C48,C50)=2,IF(C48&lt;C50,B48,B50),"")</f>
        <v>Karla Purgats, Toomas Tedrekull / Jaan Saar</v>
      </c>
      <c r="D63" s="409"/>
      <c r="E63" s="110">
        <v>1</v>
      </c>
      <c r="F63" s="120"/>
      <c r="G63" s="113"/>
      <c r="H63" s="184" t="str">
        <f>IF(COUNT(G58,G62)=2,IF(G58&lt;G62,E58,E62),"")</f>
        <v>Henri Mitt, Klavdia Piik</v>
      </c>
      <c r="I63" s="119"/>
    </row>
    <row r="64" spans="1:13" s="88" customFormat="1" x14ac:dyDescent="0.2">
      <c r="C64" s="120"/>
      <c r="D64" s="120"/>
      <c r="E64" s="120"/>
      <c r="F64" s="120"/>
      <c r="G64" s="113"/>
      <c r="H64" s="379" t="s">
        <v>52</v>
      </c>
      <c r="I64" s="99"/>
    </row>
    <row r="65" spans="1:9" s="88" customFormat="1" x14ac:dyDescent="0.2">
      <c r="C65" s="120"/>
      <c r="D65" s="113"/>
      <c r="E65" s="217" t="str">
        <f>IF(COUNT(E57,E59)=2,IF(E57&lt;E59,C57,C59),"")</f>
        <v>Mait Metsla, Tõnu Piik</v>
      </c>
      <c r="G65" s="120">
        <v>13</v>
      </c>
      <c r="H65" s="99"/>
      <c r="I65" s="99"/>
    </row>
    <row r="66" spans="1:9" s="88" customFormat="1" ht="13.5" thickBot="1" x14ac:dyDescent="0.25">
      <c r="C66" s="120"/>
      <c r="D66" s="113"/>
      <c r="E66" s="108"/>
      <c r="F66" s="111"/>
      <c r="G66" s="119"/>
      <c r="H66" s="184" t="str">
        <f>IF(COUNT(G65,G67)=2,IF(G65&gt;G67,E65,E67),"")</f>
        <v>Mait Metsla, Tõnu Piik</v>
      </c>
      <c r="I66" s="119"/>
    </row>
    <row r="67" spans="1:9" s="88" customFormat="1" x14ac:dyDescent="0.2">
      <c r="C67" s="120"/>
      <c r="D67" s="113"/>
      <c r="E67" s="399" t="str">
        <f>IF(COUNT(E61,E63)=2,IF(E61&lt;E63,C61,C63),"")</f>
        <v>Karla Purgats, Toomas Tedrekull / Jaan Saar</v>
      </c>
      <c r="F67" s="377"/>
      <c r="G67" s="110">
        <v>2</v>
      </c>
      <c r="H67" s="121" t="s">
        <v>53</v>
      </c>
      <c r="I67" s="99"/>
    </row>
    <row r="68" spans="1:9" s="88" customFormat="1" x14ac:dyDescent="0.2">
      <c r="D68" s="99"/>
      <c r="H68" s="99"/>
      <c r="I68" s="99"/>
    </row>
    <row r="69" spans="1:9" s="88" customFormat="1" ht="13.5" thickBot="1" x14ac:dyDescent="0.25">
      <c r="E69" s="99"/>
      <c r="F69" s="99"/>
      <c r="H69" s="119" t="str">
        <f>IF(COUNT(G65,G67)=2,IF(G65&lt;G67,E65,E67),"")</f>
        <v>Karla Purgats, Toomas Tedrekull / Jaan Saar</v>
      </c>
      <c r="I69" s="119"/>
    </row>
    <row r="70" spans="1:9" s="88" customFormat="1" x14ac:dyDescent="0.2">
      <c r="E70" s="99"/>
      <c r="F70" s="99"/>
      <c r="H70" s="121" t="s">
        <v>54</v>
      </c>
    </row>
    <row r="71" spans="1:9" s="349" customFormat="1" x14ac:dyDescent="0.2"/>
    <row r="72" spans="1:9" x14ac:dyDescent="0.2">
      <c r="A72" s="218" t="s">
        <v>410</v>
      </c>
    </row>
    <row r="73" spans="1:9" x14ac:dyDescent="0.2">
      <c r="A73" s="88"/>
      <c r="B73" s="88"/>
      <c r="C73" s="88"/>
      <c r="D73" s="88"/>
      <c r="E73" s="88"/>
      <c r="F73" s="88"/>
      <c r="G73" s="88"/>
      <c r="H73" s="88"/>
      <c r="I73" s="88"/>
    </row>
    <row r="74" spans="1:9" x14ac:dyDescent="0.2">
      <c r="A74" s="106" t="s">
        <v>93</v>
      </c>
      <c r="B74" s="404" t="str">
        <f>IFERROR(INDEX(B$7:B$28,MATCH(A74,H$7:H$28,0)),"")</f>
        <v>Boriss Klubov, Elmo Lageda</v>
      </c>
      <c r="C74" s="120">
        <v>13</v>
      </c>
      <c r="D74" s="88"/>
      <c r="E74" s="88"/>
      <c r="F74" s="88"/>
      <c r="G74" s="88"/>
      <c r="H74" s="88"/>
      <c r="I74" s="88"/>
    </row>
    <row r="75" spans="1:9" x14ac:dyDescent="0.2">
      <c r="A75" s="107"/>
      <c r="B75" s="423"/>
      <c r="C75" s="524" t="str">
        <f>IF(COUNT(C74,C76)=2,IF(C74&gt;C76,B74,B76),"")</f>
        <v>Boriss Klubov, Elmo Lageda</v>
      </c>
      <c r="D75" s="88"/>
      <c r="E75" s="120">
        <v>13</v>
      </c>
      <c r="F75" s="88"/>
      <c r="G75" s="88"/>
      <c r="H75" s="88"/>
      <c r="I75" s="88"/>
    </row>
    <row r="76" spans="1:9" x14ac:dyDescent="0.2">
      <c r="A76" s="107" t="s">
        <v>409</v>
      </c>
      <c r="B76" s="525" t="str">
        <f>IFERROR(INDEX(B$7:B$28,MATCH(A76,H$7:H$28,0)),"")</f>
        <v>Einar Juhkam, Illar Tõnurist</v>
      </c>
      <c r="C76" s="110">
        <v>5</v>
      </c>
      <c r="D76" s="111"/>
      <c r="E76" s="88"/>
      <c r="F76" s="88"/>
      <c r="G76" s="88"/>
      <c r="H76" s="88"/>
      <c r="I76" s="88"/>
    </row>
    <row r="77" spans="1:9" x14ac:dyDescent="0.2">
      <c r="A77" s="107"/>
      <c r="B77" s="407"/>
      <c r="C77" s="88"/>
      <c r="D77" s="112"/>
      <c r="E77" s="524" t="str">
        <f>IF(COUNT(E75,E79)=2,IF(E75&gt;E79,C75,C79),"")</f>
        <v>Boriss Klubov, Elmo Lageda</v>
      </c>
      <c r="F77" s="88"/>
      <c r="G77" s="120">
        <v>13</v>
      </c>
      <c r="H77" s="88"/>
      <c r="I77" s="88"/>
    </row>
    <row r="78" spans="1:9" x14ac:dyDescent="0.2">
      <c r="A78" s="107" t="s">
        <v>94</v>
      </c>
      <c r="B78" s="404" t="str">
        <f>IFERROR(INDEX(B$7:B$28,MATCH(A78,H$7:H$28,0)),"")</f>
        <v>Kenneth Muusikus, Oleg Rõndenkov / Joana Taalberg</v>
      </c>
      <c r="C78" s="120">
        <f>IF(B78="-",0,IF(B80="-",13,""))</f>
        <v>13</v>
      </c>
      <c r="D78" s="112"/>
      <c r="E78" s="216"/>
      <c r="F78" s="111"/>
      <c r="G78" s="88"/>
      <c r="H78" s="88"/>
      <c r="I78" s="88"/>
    </row>
    <row r="79" spans="1:9" x14ac:dyDescent="0.2">
      <c r="A79" s="107"/>
      <c r="B79" s="423"/>
      <c r="C79" s="524" t="str">
        <f>IF(COUNT(C78,C80)=2,IF(C78&gt;C80,B78,B80),"")</f>
        <v>Kenneth Muusikus, Oleg Rõndenkov / Joana Taalberg</v>
      </c>
      <c r="D79" s="234"/>
      <c r="E79" s="110">
        <v>7</v>
      </c>
      <c r="F79" s="112"/>
      <c r="G79" s="88"/>
      <c r="H79" s="88"/>
      <c r="I79" s="88"/>
    </row>
    <row r="80" spans="1:9" x14ac:dyDescent="0.2">
      <c r="A80" s="107" t="s">
        <v>122</v>
      </c>
      <c r="B80" s="525" t="s">
        <v>70</v>
      </c>
      <c r="C80" s="110">
        <f>IF(B80="-",0,IF(B78="-",13,""))</f>
        <v>0</v>
      </c>
      <c r="D80" s="88"/>
      <c r="E80" s="99"/>
      <c r="F80" s="112"/>
      <c r="G80" s="88"/>
      <c r="H80" s="88"/>
      <c r="I80" s="88"/>
    </row>
    <row r="81" spans="1:9" ht="13.5" thickBot="1" x14ac:dyDescent="0.25">
      <c r="A81" s="87"/>
      <c r="B81" s="407"/>
      <c r="C81" s="88"/>
      <c r="D81" s="88"/>
      <c r="E81" s="99"/>
      <c r="F81" s="112"/>
      <c r="G81" s="88"/>
      <c r="H81" s="526" t="str">
        <f>IF(COUNT(G77,G85)=2,IF(G77&gt;G85,E77,E85),"")</f>
        <v>Boriss Klubov, Elmo Lageda</v>
      </c>
      <c r="I81" s="88"/>
    </row>
    <row r="82" spans="1:9" x14ac:dyDescent="0.2">
      <c r="A82" s="106" t="s">
        <v>118</v>
      </c>
      <c r="B82" s="404" t="str">
        <f>IFERROR(INDEX(B$7:B$28,MATCH(A82,H$7:H$28,0)),"")</f>
        <v>Enn Tokman, Tarmo Bombe</v>
      </c>
      <c r="C82" s="120">
        <f>IF(B82="-",0,IF(B84="-",13,""))</f>
        <v>13</v>
      </c>
      <c r="D82" s="88"/>
      <c r="E82" s="88"/>
      <c r="F82" s="112"/>
      <c r="G82" s="114"/>
      <c r="H82" s="379" t="s">
        <v>55</v>
      </c>
      <c r="I82" s="378"/>
    </row>
    <row r="83" spans="1:9" x14ac:dyDescent="0.2">
      <c r="A83" s="107"/>
      <c r="B83" s="423"/>
      <c r="C83" s="524" t="str">
        <f>IF(COUNT(C82,C84)=2,IF(C82&gt;C84,B82,B84),"")</f>
        <v>Enn Tokman, Tarmo Bombe</v>
      </c>
      <c r="D83" s="88"/>
      <c r="E83" s="120">
        <v>9</v>
      </c>
      <c r="F83" s="112"/>
      <c r="G83" s="99"/>
      <c r="H83" s="88"/>
      <c r="I83" s="88"/>
    </row>
    <row r="84" spans="1:9" x14ac:dyDescent="0.2">
      <c r="A84" s="107" t="s">
        <v>189</v>
      </c>
      <c r="B84" s="525" t="s">
        <v>70</v>
      </c>
      <c r="C84" s="110">
        <f>IF(B84="-",0,IF(B82="-",13,""))</f>
        <v>0</v>
      </c>
      <c r="D84" s="111"/>
      <c r="E84" s="88"/>
      <c r="F84" s="112"/>
      <c r="G84" s="99"/>
      <c r="H84" s="88"/>
      <c r="I84" s="88"/>
    </row>
    <row r="85" spans="1:9" x14ac:dyDescent="0.2">
      <c r="A85" s="107"/>
      <c r="B85" s="407"/>
      <c r="C85" s="88"/>
      <c r="D85" s="112"/>
      <c r="E85" s="524" t="str">
        <f>IF(COUNT(E83,E87)=2,IF(E83&gt;E87,C83,C87),"")</f>
        <v>Andres Veski, Svetlana Veski</v>
      </c>
      <c r="F85" s="234"/>
      <c r="G85" s="110">
        <v>1</v>
      </c>
      <c r="H85" s="88"/>
      <c r="I85" s="88"/>
    </row>
    <row r="86" spans="1:9" ht="13.5" thickBot="1" x14ac:dyDescent="0.25">
      <c r="A86" s="107" t="s">
        <v>95</v>
      </c>
      <c r="B86" s="404" t="s">
        <v>70</v>
      </c>
      <c r="C86" s="120">
        <f>IF(B86="-",0,IF(B88="-",13,""))</f>
        <v>0</v>
      </c>
      <c r="D86" s="112"/>
      <c r="E86" s="216"/>
      <c r="F86" s="99"/>
      <c r="G86" s="99"/>
      <c r="H86" s="526" t="str">
        <f>IF(COUNT(G77,G85)=2,IF(G77&lt;G85,E77,E85),"")</f>
        <v>Andres Veski, Svetlana Veski</v>
      </c>
      <c r="I86" s="527"/>
    </row>
    <row r="87" spans="1:9" x14ac:dyDescent="0.2">
      <c r="A87" s="107"/>
      <c r="B87" s="423"/>
      <c r="C87" s="524" t="str">
        <f>IF(COUNT(C86,C88)=2,IF(C86&gt;C88,B86,B88),"")</f>
        <v>Andres Veski, Svetlana Veski</v>
      </c>
      <c r="D87" s="234"/>
      <c r="E87" s="110">
        <v>13</v>
      </c>
      <c r="F87" s="88"/>
      <c r="G87" s="99"/>
      <c r="H87" s="379" t="s">
        <v>56</v>
      </c>
      <c r="I87" s="99"/>
    </row>
    <row r="88" spans="1:9" x14ac:dyDescent="0.2">
      <c r="A88" s="107" t="s">
        <v>408</v>
      </c>
      <c r="B88" s="525" t="str">
        <f>IFERROR(INDEX(B$7:B$28,MATCH(A88,H$7:H$28,0)),"")</f>
        <v>Andres Veski, Svetlana Veski</v>
      </c>
      <c r="C88" s="110">
        <f>IF(B88="-",0,IF(B86="-",13,""))</f>
        <v>13</v>
      </c>
      <c r="D88" s="88"/>
      <c r="E88" s="99"/>
      <c r="F88" s="99"/>
      <c r="G88" s="99"/>
      <c r="H88" s="88"/>
      <c r="I88" s="88"/>
    </row>
    <row r="89" spans="1:9" x14ac:dyDescent="0.2">
      <c r="A89" s="87"/>
      <c r="B89" s="407"/>
      <c r="C89" s="88"/>
      <c r="D89" s="88"/>
      <c r="E89" s="217" t="str">
        <f>IF(COUNT(E75,E79)=2,IF(E75&lt;E79,C75,C79),"")</f>
        <v>Kenneth Muusikus, Oleg Rõndenkov / Joana Taalberg</v>
      </c>
      <c r="F89" s="88"/>
      <c r="G89" s="120">
        <v>13</v>
      </c>
      <c r="H89" s="88"/>
      <c r="I89" s="88"/>
    </row>
    <row r="90" spans="1:9" ht="13.5" thickBot="1" x14ac:dyDescent="0.25">
      <c r="A90" s="88"/>
      <c r="B90" s="88"/>
      <c r="C90" s="88"/>
      <c r="D90" s="88"/>
      <c r="E90" s="108"/>
      <c r="F90" s="111"/>
      <c r="G90" s="527"/>
      <c r="H90" s="526" t="str">
        <f>IF(COUNT(G89,G91)=2,IF(G89&gt;G91,E89,E91),"")</f>
        <v>Kenneth Muusikus, Oleg Rõndenkov / Joana Taalberg</v>
      </c>
      <c r="I90" s="527"/>
    </row>
    <row r="91" spans="1:9" x14ac:dyDescent="0.2">
      <c r="A91" s="88"/>
      <c r="B91" s="88"/>
      <c r="C91" s="88"/>
      <c r="D91" s="88"/>
      <c r="E91" s="528" t="str">
        <f>IF(COUNT(E83,E87)=2,IF(E83&lt;E87,C83,C87),"")</f>
        <v>Enn Tokman, Tarmo Bombe</v>
      </c>
      <c r="F91" s="234"/>
      <c r="G91" s="110">
        <v>6</v>
      </c>
      <c r="H91" s="121" t="s">
        <v>57</v>
      </c>
      <c r="I91" s="99"/>
    </row>
    <row r="92" spans="1:9" x14ac:dyDescent="0.2">
      <c r="A92" s="88"/>
      <c r="B92" s="88"/>
      <c r="C92" s="88"/>
      <c r="D92" s="88"/>
      <c r="E92" s="88"/>
      <c r="F92" s="88"/>
      <c r="G92" s="88"/>
      <c r="H92" s="99"/>
      <c r="I92" s="99"/>
    </row>
    <row r="93" spans="1:9" ht="13.5" thickBot="1" x14ac:dyDescent="0.25">
      <c r="A93" s="88"/>
      <c r="B93" s="88"/>
      <c r="C93" s="88"/>
      <c r="D93" s="88"/>
      <c r="E93" s="99"/>
      <c r="F93" s="99"/>
      <c r="G93" s="88"/>
      <c r="H93" s="526" t="str">
        <f>IF(COUNT(G89,G91)=2,IF(G89&lt;G91,E89,E91),"")</f>
        <v>Enn Tokman, Tarmo Bombe</v>
      </c>
      <c r="I93" s="527"/>
    </row>
    <row r="94" spans="1:9" x14ac:dyDescent="0.2">
      <c r="A94" s="88"/>
      <c r="B94" s="88"/>
      <c r="C94" s="88"/>
      <c r="D94" s="88"/>
      <c r="E94" s="88"/>
      <c r="F94" s="88"/>
      <c r="G94" s="88"/>
      <c r="H94" s="87" t="s">
        <v>58</v>
      </c>
      <c r="I94" s="88"/>
    </row>
    <row r="95" spans="1:9" x14ac:dyDescent="0.2">
      <c r="A95" s="88"/>
      <c r="B95" s="88"/>
      <c r="C95" s="528" t="str">
        <f>IF(COUNT(C74,C76)=2,IF(C74&lt;C76,B74,B76),"")</f>
        <v>Einar Juhkam, Illar Tõnurist</v>
      </c>
      <c r="D95" s="88"/>
      <c r="E95" s="120">
        <f>IF(C95="-",0,IF(C97="-",13,""))</f>
        <v>13</v>
      </c>
      <c r="F95" s="120"/>
      <c r="G95" s="120"/>
      <c r="H95" s="88"/>
      <c r="I95" s="88"/>
    </row>
    <row r="96" spans="1:9" x14ac:dyDescent="0.2">
      <c r="A96" s="88"/>
      <c r="B96" s="88"/>
      <c r="C96" s="219"/>
      <c r="D96" s="220"/>
      <c r="E96" s="524" t="str">
        <f>IF(COUNT(E95,E97)=2,IF(E95&gt;E97,C95,C97),"")</f>
        <v>Einar Juhkam, Illar Tõnurist</v>
      </c>
      <c r="F96" s="88"/>
      <c r="G96" s="120">
        <f>IF(E96="-",0,IF(E100="-",13,""))</f>
        <v>13</v>
      </c>
      <c r="H96" s="88"/>
      <c r="I96" s="88"/>
    </row>
    <row r="97" spans="1:9" x14ac:dyDescent="0.2">
      <c r="A97" s="88"/>
      <c r="B97" s="88"/>
      <c r="C97" s="528" t="str">
        <f>IF(COUNT(C78,C80)=2,IF(C78&lt;C80,B78,B80),"")</f>
        <v>-</v>
      </c>
      <c r="D97" s="529"/>
      <c r="E97" s="110">
        <f>IF(C97="-",0,IF(C95="-",13,""))</f>
        <v>0</v>
      </c>
      <c r="F97" s="220"/>
      <c r="G97" s="120"/>
      <c r="H97" s="88"/>
      <c r="I97" s="88"/>
    </row>
    <row r="98" spans="1:9" ht="13.5" thickBot="1" x14ac:dyDescent="0.25">
      <c r="A98" s="88"/>
      <c r="B98" s="88"/>
      <c r="C98" s="120"/>
      <c r="D98" s="120"/>
      <c r="E98" s="113"/>
      <c r="F98" s="221"/>
      <c r="G98" s="120"/>
      <c r="H98" s="526" t="str">
        <f>IF(COUNT(G96,G100)=2,IF(G96&gt;G100,E96,E100),"")</f>
        <v>Einar Juhkam, Illar Tõnurist</v>
      </c>
      <c r="I98" s="88"/>
    </row>
    <row r="99" spans="1:9" x14ac:dyDescent="0.2">
      <c r="A99" s="88"/>
      <c r="B99" s="88"/>
      <c r="C99" s="528" t="str">
        <f>IF(COUNT(C82,C84)=2,IF(C82&lt;C84,B82,B84),"")</f>
        <v>-</v>
      </c>
      <c r="D99" s="120"/>
      <c r="E99" s="120">
        <f>IF(C99="-",0,IF(C101="-",13,""))</f>
        <v>0</v>
      </c>
      <c r="F99" s="221"/>
      <c r="G99" s="222"/>
      <c r="H99" s="379" t="s">
        <v>59</v>
      </c>
      <c r="I99" s="378"/>
    </row>
    <row r="100" spans="1:9" x14ac:dyDescent="0.2">
      <c r="A100" s="88"/>
      <c r="B100" s="88"/>
      <c r="C100" s="219"/>
      <c r="D100" s="220"/>
      <c r="E100" s="524" t="str">
        <f>IF(COUNT(E99,E101)=2,IF(E99&gt;E101,C99,C101),"")</f>
        <v>-</v>
      </c>
      <c r="F100" s="234"/>
      <c r="G100" s="110">
        <f>IF(E100="-",0,IF(E96="-",13,""))</f>
        <v>0</v>
      </c>
      <c r="H100" s="88"/>
      <c r="I100" s="88"/>
    </row>
    <row r="101" spans="1:9" ht="13.5" thickBot="1" x14ac:dyDescent="0.25">
      <c r="A101" s="88"/>
      <c r="B101" s="88"/>
      <c r="C101" s="528" t="str">
        <f>IF(COUNT(C86,C88)=2,IF(C86&lt;C88,B86,B88),"")</f>
        <v>-</v>
      </c>
      <c r="D101" s="529"/>
      <c r="E101" s="110">
        <f>IF(C101="-",0,IF(C99="-",13,""))</f>
        <v>0</v>
      </c>
      <c r="F101" s="120"/>
      <c r="G101" s="113"/>
      <c r="H101" s="526" t="str">
        <f>IF(COUNT(G96,G100)=2,IF(G96&lt;G100,E96,E100),"")</f>
        <v>-</v>
      </c>
      <c r="I101" s="527"/>
    </row>
    <row r="102" spans="1:9" x14ac:dyDescent="0.2">
      <c r="A102" s="88"/>
      <c r="B102" s="88"/>
      <c r="C102" s="120"/>
      <c r="D102" s="120"/>
      <c r="E102" s="120"/>
      <c r="F102" s="120"/>
      <c r="G102" s="113"/>
      <c r="H102" s="379"/>
      <c r="I102" s="99"/>
    </row>
    <row r="103" spans="1:9" x14ac:dyDescent="0.2">
      <c r="A103" s="88"/>
      <c r="B103" s="88"/>
      <c r="C103" s="120"/>
      <c r="D103" s="113"/>
      <c r="E103" s="217" t="str">
        <f>IF(COUNT(E95,E97)=2,IF(E95&lt;E97,C95,C97),"")</f>
        <v>-</v>
      </c>
      <c r="F103" s="88"/>
      <c r="G103" s="120">
        <f>IF(E103="-",0,IF(E105="-",13,""))</f>
        <v>0</v>
      </c>
      <c r="H103" s="99"/>
      <c r="I103" s="99"/>
    </row>
    <row r="104" spans="1:9" ht="13.5" thickBot="1" x14ac:dyDescent="0.25">
      <c r="A104" s="88"/>
      <c r="B104" s="88"/>
      <c r="C104" s="120"/>
      <c r="D104" s="113"/>
      <c r="E104" s="108"/>
      <c r="F104" s="111"/>
      <c r="G104" s="527"/>
      <c r="H104" s="526" t="str">
        <f>IF(COUNT(G103,G105)=2,IF(G103&gt;G105,E103,E105),"")</f>
        <v>-</v>
      </c>
      <c r="I104" s="527"/>
    </row>
    <row r="105" spans="1:9" x14ac:dyDescent="0.2">
      <c r="A105" s="88"/>
      <c r="B105" s="88"/>
      <c r="C105" s="120"/>
      <c r="D105" s="113"/>
      <c r="E105" s="528" t="str">
        <f>IF(COUNT(E99,E101)=2,IF(E99&lt;E101,C99,C101),"")</f>
        <v>-</v>
      </c>
      <c r="F105" s="234"/>
      <c r="G105" s="110">
        <f>IF(E105="-",0,IF(E103="-",13,""))</f>
        <v>0</v>
      </c>
      <c r="H105" s="121"/>
      <c r="I105" s="99"/>
    </row>
    <row r="106" spans="1:9" x14ac:dyDescent="0.2">
      <c r="A106" s="88"/>
      <c r="B106" s="88"/>
      <c r="C106" s="88"/>
      <c r="D106" s="99"/>
      <c r="E106" s="88"/>
      <c r="F106" s="88"/>
      <c r="G106" s="88"/>
      <c r="H106" s="99"/>
      <c r="I106" s="99"/>
    </row>
    <row r="107" spans="1:9" ht="13.5" thickBot="1" x14ac:dyDescent="0.25">
      <c r="A107" s="88"/>
      <c r="B107" s="88"/>
      <c r="C107" s="88"/>
      <c r="D107" s="88"/>
      <c r="E107" s="99"/>
      <c r="F107" s="99"/>
      <c r="G107" s="88"/>
      <c r="H107" s="527" t="str">
        <f>IF(COUNT(G103,G105)=2,IF(G103&lt;G105,E103,E105),"")</f>
        <v>-</v>
      </c>
      <c r="I107" s="527"/>
    </row>
    <row r="108" spans="1:9" x14ac:dyDescent="0.2">
      <c r="A108" s="88"/>
      <c r="B108" s="88"/>
      <c r="C108" s="88"/>
      <c r="D108" s="88"/>
      <c r="E108" s="99"/>
      <c r="F108" s="99"/>
      <c r="G108" s="88"/>
      <c r="H108" s="121"/>
      <c r="I108" s="88"/>
    </row>
    <row r="110" spans="1:9" hidden="1" x14ac:dyDescent="0.2"/>
    <row r="111" spans="1:9" hidden="1" x14ac:dyDescent="0.2"/>
    <row r="112" spans="1:9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spans="1:6" hidden="1" x14ac:dyDescent="0.2"/>
    <row r="290" spans="1:6" hidden="1" x14ac:dyDescent="0.2"/>
    <row r="291" spans="1:6" hidden="1" x14ac:dyDescent="0.2"/>
    <row r="292" spans="1:6" hidden="1" x14ac:dyDescent="0.2"/>
    <row r="293" spans="1:6" hidden="1" x14ac:dyDescent="0.2"/>
    <row r="294" spans="1:6" hidden="1" x14ac:dyDescent="0.2"/>
    <row r="295" spans="1:6" hidden="1" x14ac:dyDescent="0.2"/>
    <row r="296" spans="1:6" hidden="1" x14ac:dyDescent="0.2"/>
    <row r="297" spans="1:6" hidden="1" x14ac:dyDescent="0.2"/>
    <row r="298" spans="1:6" hidden="1" x14ac:dyDescent="0.2"/>
    <row r="299" spans="1:6" x14ac:dyDescent="0.2">
      <c r="C299" s="264" t="s">
        <v>263</v>
      </c>
      <c r="D299" s="500"/>
    </row>
    <row r="300" spans="1:6" x14ac:dyDescent="0.2">
      <c r="A300" s="424">
        <v>1</v>
      </c>
      <c r="B300" s="124" t="str">
        <f t="shared" ref="B300:B312" si="5">IFERROR(INDEX(H$43:H$98,MATCH(A300&amp;". koht",H$44:H$99,0)),"")</f>
        <v>Jaan Sepp, Oskar Sepp</v>
      </c>
      <c r="C300" s="88">
        <v>13</v>
      </c>
      <c r="D300" s="500"/>
      <c r="E300" s="188"/>
      <c r="F300" s="188"/>
    </row>
    <row r="301" spans="1:6" x14ac:dyDescent="0.2">
      <c r="A301" s="424">
        <v>2</v>
      </c>
      <c r="B301" s="615" t="str">
        <f t="shared" si="5"/>
        <v>Ljudmila Varendi, Viktor Švarõgin</v>
      </c>
      <c r="C301" s="88">
        <f>C300-1</f>
        <v>12</v>
      </c>
      <c r="D301" s="500"/>
      <c r="E301" s="188"/>
      <c r="F301" s="188"/>
    </row>
    <row r="302" spans="1:6" x14ac:dyDescent="0.2">
      <c r="A302" s="424">
        <v>3</v>
      </c>
      <c r="B302" s="616" t="str">
        <f t="shared" si="5"/>
        <v>Aigi Orro, Kalle Orro</v>
      </c>
      <c r="C302" s="88">
        <f t="shared" ref="C302:C312" si="6">C301-1</f>
        <v>11</v>
      </c>
      <c r="D302" s="500"/>
      <c r="E302" s="188"/>
      <c r="F302" s="215"/>
    </row>
    <row r="303" spans="1:6" x14ac:dyDescent="0.2">
      <c r="A303" s="424">
        <v>4</v>
      </c>
      <c r="B303" s="191" t="str">
        <f t="shared" si="5"/>
        <v>Johannes Neiland, Kati Tuzberg</v>
      </c>
      <c r="C303" s="88">
        <f t="shared" si="6"/>
        <v>10</v>
      </c>
      <c r="D303" s="500"/>
      <c r="E303" s="188"/>
      <c r="F303" s="212"/>
    </row>
    <row r="304" spans="1:6" x14ac:dyDescent="0.2">
      <c r="A304" s="424">
        <v>5</v>
      </c>
      <c r="B304" s="191" t="str">
        <f t="shared" si="5"/>
        <v>Heili Vasser, Vello Vasser</v>
      </c>
      <c r="C304" s="88">
        <f t="shared" si="6"/>
        <v>9</v>
      </c>
      <c r="D304" s="500"/>
      <c r="E304" s="188"/>
      <c r="F304" s="188"/>
    </row>
    <row r="305" spans="1:12" x14ac:dyDescent="0.2">
      <c r="A305" s="424">
        <v>6</v>
      </c>
      <c r="B305" s="191" t="str">
        <f t="shared" si="5"/>
        <v>Henri Mitt, Klavdia Piik</v>
      </c>
      <c r="C305" s="88">
        <f t="shared" si="6"/>
        <v>8</v>
      </c>
      <c r="D305" s="500"/>
      <c r="E305" s="188"/>
      <c r="F305" s="212"/>
    </row>
    <row r="306" spans="1:12" x14ac:dyDescent="0.2">
      <c r="A306" s="424">
        <v>7</v>
      </c>
      <c r="B306" s="191" t="str">
        <f t="shared" si="5"/>
        <v>Mait Metsla, Tõnu Piik</v>
      </c>
      <c r="C306" s="88">
        <f t="shared" si="6"/>
        <v>7</v>
      </c>
      <c r="D306" s="500"/>
      <c r="E306" s="188"/>
      <c r="F306" s="188"/>
      <c r="G306" s="188"/>
      <c r="H306" s="188"/>
      <c r="I306" s="188"/>
      <c r="J306" s="188"/>
      <c r="K306" s="188"/>
      <c r="L306" s="188"/>
    </row>
    <row r="307" spans="1:12" x14ac:dyDescent="0.2">
      <c r="A307" s="424">
        <v>8</v>
      </c>
      <c r="B307" s="191" t="str">
        <f t="shared" si="5"/>
        <v>Karla Purgats, Toomas Tedrekull / Jaan Saar</v>
      </c>
      <c r="C307" s="88">
        <f t="shared" si="6"/>
        <v>6</v>
      </c>
      <c r="D307" s="500"/>
      <c r="E307" s="188"/>
      <c r="F307" s="188"/>
      <c r="G307" s="188"/>
      <c r="H307" s="188"/>
      <c r="I307" s="188"/>
      <c r="J307" s="188"/>
      <c r="K307" s="188"/>
      <c r="L307" s="188"/>
    </row>
    <row r="308" spans="1:12" x14ac:dyDescent="0.2">
      <c r="A308" s="424">
        <v>9</v>
      </c>
      <c r="B308" s="191" t="str">
        <f t="shared" si="5"/>
        <v>Boriss Klubov, Elmo Lageda</v>
      </c>
      <c r="C308" s="88">
        <f t="shared" si="6"/>
        <v>5</v>
      </c>
      <c r="D308" s="500"/>
      <c r="E308" s="188"/>
      <c r="F308" s="188"/>
      <c r="G308" s="188"/>
      <c r="H308" s="188"/>
      <c r="I308" s="188"/>
      <c r="J308" s="188"/>
      <c r="K308" s="188"/>
      <c r="L308" s="188"/>
    </row>
    <row r="309" spans="1:12" x14ac:dyDescent="0.2">
      <c r="A309" s="424">
        <v>10</v>
      </c>
      <c r="B309" s="191" t="str">
        <f t="shared" si="5"/>
        <v>Andres Veski, Svetlana Veski</v>
      </c>
      <c r="C309" s="88">
        <f t="shared" si="6"/>
        <v>4</v>
      </c>
      <c r="D309" s="500"/>
      <c r="E309" s="188"/>
      <c r="F309" s="188"/>
      <c r="G309" s="188"/>
      <c r="H309" s="188"/>
      <c r="I309" s="188"/>
      <c r="J309" s="188"/>
      <c r="K309" s="188"/>
      <c r="L309" s="188"/>
    </row>
    <row r="310" spans="1:12" x14ac:dyDescent="0.2">
      <c r="A310" s="424">
        <v>11</v>
      </c>
      <c r="B310" s="191" t="str">
        <f t="shared" si="5"/>
        <v>Kenneth Muusikus, Oleg Rõndenkov / Joana Taalberg</v>
      </c>
      <c r="C310" s="88">
        <f t="shared" si="6"/>
        <v>3</v>
      </c>
      <c r="D310" s="500"/>
      <c r="E310" s="188"/>
      <c r="F310" s="188"/>
      <c r="G310" s="188"/>
      <c r="H310" s="188"/>
      <c r="I310" s="188"/>
      <c r="J310" s="188"/>
      <c r="K310" s="188"/>
      <c r="L310" s="188"/>
    </row>
    <row r="311" spans="1:12" x14ac:dyDescent="0.2">
      <c r="A311" s="424">
        <v>12</v>
      </c>
      <c r="B311" s="191" t="str">
        <f t="shared" si="5"/>
        <v>Enn Tokman, Tarmo Bombe</v>
      </c>
      <c r="C311" s="88">
        <f t="shared" si="6"/>
        <v>2</v>
      </c>
      <c r="D311" s="500"/>
      <c r="E311" s="188"/>
      <c r="F311" s="188"/>
      <c r="G311" s="188"/>
      <c r="H311" s="188"/>
      <c r="I311" s="188"/>
      <c r="J311" s="188"/>
      <c r="K311" s="188"/>
      <c r="L311" s="188"/>
    </row>
    <row r="312" spans="1:12" x14ac:dyDescent="0.2">
      <c r="A312" s="424">
        <v>13</v>
      </c>
      <c r="B312" s="191" t="str">
        <f t="shared" si="5"/>
        <v>Einar Juhkam, Illar Tõnurist</v>
      </c>
      <c r="C312" s="88">
        <f t="shared" si="6"/>
        <v>1</v>
      </c>
      <c r="D312" s="500"/>
      <c r="E312" s="188"/>
      <c r="F312" s="188"/>
      <c r="G312" s="188"/>
      <c r="H312" s="188"/>
      <c r="I312" s="188"/>
      <c r="J312" s="188"/>
      <c r="K312" s="188"/>
      <c r="L312" s="188"/>
    </row>
    <row r="313" spans="1:12" x14ac:dyDescent="0.2">
      <c r="E313" s="188"/>
      <c r="F313" s="188"/>
      <c r="G313" s="188"/>
      <c r="H313" s="188"/>
      <c r="I313" s="188"/>
      <c r="J313" s="188"/>
      <c r="K313" s="188"/>
      <c r="L313" s="188"/>
    </row>
  </sheetData>
  <conditionalFormatting sqref="A36:A50">
    <cfRule type="cellIs" dxfId="1497" priority="62" operator="equal">
      <formula>"-"</formula>
    </cfRule>
    <cfRule type="duplicateValues" dxfId="1496" priority="77"/>
  </conditionalFormatting>
  <conditionalFormatting sqref="E57 E59">
    <cfRule type="aboveAverage" dxfId="1495" priority="76"/>
  </conditionalFormatting>
  <conditionalFormatting sqref="E61 E63">
    <cfRule type="aboveAverage" dxfId="1494" priority="75"/>
  </conditionalFormatting>
  <conditionalFormatting sqref="G58 G62">
    <cfRule type="aboveAverage" dxfId="1493" priority="74"/>
  </conditionalFormatting>
  <conditionalFormatting sqref="G65 G67">
    <cfRule type="aboveAverage" dxfId="1492" priority="73"/>
  </conditionalFormatting>
  <conditionalFormatting sqref="E57 E59 E61 E63 G58 G62 G65 G67">
    <cfRule type="containsBlanks" dxfId="1491" priority="72">
      <formula>LEN(TRIM(E57))=0</formula>
    </cfRule>
  </conditionalFormatting>
  <conditionalFormatting sqref="C36 C38">
    <cfRule type="aboveAverage" dxfId="1490" priority="71"/>
  </conditionalFormatting>
  <conditionalFormatting sqref="C40 C42">
    <cfRule type="aboveAverage" dxfId="1489" priority="70"/>
  </conditionalFormatting>
  <conditionalFormatting sqref="E37 E41">
    <cfRule type="aboveAverage" dxfId="1488" priority="69"/>
  </conditionalFormatting>
  <conditionalFormatting sqref="C44 C46">
    <cfRule type="aboveAverage" dxfId="1487" priority="68"/>
  </conditionalFormatting>
  <conditionalFormatting sqref="C48 C50">
    <cfRule type="aboveAverage" dxfId="1486" priority="67"/>
  </conditionalFormatting>
  <conditionalFormatting sqref="E45 E49">
    <cfRule type="aboveAverage" dxfId="1485" priority="66"/>
  </conditionalFormatting>
  <conditionalFormatting sqref="G39 G47">
    <cfRule type="aboveAverage" dxfId="1484" priority="65"/>
  </conditionalFormatting>
  <conditionalFormatting sqref="G51 G53">
    <cfRule type="aboveAverage" dxfId="1483" priority="64"/>
  </conditionalFormatting>
  <conditionalFormatting sqref="C36 C38 C40 C42 C44 C46 C48 C50 E37 E41 E45 E49 G39 G47 G51 G53">
    <cfRule type="containsBlanks" dxfId="1482" priority="63">
      <formula>LEN(TRIM(C36))=0</formula>
    </cfRule>
  </conditionalFormatting>
  <conditionalFormatting sqref="B303:B312">
    <cfRule type="containsBlanks" dxfId="1481" priority="741">
      <formula>LEN(TRIM(B303))=0</formula>
    </cfRule>
    <cfRule type="duplicateValues" dxfId="1480" priority="742"/>
  </conditionalFormatting>
  <conditionalFormatting sqref="N7:N10 R7:R10 T7:T10 T13:T16 R13:R16 N13:N16 N19:N22 R19:R22 T19:T22 T25:T28 R25:R27 N25:N28">
    <cfRule type="expression" dxfId="1479" priority="40">
      <formula>AND(O7="",COUNTIF(N7,"*,*")=0)</formula>
    </cfRule>
  </conditionalFormatting>
  <conditionalFormatting sqref="R28">
    <cfRule type="expression" dxfId="1478" priority="39">
      <formula>AND(S28="",COUNTIF(R28,"*,*")=0)</formula>
    </cfRule>
  </conditionalFormatting>
  <conditionalFormatting sqref="P7:P10 P13:P16 P19:P22 P25:P28">
    <cfRule type="expression" dxfId="1477" priority="36">
      <formula>AND(Q7="",FIND(",",P7))</formula>
    </cfRule>
    <cfRule type="expression" dxfId="1476" priority="37">
      <formula>AND(Q7="",COUNTIF(P7,"*,*")=0)</formula>
    </cfRule>
  </conditionalFormatting>
  <conditionalFormatting sqref="C7:F9 C11:F15 C17:F21 C23:F28">
    <cfRule type="cellIs" dxfId="1475" priority="35" operator="equal">
      <formula>13</formula>
    </cfRule>
  </conditionalFormatting>
  <conditionalFormatting sqref="A74:A88">
    <cfRule type="cellIs" dxfId="1474" priority="3" operator="equal">
      <formula>"-"</formula>
    </cfRule>
    <cfRule type="duplicateValues" dxfId="1473" priority="18"/>
  </conditionalFormatting>
  <conditionalFormatting sqref="E95 E97">
    <cfRule type="aboveAverage" dxfId="1472" priority="17"/>
  </conditionalFormatting>
  <conditionalFormatting sqref="E99 E101">
    <cfRule type="aboveAverage" dxfId="1471" priority="16"/>
  </conditionalFormatting>
  <conditionalFormatting sqref="G96 G100">
    <cfRule type="aboveAverage" dxfId="1470" priority="15"/>
  </conditionalFormatting>
  <conditionalFormatting sqref="G103 G105">
    <cfRule type="aboveAverage" dxfId="1469" priority="14"/>
  </conditionalFormatting>
  <conditionalFormatting sqref="E95 E97 E99 E101 G96 G100 G103 G105">
    <cfRule type="containsBlanks" dxfId="1468" priority="13">
      <formula>LEN(TRIM(E95))=0</formula>
    </cfRule>
  </conditionalFormatting>
  <conditionalFormatting sqref="C74 C76">
    <cfRule type="aboveAverage" dxfId="1467" priority="12"/>
  </conditionalFormatting>
  <conditionalFormatting sqref="C78 C80">
    <cfRule type="aboveAverage" dxfId="1466" priority="11"/>
  </conditionalFormatting>
  <conditionalFormatting sqref="E75 E79">
    <cfRule type="aboveAverage" dxfId="1465" priority="10"/>
  </conditionalFormatting>
  <conditionalFormatting sqref="C82 C84">
    <cfRule type="aboveAverage" dxfId="1464" priority="9"/>
  </conditionalFormatting>
  <conditionalFormatting sqref="C86 C88">
    <cfRule type="aboveAverage" dxfId="1463" priority="8"/>
  </conditionalFormatting>
  <conditionalFormatting sqref="E83 E87">
    <cfRule type="aboveAverage" dxfId="1462" priority="7"/>
  </conditionalFormatting>
  <conditionalFormatting sqref="G77 G85">
    <cfRule type="aboveAverage" dxfId="1461" priority="6"/>
  </conditionalFormatting>
  <conditionalFormatting sqref="G89 G91">
    <cfRule type="aboveAverage" dxfId="1460" priority="5"/>
  </conditionalFormatting>
  <conditionalFormatting sqref="C74 C76 C78 C80 C82 C84 C86 C88 E75 E79 E83 E87 G77 G85 G89 G91">
    <cfRule type="containsBlanks" dxfId="1459" priority="4">
      <formula>LEN(TRIM(C74))=0</formula>
    </cfRule>
  </conditionalFormatting>
  <conditionalFormatting sqref="B300:B302">
    <cfRule type="containsBlanks" dxfId="1458" priority="1">
      <formula>LEN(TRIM(B300))=0</formula>
    </cfRule>
    <cfRule type="duplicateValues" dxfId="1457" priority="2"/>
  </conditionalFormatting>
  <pageMargins left="0.78740157480314965" right="0.39370078740157483" top="0.78740157480314965" bottom="0.31496062992125984" header="0.59055118110236227" footer="0"/>
  <pageSetup paperSize="9" fitToHeight="0" orientation="landscape" verticalDpi="1200" r:id="rId1"/>
  <headerFooter>
    <oddHeader>&amp;R&amp;"Arial,Regular"&amp;9Page &amp;P of &amp;N</oddHeader>
  </headerFooter>
  <rowBreaks count="3" manualBreakCount="3">
    <brk id="32" max="16383" man="1"/>
    <brk id="70" max="16383" man="1"/>
    <brk id="108" max="16383" man="1"/>
  </rowBreaks>
  <ignoredErrors>
    <ignoredError sqref="I7:I9" numberStoredAsText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pageSetUpPr fitToPage="1"/>
  </sheetPr>
  <dimension ref="A1:W308"/>
  <sheetViews>
    <sheetView showGridLines="0" showRowColHeaders="0" zoomScaleNormal="100" workbookViewId="0">
      <pane ySplit="2" topLeftCell="A3" activePane="bottomLeft" state="frozen"/>
      <selection activeCell="G1" sqref="G1"/>
      <selection pane="bottomLeft" activeCell="G1" sqref="G1"/>
    </sheetView>
  </sheetViews>
  <sheetFormatPr defaultRowHeight="12.75" x14ac:dyDescent="0.2"/>
  <cols>
    <col min="1" max="1" width="5.5703125" style="139" customWidth="1"/>
    <col min="2" max="2" width="40.28515625" style="139" bestFit="1" customWidth="1"/>
    <col min="3" max="7" width="6.7109375" style="139" customWidth="1"/>
    <col min="8" max="8" width="4.7109375" style="139" customWidth="1"/>
    <col min="9" max="12" width="9.140625" style="139" customWidth="1"/>
    <col min="13" max="13" width="9.140625" style="139" hidden="1" customWidth="1"/>
    <col min="14" max="14" width="16.85546875" style="139" hidden="1" customWidth="1"/>
    <col min="15" max="15" width="3" style="139" hidden="1" customWidth="1"/>
    <col min="16" max="16" width="32" style="139" hidden="1" customWidth="1"/>
    <col min="17" max="17" width="3" style="139" hidden="1" customWidth="1"/>
    <col min="18" max="18" width="17.28515625" style="139" hidden="1" customWidth="1"/>
    <col min="19" max="19" width="3" style="139" hidden="1" customWidth="1"/>
    <col min="20" max="20" width="13.85546875" style="139" hidden="1" customWidth="1"/>
    <col min="21" max="21" width="3" style="139" hidden="1" customWidth="1"/>
    <col min="22" max="16384" width="9.140625" style="139"/>
  </cols>
  <sheetData>
    <row r="1" spans="1:21" x14ac:dyDescent="0.2">
      <c r="A1" s="86" t="str">
        <f>UPPER((Kalend!E24)&amp;" - "&amp;(Kalend!C24)&amp;" - "&amp;(Kalend!D24))</f>
        <v>V7 - VOKA 1. SISE-KV 7. ETAPP - DUO</v>
      </c>
      <c r="D1" s="51" t="str">
        <f>HYPERLINK("#'Kalend'!I1","Kalender")</f>
        <v>Kalender</v>
      </c>
      <c r="F1" s="51" t="str">
        <f>HYPERLINK("#'V'!AE1","Reiting")</f>
        <v>Reiting</v>
      </c>
      <c r="G1" s="88"/>
      <c r="H1" s="88"/>
      <c r="K1" s="88"/>
      <c r="L1" s="88"/>
      <c r="M1" s="502" t="s">
        <v>380</v>
      </c>
      <c r="N1" s="504"/>
      <c r="O1" s="504"/>
      <c r="P1" s="503"/>
      <c r="Q1" s="504"/>
      <c r="R1" s="504"/>
      <c r="S1" s="504"/>
      <c r="T1" s="504"/>
      <c r="U1" s="504"/>
    </row>
    <row r="2" spans="1:21" x14ac:dyDescent="0.2">
      <c r="A2" s="186" t="str">
        <f>"Toimumisaeg: "&amp;(Kalend!A24)&amp;" kell "&amp;(Kalend!B24)</f>
        <v>Toimumisaeg: L, 13.01.2018 kell 11:00</v>
      </c>
      <c r="N2" s="314"/>
      <c r="P2" s="314"/>
    </row>
    <row r="3" spans="1:21" x14ac:dyDescent="0.2">
      <c r="A3" s="186" t="str">
        <f>"Toimumiskoht: "&amp;(Kalend!F24)</f>
        <v>Toimumiskoht: Voka petangihall</v>
      </c>
      <c r="N3" s="505" t="s">
        <v>381</v>
      </c>
      <c r="P3" s="314"/>
      <c r="R3" s="261"/>
    </row>
    <row r="4" spans="1:21" x14ac:dyDescent="0.2">
      <c r="A4" s="186" t="str">
        <f>"Korraldaja: "&amp;(Kalend!G24)</f>
        <v>Korraldaja: Johannes Neiland</v>
      </c>
      <c r="M4" s="506" t="s">
        <v>36</v>
      </c>
      <c r="N4" s="507"/>
      <c r="O4" s="508"/>
      <c r="P4" s="509"/>
      <c r="Q4" s="508"/>
      <c r="R4" s="508"/>
      <c r="S4" s="508"/>
      <c r="T4" s="508"/>
      <c r="U4" s="508"/>
    </row>
    <row r="5" spans="1:21" x14ac:dyDescent="0.2">
      <c r="M5" s="506" t="s">
        <v>382</v>
      </c>
      <c r="N5" s="510" t="s">
        <v>383</v>
      </c>
      <c r="O5" s="510"/>
      <c r="P5" s="511" t="s">
        <v>384</v>
      </c>
      <c r="Q5" s="510"/>
      <c r="R5" s="510" t="s">
        <v>385</v>
      </c>
      <c r="S5" s="510"/>
      <c r="T5" s="510" t="s">
        <v>386</v>
      </c>
      <c r="U5" s="512"/>
    </row>
    <row r="6" spans="1:21" s="188" customFormat="1" x14ac:dyDescent="0.2">
      <c r="A6" s="126" t="s">
        <v>66</v>
      </c>
      <c r="B6" s="126"/>
      <c r="C6" s="91">
        <v>1</v>
      </c>
      <c r="D6" s="91">
        <v>2</v>
      </c>
      <c r="E6" s="91">
        <v>3</v>
      </c>
      <c r="F6" s="91" t="s">
        <v>73</v>
      </c>
      <c r="G6" s="91" t="s">
        <v>21</v>
      </c>
      <c r="H6" s="139"/>
      <c r="I6" s="139"/>
      <c r="K6" s="139"/>
      <c r="L6" s="139"/>
      <c r="M6" s="506" t="s">
        <v>387</v>
      </c>
      <c r="N6" s="507"/>
      <c r="O6" s="508"/>
      <c r="P6" s="507"/>
      <c r="Q6" s="508"/>
      <c r="R6" s="513"/>
      <c r="S6" s="513"/>
      <c r="T6" s="513"/>
      <c r="U6" s="513"/>
    </row>
    <row r="7" spans="1:21" s="188" customFormat="1" x14ac:dyDescent="0.2">
      <c r="A7" s="126">
        <v>1</v>
      </c>
      <c r="B7" s="189" t="s">
        <v>413</v>
      </c>
      <c r="C7" s="127"/>
      <c r="D7" s="93">
        <v>9</v>
      </c>
      <c r="E7" s="93">
        <v>5</v>
      </c>
      <c r="F7" s="132" t="s">
        <v>78</v>
      </c>
      <c r="G7" s="131" t="s">
        <v>93</v>
      </c>
      <c r="H7" s="139"/>
      <c r="I7" s="139"/>
      <c r="K7" s="139"/>
      <c r="L7" s="139"/>
      <c r="M7" s="512">
        <f>SUM(O7:U7)</f>
        <v>72</v>
      </c>
      <c r="N7" s="514" t="str">
        <f>IFERROR(LEFT($B7,(FIND(",",$B7,1)-1)),"")</f>
        <v>Klavdia Piik</v>
      </c>
      <c r="O7" s="515">
        <f>IFERROR(INDEX(V!$O:$O,MATCH(N7,V!$J:$J,0)),"")</f>
        <v>72</v>
      </c>
      <c r="P7" s="514" t="str">
        <f t="shared" ref="P7:P22" si="0">IFERROR(MID($B7,FIND(", ",$B7)+2,256),"")</f>
        <v>Karla Purgats / Johannes Neiland</v>
      </c>
      <c r="Q7" s="515" t="str">
        <f>IFERROR(INDEX(V!$O:$O,MATCH(P7,V!$J:$J,0)),"")</f>
        <v/>
      </c>
      <c r="R7" s="516" t="str">
        <f t="shared" ref="R7:R22" si="1">IFERROR(MID($B7,FIND("^",SUBSTITUTE($B7,", ","^",1))+2,FIND("^",SUBSTITUTE($B7,", ","^",2))-FIND("^",SUBSTITUTE($B7,", ","^",1))-2),"")</f>
        <v/>
      </c>
      <c r="S7" s="515" t="str">
        <f>IFERROR(INDEX(V!$O:$O,MATCH(R7,V!$J:$J,0)),"")</f>
        <v/>
      </c>
      <c r="T7" s="516" t="str">
        <f t="shared" ref="T7:T22" si="2">IFERROR(MID($B7,FIND(", ",$B7,FIND(", ",$B7,FIND(", ",$B7))+1)+2,30000),"")</f>
        <v/>
      </c>
      <c r="U7" s="515" t="str">
        <f>IFERROR(INDEX(V!$O:$O,MATCH(T7,V!$J:$J,0)),"")</f>
        <v/>
      </c>
    </row>
    <row r="8" spans="1:21" s="188" customFormat="1" x14ac:dyDescent="0.2">
      <c r="A8" s="126">
        <v>2</v>
      </c>
      <c r="B8" s="189" t="s">
        <v>418</v>
      </c>
      <c r="C8" s="128">
        <v>13</v>
      </c>
      <c r="D8" s="127"/>
      <c r="E8" s="93">
        <v>12</v>
      </c>
      <c r="F8" s="132" t="s">
        <v>74</v>
      </c>
      <c r="G8" s="131" t="s">
        <v>76</v>
      </c>
      <c r="H8" s="139"/>
      <c r="I8" s="264"/>
      <c r="K8" s="139"/>
      <c r="L8" s="139"/>
      <c r="M8" s="512">
        <f t="shared" ref="M8:M22" si="3">SUM(O8:U8)</f>
        <v>99</v>
      </c>
      <c r="N8" s="514" t="str">
        <f t="shared" ref="N8:N22" si="4">IFERROR(LEFT($B8,(FIND(",",$B8,1)-1)),"")</f>
        <v>Henri Mitt</v>
      </c>
      <c r="O8" s="515">
        <f>IFERROR(INDEX(V!$O:$O,MATCH(N8,V!$J:$J,0)),"")</f>
        <v>55</v>
      </c>
      <c r="P8" s="514" t="str">
        <f t="shared" si="0"/>
        <v>Taavi Press</v>
      </c>
      <c r="Q8" s="515">
        <f>IFERROR(INDEX(V!$O:$O,MATCH(P8,V!$J:$J,0)),"")</f>
        <v>44</v>
      </c>
      <c r="R8" s="516" t="str">
        <f t="shared" si="1"/>
        <v/>
      </c>
      <c r="S8" s="515" t="str">
        <f>IFERROR(INDEX(V!$O:$O,MATCH(R8,V!$J:$J,0)),"")</f>
        <v/>
      </c>
      <c r="T8" s="516" t="str">
        <f t="shared" si="2"/>
        <v/>
      </c>
      <c r="U8" s="515" t="str">
        <f>IFERROR(INDEX(V!$O:$O,MATCH(T8,V!$J:$J,0)),"")</f>
        <v/>
      </c>
    </row>
    <row r="9" spans="1:21" s="188" customFormat="1" x14ac:dyDescent="0.2">
      <c r="A9" s="126">
        <v>3</v>
      </c>
      <c r="B9" s="189" t="s">
        <v>611</v>
      </c>
      <c r="C9" s="93">
        <v>13</v>
      </c>
      <c r="D9" s="311">
        <v>13</v>
      </c>
      <c r="E9" s="127"/>
      <c r="F9" s="132" t="s">
        <v>91</v>
      </c>
      <c r="G9" s="131" t="s">
        <v>84</v>
      </c>
      <c r="H9" s="139"/>
      <c r="I9" s="139"/>
      <c r="K9" s="139"/>
      <c r="L9" s="139"/>
      <c r="M9" s="512">
        <f t="shared" si="3"/>
        <v>134</v>
      </c>
      <c r="N9" s="514" t="str">
        <f t="shared" si="4"/>
        <v>Kenneth Muusikus</v>
      </c>
      <c r="O9" s="515">
        <f>IFERROR(INDEX(V!$O:$O,MATCH(N9,V!$J:$J,0)),"")</f>
        <v>80</v>
      </c>
      <c r="P9" s="514" t="str">
        <f t="shared" si="0"/>
        <v>Peep Peenema</v>
      </c>
      <c r="Q9" s="515">
        <f>IFERROR(INDEX(V!$O:$O,MATCH(P9,V!$J:$J,0)),"")</f>
        <v>54</v>
      </c>
      <c r="R9" s="516" t="str">
        <f t="shared" si="1"/>
        <v/>
      </c>
      <c r="S9" s="515" t="str">
        <f>IFERROR(INDEX(V!$O:$O,MATCH(R9,V!$J:$J,0)),"")</f>
        <v/>
      </c>
      <c r="T9" s="516" t="str">
        <f t="shared" si="2"/>
        <v/>
      </c>
      <c r="U9" s="515" t="str">
        <f>IFERROR(INDEX(V!$O:$O,MATCH(T9,V!$J:$J,0)),"")</f>
        <v/>
      </c>
    </row>
    <row r="10" spans="1:21" s="188" customFormat="1" hidden="1" x14ac:dyDescent="0.2">
      <c r="A10" s="126">
        <v>4</v>
      </c>
      <c r="B10" s="189"/>
      <c r="C10" s="93"/>
      <c r="D10" s="311"/>
      <c r="E10" s="93"/>
      <c r="F10" s="132"/>
      <c r="G10" s="131"/>
      <c r="H10" s="139"/>
      <c r="I10" s="139"/>
      <c r="K10" s="139"/>
      <c r="L10" s="139"/>
      <c r="M10" s="512">
        <f t="shared" ref="M10" si="5">SUM(O10:U10)</f>
        <v>0</v>
      </c>
      <c r="N10" s="514" t="str">
        <f t="shared" si="4"/>
        <v/>
      </c>
      <c r="O10" s="515" t="str">
        <f>IFERROR(INDEX(V!$O:$O,MATCH(N10,V!$J:$J,0)),"")</f>
        <v/>
      </c>
      <c r="P10" s="514" t="str">
        <f t="shared" si="0"/>
        <v/>
      </c>
      <c r="Q10" s="515" t="str">
        <f>IFERROR(INDEX(V!$O:$O,MATCH(P10,V!$J:$J,0)),"")</f>
        <v/>
      </c>
      <c r="R10" s="516" t="str">
        <f t="shared" si="1"/>
        <v/>
      </c>
      <c r="S10" s="515" t="str">
        <f>IFERROR(INDEX(V!$O:$O,MATCH(R10,V!$J:$J,0)),"")</f>
        <v/>
      </c>
      <c r="T10" s="516" t="str">
        <f t="shared" si="2"/>
        <v/>
      </c>
      <c r="U10" s="515" t="str">
        <f>IFERROR(INDEX(V!$O:$O,MATCH(T10,V!$J:$J,0)),"")</f>
        <v/>
      </c>
    </row>
    <row r="11" spans="1:21" x14ac:dyDescent="0.2">
      <c r="A11" s="87"/>
      <c r="B11" s="413" t="s">
        <v>70</v>
      </c>
      <c r="C11" s="309"/>
      <c r="D11" s="309"/>
      <c r="E11" s="309"/>
      <c r="F11" s="309"/>
      <c r="G11" s="420" t="s">
        <v>70</v>
      </c>
      <c r="M11" s="88"/>
      <c r="N11" s="88"/>
      <c r="O11" s="88"/>
      <c r="P11" s="88"/>
      <c r="Q11" s="88"/>
      <c r="R11" s="88"/>
      <c r="S11" s="88"/>
      <c r="T11" s="88"/>
      <c r="U11" s="88"/>
    </row>
    <row r="12" spans="1:21" s="188" customFormat="1" x14ac:dyDescent="0.2">
      <c r="A12" s="126" t="s">
        <v>90</v>
      </c>
      <c r="B12" s="126"/>
      <c r="C12" s="91">
        <v>1</v>
      </c>
      <c r="D12" s="91">
        <v>2</v>
      </c>
      <c r="E12" s="91">
        <v>3</v>
      </c>
      <c r="F12" s="91" t="s">
        <v>73</v>
      </c>
      <c r="G12" s="91" t="s">
        <v>21</v>
      </c>
      <c r="H12" s="139"/>
      <c r="I12" s="139"/>
      <c r="K12" s="139"/>
      <c r="L12" s="139"/>
      <c r="M12" s="88"/>
      <c r="N12" s="88"/>
      <c r="O12" s="88"/>
      <c r="P12" s="88"/>
      <c r="Q12" s="88"/>
      <c r="R12" s="88"/>
      <c r="S12" s="88"/>
      <c r="T12" s="88"/>
      <c r="U12" s="88"/>
    </row>
    <row r="13" spans="1:21" s="188" customFormat="1" x14ac:dyDescent="0.2">
      <c r="A13" s="126">
        <v>1</v>
      </c>
      <c r="B13" s="189" t="s">
        <v>116</v>
      </c>
      <c r="C13" s="127"/>
      <c r="D13" s="93">
        <v>13</v>
      </c>
      <c r="E13" s="93">
        <v>13</v>
      </c>
      <c r="F13" s="132" t="s">
        <v>91</v>
      </c>
      <c r="G13" s="131" t="s">
        <v>86</v>
      </c>
      <c r="H13" s="139"/>
      <c r="I13" s="139"/>
      <c r="K13" s="139"/>
      <c r="L13" s="139"/>
      <c r="M13" s="512">
        <f t="shared" si="3"/>
        <v>139</v>
      </c>
      <c r="N13" s="514" t="str">
        <f t="shared" si="4"/>
        <v>Jaan Sepp</v>
      </c>
      <c r="O13" s="515">
        <f>IFERROR(INDEX(V!$O:$O,MATCH(N13,V!$J:$J,0)),"")</f>
        <v>82.5</v>
      </c>
      <c r="P13" s="514" t="str">
        <f t="shared" si="0"/>
        <v>Oskar Sepp</v>
      </c>
      <c r="Q13" s="515">
        <f>IFERROR(INDEX(V!$O:$O,MATCH(P13,V!$J:$J,0)),"")</f>
        <v>56.5</v>
      </c>
      <c r="R13" s="516" t="str">
        <f t="shared" si="1"/>
        <v/>
      </c>
      <c r="S13" s="515" t="str">
        <f>IFERROR(INDEX(V!$O:$O,MATCH(R13,V!$J:$J,0)),"")</f>
        <v/>
      </c>
      <c r="T13" s="516" t="str">
        <f t="shared" si="2"/>
        <v/>
      </c>
      <c r="U13" s="515" t="str">
        <f>IFERROR(INDEX(V!$O:$O,MATCH(T13,V!$J:$J,0)),"")</f>
        <v/>
      </c>
    </row>
    <row r="14" spans="1:21" s="188" customFormat="1" x14ac:dyDescent="0.2">
      <c r="A14" s="126">
        <v>2</v>
      </c>
      <c r="B14" s="189" t="s">
        <v>287</v>
      </c>
      <c r="C14" s="128">
        <v>8</v>
      </c>
      <c r="D14" s="127"/>
      <c r="E14" s="93">
        <v>13</v>
      </c>
      <c r="F14" s="132" t="s">
        <v>74</v>
      </c>
      <c r="G14" s="131" t="s">
        <v>71</v>
      </c>
      <c r="H14" s="139"/>
      <c r="I14" s="139"/>
      <c r="K14" s="139"/>
      <c r="L14" s="139"/>
      <c r="M14" s="512">
        <f t="shared" si="3"/>
        <v>95.5</v>
      </c>
      <c r="N14" s="514" t="str">
        <f t="shared" si="4"/>
        <v>Margus Vasser</v>
      </c>
      <c r="O14" s="515">
        <f>IFERROR(INDEX(V!$O:$O,MATCH(N14,V!$J:$J,0)),"")</f>
        <v>25</v>
      </c>
      <c r="P14" s="514" t="str">
        <f t="shared" si="0"/>
        <v>Vello Vasser</v>
      </c>
      <c r="Q14" s="515">
        <f>IFERROR(INDEX(V!$O:$O,MATCH(P14,V!$J:$J,0)),"")</f>
        <v>70.5</v>
      </c>
      <c r="R14" s="516" t="str">
        <f t="shared" si="1"/>
        <v/>
      </c>
      <c r="S14" s="515" t="str">
        <f>IFERROR(INDEX(V!$O:$O,MATCH(R14,V!$J:$J,0)),"")</f>
        <v/>
      </c>
      <c r="T14" s="516" t="str">
        <f t="shared" si="2"/>
        <v/>
      </c>
      <c r="U14" s="515" t="str">
        <f>IFERROR(INDEX(V!$O:$O,MATCH(T14,V!$J:$J,0)),"")</f>
        <v/>
      </c>
    </row>
    <row r="15" spans="1:21" s="188" customFormat="1" x14ac:dyDescent="0.2">
      <c r="A15" s="126">
        <v>3</v>
      </c>
      <c r="B15" s="189" t="s">
        <v>417</v>
      </c>
      <c r="C15" s="93">
        <v>5</v>
      </c>
      <c r="D15" s="311">
        <v>12</v>
      </c>
      <c r="E15" s="127"/>
      <c r="F15" s="132" t="s">
        <v>78</v>
      </c>
      <c r="G15" s="131" t="s">
        <v>94</v>
      </c>
      <c r="H15" s="139"/>
      <c r="I15" s="139"/>
      <c r="K15" s="139"/>
      <c r="L15" s="139"/>
      <c r="M15" s="512">
        <f t="shared" si="3"/>
        <v>103</v>
      </c>
      <c r="N15" s="514" t="str">
        <f t="shared" si="4"/>
        <v>Andres Viisitam</v>
      </c>
      <c r="O15" s="515">
        <f>IFERROR(INDEX(V!$O:$O,MATCH(N15,V!$J:$J,0)),"")</f>
        <v>30</v>
      </c>
      <c r="P15" s="514" t="str">
        <f t="shared" si="0"/>
        <v>Tõnu Piik</v>
      </c>
      <c r="Q15" s="515">
        <f>IFERROR(INDEX(V!$O:$O,MATCH(P15,V!$J:$J,0)),"")</f>
        <v>73</v>
      </c>
      <c r="R15" s="516" t="str">
        <f t="shared" si="1"/>
        <v/>
      </c>
      <c r="S15" s="515" t="str">
        <f>IFERROR(INDEX(V!$O:$O,MATCH(R15,V!$J:$J,0)),"")</f>
        <v/>
      </c>
      <c r="T15" s="516" t="str">
        <f t="shared" si="2"/>
        <v/>
      </c>
      <c r="U15" s="515" t="str">
        <f>IFERROR(INDEX(V!$O:$O,MATCH(T15,V!$J:$J,0)),"")</f>
        <v/>
      </c>
    </row>
    <row r="16" spans="1:21" s="188" customFormat="1" hidden="1" x14ac:dyDescent="0.2">
      <c r="A16" s="126">
        <v>4</v>
      </c>
      <c r="B16" s="189"/>
      <c r="C16" s="93"/>
      <c r="D16" s="93"/>
      <c r="E16" s="93"/>
      <c r="F16" s="132"/>
      <c r="G16" s="131"/>
      <c r="H16" s="139"/>
      <c r="I16" s="139"/>
      <c r="K16" s="139"/>
      <c r="L16" s="139"/>
      <c r="M16" s="512">
        <f t="shared" si="3"/>
        <v>0</v>
      </c>
      <c r="N16" s="514" t="str">
        <f t="shared" si="4"/>
        <v/>
      </c>
      <c r="O16" s="515" t="str">
        <f>IFERROR(INDEX(V!$O:$O,MATCH(N16,V!$J:$J,0)),"")</f>
        <v/>
      </c>
      <c r="P16" s="514" t="str">
        <f t="shared" si="0"/>
        <v/>
      </c>
      <c r="Q16" s="515" t="str">
        <f>IFERROR(INDEX(V!$O:$O,MATCH(P16,V!$J:$J,0)),"")</f>
        <v/>
      </c>
      <c r="R16" s="516" t="str">
        <f t="shared" si="1"/>
        <v/>
      </c>
      <c r="S16" s="515" t="str">
        <f>IFERROR(INDEX(V!$O:$O,MATCH(R16,V!$J:$J,0)),"")</f>
        <v/>
      </c>
      <c r="T16" s="516" t="str">
        <f t="shared" si="2"/>
        <v/>
      </c>
      <c r="U16" s="515" t="str">
        <f>IFERROR(INDEX(V!$O:$O,MATCH(T16,V!$J:$J,0)),"")</f>
        <v/>
      </c>
    </row>
    <row r="17" spans="1:23" x14ac:dyDescent="0.2">
      <c r="A17" s="186"/>
      <c r="B17" s="186"/>
      <c r="C17" s="186"/>
      <c r="D17" s="186"/>
      <c r="E17" s="186"/>
      <c r="F17" s="186"/>
      <c r="G17" s="186"/>
      <c r="M17" s="88"/>
      <c r="N17" s="88"/>
      <c r="O17" s="88"/>
      <c r="P17" s="88"/>
      <c r="Q17" s="88"/>
      <c r="R17" s="88"/>
      <c r="S17" s="88"/>
      <c r="T17" s="88"/>
      <c r="U17" s="88"/>
    </row>
    <row r="18" spans="1:23" s="188" customFormat="1" x14ac:dyDescent="0.2">
      <c r="A18" s="126" t="s">
        <v>166</v>
      </c>
      <c r="B18" s="126"/>
      <c r="C18" s="91">
        <v>1</v>
      </c>
      <c r="D18" s="91">
        <v>2</v>
      </c>
      <c r="E18" s="91">
        <v>3</v>
      </c>
      <c r="F18" s="91" t="s">
        <v>73</v>
      </c>
      <c r="G18" s="91" t="s">
        <v>21</v>
      </c>
      <c r="H18" s="139"/>
      <c r="I18" s="139"/>
      <c r="K18" s="139"/>
      <c r="L18" s="139"/>
      <c r="M18" s="88"/>
      <c r="N18" s="88"/>
      <c r="O18" s="88"/>
      <c r="P18" s="88"/>
      <c r="Q18" s="88"/>
      <c r="R18" s="88"/>
      <c r="S18" s="88"/>
      <c r="T18" s="88"/>
      <c r="U18" s="88"/>
    </row>
    <row r="19" spans="1:23" s="188" customFormat="1" x14ac:dyDescent="0.2">
      <c r="A19" s="126">
        <v>1</v>
      </c>
      <c r="B19" s="189" t="s">
        <v>115</v>
      </c>
      <c r="C19" s="127"/>
      <c r="D19" s="316">
        <v>13</v>
      </c>
      <c r="E19" s="316">
        <v>11</v>
      </c>
      <c r="F19" s="317" t="s">
        <v>74</v>
      </c>
      <c r="G19" s="131" t="s">
        <v>75</v>
      </c>
      <c r="H19" s="1184" t="s">
        <v>310</v>
      </c>
      <c r="I19" s="427" t="s">
        <v>420</v>
      </c>
      <c r="K19" s="139"/>
      <c r="L19" s="139"/>
      <c r="M19" s="512">
        <f t="shared" si="3"/>
        <v>162</v>
      </c>
      <c r="N19" s="514" t="str">
        <f t="shared" si="4"/>
        <v>Andres Veski</v>
      </c>
      <c r="O19" s="515">
        <f>IFERROR(INDEX(V!$O:$O,MATCH(N19,V!$J:$J,0)),"")</f>
        <v>76</v>
      </c>
      <c r="P19" s="514" t="str">
        <f t="shared" si="0"/>
        <v>Svetlana Veski</v>
      </c>
      <c r="Q19" s="515">
        <f>IFERROR(INDEX(V!$O:$O,MATCH(P19,V!$J:$J,0)),"")</f>
        <v>86</v>
      </c>
      <c r="R19" s="516" t="str">
        <f t="shared" si="1"/>
        <v/>
      </c>
      <c r="S19" s="515" t="str">
        <f>IFERROR(INDEX(V!$O:$O,MATCH(R19,V!$J:$J,0)),"")</f>
        <v/>
      </c>
      <c r="T19" s="516" t="str">
        <f t="shared" si="2"/>
        <v/>
      </c>
      <c r="U19" s="515" t="str">
        <f>IFERROR(INDEX(V!$O:$O,MATCH(T19,V!$J:$J,0)),"")</f>
        <v/>
      </c>
    </row>
    <row r="20" spans="1:23" s="188" customFormat="1" x14ac:dyDescent="0.2">
      <c r="A20" s="126">
        <v>2</v>
      </c>
      <c r="B20" s="189" t="s">
        <v>424</v>
      </c>
      <c r="C20" s="316">
        <v>11</v>
      </c>
      <c r="D20" s="127"/>
      <c r="E20" s="316">
        <v>13</v>
      </c>
      <c r="F20" s="317" t="s">
        <v>74</v>
      </c>
      <c r="G20" s="131" t="s">
        <v>85</v>
      </c>
      <c r="H20" s="1184" t="s">
        <v>405</v>
      </c>
      <c r="I20" s="427" t="s">
        <v>421</v>
      </c>
      <c r="K20" s="139"/>
      <c r="L20" s="139"/>
      <c r="M20" s="512">
        <f t="shared" si="3"/>
        <v>94</v>
      </c>
      <c r="N20" s="514" t="str">
        <f t="shared" si="4"/>
        <v>Einar Juhkam</v>
      </c>
      <c r="O20" s="515">
        <f>IFERROR(INDEX(V!$O:$O,MATCH(N20,V!$J:$J,0)),"")</f>
        <v>53</v>
      </c>
      <c r="P20" s="514" t="str">
        <f t="shared" si="0"/>
        <v>Enn Tokman</v>
      </c>
      <c r="Q20" s="515">
        <f>IFERROR(INDEX(V!$O:$O,MATCH(P20,V!$J:$J,0)),"")</f>
        <v>41</v>
      </c>
      <c r="R20" s="516" t="str">
        <f t="shared" si="1"/>
        <v/>
      </c>
      <c r="S20" s="515" t="str">
        <f>IFERROR(INDEX(V!$O:$O,MATCH(R20,V!$J:$J,0)),"")</f>
        <v/>
      </c>
      <c r="T20" s="516" t="str">
        <f t="shared" si="2"/>
        <v/>
      </c>
      <c r="U20" s="515" t="str">
        <f>IFERROR(INDEX(V!$O:$O,MATCH(T20,V!$J:$J,0)),"")</f>
        <v/>
      </c>
    </row>
    <row r="21" spans="1:23" s="188" customFormat="1" x14ac:dyDescent="0.2">
      <c r="A21" s="126">
        <v>3</v>
      </c>
      <c r="B21" s="244" t="s">
        <v>423</v>
      </c>
      <c r="C21" s="316">
        <v>13</v>
      </c>
      <c r="D21" s="403">
        <v>7</v>
      </c>
      <c r="E21" s="127"/>
      <c r="F21" s="317" t="s">
        <v>74</v>
      </c>
      <c r="G21" s="131" t="s">
        <v>118</v>
      </c>
      <c r="H21" s="1184" t="s">
        <v>173</v>
      </c>
      <c r="I21" s="427" t="s">
        <v>422</v>
      </c>
      <c r="K21" s="139"/>
      <c r="L21" s="139"/>
      <c r="M21" s="512">
        <f t="shared" si="3"/>
        <v>25</v>
      </c>
      <c r="N21" s="514" t="str">
        <f t="shared" si="4"/>
        <v>Jaan Saar</v>
      </c>
      <c r="O21" s="515">
        <f>IFERROR(INDEX(V!$O:$O,MATCH(N21,V!$J:$J,0)),"")</f>
        <v>25</v>
      </c>
      <c r="P21" s="514" t="str">
        <f t="shared" si="0"/>
        <v>Illar Tõnurist / Tarmo Bombe</v>
      </c>
      <c r="Q21" s="515" t="str">
        <f>IFERROR(INDEX(V!$O:$O,MATCH(P21,V!$J:$J,0)),"")</f>
        <v/>
      </c>
      <c r="R21" s="516" t="str">
        <f t="shared" si="1"/>
        <v/>
      </c>
      <c r="S21" s="515" t="str">
        <f>IFERROR(INDEX(V!$H:$H,MATCH(R21,V!$F:$F,0)),"")</f>
        <v/>
      </c>
      <c r="T21" s="516" t="str">
        <f t="shared" si="2"/>
        <v/>
      </c>
      <c r="U21" s="515" t="str">
        <f>IFERROR(INDEX(V!$O:$O,MATCH(T21,V!$J:$J,0)),"")</f>
        <v/>
      </c>
    </row>
    <row r="22" spans="1:23" s="188" customFormat="1" hidden="1" x14ac:dyDescent="0.2">
      <c r="A22" s="126">
        <v>4</v>
      </c>
      <c r="B22" s="189"/>
      <c r="C22" s="93"/>
      <c r="D22" s="93"/>
      <c r="E22" s="93"/>
      <c r="F22" s="535"/>
      <c r="G22" s="131"/>
      <c r="H22" s="428"/>
      <c r="I22" s="427"/>
      <c r="K22" s="139"/>
      <c r="L22" s="139"/>
      <c r="M22" s="512">
        <f t="shared" si="3"/>
        <v>0</v>
      </c>
      <c r="N22" s="514" t="str">
        <f t="shared" si="4"/>
        <v/>
      </c>
      <c r="O22" s="515" t="str">
        <f>IFERROR(INDEX(V!$H:$H,MATCH(N22,V!$F:$F,0)),"")</f>
        <v/>
      </c>
      <c r="P22" s="514" t="str">
        <f t="shared" si="0"/>
        <v/>
      </c>
      <c r="Q22" s="515" t="str">
        <f>IFERROR(INDEX(V!$H:$H,MATCH(P22,V!$F:$F,0)),"")</f>
        <v/>
      </c>
      <c r="R22" s="516" t="str">
        <f t="shared" si="1"/>
        <v/>
      </c>
      <c r="S22" s="515" t="str">
        <f>IFERROR(INDEX(V!$H:$H,MATCH(R22,V!$F:$F,0)),"")</f>
        <v/>
      </c>
      <c r="T22" s="516" t="str">
        <f t="shared" si="2"/>
        <v/>
      </c>
      <c r="U22" s="515" t="str">
        <f>IFERROR(INDEX(V!$H:$H,MATCH(T22,V!$F:$F,0)),"")</f>
        <v/>
      </c>
    </row>
    <row r="23" spans="1:23" s="188" customFormat="1" x14ac:dyDescent="0.2">
      <c r="A23" s="95"/>
      <c r="B23" s="410"/>
      <c r="C23" s="97"/>
      <c r="D23" s="97"/>
      <c r="E23" s="97"/>
      <c r="F23" s="97"/>
      <c r="G23" s="402"/>
    </row>
    <row r="24" spans="1:23" s="88" customFormat="1" x14ac:dyDescent="0.2">
      <c r="A24" s="214" t="s">
        <v>72</v>
      </c>
      <c r="B24" s="99"/>
      <c r="C24" s="96"/>
      <c r="D24" s="96"/>
      <c r="E24" s="96"/>
      <c r="F24" s="97"/>
      <c r="G24" s="98"/>
      <c r="L24" s="188"/>
      <c r="M24" s="188"/>
      <c r="N24" s="188"/>
      <c r="O24" s="188"/>
      <c r="P24" s="188"/>
      <c r="Q24" s="188"/>
      <c r="R24" s="188"/>
      <c r="S24" s="188"/>
      <c r="T24" s="188"/>
      <c r="U24" s="188"/>
      <c r="V24" s="188"/>
      <c r="W24" s="188"/>
    </row>
    <row r="25" spans="1:23" s="88" customFormat="1" x14ac:dyDescent="0.2"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</row>
    <row r="26" spans="1:23" s="88" customFormat="1" x14ac:dyDescent="0.2">
      <c r="A26" s="106" t="s">
        <v>84</v>
      </c>
      <c r="B26" s="404" t="str">
        <f>IFERROR(INDEX(B$7:B$22,MATCH(A26,G$7:G$22,0)),"")</f>
        <v>Kenneth Muusikus, Peep Peenema</v>
      </c>
      <c r="C26" s="120">
        <f>IF(B26="-",0,IF(B28="-",13,""))</f>
        <v>13</v>
      </c>
      <c r="M26" s="88" t="s">
        <v>231</v>
      </c>
    </row>
    <row r="27" spans="1:23" s="88" customFormat="1" x14ac:dyDescent="0.2">
      <c r="A27" s="107"/>
      <c r="B27" s="423"/>
      <c r="C27" s="524" t="str">
        <f>IF(COUNT(C26,C28)=2,IF(C26&gt;C28,B26,B28),"")</f>
        <v>Kenneth Muusikus, Peep Peenema</v>
      </c>
      <c r="E27" s="120">
        <v>13</v>
      </c>
    </row>
    <row r="28" spans="1:23" s="88" customFormat="1" x14ac:dyDescent="0.2">
      <c r="A28" s="107" t="s">
        <v>70</v>
      </c>
      <c r="B28" s="406" t="str">
        <f>IFERROR(INDEX(B$7:B$22,MATCH(A28,G$7:G$22,0)),"")</f>
        <v>-</v>
      </c>
      <c r="C28" s="110">
        <f>IF(B28="-",0,IF(B26="-",13,""))</f>
        <v>0</v>
      </c>
      <c r="D28" s="232"/>
    </row>
    <row r="29" spans="1:23" s="88" customFormat="1" x14ac:dyDescent="0.2">
      <c r="A29" s="107"/>
      <c r="B29" s="407"/>
      <c r="D29" s="112"/>
      <c r="E29" s="524" t="str">
        <f>IF(COUNT(E27,E31)=2,IF(E27&gt;E31,C27,C31),"")</f>
        <v>Kenneth Muusikus, Peep Peenema</v>
      </c>
      <c r="G29" s="120">
        <v>2</v>
      </c>
    </row>
    <row r="30" spans="1:23" s="88" customFormat="1" x14ac:dyDescent="0.2">
      <c r="A30" s="107" t="s">
        <v>71</v>
      </c>
      <c r="B30" s="404" t="str">
        <f>IFERROR(INDEX(B$7:B$22,MATCH(A30,G$7:G$22,0)),"")</f>
        <v>Margus Vasser, Vello Vasser</v>
      </c>
      <c r="C30" s="120">
        <v>12</v>
      </c>
      <c r="D30" s="112"/>
      <c r="E30" s="536"/>
      <c r="F30" s="232"/>
    </row>
    <row r="31" spans="1:23" s="88" customFormat="1" x14ac:dyDescent="0.2">
      <c r="A31" s="107"/>
      <c r="B31" s="423"/>
      <c r="C31" s="524" t="str">
        <f>IF(COUNT(C30,C32)=2,IF(C30&gt;C32,B30,B32),"")</f>
        <v>Andres Veski, Svetlana Veski</v>
      </c>
      <c r="D31" s="234"/>
      <c r="E31" s="110">
        <v>2</v>
      </c>
      <c r="F31" s="112"/>
      <c r="R31" s="215"/>
    </row>
    <row r="32" spans="1:23" s="88" customFormat="1" x14ac:dyDescent="0.2">
      <c r="A32" s="107" t="s">
        <v>75</v>
      </c>
      <c r="B32" s="406" t="str">
        <f>IFERROR(INDEX(B$7:B$22,MATCH(A32,G$7:G$22,0)),"")</f>
        <v>Andres Veski, Svetlana Veski</v>
      </c>
      <c r="C32" s="110">
        <v>13</v>
      </c>
      <c r="E32" s="99"/>
      <c r="F32" s="112"/>
      <c r="R32" s="215"/>
    </row>
    <row r="33" spans="1:9" s="88" customFormat="1" ht="13.5" thickBot="1" x14ac:dyDescent="0.25">
      <c r="A33" s="87"/>
      <c r="B33" s="407"/>
      <c r="E33" s="99"/>
      <c r="F33" s="112"/>
      <c r="H33" s="184" t="str">
        <f>IF(COUNT(G29,G37)=2,IF(G29&gt;G37,E29,E37),"")</f>
        <v>Jaan Sepp, Oskar Sepp</v>
      </c>
    </row>
    <row r="34" spans="1:9" s="88" customFormat="1" x14ac:dyDescent="0.2">
      <c r="A34" s="106" t="s">
        <v>85</v>
      </c>
      <c r="B34" s="404" t="str">
        <f>IFERROR(INDEX(B$7:B$22,MATCH(A34,G$7:G$22,0)),"")</f>
        <v>Einar Juhkam, Enn Tokman</v>
      </c>
      <c r="C34" s="120">
        <v>11</v>
      </c>
      <c r="F34" s="112"/>
      <c r="G34" s="114"/>
      <c r="H34" s="379" t="s">
        <v>275</v>
      </c>
      <c r="I34" s="378"/>
    </row>
    <row r="35" spans="1:9" s="88" customFormat="1" x14ac:dyDescent="0.2">
      <c r="A35" s="107"/>
      <c r="B35" s="423"/>
      <c r="C35" s="524" t="str">
        <f>IF(COUNT(C34,C36)=2,IF(C34&gt;C36,B34,B36),"")</f>
        <v>Henri Mitt, Taavi Press</v>
      </c>
      <c r="E35" s="120">
        <v>3</v>
      </c>
      <c r="F35" s="112"/>
      <c r="G35" s="99"/>
    </row>
    <row r="36" spans="1:9" s="88" customFormat="1" x14ac:dyDescent="0.2">
      <c r="A36" s="107" t="s">
        <v>76</v>
      </c>
      <c r="B36" s="406" t="str">
        <f>IFERROR(INDEX(B$7:B$22,MATCH(A36,G$7:G$22,0)),"")</f>
        <v>Henri Mitt, Taavi Press</v>
      </c>
      <c r="C36" s="110">
        <v>13</v>
      </c>
      <c r="D36" s="232"/>
      <c r="F36" s="112"/>
      <c r="G36" s="99"/>
    </row>
    <row r="37" spans="1:9" s="88" customFormat="1" x14ac:dyDescent="0.2">
      <c r="A37" s="107"/>
      <c r="B37" s="407"/>
      <c r="D37" s="112"/>
      <c r="E37" s="524" t="str">
        <f>IF(COUNT(E35,E39)=2,IF(E35&gt;E39,C35,C39),"")</f>
        <v>Jaan Sepp, Oskar Sepp</v>
      </c>
      <c r="F37" s="234"/>
      <c r="G37" s="110">
        <v>13</v>
      </c>
    </row>
    <row r="38" spans="1:9" s="88" customFormat="1" ht="13.5" thickBot="1" x14ac:dyDescent="0.25">
      <c r="A38" s="107" t="s">
        <v>70</v>
      </c>
      <c r="B38" s="404" t="str">
        <f>IFERROR(INDEX(B$7:B$22,MATCH(A38,G$7:G$22,0)),"")</f>
        <v>-</v>
      </c>
      <c r="C38" s="120">
        <f>IF(B38="-",0,IF(B40="-",13,""))</f>
        <v>0</v>
      </c>
      <c r="D38" s="112"/>
      <c r="E38" s="536"/>
      <c r="F38" s="99"/>
      <c r="G38" s="99"/>
      <c r="H38" s="184" t="str">
        <f>IF(COUNT(G29,G37)=2,IF(G29&lt;G37,E29,E37),"")</f>
        <v>Kenneth Muusikus, Peep Peenema</v>
      </c>
      <c r="I38" s="119"/>
    </row>
    <row r="39" spans="1:9" s="88" customFormat="1" x14ac:dyDescent="0.2">
      <c r="A39" s="107"/>
      <c r="B39" s="423"/>
      <c r="C39" s="524" t="str">
        <f>IF(COUNT(C38,C40)=2,IF(C38&gt;C40,B38,B40),"")</f>
        <v>Jaan Sepp, Oskar Sepp</v>
      </c>
      <c r="D39" s="234"/>
      <c r="E39" s="110">
        <v>13</v>
      </c>
      <c r="G39" s="99"/>
      <c r="H39" s="379" t="s">
        <v>276</v>
      </c>
      <c r="I39" s="99"/>
    </row>
    <row r="40" spans="1:9" s="88" customFormat="1" x14ac:dyDescent="0.2">
      <c r="A40" s="107" t="s">
        <v>86</v>
      </c>
      <c r="B40" s="406" t="str">
        <f>IFERROR(INDEX(B$7:B$22,MATCH(A40,G$7:G$22,0)),"")</f>
        <v>Jaan Sepp, Oskar Sepp</v>
      </c>
      <c r="C40" s="110">
        <f>IF(B40="-",0,IF(B38="-",13,""))</f>
        <v>13</v>
      </c>
      <c r="E40" s="99"/>
      <c r="F40" s="99"/>
      <c r="G40" s="99"/>
    </row>
    <row r="41" spans="1:9" s="88" customFormat="1" x14ac:dyDescent="0.2">
      <c r="A41" s="87"/>
      <c r="B41" s="407"/>
      <c r="E41" s="217" t="str">
        <f>IF(COUNT(E27,E31)=2,IF(E27&lt;E31,C27,C31),"")</f>
        <v>Andres Veski, Svetlana Veski</v>
      </c>
      <c r="G41" s="120">
        <v>4</v>
      </c>
    </row>
    <row r="42" spans="1:9" s="88" customFormat="1" ht="13.5" thickBot="1" x14ac:dyDescent="0.25">
      <c r="E42" s="231"/>
      <c r="F42" s="232"/>
      <c r="G42" s="119"/>
      <c r="H42" s="184" t="str">
        <f>IF(COUNT(G41,G43)=2,IF(G41&gt;G43,E41,E43),"")</f>
        <v>Henri Mitt, Taavi Press</v>
      </c>
      <c r="I42" s="119"/>
    </row>
    <row r="43" spans="1:9" s="88" customFormat="1" x14ac:dyDescent="0.2">
      <c r="E43" s="528" t="str">
        <f>IF(COUNT(E35,E39)=2,IF(E35&lt;E39,C35,C39),"")</f>
        <v>Henri Mitt, Taavi Press</v>
      </c>
      <c r="F43" s="234"/>
      <c r="G43" s="110">
        <v>13</v>
      </c>
      <c r="H43" s="121" t="s">
        <v>277</v>
      </c>
      <c r="I43" s="99"/>
    </row>
    <row r="44" spans="1:9" s="88" customFormat="1" x14ac:dyDescent="0.2">
      <c r="H44" s="99"/>
      <c r="I44" s="99"/>
    </row>
    <row r="45" spans="1:9" s="88" customFormat="1" ht="13.5" thickBot="1" x14ac:dyDescent="0.25">
      <c r="E45" s="99"/>
      <c r="F45" s="99"/>
      <c r="H45" s="184" t="str">
        <f>IF(COUNT(G41,G43)=2,IF(G41&lt;G43,E41,E43),"")</f>
        <v>Andres Veski, Svetlana Veski</v>
      </c>
      <c r="I45" s="119"/>
    </row>
    <row r="46" spans="1:9" s="88" customFormat="1" x14ac:dyDescent="0.2">
      <c r="H46" s="87" t="s">
        <v>50</v>
      </c>
    </row>
    <row r="47" spans="1:9" s="88" customFormat="1" x14ac:dyDescent="0.2">
      <c r="C47" s="399" t="str">
        <f>IF(COUNT(C26,C28)=2,IF(C26&lt;C28,B26,B28),"")</f>
        <v>-</v>
      </c>
      <c r="E47" s="120">
        <f>IF(C47="-",0,IF(C49="-",13,""))</f>
        <v>0</v>
      </c>
      <c r="F47" s="120"/>
      <c r="G47" s="120"/>
    </row>
    <row r="48" spans="1:9" s="88" customFormat="1" x14ac:dyDescent="0.2">
      <c r="C48" s="219"/>
      <c r="D48" s="220"/>
      <c r="E48" s="524" t="str">
        <f>IF(COUNT(E47,E49)=2,IF(E47&gt;E49,C47,C49),"")</f>
        <v>Margus Vasser, Vello Vasser</v>
      </c>
      <c r="G48" s="120">
        <v>13</v>
      </c>
    </row>
    <row r="49" spans="1:9" s="88" customFormat="1" x14ac:dyDescent="0.2">
      <c r="C49" s="399" t="str">
        <f>IF(COUNT(C30,C32)=2,IF(C30&lt;C32,B30,B32),"")</f>
        <v>Margus Vasser, Vello Vasser</v>
      </c>
      <c r="D49" s="409"/>
      <c r="E49" s="110">
        <f>IF(C49="-",0,IF(C47="-",13,""))</f>
        <v>13</v>
      </c>
      <c r="F49" s="537"/>
      <c r="G49" s="120"/>
    </row>
    <row r="50" spans="1:9" s="88" customFormat="1" ht="13.5" thickBot="1" x14ac:dyDescent="0.25">
      <c r="C50" s="120"/>
      <c r="D50" s="120"/>
      <c r="E50" s="113"/>
      <c r="F50" s="221"/>
      <c r="G50" s="120"/>
      <c r="H50" s="184" t="str">
        <f>IF(COUNT(G48,G52)=2,IF(G48&gt;G52,E48,E52),"")</f>
        <v>Margus Vasser, Vello Vasser</v>
      </c>
    </row>
    <row r="51" spans="1:9" s="88" customFormat="1" x14ac:dyDescent="0.2">
      <c r="C51" s="399" t="str">
        <f>IF(COUNT(C34,C36)=2,IF(C34&lt;C36,B34,B36),"")</f>
        <v>Einar Juhkam, Enn Tokman</v>
      </c>
      <c r="D51" s="120"/>
      <c r="E51" s="120">
        <f>IF(C51="-",0,IF(C53="-",13,""))</f>
        <v>13</v>
      </c>
      <c r="F51" s="221"/>
      <c r="G51" s="222"/>
      <c r="H51" s="379" t="s">
        <v>51</v>
      </c>
      <c r="I51" s="378"/>
    </row>
    <row r="52" spans="1:9" s="88" customFormat="1" x14ac:dyDescent="0.2">
      <c r="C52" s="219"/>
      <c r="D52" s="220"/>
      <c r="E52" s="524" t="str">
        <f>IF(COUNT(E51,E53)=2,IF(E51&gt;E53,C51,C53),"")</f>
        <v>Einar Juhkam, Enn Tokman</v>
      </c>
      <c r="F52" s="234"/>
      <c r="G52" s="110">
        <v>2</v>
      </c>
    </row>
    <row r="53" spans="1:9" s="88" customFormat="1" ht="13.5" thickBot="1" x14ac:dyDescent="0.25">
      <c r="C53" s="399" t="str">
        <f>IF(COUNT(C38,C40)=2,IF(C38&lt;C40,B38,B40),"")</f>
        <v>-</v>
      </c>
      <c r="D53" s="409"/>
      <c r="E53" s="110">
        <f>IF(C53="-",0,IF(C51="-",13,""))</f>
        <v>0</v>
      </c>
      <c r="F53" s="120"/>
      <c r="G53" s="113"/>
      <c r="H53" s="184" t="str">
        <f>IF(COUNT(G48,G52)=2,IF(G48&lt;G52,E48,E52),"")</f>
        <v>Einar Juhkam, Enn Tokman</v>
      </c>
      <c r="I53" s="119"/>
    </row>
    <row r="54" spans="1:9" s="88" customFormat="1" x14ac:dyDescent="0.2">
      <c r="C54" s="120"/>
      <c r="D54" s="120"/>
      <c r="E54" s="120"/>
      <c r="F54" s="120"/>
      <c r="G54" s="113"/>
      <c r="H54" s="379" t="s">
        <v>52</v>
      </c>
      <c r="I54" s="99"/>
    </row>
    <row r="55" spans="1:9" s="88" customFormat="1" x14ac:dyDescent="0.2">
      <c r="C55" s="120"/>
      <c r="D55" s="113"/>
      <c r="E55" s="217" t="str">
        <f>IF(COUNT(E47,E49)=2,IF(E47&lt;E49,C47,C49),"")</f>
        <v>-</v>
      </c>
      <c r="G55" s="120">
        <f>IF(E55="-",0,IF(E57="-",13,""))</f>
        <v>0</v>
      </c>
      <c r="H55" s="99"/>
      <c r="I55" s="99"/>
    </row>
    <row r="56" spans="1:9" s="88" customFormat="1" ht="13.5" thickBot="1" x14ac:dyDescent="0.25">
      <c r="C56" s="120"/>
      <c r="D56" s="113"/>
      <c r="E56" s="231"/>
      <c r="F56" s="232"/>
      <c r="G56" s="119"/>
      <c r="H56" s="184" t="str">
        <f>IF(COUNT(G55,G57)=2,IF(G55&gt;G57,E55,E57),"")</f>
        <v>-</v>
      </c>
      <c r="I56" s="119"/>
    </row>
    <row r="57" spans="1:9" s="88" customFormat="1" x14ac:dyDescent="0.2">
      <c r="C57" s="120"/>
      <c r="D57" s="113"/>
      <c r="E57" s="528" t="str">
        <f>IF(COUNT(E51,E53)=2,IF(E51&lt;E53,C51,C53),"")</f>
        <v>-</v>
      </c>
      <c r="F57" s="234"/>
      <c r="G57" s="110">
        <f>IF(E57="-",0,IF(E55="-",13,""))</f>
        <v>0</v>
      </c>
      <c r="H57" s="121"/>
      <c r="I57" s="99"/>
    </row>
    <row r="58" spans="1:9" s="88" customFormat="1" x14ac:dyDescent="0.2">
      <c r="D58" s="99"/>
      <c r="H58" s="99"/>
      <c r="I58" s="99"/>
    </row>
    <row r="59" spans="1:9" s="88" customFormat="1" ht="13.5" thickBot="1" x14ac:dyDescent="0.25">
      <c r="E59" s="99"/>
      <c r="F59" s="99"/>
      <c r="H59" s="119" t="str">
        <f>IF(COUNT(G55,G57)=2,IF(G55&lt;G57,E55,E57),"")</f>
        <v>-</v>
      </c>
      <c r="I59" s="119"/>
    </row>
    <row r="60" spans="1:9" s="188" customFormat="1" x14ac:dyDescent="0.2">
      <c r="A60" s="95"/>
      <c r="B60" s="410"/>
      <c r="C60" s="97"/>
      <c r="D60" s="97"/>
      <c r="E60" s="97"/>
      <c r="F60" s="97"/>
      <c r="G60" s="402"/>
    </row>
    <row r="61" spans="1:9" s="88" customFormat="1" x14ac:dyDescent="0.2">
      <c r="A61" s="214" t="s">
        <v>87</v>
      </c>
      <c r="B61" s="99"/>
      <c r="C61" s="96"/>
      <c r="D61" s="96"/>
      <c r="E61" s="96"/>
      <c r="F61" s="97"/>
      <c r="G61" s="98"/>
    </row>
    <row r="62" spans="1:9" s="88" customFormat="1" x14ac:dyDescent="0.2"/>
    <row r="63" spans="1:9" s="88" customFormat="1" x14ac:dyDescent="0.2">
      <c r="A63" s="126"/>
      <c r="B63" s="126"/>
      <c r="C63" s="91">
        <v>1</v>
      </c>
      <c r="D63" s="91">
        <v>2</v>
      </c>
      <c r="E63" s="91">
        <v>3</v>
      </c>
      <c r="F63" s="91" t="s">
        <v>73</v>
      </c>
      <c r="G63" s="91" t="s">
        <v>21</v>
      </c>
    </row>
    <row r="64" spans="1:9" s="88" customFormat="1" x14ac:dyDescent="0.2">
      <c r="A64" s="126">
        <v>1</v>
      </c>
      <c r="B64" s="189" t="s">
        <v>413</v>
      </c>
      <c r="C64" s="127"/>
      <c r="D64" s="128">
        <v>13</v>
      </c>
      <c r="E64" s="128">
        <v>8</v>
      </c>
      <c r="F64" s="132" t="s">
        <v>74</v>
      </c>
      <c r="G64" s="131" t="s">
        <v>81</v>
      </c>
    </row>
    <row r="65" spans="1:9" s="88" customFormat="1" x14ac:dyDescent="0.2">
      <c r="A65" s="126">
        <v>2</v>
      </c>
      <c r="B65" s="189" t="s">
        <v>417</v>
      </c>
      <c r="C65" s="128">
        <v>13</v>
      </c>
      <c r="D65" s="127"/>
      <c r="E65" s="128">
        <v>13</v>
      </c>
      <c r="F65" s="132" t="s">
        <v>91</v>
      </c>
      <c r="G65" s="131" t="s">
        <v>80</v>
      </c>
    </row>
    <row r="66" spans="1:9" s="88" customFormat="1" x14ac:dyDescent="0.2">
      <c r="A66" s="126">
        <v>3</v>
      </c>
      <c r="B66" s="189" t="s">
        <v>419</v>
      </c>
      <c r="C66" s="128">
        <v>8</v>
      </c>
      <c r="D66" s="128">
        <v>7</v>
      </c>
      <c r="E66" s="127"/>
      <c r="F66" s="132" t="s">
        <v>78</v>
      </c>
      <c r="G66" s="131" t="s">
        <v>82</v>
      </c>
    </row>
    <row r="67" spans="1:9" s="88" customFormat="1" x14ac:dyDescent="0.2"/>
    <row r="68" spans="1:9" s="88" customFormat="1" ht="13.5" thickBot="1" x14ac:dyDescent="0.25">
      <c r="B68" s="213" t="s">
        <v>98</v>
      </c>
      <c r="C68" s="98" t="s">
        <v>100</v>
      </c>
      <c r="H68" s="184" t="s">
        <v>417</v>
      </c>
      <c r="I68" s="119"/>
    </row>
    <row r="69" spans="1:9" s="88" customFormat="1" x14ac:dyDescent="0.2">
      <c r="B69" s="213" t="s">
        <v>101</v>
      </c>
      <c r="C69" s="98" t="s">
        <v>102</v>
      </c>
      <c r="H69" s="379" t="s">
        <v>53</v>
      </c>
      <c r="I69" s="378"/>
    </row>
    <row r="70" spans="1:9" s="88" customFormat="1" x14ac:dyDescent="0.2">
      <c r="A70" s="87"/>
      <c r="B70" s="213" t="s">
        <v>104</v>
      </c>
      <c r="C70" s="98" t="s">
        <v>92</v>
      </c>
    </row>
    <row r="71" spans="1:9" s="88" customFormat="1" ht="13.5" thickBot="1" x14ac:dyDescent="0.25">
      <c r="H71" s="184" t="s">
        <v>413</v>
      </c>
      <c r="I71" s="119"/>
    </row>
    <row r="72" spans="1:9" s="88" customFormat="1" x14ac:dyDescent="0.2">
      <c r="H72" s="379" t="s">
        <v>54</v>
      </c>
      <c r="I72" s="378"/>
    </row>
    <row r="73" spans="1:9" s="88" customFormat="1" x14ac:dyDescent="0.2"/>
    <row r="74" spans="1:9" s="88" customFormat="1" ht="13.5" thickBot="1" x14ac:dyDescent="0.25">
      <c r="H74" s="184" t="s">
        <v>419</v>
      </c>
      <c r="I74" s="119"/>
    </row>
    <row r="75" spans="1:9" s="88" customFormat="1" x14ac:dyDescent="0.2">
      <c r="H75" s="379" t="s">
        <v>55</v>
      </c>
      <c r="I75" s="378"/>
    </row>
    <row r="76" spans="1:9" s="88" customFormat="1" x14ac:dyDescent="0.2">
      <c r="C76" s="264"/>
      <c r="D76" s="139"/>
      <c r="E76" s="139"/>
      <c r="F76" s="139"/>
      <c r="G76" s="139"/>
      <c r="H76" s="139"/>
      <c r="I76" s="139"/>
    </row>
    <row r="77" spans="1:9" s="88" customFormat="1" hidden="1" x14ac:dyDescent="0.2">
      <c r="C77" s="139"/>
      <c r="D77" s="139"/>
      <c r="E77" s="139"/>
      <c r="F77" s="139"/>
      <c r="G77" s="139"/>
      <c r="H77" s="139"/>
      <c r="I77" s="139"/>
    </row>
    <row r="78" spans="1:9" s="88" customFormat="1" hidden="1" x14ac:dyDescent="0.2">
      <c r="C78" s="139"/>
      <c r="D78" s="139"/>
      <c r="E78" s="139"/>
      <c r="F78" s="139"/>
      <c r="G78" s="139"/>
      <c r="H78" s="139"/>
      <c r="I78" s="139"/>
    </row>
    <row r="79" spans="1:9" s="88" customFormat="1" hidden="1" x14ac:dyDescent="0.2">
      <c r="C79" s="139"/>
      <c r="D79" s="139"/>
      <c r="E79" s="139"/>
      <c r="F79" s="139"/>
      <c r="G79" s="139"/>
      <c r="H79" s="139"/>
      <c r="I79" s="139"/>
    </row>
    <row r="80" spans="1:9" s="88" customFormat="1" hidden="1" x14ac:dyDescent="0.2">
      <c r="C80" s="139"/>
      <c r="D80" s="139"/>
      <c r="E80" s="139"/>
      <c r="F80" s="139"/>
      <c r="G80" s="139"/>
      <c r="H80" s="139"/>
      <c r="I80" s="139"/>
    </row>
    <row r="81" spans="2:9" s="88" customFormat="1" hidden="1" x14ac:dyDescent="0.2">
      <c r="C81" s="139"/>
      <c r="D81" s="139"/>
      <c r="E81" s="139"/>
      <c r="F81" s="139"/>
      <c r="G81" s="139"/>
      <c r="H81" s="139"/>
      <c r="I81" s="139"/>
    </row>
    <row r="82" spans="2:9" s="88" customFormat="1" hidden="1" x14ac:dyDescent="0.2">
      <c r="C82" s="139"/>
      <c r="D82" s="139"/>
      <c r="E82" s="139"/>
      <c r="F82" s="139"/>
      <c r="G82" s="139"/>
      <c r="H82" s="139"/>
      <c r="I82" s="139"/>
    </row>
    <row r="83" spans="2:9" s="349" customFormat="1" hidden="1" x14ac:dyDescent="0.2">
      <c r="B83" s="88"/>
      <c r="C83" s="139"/>
      <c r="D83" s="139"/>
      <c r="E83" s="139"/>
      <c r="F83" s="139"/>
      <c r="G83" s="139"/>
      <c r="H83" s="139"/>
      <c r="I83" s="139"/>
    </row>
    <row r="84" spans="2:9" hidden="1" x14ac:dyDescent="0.2">
      <c r="B84" s="88"/>
    </row>
    <row r="85" spans="2:9" hidden="1" x14ac:dyDescent="0.2">
      <c r="B85" s="88"/>
    </row>
    <row r="86" spans="2:9" hidden="1" x14ac:dyDescent="0.2"/>
    <row r="87" spans="2:9" hidden="1" x14ac:dyDescent="0.2">
      <c r="C87" s="88"/>
    </row>
    <row r="88" spans="2:9" hidden="1" x14ac:dyDescent="0.2">
      <c r="C88" s="88"/>
    </row>
    <row r="89" spans="2:9" hidden="1" x14ac:dyDescent="0.2">
      <c r="C89" s="88"/>
    </row>
    <row r="90" spans="2:9" hidden="1" x14ac:dyDescent="0.2">
      <c r="C90" s="88"/>
      <c r="D90" s="88"/>
      <c r="E90" s="88"/>
    </row>
    <row r="91" spans="2:9" hidden="1" x14ac:dyDescent="0.2">
      <c r="C91" s="88"/>
      <c r="D91" s="88"/>
      <c r="E91" s="88"/>
    </row>
    <row r="92" spans="2:9" hidden="1" x14ac:dyDescent="0.2">
      <c r="C92" s="88"/>
      <c r="D92" s="88"/>
      <c r="E92" s="88"/>
    </row>
    <row r="93" spans="2:9" hidden="1" x14ac:dyDescent="0.2">
      <c r="C93" s="88"/>
      <c r="D93" s="88"/>
      <c r="E93" s="88"/>
    </row>
    <row r="94" spans="2:9" hidden="1" x14ac:dyDescent="0.2">
      <c r="C94" s="88"/>
      <c r="D94" s="88"/>
      <c r="E94" s="88"/>
    </row>
    <row r="95" spans="2:9" hidden="1" x14ac:dyDescent="0.2">
      <c r="C95" s="88"/>
      <c r="D95" s="88"/>
      <c r="E95" s="88"/>
    </row>
    <row r="96" spans="2:9" hidden="1" x14ac:dyDescent="0.2">
      <c r="C96" s="88"/>
      <c r="D96" s="88"/>
      <c r="E96" s="88"/>
    </row>
    <row r="97" spans="3:5" hidden="1" x14ac:dyDescent="0.2">
      <c r="C97" s="88"/>
      <c r="D97" s="88"/>
      <c r="E97" s="88"/>
    </row>
    <row r="98" spans="3:5" hidden="1" x14ac:dyDescent="0.2">
      <c r="C98" s="88"/>
      <c r="D98" s="88"/>
      <c r="E98" s="88"/>
    </row>
    <row r="99" spans="3:5" hidden="1" x14ac:dyDescent="0.2">
      <c r="C99" s="88"/>
      <c r="D99" s="88"/>
      <c r="E99" s="88"/>
    </row>
    <row r="100" spans="3:5" hidden="1" x14ac:dyDescent="0.2">
      <c r="C100" s="88"/>
      <c r="D100" s="88"/>
      <c r="E100" s="88"/>
    </row>
    <row r="101" spans="3:5" hidden="1" x14ac:dyDescent="0.2">
      <c r="C101" s="88"/>
      <c r="D101" s="88"/>
      <c r="E101" s="88"/>
    </row>
    <row r="102" spans="3:5" hidden="1" x14ac:dyDescent="0.2">
      <c r="C102" s="88"/>
      <c r="D102" s="88"/>
      <c r="E102" s="88"/>
    </row>
    <row r="103" spans="3:5" hidden="1" x14ac:dyDescent="0.2">
      <c r="C103" s="88"/>
      <c r="D103" s="88"/>
      <c r="E103" s="88"/>
    </row>
    <row r="104" spans="3:5" hidden="1" x14ac:dyDescent="0.2">
      <c r="C104" s="88"/>
      <c r="D104" s="88"/>
      <c r="E104" s="88"/>
    </row>
    <row r="105" spans="3:5" hidden="1" x14ac:dyDescent="0.2">
      <c r="C105" s="88"/>
      <c r="D105" s="88"/>
      <c r="E105" s="88"/>
    </row>
    <row r="106" spans="3:5" hidden="1" x14ac:dyDescent="0.2">
      <c r="C106" s="88"/>
      <c r="D106" s="88"/>
      <c r="E106" s="88"/>
    </row>
    <row r="107" spans="3:5" hidden="1" x14ac:dyDescent="0.2">
      <c r="C107" s="88"/>
      <c r="D107" s="88"/>
      <c r="E107" s="88"/>
    </row>
    <row r="108" spans="3:5" hidden="1" x14ac:dyDescent="0.2">
      <c r="C108" s="88"/>
      <c r="D108" s="88"/>
      <c r="E108" s="88"/>
    </row>
    <row r="109" spans="3:5" hidden="1" x14ac:dyDescent="0.2">
      <c r="C109" s="88"/>
      <c r="D109" s="88"/>
      <c r="E109" s="88"/>
    </row>
    <row r="110" spans="3:5" hidden="1" x14ac:dyDescent="0.2">
      <c r="C110" s="88"/>
      <c r="D110" s="88"/>
      <c r="E110" s="88"/>
    </row>
    <row r="111" spans="3:5" hidden="1" x14ac:dyDescent="0.2">
      <c r="C111" s="88"/>
      <c r="D111" s="88"/>
      <c r="E111" s="88"/>
    </row>
    <row r="112" spans="3:5" hidden="1" x14ac:dyDescent="0.2">
      <c r="C112" s="88"/>
      <c r="D112" s="88"/>
      <c r="E112" s="88"/>
    </row>
    <row r="113" spans="3:5" hidden="1" x14ac:dyDescent="0.2">
      <c r="C113" s="88"/>
      <c r="D113" s="88"/>
      <c r="E113" s="88"/>
    </row>
    <row r="114" spans="3:5" hidden="1" x14ac:dyDescent="0.2">
      <c r="C114" s="88"/>
      <c r="D114" s="88"/>
      <c r="E114" s="88"/>
    </row>
    <row r="115" spans="3:5" hidden="1" x14ac:dyDescent="0.2">
      <c r="C115" s="88"/>
      <c r="D115" s="88"/>
      <c r="E115" s="88"/>
    </row>
    <row r="116" spans="3:5" hidden="1" x14ac:dyDescent="0.2">
      <c r="C116" s="88"/>
      <c r="D116" s="88"/>
      <c r="E116" s="88"/>
    </row>
    <row r="117" spans="3:5" hidden="1" x14ac:dyDescent="0.2">
      <c r="C117" s="88"/>
      <c r="D117" s="88"/>
      <c r="E117" s="88"/>
    </row>
    <row r="118" spans="3:5" hidden="1" x14ac:dyDescent="0.2">
      <c r="C118" s="88"/>
      <c r="D118" s="88"/>
      <c r="E118" s="88"/>
    </row>
    <row r="119" spans="3:5" hidden="1" x14ac:dyDescent="0.2">
      <c r="C119" s="88"/>
      <c r="D119" s="88"/>
      <c r="E119" s="88"/>
    </row>
    <row r="120" spans="3:5" hidden="1" x14ac:dyDescent="0.2">
      <c r="C120" s="88"/>
      <c r="D120" s="88"/>
      <c r="E120" s="88"/>
    </row>
    <row r="121" spans="3:5" hidden="1" x14ac:dyDescent="0.2">
      <c r="C121" s="88"/>
      <c r="D121" s="88"/>
      <c r="E121" s="88"/>
    </row>
    <row r="122" spans="3:5" hidden="1" x14ac:dyDescent="0.2">
      <c r="C122" s="88"/>
      <c r="D122" s="88"/>
      <c r="E122" s="88"/>
    </row>
    <row r="123" spans="3:5" hidden="1" x14ac:dyDescent="0.2">
      <c r="C123" s="88"/>
      <c r="D123" s="88"/>
      <c r="E123" s="88"/>
    </row>
    <row r="124" spans="3:5" hidden="1" x14ac:dyDescent="0.2">
      <c r="C124" s="88"/>
      <c r="D124" s="88"/>
      <c r="E124" s="88"/>
    </row>
    <row r="125" spans="3:5" hidden="1" x14ac:dyDescent="0.2">
      <c r="C125" s="88"/>
      <c r="D125" s="88"/>
      <c r="E125" s="88"/>
    </row>
    <row r="126" spans="3:5" hidden="1" x14ac:dyDescent="0.2">
      <c r="C126" s="88"/>
      <c r="D126" s="88"/>
      <c r="E126" s="88"/>
    </row>
    <row r="127" spans="3:5" hidden="1" x14ac:dyDescent="0.2">
      <c r="C127" s="88"/>
      <c r="D127" s="88"/>
      <c r="E127" s="88"/>
    </row>
    <row r="128" spans="3:5" hidden="1" x14ac:dyDescent="0.2">
      <c r="C128" s="88"/>
      <c r="D128" s="88"/>
      <c r="E128" s="88"/>
    </row>
    <row r="129" spans="3:5" hidden="1" x14ac:dyDescent="0.2">
      <c r="C129" s="88"/>
      <c r="D129" s="88"/>
      <c r="E129" s="88"/>
    </row>
    <row r="130" spans="3:5" hidden="1" x14ac:dyDescent="0.2">
      <c r="C130" s="88"/>
      <c r="D130" s="88"/>
      <c r="E130" s="88"/>
    </row>
    <row r="131" spans="3:5" hidden="1" x14ac:dyDescent="0.2">
      <c r="C131" s="88"/>
      <c r="D131" s="88"/>
      <c r="E131" s="88"/>
    </row>
    <row r="132" spans="3:5" hidden="1" x14ac:dyDescent="0.2">
      <c r="C132" s="88"/>
      <c r="D132" s="88"/>
      <c r="E132" s="88"/>
    </row>
    <row r="133" spans="3:5" hidden="1" x14ac:dyDescent="0.2">
      <c r="C133" s="88"/>
      <c r="D133" s="88"/>
      <c r="E133" s="88"/>
    </row>
    <row r="134" spans="3:5" hidden="1" x14ac:dyDescent="0.2">
      <c r="C134" s="88"/>
      <c r="D134" s="88"/>
      <c r="E134" s="88"/>
    </row>
    <row r="135" spans="3:5" hidden="1" x14ac:dyDescent="0.2">
      <c r="C135" s="88"/>
      <c r="D135" s="88"/>
      <c r="E135" s="88"/>
    </row>
    <row r="136" spans="3:5" hidden="1" x14ac:dyDescent="0.2">
      <c r="C136" s="88"/>
      <c r="D136" s="88"/>
      <c r="E136" s="88"/>
    </row>
    <row r="137" spans="3:5" hidden="1" x14ac:dyDescent="0.2">
      <c r="C137" s="88"/>
      <c r="D137" s="88"/>
      <c r="E137" s="88"/>
    </row>
    <row r="138" spans="3:5" hidden="1" x14ac:dyDescent="0.2">
      <c r="C138" s="88"/>
      <c r="D138" s="88"/>
      <c r="E138" s="88"/>
    </row>
    <row r="139" spans="3:5" hidden="1" x14ac:dyDescent="0.2">
      <c r="C139" s="88"/>
      <c r="D139" s="88"/>
      <c r="E139" s="88"/>
    </row>
    <row r="140" spans="3:5" hidden="1" x14ac:dyDescent="0.2">
      <c r="C140" s="88"/>
      <c r="D140" s="88"/>
      <c r="E140" s="88"/>
    </row>
    <row r="141" spans="3:5" hidden="1" x14ac:dyDescent="0.2">
      <c r="C141" s="88"/>
      <c r="D141" s="88"/>
      <c r="E141" s="88"/>
    </row>
    <row r="142" spans="3:5" hidden="1" x14ac:dyDescent="0.2">
      <c r="C142" s="88"/>
      <c r="D142" s="88"/>
      <c r="E142" s="88"/>
    </row>
    <row r="143" spans="3:5" hidden="1" x14ac:dyDescent="0.2">
      <c r="C143" s="88"/>
      <c r="D143" s="88"/>
      <c r="E143" s="88"/>
    </row>
    <row r="144" spans="3:5" hidden="1" x14ac:dyDescent="0.2">
      <c r="C144" s="88"/>
      <c r="D144" s="88"/>
      <c r="E144" s="88"/>
    </row>
    <row r="145" spans="3:5" hidden="1" x14ac:dyDescent="0.2">
      <c r="C145" s="88"/>
      <c r="D145" s="88"/>
      <c r="E145" s="88"/>
    </row>
    <row r="146" spans="3:5" hidden="1" x14ac:dyDescent="0.2">
      <c r="C146" s="88"/>
      <c r="D146" s="88"/>
      <c r="E146" s="88"/>
    </row>
    <row r="147" spans="3:5" hidden="1" x14ac:dyDescent="0.2">
      <c r="C147" s="88"/>
      <c r="D147" s="88"/>
      <c r="E147" s="88"/>
    </row>
    <row r="148" spans="3:5" hidden="1" x14ac:dyDescent="0.2">
      <c r="C148" s="88"/>
      <c r="D148" s="88"/>
      <c r="E148" s="88"/>
    </row>
    <row r="149" spans="3:5" hidden="1" x14ac:dyDescent="0.2">
      <c r="C149" s="88"/>
      <c r="D149" s="88"/>
      <c r="E149" s="88"/>
    </row>
    <row r="150" spans="3:5" hidden="1" x14ac:dyDescent="0.2">
      <c r="C150" s="88"/>
      <c r="D150" s="88"/>
      <c r="E150" s="88"/>
    </row>
    <row r="151" spans="3:5" hidden="1" x14ac:dyDescent="0.2">
      <c r="C151" s="88"/>
      <c r="D151" s="88"/>
      <c r="E151" s="88"/>
    </row>
    <row r="152" spans="3:5" hidden="1" x14ac:dyDescent="0.2">
      <c r="C152" s="88"/>
      <c r="D152" s="88"/>
      <c r="E152" s="88"/>
    </row>
    <row r="153" spans="3:5" hidden="1" x14ac:dyDescent="0.2">
      <c r="C153" s="88"/>
      <c r="D153" s="88"/>
      <c r="E153" s="88"/>
    </row>
    <row r="154" spans="3:5" hidden="1" x14ac:dyDescent="0.2">
      <c r="C154" s="88"/>
      <c r="D154" s="88"/>
      <c r="E154" s="88"/>
    </row>
    <row r="155" spans="3:5" hidden="1" x14ac:dyDescent="0.2">
      <c r="C155" s="88"/>
      <c r="D155" s="88"/>
      <c r="E155" s="88"/>
    </row>
    <row r="156" spans="3:5" hidden="1" x14ac:dyDescent="0.2">
      <c r="C156" s="88"/>
      <c r="D156" s="88"/>
      <c r="E156" s="88"/>
    </row>
    <row r="157" spans="3:5" hidden="1" x14ac:dyDescent="0.2">
      <c r="C157" s="88"/>
      <c r="D157" s="88"/>
      <c r="E157" s="88"/>
    </row>
    <row r="158" spans="3:5" hidden="1" x14ac:dyDescent="0.2">
      <c r="C158" s="88"/>
      <c r="D158" s="88"/>
      <c r="E158" s="88"/>
    </row>
    <row r="159" spans="3:5" hidden="1" x14ac:dyDescent="0.2">
      <c r="C159" s="88"/>
      <c r="D159" s="88"/>
      <c r="E159" s="88"/>
    </row>
    <row r="160" spans="3:5" hidden="1" x14ac:dyDescent="0.2">
      <c r="C160" s="88"/>
      <c r="D160" s="88"/>
      <c r="E160" s="88"/>
    </row>
    <row r="161" spans="3:5" hidden="1" x14ac:dyDescent="0.2">
      <c r="C161" s="88"/>
      <c r="D161" s="88"/>
      <c r="E161" s="88"/>
    </row>
    <row r="162" spans="3:5" hidden="1" x14ac:dyDescent="0.2">
      <c r="C162" s="88"/>
      <c r="D162" s="88"/>
      <c r="E162" s="88"/>
    </row>
    <row r="163" spans="3:5" hidden="1" x14ac:dyDescent="0.2">
      <c r="C163" s="88"/>
      <c r="D163" s="88"/>
      <c r="E163" s="88"/>
    </row>
    <row r="164" spans="3:5" hidden="1" x14ac:dyDescent="0.2">
      <c r="C164" s="88"/>
      <c r="D164" s="88"/>
      <c r="E164" s="88"/>
    </row>
    <row r="165" spans="3:5" hidden="1" x14ac:dyDescent="0.2">
      <c r="C165" s="88"/>
      <c r="D165" s="88"/>
      <c r="E165" s="88"/>
    </row>
    <row r="166" spans="3:5" hidden="1" x14ac:dyDescent="0.2">
      <c r="C166" s="88"/>
      <c r="D166" s="88"/>
      <c r="E166" s="88"/>
    </row>
    <row r="167" spans="3:5" hidden="1" x14ac:dyDescent="0.2">
      <c r="C167" s="88"/>
      <c r="D167" s="88"/>
      <c r="E167" s="88"/>
    </row>
    <row r="168" spans="3:5" hidden="1" x14ac:dyDescent="0.2">
      <c r="C168" s="88"/>
      <c r="D168" s="88"/>
      <c r="E168" s="88"/>
    </row>
    <row r="169" spans="3:5" hidden="1" x14ac:dyDescent="0.2">
      <c r="C169" s="88"/>
      <c r="D169" s="88"/>
      <c r="E169" s="88"/>
    </row>
    <row r="170" spans="3:5" hidden="1" x14ac:dyDescent="0.2">
      <c r="C170" s="88"/>
      <c r="D170" s="88"/>
      <c r="E170" s="88"/>
    </row>
    <row r="171" spans="3:5" hidden="1" x14ac:dyDescent="0.2">
      <c r="C171" s="88"/>
      <c r="D171" s="88"/>
      <c r="E171" s="88"/>
    </row>
    <row r="172" spans="3:5" hidden="1" x14ac:dyDescent="0.2">
      <c r="C172" s="88"/>
      <c r="D172" s="88"/>
      <c r="E172" s="88"/>
    </row>
    <row r="173" spans="3:5" hidden="1" x14ac:dyDescent="0.2">
      <c r="C173" s="88"/>
      <c r="D173" s="88"/>
      <c r="E173" s="88"/>
    </row>
    <row r="174" spans="3:5" hidden="1" x14ac:dyDescent="0.2">
      <c r="C174" s="88"/>
      <c r="D174" s="88"/>
      <c r="E174" s="88"/>
    </row>
    <row r="175" spans="3:5" hidden="1" x14ac:dyDescent="0.2">
      <c r="C175" s="88"/>
      <c r="D175" s="88"/>
      <c r="E175" s="88"/>
    </row>
    <row r="176" spans="3:5" hidden="1" x14ac:dyDescent="0.2">
      <c r="C176" s="88"/>
      <c r="D176" s="88"/>
      <c r="E176" s="88"/>
    </row>
    <row r="177" spans="3:5" hidden="1" x14ac:dyDescent="0.2">
      <c r="C177" s="88"/>
      <c r="D177" s="88"/>
      <c r="E177" s="88"/>
    </row>
    <row r="178" spans="3:5" hidden="1" x14ac:dyDescent="0.2">
      <c r="C178" s="88"/>
      <c r="D178" s="88"/>
      <c r="E178" s="88"/>
    </row>
    <row r="179" spans="3:5" hidden="1" x14ac:dyDescent="0.2">
      <c r="C179" s="88"/>
      <c r="D179" s="88"/>
      <c r="E179" s="88"/>
    </row>
    <row r="180" spans="3:5" hidden="1" x14ac:dyDescent="0.2">
      <c r="C180" s="88"/>
      <c r="D180" s="88"/>
      <c r="E180" s="88"/>
    </row>
    <row r="181" spans="3:5" hidden="1" x14ac:dyDescent="0.2">
      <c r="C181" s="88"/>
      <c r="D181" s="88"/>
      <c r="E181" s="88"/>
    </row>
    <row r="182" spans="3:5" hidden="1" x14ac:dyDescent="0.2">
      <c r="C182" s="88"/>
      <c r="D182" s="88"/>
      <c r="E182" s="88"/>
    </row>
    <row r="183" spans="3:5" hidden="1" x14ac:dyDescent="0.2">
      <c r="C183" s="88"/>
      <c r="D183" s="88"/>
      <c r="E183" s="88"/>
    </row>
    <row r="184" spans="3:5" hidden="1" x14ac:dyDescent="0.2">
      <c r="C184" s="88"/>
      <c r="D184" s="88"/>
      <c r="E184" s="88"/>
    </row>
    <row r="185" spans="3:5" hidden="1" x14ac:dyDescent="0.2">
      <c r="C185" s="88"/>
      <c r="D185" s="88"/>
      <c r="E185" s="88"/>
    </row>
    <row r="186" spans="3:5" hidden="1" x14ac:dyDescent="0.2">
      <c r="E186" s="88"/>
    </row>
    <row r="187" spans="3:5" hidden="1" x14ac:dyDescent="0.2">
      <c r="E187" s="88"/>
    </row>
    <row r="188" spans="3:5" hidden="1" x14ac:dyDescent="0.2"/>
    <row r="189" spans="3:5" hidden="1" x14ac:dyDescent="0.2"/>
    <row r="190" spans="3:5" hidden="1" x14ac:dyDescent="0.2"/>
    <row r="191" spans="3:5" hidden="1" x14ac:dyDescent="0.2"/>
    <row r="192" spans="3:5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spans="1:3" hidden="1" x14ac:dyDescent="0.2"/>
    <row r="290" spans="1:3" hidden="1" x14ac:dyDescent="0.2"/>
    <row r="291" spans="1:3" hidden="1" x14ac:dyDescent="0.2"/>
    <row r="292" spans="1:3" hidden="1" x14ac:dyDescent="0.2"/>
    <row r="293" spans="1:3" hidden="1" x14ac:dyDescent="0.2"/>
    <row r="294" spans="1:3" hidden="1" x14ac:dyDescent="0.2"/>
    <row r="295" spans="1:3" hidden="1" x14ac:dyDescent="0.2"/>
    <row r="296" spans="1:3" hidden="1" x14ac:dyDescent="0.2"/>
    <row r="297" spans="1:3" hidden="1" x14ac:dyDescent="0.2"/>
    <row r="298" spans="1:3" hidden="1" x14ac:dyDescent="0.2"/>
    <row r="299" spans="1:3" x14ac:dyDescent="0.2">
      <c r="C299" s="318" t="s">
        <v>263</v>
      </c>
    </row>
    <row r="300" spans="1:3" x14ac:dyDescent="0.2">
      <c r="A300" s="424">
        <v>1</v>
      </c>
      <c r="B300" s="124" t="str">
        <f t="shared" ref="B300:B308" si="6">IFERROR(INDEX(H$33:H$75,MATCH(A300&amp;". koht",H$34:H$75,0)),"")</f>
        <v>Jaan Sepp, Oskar Sepp</v>
      </c>
      <c r="C300" s="188">
        <v>9</v>
      </c>
    </row>
    <row r="301" spans="1:3" x14ac:dyDescent="0.2">
      <c r="A301" s="424">
        <v>2</v>
      </c>
      <c r="B301" s="615" t="str">
        <f t="shared" si="6"/>
        <v>Kenneth Muusikus, Peep Peenema</v>
      </c>
      <c r="C301" s="88">
        <f>C300-1</f>
        <v>8</v>
      </c>
    </row>
    <row r="302" spans="1:3" x14ac:dyDescent="0.2">
      <c r="A302" s="424">
        <v>3</v>
      </c>
      <c r="B302" s="616" t="str">
        <f t="shared" si="6"/>
        <v>Henri Mitt, Taavi Press</v>
      </c>
      <c r="C302" s="88">
        <f t="shared" ref="C302:C308" si="7">C301-1</f>
        <v>7</v>
      </c>
    </row>
    <row r="303" spans="1:3" x14ac:dyDescent="0.2">
      <c r="A303" s="424">
        <v>4</v>
      </c>
      <c r="B303" s="164" t="str">
        <f t="shared" si="6"/>
        <v>Andres Veski, Svetlana Veski</v>
      </c>
      <c r="C303" s="88">
        <f t="shared" si="7"/>
        <v>6</v>
      </c>
    </row>
    <row r="304" spans="1:3" x14ac:dyDescent="0.2">
      <c r="A304" s="424">
        <v>5</v>
      </c>
      <c r="B304" s="164" t="str">
        <f t="shared" si="6"/>
        <v>Margus Vasser, Vello Vasser</v>
      </c>
      <c r="C304" s="88">
        <f t="shared" si="7"/>
        <v>5</v>
      </c>
    </row>
    <row r="305" spans="1:3" x14ac:dyDescent="0.2">
      <c r="A305" s="424">
        <v>6</v>
      </c>
      <c r="B305" s="164" t="str">
        <f t="shared" si="6"/>
        <v>Einar Juhkam, Enn Tokman</v>
      </c>
      <c r="C305" s="88">
        <f t="shared" si="7"/>
        <v>4</v>
      </c>
    </row>
    <row r="306" spans="1:3" x14ac:dyDescent="0.2">
      <c r="A306" s="424">
        <v>7</v>
      </c>
      <c r="B306" s="164" t="str">
        <f t="shared" si="6"/>
        <v>Andres Viisitam, Tõnu Piik</v>
      </c>
      <c r="C306" s="88">
        <f t="shared" si="7"/>
        <v>3</v>
      </c>
    </row>
    <row r="307" spans="1:3" x14ac:dyDescent="0.2">
      <c r="A307" s="424">
        <v>8</v>
      </c>
      <c r="B307" s="164" t="str">
        <f t="shared" si="6"/>
        <v>Klavdia Piik, Karla Purgats / Johannes Neiland</v>
      </c>
      <c r="C307" s="88">
        <f>C306-1</f>
        <v>2</v>
      </c>
    </row>
    <row r="308" spans="1:3" x14ac:dyDescent="0.2">
      <c r="A308" s="424">
        <v>9</v>
      </c>
      <c r="B308" s="164" t="str">
        <f t="shared" si="6"/>
        <v>Jaan Saar, Tarmo Bombe / Illar Tõnurist</v>
      </c>
      <c r="C308" s="88">
        <f t="shared" si="7"/>
        <v>1</v>
      </c>
    </row>
  </sheetData>
  <conditionalFormatting sqref="A26:A40">
    <cfRule type="cellIs" dxfId="1456" priority="31" operator="equal">
      <formula>"-"</formula>
    </cfRule>
    <cfRule type="duplicateValues" dxfId="1455" priority="57"/>
  </conditionalFormatting>
  <conditionalFormatting sqref="C7:E22">
    <cfRule type="cellIs" dxfId="1454" priority="29" operator="equal">
      <formula>13</formula>
    </cfRule>
  </conditionalFormatting>
  <conditionalFormatting sqref="E47 E49 E51 E53 G48 G52 G55 G57">
    <cfRule type="containsBlanks" dxfId="1453" priority="15">
      <formula>LEN(TRIM(E47))=0</formula>
    </cfRule>
  </conditionalFormatting>
  <conditionalFormatting sqref="C26 C28">
    <cfRule type="aboveAverage" dxfId="1452" priority="28"/>
  </conditionalFormatting>
  <conditionalFormatting sqref="C30 C32">
    <cfRule type="aboveAverage" dxfId="1451" priority="27"/>
  </conditionalFormatting>
  <conditionalFormatting sqref="E27 E31">
    <cfRule type="aboveAverage" dxfId="1450" priority="26"/>
  </conditionalFormatting>
  <conditionalFormatting sqref="C34 C36">
    <cfRule type="aboveAverage" dxfId="1449" priority="25"/>
  </conditionalFormatting>
  <conditionalFormatting sqref="C38 C40">
    <cfRule type="aboveAverage" dxfId="1448" priority="24"/>
  </conditionalFormatting>
  <conditionalFormatting sqref="E35 E39">
    <cfRule type="aboveAverage" dxfId="1447" priority="23"/>
  </conditionalFormatting>
  <conditionalFormatting sqref="G29 G37">
    <cfRule type="aboveAverage" dxfId="1446" priority="22"/>
  </conditionalFormatting>
  <conditionalFormatting sqref="G41 G43">
    <cfRule type="aboveAverage" dxfId="1445" priority="21"/>
  </conditionalFormatting>
  <conditionalFormatting sqref="C26 C28 C30 C32 C34 C36 C38 C40 E27 E31 E35 E39 G29 G37 G41 G43">
    <cfRule type="containsBlanks" dxfId="1444" priority="20">
      <formula>LEN(TRIM(C26))=0</formula>
    </cfRule>
  </conditionalFormatting>
  <conditionalFormatting sqref="E47 E49">
    <cfRule type="aboveAverage" dxfId="1443" priority="19"/>
  </conditionalFormatting>
  <conditionalFormatting sqref="E51 E53">
    <cfRule type="aboveAverage" dxfId="1442" priority="18"/>
  </conditionalFormatting>
  <conditionalFormatting sqref="G48 G52">
    <cfRule type="aboveAverage" dxfId="1441" priority="17"/>
  </conditionalFormatting>
  <conditionalFormatting sqref="G55 G57">
    <cfRule type="aboveAverage" dxfId="1440" priority="16"/>
  </conditionalFormatting>
  <conditionalFormatting sqref="N13:N16 R13:R16 T13:T16 T19:T22 R19:R22 N19:N22 T7:T10 R7:R10 N7:N10">
    <cfRule type="expression" dxfId="1439" priority="9">
      <formula>AND(O7="",COUNTIF(N7,"*,*")=0)</formula>
    </cfRule>
  </conditionalFormatting>
  <conditionalFormatting sqref="P13:P16 P19:P22 P7:P10">
    <cfRule type="expression" dxfId="1438" priority="5">
      <formula>AND(Q7="",FIND(",",P7))</formula>
    </cfRule>
    <cfRule type="expression" dxfId="1437" priority="6">
      <formula>AND(Q7="",COUNTIF(P7,"*,*")=0)</formula>
    </cfRule>
  </conditionalFormatting>
  <conditionalFormatting sqref="B300:B302">
    <cfRule type="containsBlanks" dxfId="1436" priority="1">
      <formula>LEN(TRIM(B300))=0</formula>
    </cfRule>
    <cfRule type="duplicateValues" dxfId="1435" priority="2"/>
  </conditionalFormatting>
  <pageMargins left="0.78740157480314965" right="0.39370078740157483" top="0.78740157480314965" bottom="0.31496062992125984" header="0.59055118110236227" footer="0"/>
  <pageSetup paperSize="9" fitToHeight="0" orientation="landscape" horizontalDpi="1200" verticalDpi="1200" r:id="rId1"/>
  <headerFooter>
    <oddHeader>&amp;R&amp;"Arial,Regular"&amp;9Page &amp;P of &amp;N</oddHeader>
  </headerFooter>
  <rowBreaks count="2" manualBreakCount="2">
    <brk id="22" max="16383" man="1"/>
    <brk id="60" max="16383" man="1"/>
  </rowBreaks>
  <ignoredErrors>
    <ignoredError sqref="H19:H21" numberStoredAsText="1"/>
  </ignoredErrors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CFFCC"/>
    <pageSetUpPr fitToPage="1"/>
  </sheetPr>
  <dimension ref="A1:Z313"/>
  <sheetViews>
    <sheetView showGridLines="0" showRowColHeaders="0" zoomScaleNormal="100" workbookViewId="0">
      <pane ySplit="2" topLeftCell="A3" activePane="bottomLeft" state="frozen"/>
      <selection activeCell="G1" sqref="G1"/>
      <selection pane="bottomLeft" activeCell="I1" sqref="I1"/>
    </sheetView>
  </sheetViews>
  <sheetFormatPr defaultRowHeight="12.75" x14ac:dyDescent="0.2"/>
  <cols>
    <col min="1" max="1" width="5.5703125" style="139" customWidth="1"/>
    <col min="2" max="2" width="31.7109375" style="139" bestFit="1" customWidth="1"/>
    <col min="3" max="9" width="8.28515625" style="139" customWidth="1"/>
    <col min="10" max="10" width="4.5703125" style="139" hidden="1" customWidth="1"/>
    <col min="11" max="11" width="3.5703125" style="139" hidden="1" customWidth="1"/>
    <col min="12" max="12" width="8.5703125" style="139" hidden="1" customWidth="1"/>
    <col min="13" max="13" width="4.28515625" style="139" customWidth="1"/>
    <col min="14" max="14" width="5.5703125" style="139" customWidth="1"/>
    <col min="15" max="15" width="9.140625" style="139"/>
    <col min="16" max="16" width="7.7109375" style="139" hidden="1" customWidth="1"/>
    <col min="17" max="17" width="17.140625" style="139" hidden="1" customWidth="1"/>
    <col min="18" max="18" width="6" style="139" hidden="1" customWidth="1"/>
    <col min="19" max="19" width="32.7109375" style="139" hidden="1" customWidth="1"/>
    <col min="20" max="20" width="6" style="139" hidden="1" customWidth="1"/>
    <col min="21" max="21" width="17.28515625" style="139" hidden="1" customWidth="1"/>
    <col min="22" max="22" width="6" style="139" hidden="1" customWidth="1"/>
    <col min="23" max="23" width="13.85546875" style="139" hidden="1" customWidth="1"/>
    <col min="24" max="24" width="6" style="139" hidden="1" customWidth="1"/>
    <col min="25" max="16384" width="9.140625" style="139"/>
  </cols>
  <sheetData>
    <row r="1" spans="1:25" x14ac:dyDescent="0.2">
      <c r="A1" s="86" t="str">
        <f>UPPER((Kalend!E26)&amp;" - "&amp;(Kalend!C26)&amp;" - "&amp;(Kalend!D26))</f>
        <v>V8 - VOKA 1. SISE-KV 8. ETAPP - DUO</v>
      </c>
      <c r="E1" s="51" t="str">
        <f>HYPERLINK("#'Kalend'!I1","Kalender")</f>
        <v>Kalender</v>
      </c>
      <c r="G1" s="51" t="str">
        <f>HYPERLINK("#'V'!AE1","Reiting")</f>
        <v>Reiting</v>
      </c>
      <c r="H1" s="88"/>
      <c r="J1" s="502" t="s">
        <v>380</v>
      </c>
      <c r="K1" s="504"/>
      <c r="L1" s="504"/>
      <c r="P1" s="502" t="s">
        <v>380</v>
      </c>
      <c r="Q1" s="504"/>
      <c r="R1" s="504"/>
      <c r="S1" s="503"/>
      <c r="T1" s="504"/>
      <c r="U1" s="504"/>
      <c r="V1" s="504"/>
      <c r="W1" s="504"/>
      <c r="X1" s="504"/>
    </row>
    <row r="2" spans="1:25" x14ac:dyDescent="0.2">
      <c r="A2" s="186" t="str">
        <f>"Toimumisaeg: "&amp;(Kalend!A26)&amp;" kell "&amp;(Kalend!B26)</f>
        <v>Toimumisaeg: L, 27.01.2018 kell 11:00</v>
      </c>
      <c r="Q2" s="314"/>
      <c r="S2" s="314"/>
    </row>
    <row r="3" spans="1:25" x14ac:dyDescent="0.2">
      <c r="A3" s="186" t="str">
        <f>"Toimumiskoht: "&amp;(Kalend!F26)</f>
        <v>Toimumiskoht: Voka petangihall</v>
      </c>
      <c r="Q3" s="505" t="s">
        <v>381</v>
      </c>
      <c r="S3" s="314"/>
      <c r="U3" s="261"/>
    </row>
    <row r="4" spans="1:25" x14ac:dyDescent="0.2">
      <c r="A4" s="186" t="str">
        <f>"Korraldaja: "&amp;(Kalend!G26)</f>
        <v>Korraldaja: Johannes Neiland</v>
      </c>
      <c r="P4" s="506" t="s">
        <v>36</v>
      </c>
      <c r="Q4" s="507"/>
      <c r="R4" s="508"/>
      <c r="S4" s="509"/>
      <c r="T4" s="508"/>
      <c r="U4" s="508"/>
      <c r="V4" s="508"/>
      <c r="W4" s="508"/>
      <c r="X4" s="508"/>
    </row>
    <row r="5" spans="1:25" x14ac:dyDescent="0.2">
      <c r="P5" s="506" t="s">
        <v>382</v>
      </c>
      <c r="Q5" s="510" t="s">
        <v>383</v>
      </c>
      <c r="R5" s="510"/>
      <c r="S5" s="511" t="s">
        <v>384</v>
      </c>
      <c r="T5" s="510"/>
      <c r="U5" s="510" t="s">
        <v>385</v>
      </c>
      <c r="V5" s="510"/>
      <c r="W5" s="510" t="s">
        <v>386</v>
      </c>
      <c r="X5" s="512"/>
    </row>
    <row r="6" spans="1:25" s="188" customFormat="1" x14ac:dyDescent="0.2">
      <c r="A6" s="126" t="s">
        <v>66</v>
      </c>
      <c r="B6" s="126"/>
      <c r="C6" s="91">
        <v>1</v>
      </c>
      <c r="D6" s="91">
        <v>2</v>
      </c>
      <c r="E6" s="91">
        <v>3</v>
      </c>
      <c r="F6" s="91"/>
      <c r="G6" s="91"/>
      <c r="H6" s="91" t="s">
        <v>73</v>
      </c>
      <c r="I6" s="91" t="s">
        <v>21</v>
      </c>
      <c r="J6" s="577" t="s">
        <v>273</v>
      </c>
      <c r="K6" s="578" t="s">
        <v>430</v>
      </c>
      <c r="L6" s="188" t="b">
        <f>OR(AND(COUNTA(B7:B11)=3,COUNTA(C7:G11)=6),AND(COUNTA(B7:B11)=4,COUNTA(C7:G11)=12),AND(COUNTA(B7:B11)=5,COUNTA(C7:G11)=20))</f>
        <v>1</v>
      </c>
      <c r="P6" s="506" t="s">
        <v>387</v>
      </c>
      <c r="Q6" s="507"/>
      <c r="R6" s="508"/>
      <c r="S6" s="507"/>
      <c r="T6" s="508"/>
      <c r="U6" s="513"/>
      <c r="V6" s="513"/>
      <c r="W6" s="513"/>
      <c r="X6" s="513"/>
    </row>
    <row r="7" spans="1:25" s="188" customFormat="1" x14ac:dyDescent="0.2">
      <c r="A7" s="126">
        <v>1</v>
      </c>
      <c r="B7" s="581" t="s">
        <v>116</v>
      </c>
      <c r="C7" s="127"/>
      <c r="D7" s="316">
        <v>10</v>
      </c>
      <c r="E7" s="316">
        <v>13</v>
      </c>
      <c r="F7" s="93"/>
      <c r="G7" s="93"/>
      <c r="H7" s="602" t="str">
        <f>(IF(D7-C8&gt;0,1)+IF(E7-C9&gt;0,1)+IF(F7-C10&gt;0,1)+IF(G7-C11&gt;0,1))&amp;"-"&amp;(IF(D7-C8&lt;0,1)+IF(E7-C9&lt;0,1)+IF(F7-C10&lt;0,1)+IF(G7-C11&lt;0,1))</f>
        <v>1-1</v>
      </c>
      <c r="I7" s="93" t="str">
        <f>IF(AND(B7&lt;&gt;"",L$6=TRUE),A$6&amp;RANK(L7,L$7:L$11,0),"")</f>
        <v>A1</v>
      </c>
      <c r="J7" s="584">
        <f>VALUE(LEFT(H7,1))</f>
        <v>1</v>
      </c>
      <c r="K7" s="584">
        <f>IF(AND(J7=1,J8=1),D7-C8)+IF(AND(J7=1,J9=1),E7-C9)+IF(AND(J7=1,J10=1),F7-C10)+IF(AND(J7=1,J11=1),G7-C11)+IF(AND(J7=2,J8=2),D7-C8)+IF(AND(J7=2,J9=2),E7-C9)+IF(AND(J7=2,J10=2),F7-C10)+IF(AND(J7=2,J11=2),G7-C11)+IF(AND(J7=3,J8=3),D7-C8)+IF(AND(J7=3,J9=3),E7-C9)+IF(AND(J7=3,J10=3),F7-C10)+IF(AND(J7=3,J11=3),G7-C11)</f>
        <v>4</v>
      </c>
      <c r="L7" s="584">
        <f>1000*J7+K7</f>
        <v>1004</v>
      </c>
      <c r="M7" s="1186" t="s">
        <v>405</v>
      </c>
      <c r="N7" s="567" t="s">
        <v>461</v>
      </c>
      <c r="O7" s="319"/>
      <c r="P7" s="512">
        <f>SUM(R7:X7)</f>
        <v>139</v>
      </c>
      <c r="Q7" s="514" t="str">
        <f t="shared" ref="Q7:Q14" si="0">IFERROR(LEFT($B7,(FIND(",",$B7,1)-1)),"")</f>
        <v>Jaan Sepp</v>
      </c>
      <c r="R7" s="515">
        <f>IFERROR(INDEX(V!$O:$O,MATCH(Q7,V!$J:$J,0)),"")</f>
        <v>82.5</v>
      </c>
      <c r="S7" s="514" t="str">
        <f t="shared" ref="S7:S14" si="1">IFERROR(MID($B7,FIND(", ",$B7)+2,256),"")</f>
        <v>Oskar Sepp</v>
      </c>
      <c r="T7" s="515">
        <f>IFERROR(INDEX(V!$O:$O,MATCH(S7,V!$J:$J,0)),"")</f>
        <v>56.5</v>
      </c>
      <c r="U7" s="516" t="str">
        <f t="shared" ref="U7:U14" si="2">IFERROR(MID($B7,FIND("^",SUBSTITUTE($B7,", ","^",1))+2,FIND("^",SUBSTITUTE($B7,", ","^",2))-FIND("^",SUBSTITUTE($B7,", ","^",1))-2),"")</f>
        <v/>
      </c>
      <c r="V7" s="515" t="str">
        <f>IFERROR(INDEX(V!$O:$O,MATCH(U7,V!$J:$J,0)),"")</f>
        <v/>
      </c>
      <c r="W7" s="516" t="str">
        <f t="shared" ref="W7:W14" si="3">IFERROR(MID($B7,FIND(", ",$B7,FIND(", ",$B7,FIND(", ",$B7))+1)+2,30000),"")</f>
        <v/>
      </c>
      <c r="X7" s="515" t="str">
        <f>IFERROR(INDEX(V!$O:$O,MATCH(W7,V!$J:$J,0)),"")</f>
        <v/>
      </c>
    </row>
    <row r="8" spans="1:25" s="188" customFormat="1" x14ac:dyDescent="0.2">
      <c r="A8" s="126">
        <v>2</v>
      </c>
      <c r="B8" s="581" t="s">
        <v>170</v>
      </c>
      <c r="C8" s="316">
        <v>13</v>
      </c>
      <c r="D8" s="127"/>
      <c r="E8" s="316">
        <v>10</v>
      </c>
      <c r="F8" s="93"/>
      <c r="G8" s="93"/>
      <c r="H8" s="602" t="str">
        <f>(IF(C8-D7&gt;0,1)+IF(E8-D9&gt;0,1)+IF(F8-D10&gt;0,1)+IF(G8-D11&gt;0,1))&amp;"-"&amp;(IF(C8-D7&lt;0,1)+IF(E8-D9&lt;0,1)+IF(F8-D10&lt;0,1)+IF(G8-D11&lt;0,1))</f>
        <v>1-1</v>
      </c>
      <c r="I8" s="93" t="str">
        <f>IF(AND(B8&lt;&gt;"",L$6=TRUE),A$6&amp;RANK(L8,L$7:L$11,0),"")</f>
        <v>A2</v>
      </c>
      <c r="J8" s="584">
        <f>VALUE(LEFT(H8,1))</f>
        <v>1</v>
      </c>
      <c r="K8" s="584">
        <f>IF(AND(J8=1,J7=1),C8-D7)+IF(AND(J8=1,J9=1),E8-D9)+IF(AND(J8=1,J10=1),F8-D10)+IF(AND(J8=1,J11=1),G8-D11)+IF(AND(J8=2,J7=2),C8-D7)+IF(AND(J8=2,J9=2),E8-D9)+IF(AND(J8=2,J10=2),F8-D10)+IF(AND(J8=2,J11=2),G8-D11)+IF(AND(J8=3,J7=3),C8-D7)+IF(AND(J8=3,J9=3),E8-D9)+IF(AND(J8=3,J10=3),F8-D10)+IF(AND(J8=3,J11=3),G8-D11)</f>
        <v>0</v>
      </c>
      <c r="L8" s="584">
        <f>1000*J8+K8</f>
        <v>1000</v>
      </c>
      <c r="M8" s="1186" t="s">
        <v>310</v>
      </c>
      <c r="N8" s="567" t="s">
        <v>467</v>
      </c>
      <c r="O8" s="319"/>
      <c r="P8" s="512">
        <f t="shared" ref="P8:P31" si="4">SUM(R8:X8)</f>
        <v>118</v>
      </c>
      <c r="Q8" s="514" t="str">
        <f t="shared" si="0"/>
        <v>Karla Purgats</v>
      </c>
      <c r="R8" s="515">
        <f>IFERROR(INDEX(V!$O:$O,MATCH(Q8,V!$J:$J,0)),"")</f>
        <v>66</v>
      </c>
      <c r="S8" s="514" t="str">
        <f t="shared" si="1"/>
        <v>Lemmit Toomra</v>
      </c>
      <c r="T8" s="515">
        <f>IFERROR(INDEX(V!$O:$O,MATCH(S8,V!$J:$J,0)),"")</f>
        <v>52</v>
      </c>
      <c r="U8" s="516" t="str">
        <f t="shared" si="2"/>
        <v/>
      </c>
      <c r="V8" s="515" t="str">
        <f>IFERROR(INDEX(V!$O:$O,MATCH(U8,V!$J:$J,0)),"")</f>
        <v/>
      </c>
      <c r="W8" s="516" t="str">
        <f t="shared" si="3"/>
        <v/>
      </c>
      <c r="X8" s="515" t="str">
        <f>IFERROR(INDEX(V!$O:$O,MATCH(W8,V!$J:$J,0)),"")</f>
        <v/>
      </c>
    </row>
    <row r="9" spans="1:25" s="188" customFormat="1" x14ac:dyDescent="0.2">
      <c r="A9" s="126">
        <v>3</v>
      </c>
      <c r="B9" s="581" t="s">
        <v>130</v>
      </c>
      <c r="C9" s="316">
        <v>6</v>
      </c>
      <c r="D9" s="403">
        <v>13</v>
      </c>
      <c r="E9" s="127"/>
      <c r="F9" s="93"/>
      <c r="G9" s="128"/>
      <c r="H9" s="602" t="str">
        <f>(IF(C9-E7&gt;0,1)+IF(D9-E8&gt;0,1)+IF(F9-E10&gt;0,1)+IF(G9-E11&gt;0,1))&amp;"-"&amp;(IF(C9-E7&lt;0,1)+IF(D9-E8&lt;0,1)+IF(F9-E10&lt;0,1)+IF(G9-E11&lt;0,1))</f>
        <v>1-1</v>
      </c>
      <c r="I9" s="93" t="str">
        <f>IF(AND(B9&lt;&gt;"",L$6=TRUE),A$6&amp;RANK(L9,L$7:L$11,0),"")</f>
        <v>A3</v>
      </c>
      <c r="J9" s="584">
        <f>VALUE(LEFT(H9,1))</f>
        <v>1</v>
      </c>
      <c r="K9" s="584">
        <f>IF(AND(J9=1,J7=1),C9-E7)+IF(AND(J9=1,J8=1),D9-E8)+IF(AND(J9=1,J10=1),F9-E10)+IF(AND(J9=1,J11=1),G9-E11)+IF(AND(J9=2,J7=2),C9-E7)+IF(AND(J9=2,J8=2),D9-E8)+IF(AND(J9=2,J10=2),F9-E10)+IF(AND(J9=2,J11=2),G9-E11)+IF(AND(J9=3,J7=3),C9-E7)+IF(AND(J9=3,J8=3),D9-E8)+IF(AND(J9=3,J10=3),F9-E10)+IF(AND(J9=3,J11=3),G9-E11)</f>
        <v>-4</v>
      </c>
      <c r="L9" s="584">
        <f>1000*J9+K9</f>
        <v>996</v>
      </c>
      <c r="M9" s="1186" t="s">
        <v>173</v>
      </c>
      <c r="N9" s="567" t="s">
        <v>304</v>
      </c>
      <c r="O9" s="319"/>
      <c r="P9" s="512">
        <f t="shared" si="4"/>
        <v>73</v>
      </c>
      <c r="Q9" s="514" t="str">
        <f t="shared" si="0"/>
        <v>Enn Tokman</v>
      </c>
      <c r="R9" s="515">
        <f>IFERROR(INDEX(V!$O:$O,MATCH(Q9,V!$J:$J,0)),"")</f>
        <v>41</v>
      </c>
      <c r="S9" s="514" t="str">
        <f t="shared" si="1"/>
        <v>Tarmo Bombe</v>
      </c>
      <c r="T9" s="515">
        <f>IFERROR(INDEX(V!$O:$O,MATCH(S9,V!$J:$J,0)),"")</f>
        <v>32</v>
      </c>
      <c r="U9" s="516" t="str">
        <f t="shared" si="2"/>
        <v/>
      </c>
      <c r="V9" s="515" t="str">
        <f>IFERROR(INDEX(V!$O:$O,MATCH(U9,V!$J:$J,0)),"")</f>
        <v/>
      </c>
      <c r="W9" s="516" t="str">
        <f t="shared" si="3"/>
        <v/>
      </c>
      <c r="X9" s="515" t="str">
        <f>IFERROR(INDEX(V!$O:$O,MATCH(W9,V!$J:$J,0)),"")</f>
        <v/>
      </c>
    </row>
    <row r="10" spans="1:25" s="188" customFormat="1" hidden="1" x14ac:dyDescent="0.2">
      <c r="A10" s="126">
        <v>4</v>
      </c>
      <c r="B10" s="581"/>
      <c r="C10" s="93"/>
      <c r="D10" s="548"/>
      <c r="E10" s="93"/>
      <c r="F10" s="127"/>
      <c r="G10" s="128"/>
      <c r="H10" s="576" t="str">
        <f>(IF(C10-F7&gt;0,1)+IF(D10-F8&gt;0,1)+IF(E10-F9&gt;0,1)+IF(G10-F11&gt;0,1))&amp;"-"&amp;(IF(C10-F7&lt;0,1)+IF(D10-F8&lt;0,1)+IF(E10-F9&lt;0,1)+IF(G10-F11&lt;0,1))</f>
        <v>0-0</v>
      </c>
      <c r="I10" s="93" t="str">
        <f>IF(AND(B10&lt;&gt;"",L$6=TRUE),A$6&amp;RANK(L10,L$7:L$11,0),"")</f>
        <v/>
      </c>
      <c r="J10" s="584">
        <f>VALUE(LEFT(H10,1))</f>
        <v>0</v>
      </c>
      <c r="K10" s="584">
        <f>IF(AND(J10=1,J7=1),C10-F7)+IF(AND(J10=1,J8=1),D10-F8)+IF(AND(J10=1,J9=1),E10-F9)+IF(AND(J10=1,J11=1),G10-F11)+IF(AND(J10=2,J7=2),C10-F7)+IF(AND(J10=2,J8=2),D10-F8)+IF(AND(J10=2,J9=2),E10-F9)+IF(AND(J10=2,J11=2),G10-F11)+IF(AND(J10=3,J7=3),C10-F7)+IF(AND(J10=3,J8=3),D10-F8)+IF(AND(J10=3,J9=3),E10-F9)+IF(AND(J10=3,J11=3),G10-F11)</f>
        <v>0</v>
      </c>
      <c r="L10" s="584">
        <f>1000*J10+K10</f>
        <v>0</v>
      </c>
      <c r="M10" s="569"/>
      <c r="N10" s="310"/>
      <c r="O10" s="319"/>
      <c r="P10" s="512">
        <f t="shared" si="4"/>
        <v>0</v>
      </c>
      <c r="Q10" s="514" t="str">
        <f t="shared" si="0"/>
        <v/>
      </c>
      <c r="R10" s="515" t="str">
        <f>IFERROR(INDEX(V!$O:$O,MATCH(Q10,V!$J:$J,0)),"")</f>
        <v/>
      </c>
      <c r="S10" s="514" t="str">
        <f t="shared" si="1"/>
        <v/>
      </c>
      <c r="T10" s="515" t="str">
        <f>IFERROR(INDEX(V!$O:$O,MATCH(S10,V!$J:$J,0)),"")</f>
        <v/>
      </c>
      <c r="U10" s="516" t="str">
        <f t="shared" si="2"/>
        <v/>
      </c>
      <c r="V10" s="515" t="str">
        <f>IFERROR(INDEX(V!$O:$O,MATCH(U10,V!$J:$J,0)),"")</f>
        <v/>
      </c>
      <c r="W10" s="516" t="str">
        <f t="shared" si="3"/>
        <v/>
      </c>
      <c r="X10" s="515" t="str">
        <f>IFERROR(INDEX(V!$O:$O,MATCH(W10,V!$J:$J,0)),"")</f>
        <v/>
      </c>
    </row>
    <row r="11" spans="1:25" s="188" customFormat="1" hidden="1" x14ac:dyDescent="0.2">
      <c r="A11" s="126">
        <v>5</v>
      </c>
      <c r="B11" s="581"/>
      <c r="C11" s="93"/>
      <c r="D11" s="93"/>
      <c r="E11" s="93"/>
      <c r="F11" s="93"/>
      <c r="G11" s="127"/>
      <c r="H11" s="576" t="str">
        <f>(IF(C11-G7&gt;0,1)+IF(D11-G8&gt;0,1)+IF(E11-G9&gt;0,1)+IF(F11-G10&gt;0,1))&amp;"-"&amp;(IF(C11-G7&lt;0,1)+IF(D11-G8&lt;0,1)+IF(E11-G9&lt;0,1)+IF(F11-G10&lt;0,1))</f>
        <v>0-0</v>
      </c>
      <c r="I11" s="93" t="str">
        <f>IF(AND(B11&lt;&gt;"",L$6=TRUE),A$6&amp;RANK(L11,L$7:L$11,0),"")</f>
        <v/>
      </c>
      <c r="J11" s="584">
        <f>VALUE(LEFT(H11,1))</f>
        <v>0</v>
      </c>
      <c r="K11" s="584">
        <f>IF(AND(J11=1,J7=1),C11-G7)+IF(AND(J11=1,J8=1),D11-G8)+IF(AND(J11=1,J9=1),E11-G9)+IF(AND(J11=1,J10=1),F11-G10)+IF(AND(J11=2,J7=2),C11-G7)+IF(AND(J11=2,J8=2),D11-G8)+IF(AND(J11=2,J9=2),E11-G9)+IF(AND(J11=2,J10=2),F11-G10)+IF(AND(J11=3,J7=3),C11-G7)+IF(AND(J11=3,J8=3),D11-G8)+IF(AND(J11=3,J9=3),E11-G9)+IF(AND(J11=3,J10=3),F11-G10)</f>
        <v>0</v>
      </c>
      <c r="L11" s="584">
        <f>1000*J11+K11</f>
        <v>0</v>
      </c>
      <c r="M11" s="569"/>
      <c r="N11" s="310"/>
      <c r="O11" s="319"/>
      <c r="P11" s="512">
        <f t="shared" ref="P11" si="5">SUM(R11:X11)</f>
        <v>0</v>
      </c>
      <c r="Q11" s="514" t="str">
        <f t="shared" si="0"/>
        <v/>
      </c>
      <c r="R11" s="515" t="str">
        <f>IFERROR(INDEX(V!$O:$O,MATCH(Q11,V!$J:$J,0)),"")</f>
        <v/>
      </c>
      <c r="S11" s="514" t="str">
        <f t="shared" si="1"/>
        <v/>
      </c>
      <c r="T11" s="515" t="str">
        <f>IFERROR(INDEX(V!$O:$O,MATCH(S11,V!$J:$J,0)),"")</f>
        <v/>
      </c>
      <c r="U11" s="516" t="str">
        <f t="shared" si="2"/>
        <v/>
      </c>
      <c r="V11" s="515" t="str">
        <f>IFERROR(INDEX(V!$O:$O,MATCH(U11,V!$J:$J,0)),"")</f>
        <v/>
      </c>
      <c r="W11" s="516" t="str">
        <f t="shared" si="3"/>
        <v/>
      </c>
      <c r="X11" s="515" t="str">
        <f>IFERROR(INDEX(V!$O:$O,MATCH(W11,V!$J:$J,0)),"")</f>
        <v/>
      </c>
    </row>
    <row r="12" spans="1:25" s="188" customFormat="1" x14ac:dyDescent="0.2">
      <c r="A12" s="121"/>
      <c r="B12" s="422"/>
      <c r="C12" s="96"/>
      <c r="D12" s="312"/>
      <c r="E12" s="96"/>
      <c r="F12" s="97"/>
      <c r="H12" s="402"/>
      <c r="I12" s="580"/>
      <c r="J12" s="585"/>
      <c r="K12" s="585"/>
      <c r="L12" s="585"/>
      <c r="M12" s="569"/>
      <c r="N12" s="310"/>
      <c r="O12" s="309"/>
      <c r="P12" s="88"/>
      <c r="Q12" s="514" t="str">
        <f t="shared" si="0"/>
        <v/>
      </c>
      <c r="R12" s="515" t="str">
        <f>IFERROR(INDEX(V!$O:$O,MATCH(Q12,V!$J:$J,0)),"")</f>
        <v/>
      </c>
      <c r="S12" s="514" t="str">
        <f t="shared" si="1"/>
        <v/>
      </c>
      <c r="T12" s="515" t="str">
        <f>IFERROR(INDEX(V!$O:$O,MATCH(S12,V!$J:$J,0)),"")</f>
        <v/>
      </c>
      <c r="U12" s="516" t="str">
        <f t="shared" si="2"/>
        <v/>
      </c>
      <c r="V12" s="515" t="str">
        <f>IFERROR(INDEX(V!$O:$O,MATCH(U12,V!$J:$J,0)),"")</f>
        <v/>
      </c>
      <c r="W12" s="516" t="str">
        <f t="shared" si="3"/>
        <v/>
      </c>
      <c r="X12" s="515" t="str">
        <f>IFERROR(INDEX(V!$O:$O,MATCH(W12,V!$J:$J,0)),"")</f>
        <v/>
      </c>
      <c r="Y12" s="88"/>
    </row>
    <row r="13" spans="1:25" s="186" customFormat="1" x14ac:dyDescent="0.2">
      <c r="A13" s="126" t="s">
        <v>90</v>
      </c>
      <c r="B13" s="126"/>
      <c r="C13" s="91">
        <v>1</v>
      </c>
      <c r="D13" s="91">
        <v>2</v>
      </c>
      <c r="E13" s="91">
        <v>3</v>
      </c>
      <c r="F13" s="91"/>
      <c r="G13" s="91"/>
      <c r="H13" s="438" t="s">
        <v>73</v>
      </c>
      <c r="I13" s="438" t="s">
        <v>21</v>
      </c>
      <c r="J13" s="586" t="s">
        <v>273</v>
      </c>
      <c r="K13" s="587" t="s">
        <v>430</v>
      </c>
      <c r="L13" s="588" t="b">
        <f>OR(AND(COUNTA(B14:B18)=3,COUNTA(C14:G18)=6),AND(COUNTA(B14:B18)=4,COUNTA(C14:G18)=12),AND(COUNTA(B14:B18)=5,COUNTA(C14:G18)=20))</f>
        <v>1</v>
      </c>
      <c r="M13" s="569"/>
      <c r="N13" s="310"/>
      <c r="O13" s="309"/>
      <c r="P13" s="88"/>
      <c r="Q13" s="514" t="str">
        <f t="shared" si="0"/>
        <v/>
      </c>
      <c r="R13" s="515" t="str">
        <f>IFERROR(INDEX(V!$O:$O,MATCH(Q13,V!$J:$J,0)),"")</f>
        <v/>
      </c>
      <c r="S13" s="514" t="str">
        <f t="shared" si="1"/>
        <v/>
      </c>
      <c r="T13" s="515" t="str">
        <f>IFERROR(INDEX(V!$O:$O,MATCH(S13,V!$J:$J,0)),"")</f>
        <v/>
      </c>
      <c r="U13" s="516" t="str">
        <f t="shared" si="2"/>
        <v/>
      </c>
      <c r="V13" s="515" t="str">
        <f>IFERROR(INDEX(V!$O:$O,MATCH(U13,V!$J:$J,0)),"")</f>
        <v/>
      </c>
      <c r="W13" s="516" t="str">
        <f t="shared" si="3"/>
        <v/>
      </c>
      <c r="X13" s="515" t="str">
        <f>IFERROR(INDEX(V!$O:$O,MATCH(W13,V!$J:$J,0)),"")</f>
        <v/>
      </c>
      <c r="Y13" s="88"/>
    </row>
    <row r="14" spans="1:25" s="186" customFormat="1" x14ac:dyDescent="0.2">
      <c r="A14" s="126">
        <v>1</v>
      </c>
      <c r="B14" s="581" t="s">
        <v>260</v>
      </c>
      <c r="C14" s="127"/>
      <c r="D14" s="93">
        <v>7</v>
      </c>
      <c r="E14" s="93">
        <v>13</v>
      </c>
      <c r="F14" s="93"/>
      <c r="G14" s="128"/>
      <c r="H14" s="576" t="str">
        <f>(IF(D14-C15&gt;0,1)+IF(E14-C16&gt;0,1)+IF(F14-C17&gt;0,1)+IF(G14-C18&gt;0,1))&amp;"-"&amp;(IF(D14-C15&lt;0,1)+IF(E14-C16&lt;0,1)+IF(F14-C17&lt;0,1)+IF(G14-C18&lt;0,1))</f>
        <v>1-1</v>
      </c>
      <c r="I14" s="93" t="str">
        <f>IF(AND(B14&lt;&gt;"",L$13=TRUE),A$13&amp;RANK(L14,L$14:L$18,0),"")</f>
        <v>B2</v>
      </c>
      <c r="J14" s="584">
        <f>VALUE(LEFT(H14,1))</f>
        <v>1</v>
      </c>
      <c r="K14" s="584">
        <f>IF(AND(J14=1,J15=1),D14-C15)+IF(AND(J14=1,J16=1),E14-C16)+IF(AND(J14=1,J17=1),F14-C17)+IF(AND(J14=1,J18=1),G14-C18)+IF(AND(J14=2,J15=2),D14-C15)+IF(AND(J14=2,J16=2),E14-C16)+IF(AND(J14=2,J17=2),F14-C17)+IF(AND(J14=2,J18=2),G14-C18)+IF(AND(J14=3,J15=3),D14-C15)+IF(AND(J14=3,J16=3),E14-C16)+IF(AND(J14=3,J17=3),F14-C17)+IF(AND(J14=3,J18=3),G14-C18)</f>
        <v>0</v>
      </c>
      <c r="L14" s="584">
        <f>1000*J14+K14</f>
        <v>1000</v>
      </c>
      <c r="M14" s="574"/>
      <c r="N14" s="575"/>
      <c r="O14" s="567"/>
      <c r="P14" s="512">
        <f t="shared" si="4"/>
        <v>155</v>
      </c>
      <c r="Q14" s="514" t="str">
        <f t="shared" si="0"/>
        <v>Johannes Neiland</v>
      </c>
      <c r="R14" s="515">
        <f>IFERROR(INDEX(V!$O:$O,MATCH(Q14,V!$J:$J,0)),"")</f>
        <v>94</v>
      </c>
      <c r="S14" s="514" t="str">
        <f t="shared" si="1"/>
        <v>Kati Tuzberg</v>
      </c>
      <c r="T14" s="515">
        <f>IFERROR(INDEX(V!$O:$O,MATCH(S14,V!$J:$J,0)),"")</f>
        <v>61</v>
      </c>
      <c r="U14" s="516" t="str">
        <f t="shared" si="2"/>
        <v/>
      </c>
      <c r="V14" s="515" t="str">
        <f>IFERROR(INDEX(V!$O:$O,MATCH(U14,V!$J:$J,0)),"")</f>
        <v/>
      </c>
      <c r="W14" s="516" t="str">
        <f t="shared" si="3"/>
        <v/>
      </c>
      <c r="X14" s="515" t="str">
        <f>IFERROR(INDEX(V!$O:$O,MATCH(W14,V!$J:$J,0)),"")</f>
        <v/>
      </c>
    </row>
    <row r="15" spans="1:25" s="186" customFormat="1" x14ac:dyDescent="0.2">
      <c r="A15" s="126">
        <v>2</v>
      </c>
      <c r="B15" s="581" t="s">
        <v>611</v>
      </c>
      <c r="C15" s="128">
        <v>13</v>
      </c>
      <c r="D15" s="127"/>
      <c r="E15" s="93">
        <v>13</v>
      </c>
      <c r="F15" s="93"/>
      <c r="G15" s="128"/>
      <c r="H15" s="576" t="str">
        <f>(IF(C15-D14&gt;0,1)+IF(E15-D16&gt;0,1)+IF(F15-D17&gt;0,1)+IF(G15-D18&gt;0,1))&amp;"-"&amp;(IF(C15-D14&lt;0,1)+IF(E15-D16&lt;0,1)+IF(F15-D17&lt;0,1)+IF(G15-D18&lt;0,1))</f>
        <v>2-0</v>
      </c>
      <c r="I15" s="93" t="str">
        <f>IF(AND(B15&lt;&gt;"",L$13=TRUE),A$13&amp;RANK(L15,L$14:L$18,0),"")</f>
        <v>B1</v>
      </c>
      <c r="J15" s="584">
        <f>VALUE(LEFT(H15,1))</f>
        <v>2</v>
      </c>
      <c r="K15" s="584">
        <f>IF(AND(J15=1,J14=1),C15-D14)+IF(AND(J15=1,J16=1),E15-D16)+IF(AND(J15=1,J17=1),F15-D17)+IF(AND(J15=1,J18=1),G15-D18)+IF(AND(J15=2,J14=2),C15-D14)+IF(AND(J15=2,J16=2),E15-D16)+IF(AND(J15=2,J17=2),F15-D17)+IF(AND(J15=2,J18=2),G15-D18)+IF(AND(J15=3,J14=3),C15-D14)+IF(AND(J15=3,J16=3),E15-D16)+IF(AND(J15=3,J17=3),F15-D17)+IF(AND(J15=3,J18=3),G15-D18)</f>
        <v>0</v>
      </c>
      <c r="L15" s="584">
        <f>1000*J15+K15</f>
        <v>2000</v>
      </c>
      <c r="M15" s="574"/>
      <c r="N15" s="575"/>
      <c r="O15" s="568"/>
      <c r="P15" s="512">
        <f t="shared" si="4"/>
        <v>134</v>
      </c>
      <c r="Q15" s="514" t="str">
        <f t="shared" ref="Q15:Q32" si="6">IFERROR(LEFT($B15,(FIND(",",$B15,1)-1)),"")</f>
        <v>Kenneth Muusikus</v>
      </c>
      <c r="R15" s="515">
        <f>IFERROR(INDEX(V!$O:$O,MATCH(Q15,V!$J:$J,0)),"")</f>
        <v>80</v>
      </c>
      <c r="S15" s="514" t="str">
        <f t="shared" ref="S15:S32" si="7">IFERROR(MID($B15,FIND(", ",$B15)+2,256),"")</f>
        <v>Peep Peenema</v>
      </c>
      <c r="T15" s="515">
        <f>IFERROR(INDEX(V!$O:$O,MATCH(S15,V!$J:$J,0)),"")</f>
        <v>54</v>
      </c>
      <c r="U15" s="516" t="str">
        <f t="shared" ref="U15:U32" si="8">IFERROR(MID($B15,FIND("^",SUBSTITUTE($B15,", ","^",1))+2,FIND("^",SUBSTITUTE($B15,", ","^",2))-FIND("^",SUBSTITUTE($B15,", ","^",1))-2),"")</f>
        <v/>
      </c>
      <c r="V15" s="515" t="str">
        <f>IFERROR(INDEX(V!$O:$O,MATCH(U15,V!$J:$J,0)),"")</f>
        <v/>
      </c>
      <c r="W15" s="516" t="str">
        <f t="shared" ref="W15:W32" si="9">IFERROR(MID($B15,FIND(", ",$B15,FIND(", ",$B15,FIND(", ",$B15))+1)+2,30000),"")</f>
        <v/>
      </c>
      <c r="X15" s="515" t="str">
        <f>IFERROR(INDEX(V!$O:$O,MATCH(W15,V!$J:$J,0)),"")</f>
        <v/>
      </c>
    </row>
    <row r="16" spans="1:25" s="186" customFormat="1" x14ac:dyDescent="0.2">
      <c r="A16" s="126">
        <v>3</v>
      </c>
      <c r="B16" s="581" t="s">
        <v>392</v>
      </c>
      <c r="C16" s="93">
        <v>11</v>
      </c>
      <c r="D16" s="311">
        <v>6</v>
      </c>
      <c r="E16" s="127"/>
      <c r="F16" s="93"/>
      <c r="G16" s="128"/>
      <c r="H16" s="576" t="str">
        <f>(IF(C16-E14&gt;0,1)+IF(D16-E15&gt;0,1)+IF(F16-E17&gt;0,1)+IF(G16-E18&gt;0,1))&amp;"-"&amp;(IF(C16-E14&lt;0,1)+IF(D16-E15&lt;0,1)+IF(F16-E17&lt;0,1)+IF(G16-E18&lt;0,1))</f>
        <v>0-2</v>
      </c>
      <c r="I16" s="93" t="str">
        <f>IF(AND(B16&lt;&gt;"",L$13=TRUE),A$13&amp;RANK(L16,L$14:L$18,0),"")</f>
        <v>B3</v>
      </c>
      <c r="J16" s="584">
        <f>VALUE(LEFT(H16,1))</f>
        <v>0</v>
      </c>
      <c r="K16" s="584">
        <f>IF(AND(J16=1,J14=1),C16-E14)+IF(AND(J16=1,J15=1),D16-E15)+IF(AND(J16=1,J17=1),F16-E17)+IF(AND(J16=1,J18=1),G16-E18)+IF(AND(J16=2,J14=2),C16-E14)+IF(AND(J16=2,J15=2),D16-E15)+IF(AND(J16=2,J17=2),F16-E17)+IF(AND(J16=2,J18=2),G16-E18)+IF(AND(J16=3,J14=3),C16-E14)+IF(AND(J16=3,J15=3),D16-E15)+IF(AND(J16=3,J17=3),F16-E17)+IF(AND(J16=3,J18=3),G16-E18)</f>
        <v>0</v>
      </c>
      <c r="L16" s="584">
        <f>1000*J16+K16</f>
        <v>0</v>
      </c>
      <c r="M16" s="574"/>
      <c r="N16" s="575"/>
      <c r="O16" s="568"/>
      <c r="P16" s="512">
        <f t="shared" si="4"/>
        <v>94</v>
      </c>
      <c r="Q16" s="514" t="str">
        <f t="shared" si="6"/>
        <v>Einar Juhkam</v>
      </c>
      <c r="R16" s="515">
        <f>IFERROR(INDEX(V!$O:$O,MATCH(Q16,V!$J:$J,0)),"")</f>
        <v>53</v>
      </c>
      <c r="S16" s="514" t="str">
        <f t="shared" si="7"/>
        <v>Illar Tõnurist</v>
      </c>
      <c r="T16" s="515">
        <f>IFERROR(INDEX(V!$O:$O,MATCH(S16,V!$J:$J,0)),"")</f>
        <v>41</v>
      </c>
      <c r="U16" s="516" t="str">
        <f t="shared" si="8"/>
        <v/>
      </c>
      <c r="V16" s="515" t="str">
        <f>IFERROR(INDEX(V!$O:$O,MATCH(U16,V!$J:$J,0)),"")</f>
        <v/>
      </c>
      <c r="W16" s="516" t="str">
        <f t="shared" si="9"/>
        <v/>
      </c>
      <c r="X16" s="515" t="str">
        <f>IFERROR(INDEX(V!$O:$O,MATCH(W16,V!$J:$J,0)),"")</f>
        <v/>
      </c>
    </row>
    <row r="17" spans="1:26" s="186" customFormat="1" hidden="1" x14ac:dyDescent="0.2">
      <c r="A17" s="126">
        <v>4</v>
      </c>
      <c r="B17" s="582"/>
      <c r="C17" s="93"/>
      <c r="D17" s="311"/>
      <c r="E17" s="93"/>
      <c r="F17" s="127"/>
      <c r="G17" s="128"/>
      <c r="H17" s="576" t="str">
        <f>(IF(C17-F14&gt;0,1)+IF(D17-F15&gt;0,1)+IF(E17-F16&gt;0,1)+IF(G17-F18&gt;0,1))&amp;"-"&amp;(IF(C17-F14&lt;0,1)+IF(D17-F15&lt;0,1)+IF(E17-F16&lt;0,1)+IF(G17-F18&lt;0,1))</f>
        <v>0-0</v>
      </c>
      <c r="I17" s="93" t="str">
        <f>IF(AND(B17&lt;&gt;"",L$13=TRUE),A$13&amp;RANK(L17,L$14:L$18,0),"")</f>
        <v/>
      </c>
      <c r="J17" s="584">
        <f>VALUE(LEFT(H17,1))</f>
        <v>0</v>
      </c>
      <c r="K17" s="584">
        <f>IF(AND(J17=1,J14=1),C17-F14)+IF(AND(J17=1,J15=1),D17-F15)+IF(AND(J17=1,J16=1),E17-F16)+IF(AND(J17=1,J18=1),G17-F18)+IF(AND(J17=2,J14=2),C17-F14)+IF(AND(J17=2,J15=2),D17-F15)+IF(AND(J17=2,J16=2),E17-F16)+IF(AND(J17=2,J18=2),G17-F18)+IF(AND(J17=3,J14=3),C17-F14)+IF(AND(J17=3,J15=3),D17-F15)+IF(AND(J17=3,J16=3),E17-F16)+IF(AND(J17=3,J18=3),G17-F18)</f>
        <v>0</v>
      </c>
      <c r="L17" s="584">
        <f>1000*J17+K17</f>
        <v>0</v>
      </c>
      <c r="M17" s="574"/>
      <c r="N17" s="575"/>
      <c r="O17" s="568"/>
      <c r="P17" s="512">
        <f t="shared" si="4"/>
        <v>0</v>
      </c>
      <c r="Q17" s="514" t="str">
        <f t="shared" si="6"/>
        <v/>
      </c>
      <c r="R17" s="515" t="str">
        <f>IFERROR(INDEX(V!$O:$O,MATCH(Q17,V!$J:$J,0)),"")</f>
        <v/>
      </c>
      <c r="S17" s="514" t="str">
        <f t="shared" si="7"/>
        <v/>
      </c>
      <c r="T17" s="515" t="str">
        <f>IFERROR(INDEX(V!$O:$O,MATCH(S17,V!$J:$J,0)),"")</f>
        <v/>
      </c>
      <c r="U17" s="516" t="str">
        <f t="shared" si="8"/>
        <v/>
      </c>
      <c r="V17" s="515" t="str">
        <f>IFERROR(INDEX(V!$O:$O,MATCH(U17,V!$J:$J,0)),"")</f>
        <v/>
      </c>
      <c r="W17" s="516" t="str">
        <f t="shared" si="9"/>
        <v/>
      </c>
      <c r="X17" s="515" t="str">
        <f>IFERROR(INDEX(V!$O:$O,MATCH(W17,V!$J:$J,0)),"")</f>
        <v/>
      </c>
    </row>
    <row r="18" spans="1:26" s="186" customFormat="1" hidden="1" x14ac:dyDescent="0.2">
      <c r="A18" s="126">
        <v>5</v>
      </c>
      <c r="B18" s="583"/>
      <c r="C18" s="93"/>
      <c r="D18" s="93"/>
      <c r="E18" s="93"/>
      <c r="F18" s="93"/>
      <c r="G18" s="127"/>
      <c r="H18" s="576" t="str">
        <f>(IF(C18-G14&gt;0,1)+IF(D18-G15&gt;0,1)+IF(E18-G16&gt;0,1)+IF(F18-G17&gt;0,1))&amp;"-"&amp;(IF(C18-G14&lt;0,1)+IF(D18-G15&lt;0,1)+IF(E18-G16&lt;0,1)+IF(F18-G17&lt;0,1))</f>
        <v>0-0</v>
      </c>
      <c r="I18" s="93" t="str">
        <f>IF(AND(B18&lt;&gt;"",L$13=TRUE),A$13&amp;RANK(L18,L$14:L$18,0),"")</f>
        <v/>
      </c>
      <c r="J18" s="584">
        <f>VALUE(LEFT(H18,1))</f>
        <v>0</v>
      </c>
      <c r="K18" s="584">
        <f>IF(AND(J18=1,J14=1),C18-G14)+IF(AND(J18=1,J15=1),D18-G15)+IF(AND(J18=1,J16=1),E18-G16)+IF(AND(J18=1,J17=1),F18-G17)+IF(AND(J18=2,J14=2),C18-G14)+IF(AND(J18=2,J15=2),D18-G15)+IF(AND(J18=2,J16=2),E18-G16)+IF(AND(J18=2,J17=2),F18-G17)+IF(AND(J18=3,J14=3),C18-G14)+IF(AND(J18=3,J15=3),D18-G15)+IF(AND(J18=3,J16=3),E18-G16)+IF(AND(J18=3,J17=3),F18-G17)</f>
        <v>0</v>
      </c>
      <c r="L18" s="584">
        <f>1000*J18+K18</f>
        <v>0</v>
      </c>
      <c r="M18" s="574"/>
      <c r="N18" s="575"/>
      <c r="O18" s="568"/>
      <c r="P18" s="512">
        <f t="shared" ref="P18" si="10">SUM(R18:X18)</f>
        <v>0</v>
      </c>
      <c r="Q18" s="514" t="str">
        <f t="shared" si="6"/>
        <v/>
      </c>
      <c r="R18" s="515" t="str">
        <f>IFERROR(INDEX(V!$O:$O,MATCH(Q18,V!$J:$J,0)),"")</f>
        <v/>
      </c>
      <c r="S18" s="514" t="str">
        <f t="shared" si="7"/>
        <v/>
      </c>
      <c r="T18" s="515" t="str">
        <f>IFERROR(INDEX(V!$O:$O,MATCH(S18,V!$J:$J,0)),"")</f>
        <v/>
      </c>
      <c r="U18" s="516" t="str">
        <f t="shared" si="8"/>
        <v/>
      </c>
      <c r="V18" s="515" t="str">
        <f>IFERROR(INDEX(V!$O:$O,MATCH(U18,V!$J:$J,0)),"")</f>
        <v/>
      </c>
      <c r="W18" s="516" t="str">
        <f t="shared" si="9"/>
        <v/>
      </c>
      <c r="X18" s="515" t="str">
        <f>IFERROR(INDEX(V!$O:$O,MATCH(W18,V!$J:$J,0)),"")</f>
        <v/>
      </c>
    </row>
    <row r="19" spans="1:26" s="186" customFormat="1" x14ac:dyDescent="0.2">
      <c r="A19" s="87"/>
      <c r="B19" s="88"/>
      <c r="C19" s="309"/>
      <c r="D19" s="309"/>
      <c r="E19" s="309"/>
      <c r="H19" s="589"/>
      <c r="I19" s="590"/>
      <c r="J19" s="591"/>
      <c r="K19" s="591"/>
      <c r="L19" s="591"/>
      <c r="M19" s="569"/>
      <c r="N19" s="310"/>
      <c r="O19" s="309"/>
      <c r="P19" s="88"/>
      <c r="Q19" s="514" t="str">
        <f t="shared" si="6"/>
        <v/>
      </c>
      <c r="R19" s="515" t="str">
        <f>IFERROR(INDEX(V!$O:$O,MATCH(Q19,V!$J:$J,0)),"")</f>
        <v/>
      </c>
      <c r="S19" s="514" t="str">
        <f t="shared" si="7"/>
        <v/>
      </c>
      <c r="T19" s="515" t="str">
        <f>IFERROR(INDEX(V!$O:$O,MATCH(S19,V!$J:$J,0)),"")</f>
        <v/>
      </c>
      <c r="U19" s="516" t="str">
        <f t="shared" si="8"/>
        <v/>
      </c>
      <c r="V19" s="515" t="str">
        <f>IFERROR(INDEX(V!$O:$O,MATCH(U19,V!$J:$J,0)),"")</f>
        <v/>
      </c>
      <c r="W19" s="516" t="str">
        <f t="shared" si="9"/>
        <v/>
      </c>
      <c r="X19" s="515" t="str">
        <f>IFERROR(INDEX(V!$O:$O,MATCH(W19,V!$J:$J,0)),"")</f>
        <v/>
      </c>
      <c r="Y19" s="88"/>
    </row>
    <row r="20" spans="1:26" s="188" customFormat="1" x14ac:dyDescent="0.2">
      <c r="A20" s="126" t="s">
        <v>166</v>
      </c>
      <c r="B20" s="126"/>
      <c r="C20" s="91">
        <v>1</v>
      </c>
      <c r="D20" s="91">
        <v>2</v>
      </c>
      <c r="E20" s="91">
        <v>3</v>
      </c>
      <c r="F20" s="91"/>
      <c r="G20" s="91"/>
      <c r="H20" s="438" t="s">
        <v>73</v>
      </c>
      <c r="I20" s="438" t="s">
        <v>21</v>
      </c>
      <c r="J20" s="586" t="s">
        <v>273</v>
      </c>
      <c r="K20" s="587" t="s">
        <v>430</v>
      </c>
      <c r="L20" s="588" t="b">
        <f>OR(AND(COUNTA(B21:B25)=3,COUNTA(C21:G25)=6),AND(COUNTA(B21:B25)=4,COUNTA(C21:G25)=12),AND(COUNTA(B21:B25)=5,COUNTA(C21:G25)=20))</f>
        <v>1</v>
      </c>
      <c r="M20" s="569"/>
      <c r="N20" s="310"/>
      <c r="O20" s="309"/>
      <c r="P20" s="88"/>
      <c r="Q20" s="514" t="str">
        <f t="shared" si="6"/>
        <v/>
      </c>
      <c r="R20" s="515" t="str">
        <f>IFERROR(INDEX(V!$O:$O,MATCH(Q20,V!$J:$J,0)),"")</f>
        <v/>
      </c>
      <c r="S20" s="514" t="str">
        <f t="shared" si="7"/>
        <v/>
      </c>
      <c r="T20" s="515" t="str">
        <f>IFERROR(INDEX(V!$O:$O,MATCH(S20,V!$J:$J,0)),"")</f>
        <v/>
      </c>
      <c r="U20" s="516" t="str">
        <f t="shared" si="8"/>
        <v/>
      </c>
      <c r="V20" s="515" t="str">
        <f>IFERROR(INDEX(V!$O:$O,MATCH(U20,V!$J:$J,0)),"")</f>
        <v/>
      </c>
      <c r="W20" s="516" t="str">
        <f t="shared" si="9"/>
        <v/>
      </c>
      <c r="X20" s="515" t="str">
        <f>IFERROR(INDEX(V!$O:$O,MATCH(W20,V!$J:$J,0)),"")</f>
        <v/>
      </c>
      <c r="Y20" s="88"/>
    </row>
    <row r="21" spans="1:26" s="188" customFormat="1" x14ac:dyDescent="0.2">
      <c r="A21" s="126">
        <v>1</v>
      </c>
      <c r="B21" s="581" t="s">
        <v>172</v>
      </c>
      <c r="C21" s="127"/>
      <c r="D21" s="93">
        <v>13</v>
      </c>
      <c r="E21" s="93">
        <v>13</v>
      </c>
      <c r="F21" s="93"/>
      <c r="G21" s="128"/>
      <c r="H21" s="576" t="str">
        <f>(IF(D21-C22&gt;0,1)+IF(E21-C23&gt;0,1)+IF(F21-C24&gt;0,1)+IF(G21-C25&gt;0,1))&amp;"-"&amp;(IF(D21-C22&lt;0,1)+IF(E21-C23&lt;0,1)+IF(F21-C24&lt;0,1)+IF(G21-C25&lt;0,1))</f>
        <v>2-0</v>
      </c>
      <c r="I21" s="93" t="str">
        <f t="shared" ref="I21:I26" si="11">IF(AND(B21&lt;&gt;"",L$20=TRUE),A$20&amp;RANK(L21,L$21:L$25,0),"")</f>
        <v>C1</v>
      </c>
      <c r="J21" s="584">
        <f>VALUE(LEFT(H21,1))</f>
        <v>2</v>
      </c>
      <c r="K21" s="584">
        <f>IF(AND(J21=1,J22=1),D21-C22)+IF(AND(J21=1,J23=1),E21-C23)+IF(AND(J21=1,J24=1),F21-C24)+IF(AND(J21=1,J25=1),G21-C25)+IF(AND(J21=2,J22=2),D21-C22)+IF(AND(J21=2,J23=2),E21-C23)+IF(AND(J21=2,J24=2),F21-C24)+IF(AND(J21=2,J25=2),G21-C25)+IF(AND(J21=3,J22=3),D21-C22)+IF(AND(J21=3,J23=3),E21-C23)+IF(AND(J21=3,J24=3),F21-C24)+IF(AND(J21=3,J25=3),G21-C25)</f>
        <v>0</v>
      </c>
      <c r="L21" s="584">
        <f>1000*J21+K21</f>
        <v>2000</v>
      </c>
      <c r="M21" s="569"/>
      <c r="N21" s="310"/>
      <c r="O21" s="309"/>
      <c r="P21" s="512">
        <f t="shared" si="4"/>
        <v>165</v>
      </c>
      <c r="Q21" s="514" t="str">
        <f t="shared" si="6"/>
        <v>Boriss Klubov</v>
      </c>
      <c r="R21" s="515">
        <f>IFERROR(INDEX(V!$O:$O,MATCH(Q21,V!$J:$J,0)),"")</f>
        <v>89</v>
      </c>
      <c r="S21" s="514" t="str">
        <f t="shared" si="7"/>
        <v>Elmo Lageda</v>
      </c>
      <c r="T21" s="515">
        <f>IFERROR(INDEX(V!$O:$O,MATCH(S21,V!$J:$J,0)),"")</f>
        <v>76</v>
      </c>
      <c r="U21" s="516" t="str">
        <f t="shared" si="8"/>
        <v/>
      </c>
      <c r="V21" s="515" t="str">
        <f>IFERROR(INDEX(V!$O:$O,MATCH(U21,V!$J:$J,0)),"")</f>
        <v/>
      </c>
      <c r="W21" s="516" t="str">
        <f t="shared" si="9"/>
        <v/>
      </c>
      <c r="X21" s="515" t="str">
        <f>IFERROR(INDEX(V!$O:$O,MATCH(W21,V!$J:$J,0)),"")</f>
        <v/>
      </c>
    </row>
    <row r="22" spans="1:26" s="188" customFormat="1" x14ac:dyDescent="0.2">
      <c r="A22" s="126">
        <v>2</v>
      </c>
      <c r="B22" s="581" t="s">
        <v>175</v>
      </c>
      <c r="C22" s="131">
        <v>6</v>
      </c>
      <c r="D22" s="127"/>
      <c r="E22" s="93">
        <v>13</v>
      </c>
      <c r="F22" s="93"/>
      <c r="G22" s="128"/>
      <c r="H22" s="576" t="str">
        <f>(IF(C22-D21&gt;0,1)+IF(E22-D23&gt;0,1)+IF(F22-D24&gt;0,1)+IF(G22-D25&gt;0,1))&amp;"-"&amp;(IF(C22-D21&lt;0,1)+IF(E22-D23&lt;0,1)+IF(F22-D24&lt;0,1)+IF(G22-D25&lt;0,1))</f>
        <v>1-1</v>
      </c>
      <c r="I22" s="93" t="str">
        <f t="shared" si="11"/>
        <v>C2</v>
      </c>
      <c r="J22" s="584">
        <f>VALUE(LEFT(H22,1))</f>
        <v>1</v>
      </c>
      <c r="K22" s="584">
        <f>IF(AND(J22=1,J21=1),C22-D21)+IF(AND(J22=1,J23=1),E22-D23)+IF(AND(J22=1,J24=1),F22-D24)+IF(AND(J22=1,J25=1),G22-D25)+IF(AND(J22=2,J21=2),C22-D21)+IF(AND(J22=2,J23=2),E22-D23)+IF(AND(J22=2,J24=2),F22-D24)+IF(AND(J22=2,J25=2),G22-D25)+IF(AND(J22=3,J21=3),C22-D21)+IF(AND(J22=3,J23=3),E22-D23)+IF(AND(J22=3,J24=3),F22-D24)+IF(AND(J22=3,J25=3),G22-D25)</f>
        <v>0</v>
      </c>
      <c r="L22" s="584">
        <f>1000*J22+K22</f>
        <v>1000</v>
      </c>
      <c r="M22" s="569"/>
      <c r="N22" s="310"/>
      <c r="O22" s="309"/>
      <c r="P22" s="512">
        <f t="shared" si="4"/>
        <v>134</v>
      </c>
      <c r="Q22" s="514" t="str">
        <f t="shared" si="6"/>
        <v>Klavdia Piik</v>
      </c>
      <c r="R22" s="515">
        <f>IFERROR(INDEX(V!$O:$O,MATCH(Q22,V!$J:$J,0)),"")</f>
        <v>72</v>
      </c>
      <c r="S22" s="514" t="str">
        <f t="shared" si="7"/>
        <v>Ülo Piik</v>
      </c>
      <c r="T22" s="515">
        <f>IFERROR(INDEX(V!$O:$O,MATCH(S22,V!$J:$J,0)),"")</f>
        <v>62</v>
      </c>
      <c r="U22" s="516" t="str">
        <f t="shared" si="8"/>
        <v/>
      </c>
      <c r="V22" s="515" t="str">
        <f>IFERROR(INDEX(V!$O:$O,MATCH(U22,V!$J:$J,0)),"")</f>
        <v/>
      </c>
      <c r="W22" s="516" t="str">
        <f t="shared" si="9"/>
        <v/>
      </c>
      <c r="X22" s="515" t="str">
        <f>IFERROR(INDEX(V!$O:$O,MATCH(W22,V!$J:$J,0)),"")</f>
        <v/>
      </c>
    </row>
    <row r="23" spans="1:26" s="188" customFormat="1" x14ac:dyDescent="0.2">
      <c r="A23" s="126">
        <v>3</v>
      </c>
      <c r="B23" s="581" t="s">
        <v>418</v>
      </c>
      <c r="C23" s="93">
        <v>7</v>
      </c>
      <c r="D23" s="311">
        <v>1</v>
      </c>
      <c r="E23" s="127"/>
      <c r="F23" s="93"/>
      <c r="G23" s="128"/>
      <c r="H23" s="576" t="str">
        <f>(IF(C23-E21&gt;0,1)+IF(D23-E22&gt;0,1)+IF(F23-E24&gt;0,1)+IF(G23-E25&gt;0,1))&amp;"-"&amp;(IF(C23-E21&lt;0,1)+IF(D23-E22&lt;0,1)+IF(F23-E24&lt;0,1)+IF(G23-E25&lt;0,1))</f>
        <v>0-2</v>
      </c>
      <c r="I23" s="93" t="str">
        <f t="shared" si="11"/>
        <v>C3</v>
      </c>
      <c r="J23" s="584">
        <f>VALUE(LEFT(H23,1))</f>
        <v>0</v>
      </c>
      <c r="K23" s="584">
        <f>IF(AND(J23=1,J21=1),C23-E21)+IF(AND(J23=1,J22=1),D23-E22)+IF(AND(J23=1,J24=1),F23-E24)+IF(AND(J23=1,J25=1),G23-E25)+IF(AND(J23=2,J21=2),C23-E21)+IF(AND(J23=2,J22=2),D23-E22)+IF(AND(J23=2,J24=2),F23-E24)+IF(AND(J23=2,J25=2),G23-E25)+IF(AND(J23=3,J21=3),C23-E21)+IF(AND(J23=3,J22=3),D23-E22)+IF(AND(J23=3,J24=3),F23-E24)+IF(AND(J23=3,J25=3),G23-E25)</f>
        <v>0</v>
      </c>
      <c r="L23" s="584">
        <f>1000*J23+K23</f>
        <v>0</v>
      </c>
      <c r="M23" s="569"/>
      <c r="N23" s="310"/>
      <c r="O23" s="309"/>
      <c r="P23" s="512">
        <f t="shared" si="4"/>
        <v>99</v>
      </c>
      <c r="Q23" s="514" t="str">
        <f t="shared" si="6"/>
        <v>Henri Mitt</v>
      </c>
      <c r="R23" s="515">
        <f>IFERROR(INDEX(V!$O:$O,MATCH(Q23,V!$J:$J,0)),"")</f>
        <v>55</v>
      </c>
      <c r="S23" s="514" t="str">
        <f t="shared" si="7"/>
        <v>Taavi Press</v>
      </c>
      <c r="T23" s="515">
        <f>IFERROR(INDEX(V!$O:$O,MATCH(S23,V!$J:$J,0)),"")</f>
        <v>44</v>
      </c>
      <c r="U23" s="516" t="str">
        <f t="shared" si="8"/>
        <v/>
      </c>
      <c r="V23" s="515" t="str">
        <f>IFERROR(INDEX(V!$O:$O,MATCH(U23,V!$J:$J,0)),"")</f>
        <v/>
      </c>
      <c r="W23" s="516" t="str">
        <f t="shared" si="9"/>
        <v/>
      </c>
      <c r="X23" s="515" t="str">
        <f>IFERROR(INDEX(V!$O:$O,MATCH(W23,V!$J:$J,0)),"")</f>
        <v/>
      </c>
    </row>
    <row r="24" spans="1:26" s="188" customFormat="1" hidden="1" x14ac:dyDescent="0.2">
      <c r="A24" s="126">
        <v>4</v>
      </c>
      <c r="B24" s="582"/>
      <c r="C24" s="93"/>
      <c r="D24" s="311"/>
      <c r="E24" s="93"/>
      <c r="F24" s="127"/>
      <c r="G24" s="128"/>
      <c r="H24" s="576" t="str">
        <f>(IF(C24-F21&gt;0,1)+IF(D24-F22&gt;0,1)+IF(E24-F23&gt;0,1)+IF(G24-F25&gt;0,1))&amp;"-"&amp;(IF(C24-F21&lt;0,1)+IF(D24-F22&lt;0,1)+IF(E24-F23&lt;0,1)+IF(G24-F25&lt;0,1))</f>
        <v>0-0</v>
      </c>
      <c r="I24" s="93" t="str">
        <f t="shared" si="11"/>
        <v/>
      </c>
      <c r="J24" s="584">
        <f>VALUE(LEFT(H24,1))</f>
        <v>0</v>
      </c>
      <c r="K24" s="584">
        <f>IF(AND(J24=1,J21=1),C24-F21)+IF(AND(J24=1,J22=1),D24-F22)+IF(AND(J24=1,J23=1),E24-F23)+IF(AND(J24=1,J25=1),G24-F25)+IF(AND(J24=2,J21=2),C24-F21)+IF(AND(J24=2,J22=2),D24-F22)+IF(AND(J24=2,J23=2),E24-F23)+IF(AND(J24=2,J25=2),G24-F25)+IF(AND(J24=3,J21=3),C24-F21)+IF(AND(J24=3,J22=3),D24-F22)+IF(AND(J24=3,J23=3),E24-F23)+IF(AND(J24=3,J25=3),G24-F25)</f>
        <v>0</v>
      </c>
      <c r="L24" s="584">
        <f>1000*J24+K24</f>
        <v>0</v>
      </c>
      <c r="M24" s="569"/>
      <c r="N24" s="310"/>
      <c r="O24" s="309"/>
      <c r="P24" s="512">
        <f t="shared" si="4"/>
        <v>0</v>
      </c>
      <c r="Q24" s="514" t="str">
        <f t="shared" si="6"/>
        <v/>
      </c>
      <c r="R24" s="515" t="str">
        <f>IFERROR(INDEX(V!$O:$O,MATCH(Q24,V!$J:$J,0)),"")</f>
        <v/>
      </c>
      <c r="S24" s="514" t="str">
        <f t="shared" si="7"/>
        <v/>
      </c>
      <c r="T24" s="515" t="str">
        <f>IFERROR(INDEX(V!$O:$O,MATCH(S24,V!$J:$J,0)),"")</f>
        <v/>
      </c>
      <c r="U24" s="516" t="str">
        <f t="shared" si="8"/>
        <v/>
      </c>
      <c r="V24" s="515" t="str">
        <f>IFERROR(INDEX(V!$O:$O,MATCH(U24,V!$J:$J,0)),"")</f>
        <v/>
      </c>
      <c r="W24" s="516" t="str">
        <f t="shared" si="9"/>
        <v/>
      </c>
      <c r="X24" s="515" t="str">
        <f>IFERROR(INDEX(V!$O:$O,MATCH(W24,V!$J:$J,0)),"")</f>
        <v/>
      </c>
    </row>
    <row r="25" spans="1:26" s="188" customFormat="1" hidden="1" x14ac:dyDescent="0.2">
      <c r="A25" s="126">
        <v>5</v>
      </c>
      <c r="B25" s="164"/>
      <c r="C25" s="93"/>
      <c r="D25" s="93"/>
      <c r="E25" s="93"/>
      <c r="F25" s="93"/>
      <c r="G25" s="127"/>
      <c r="H25" s="576" t="str">
        <f>(IF(C25-G21&gt;0,1)+IF(D25-G22&gt;0,1)+IF(E25-G23&gt;0,1)+IF(F25-G24&gt;0,1))&amp;"-"&amp;(IF(C25-G21&lt;0,1)+IF(D25-G22&lt;0,1)+IF(E25-G23&lt;0,1)+IF(F25-G24&lt;0,1))</f>
        <v>0-0</v>
      </c>
      <c r="I25" s="93" t="str">
        <f t="shared" si="11"/>
        <v/>
      </c>
      <c r="J25" s="584">
        <f>VALUE(LEFT(H25,1))</f>
        <v>0</v>
      </c>
      <c r="K25" s="584">
        <f>IF(AND(J25=1,J21=1),C25-G21)+IF(AND(J25=1,J22=1),D25-G22)+IF(AND(J25=1,J23=1),E25-G23)+IF(AND(J25=1,J24=1),F25-G24)+IF(AND(J25=2,J21=2),C25-G21)+IF(AND(J25=2,J22=2),D25-G22)+IF(AND(J25=2,J23=2),E25-G23)+IF(AND(J25=2,J24=2),F25-G24)+IF(AND(J25=3,J21=3),C25-G21)+IF(AND(J25=3,J22=3),D25-G22)+IF(AND(J25=3,J23=3),E25-G23)+IF(AND(J25=3,J24=3),F25-G24)</f>
        <v>0</v>
      </c>
      <c r="L25" s="584">
        <f>1000*J25+K25</f>
        <v>0</v>
      </c>
      <c r="M25" s="569"/>
      <c r="N25" s="310"/>
      <c r="O25" s="309"/>
      <c r="P25" s="512">
        <f t="shared" ref="P25" si="12">SUM(R25:X25)</f>
        <v>0</v>
      </c>
      <c r="Q25" s="514" t="str">
        <f t="shared" si="6"/>
        <v/>
      </c>
      <c r="R25" s="515" t="str">
        <f>IFERROR(INDEX(V!$O:$O,MATCH(Q25,V!$J:$J,0)),"")</f>
        <v/>
      </c>
      <c r="S25" s="514" t="str">
        <f t="shared" si="7"/>
        <v/>
      </c>
      <c r="T25" s="515" t="str">
        <f>IFERROR(INDEX(V!$O:$O,MATCH(S25,V!$J:$J,0)),"")</f>
        <v/>
      </c>
      <c r="U25" s="516" t="str">
        <f t="shared" si="8"/>
        <v/>
      </c>
      <c r="V25" s="515" t="str">
        <f>IFERROR(INDEX(V!$O:$O,MATCH(U25,V!$J:$J,0)),"")</f>
        <v/>
      </c>
      <c r="W25" s="516" t="str">
        <f t="shared" si="9"/>
        <v/>
      </c>
      <c r="X25" s="515" t="str">
        <f>IFERROR(INDEX(V!$O:$O,MATCH(W25,V!$J:$J,0)),"")</f>
        <v/>
      </c>
    </row>
    <row r="26" spans="1:26" s="188" customFormat="1" x14ac:dyDescent="0.2">
      <c r="A26" s="121"/>
      <c r="B26" s="217"/>
      <c r="C26" s="96"/>
      <c r="D26" s="501"/>
      <c r="F26" s="94"/>
      <c r="H26" s="592"/>
      <c r="I26" s="593" t="str">
        <f t="shared" si="11"/>
        <v/>
      </c>
      <c r="J26" s="588"/>
      <c r="K26" s="588"/>
      <c r="L26" s="588"/>
      <c r="M26" s="569"/>
      <c r="N26" s="310"/>
      <c r="O26" s="309"/>
      <c r="P26" s="88"/>
      <c r="Q26" s="514" t="str">
        <f t="shared" si="6"/>
        <v/>
      </c>
      <c r="R26" s="515" t="str">
        <f>IFERROR(INDEX(V!$O:$O,MATCH(Q26,V!$J:$J,0)),"")</f>
        <v/>
      </c>
      <c r="S26" s="514" t="str">
        <f t="shared" si="7"/>
        <v/>
      </c>
      <c r="T26" s="515" t="str">
        <f>IFERROR(INDEX(V!$O:$O,MATCH(S26,V!$J:$J,0)),"")</f>
        <v/>
      </c>
      <c r="U26" s="516" t="str">
        <f t="shared" si="8"/>
        <v/>
      </c>
      <c r="V26" s="515" t="str">
        <f>IFERROR(INDEX(V!$O:$O,MATCH(U26,V!$J:$J,0)),"")</f>
        <v/>
      </c>
      <c r="W26" s="516" t="str">
        <f t="shared" si="9"/>
        <v/>
      </c>
      <c r="X26" s="515" t="str">
        <f>IFERROR(INDEX(V!$O:$O,MATCH(W26,V!$J:$J,0)),"")</f>
        <v/>
      </c>
      <c r="Y26" s="88"/>
      <c r="Z26" s="88"/>
    </row>
    <row r="27" spans="1:26" s="188" customFormat="1" x14ac:dyDescent="0.2">
      <c r="A27" s="126" t="s">
        <v>323</v>
      </c>
      <c r="B27" s="126"/>
      <c r="C27" s="91">
        <v>1</v>
      </c>
      <c r="D27" s="91">
        <v>2</v>
      </c>
      <c r="E27" s="91">
        <v>3</v>
      </c>
      <c r="F27" s="91">
        <v>4</v>
      </c>
      <c r="G27" s="91"/>
      <c r="H27" s="438" t="s">
        <v>73</v>
      </c>
      <c r="I27" s="438" t="s">
        <v>21</v>
      </c>
      <c r="J27" s="586" t="s">
        <v>273</v>
      </c>
      <c r="K27" s="587" t="s">
        <v>430</v>
      </c>
      <c r="L27" s="588" t="b">
        <f>OR(AND(COUNTA(B28:B32)=3,COUNTA(C28:G32)=6),AND(COUNTA(B28:B32)=4,COUNTA(C28:G32)=12),AND(COUNTA(B28:B32)=5,COUNTA(C28:G32)=20))</f>
        <v>1</v>
      </c>
      <c r="M27" s="569"/>
      <c r="N27" s="310"/>
      <c r="O27" s="309"/>
      <c r="P27" s="88"/>
      <c r="Q27" s="514" t="str">
        <f t="shared" si="6"/>
        <v/>
      </c>
      <c r="R27" s="515" t="str">
        <f>IFERROR(INDEX(V!$O:$O,MATCH(Q27,V!$J:$J,0)),"")</f>
        <v/>
      </c>
      <c r="S27" s="514" t="str">
        <f t="shared" si="7"/>
        <v/>
      </c>
      <c r="T27" s="515" t="str">
        <f>IFERROR(INDEX(V!$O:$O,MATCH(S27,V!$J:$J,0)),"")</f>
        <v/>
      </c>
      <c r="U27" s="516" t="str">
        <f t="shared" si="8"/>
        <v/>
      </c>
      <c r="V27" s="515" t="str">
        <f>IFERROR(INDEX(V!$O:$O,MATCH(U27,V!$J:$J,0)),"")</f>
        <v/>
      </c>
      <c r="W27" s="516" t="str">
        <f t="shared" si="9"/>
        <v/>
      </c>
      <c r="X27" s="515" t="str">
        <f>IFERROR(INDEX(V!$O:$O,MATCH(W27,V!$J:$J,0)),"")</f>
        <v/>
      </c>
      <c r="Y27" s="88"/>
      <c r="Z27" s="88"/>
    </row>
    <row r="28" spans="1:26" s="188" customFormat="1" x14ac:dyDescent="0.2">
      <c r="A28" s="126">
        <v>1</v>
      </c>
      <c r="B28" s="581" t="s">
        <v>168</v>
      </c>
      <c r="C28" s="127"/>
      <c r="D28" s="316">
        <v>4</v>
      </c>
      <c r="E28" s="316">
        <v>13</v>
      </c>
      <c r="F28" s="93">
        <v>13</v>
      </c>
      <c r="G28" s="128"/>
      <c r="H28" s="602" t="str">
        <f>(IF(D28-C29&gt;0,1)+IF(E28-C30&gt;0,1)+IF(F28-C31&gt;0,1)+IF(G28-C32&gt;0,1))&amp;"-"&amp;(IF(D28-C29&lt;0,1)+IF(E28-C30&lt;0,1)+IF(F28-C31&lt;0,1)+IF(G28-C32&lt;0,1))</f>
        <v>2-1</v>
      </c>
      <c r="I28" s="93" t="str">
        <f>IF(AND(B28&lt;&gt;"",L$27=TRUE),A$27&amp;RANK(L28,L$28:L$32,0),"")</f>
        <v>D2</v>
      </c>
      <c r="J28" s="584">
        <f>VALUE(LEFT(H28,1))</f>
        <v>2</v>
      </c>
      <c r="K28" s="584">
        <f>IF(AND(J28=1,J29=1),D28-C29)+IF(AND(J28=1,J30=1),E28-C30)+IF(AND(J28=1,J31=1),F28-C31)+IF(AND(J28=1,J32=1),G28-C32)+IF(AND(J28=2,J29=2),D28-C29)+IF(AND(J28=2,J30=2),E28-C30)+IF(AND(J28=2,J31=2),F28-C31)+IF(AND(J28=2,J32=2),G28-C32)+IF(AND(J28=3,J29=3),D28-C29)+IF(AND(J28=3,J30=3),E28-C30)+IF(AND(J28=3,J31=3),F28-C31)+IF(AND(J28=3,J32=3),G28-C32)</f>
        <v>1</v>
      </c>
      <c r="L28" s="584">
        <f>1000*J28+K28</f>
        <v>2001</v>
      </c>
      <c r="M28" s="1186" t="s">
        <v>174</v>
      </c>
      <c r="N28" s="567" t="s">
        <v>462</v>
      </c>
      <c r="O28" s="309"/>
      <c r="P28" s="512">
        <f t="shared" si="4"/>
        <v>102</v>
      </c>
      <c r="Q28" s="514" t="str">
        <f t="shared" si="6"/>
        <v>Heili Vasser</v>
      </c>
      <c r="R28" s="515">
        <f>IFERROR(INDEX(V!$O:$O,MATCH(Q28,V!$J:$J,0)),"")</f>
        <v>31.5</v>
      </c>
      <c r="S28" s="514" t="str">
        <f t="shared" si="7"/>
        <v>Vello Vasser</v>
      </c>
      <c r="T28" s="515">
        <f>IFERROR(INDEX(V!$O:$O,MATCH(S28,V!$J:$J,0)),"")</f>
        <v>70.5</v>
      </c>
      <c r="U28" s="516" t="str">
        <f t="shared" si="8"/>
        <v/>
      </c>
      <c r="V28" s="515" t="str">
        <f>IFERROR(INDEX(V!$O:$O,MATCH(U28,V!$J:$J,0)),"")</f>
        <v/>
      </c>
      <c r="W28" s="516" t="str">
        <f t="shared" si="9"/>
        <v/>
      </c>
      <c r="X28" s="515" t="str">
        <f>IFERROR(INDEX(V!$O:$O,MATCH(W28,V!$J:$J,0)),"")</f>
        <v/>
      </c>
    </row>
    <row r="29" spans="1:26" s="188" customFormat="1" x14ac:dyDescent="0.2">
      <c r="A29" s="126">
        <v>2</v>
      </c>
      <c r="B29" s="581" t="s">
        <v>115</v>
      </c>
      <c r="C29" s="316">
        <v>13</v>
      </c>
      <c r="D29" s="127"/>
      <c r="E29" s="316">
        <v>9</v>
      </c>
      <c r="F29" s="93">
        <v>13</v>
      </c>
      <c r="G29" s="128"/>
      <c r="H29" s="602" t="str">
        <f>(IF(C29-D28&gt;0,1)+IF(E29-D30&gt;0,1)+IF(F29-D31&gt;0,1)+IF(G29-D32&gt;0,1))&amp;"-"&amp;(IF(C29-D28&lt;0,1)+IF(E29-D30&lt;0,1)+IF(F29-D31&lt;0,1)+IF(G29-D32&lt;0,1))</f>
        <v>2-1</v>
      </c>
      <c r="I29" s="93" t="str">
        <f>IF(AND(B29&lt;&gt;"",L$27=TRUE),A$27&amp;RANK(L29,L$28:L$32,0),"")</f>
        <v>D1</v>
      </c>
      <c r="J29" s="584">
        <f>VALUE(LEFT(H29,1))</f>
        <v>2</v>
      </c>
      <c r="K29" s="584">
        <f>IF(AND(J29=1,J28=1),C29-D28)+IF(AND(J29=1,J30=1),E29-D30)+IF(AND(J29=1,J31=1),F29-D31)+IF(AND(J29=1,J32=1),G29-D32)+IF(AND(J29=2,J28=2),C29-D28)+IF(AND(J29=2,J30=2),E29-D30)+IF(AND(J29=2,J31=2),F29-D31)+IF(AND(J29=2,J32=2),G29-D32)+IF(AND(J29=3,J28=3),C29-D28)+IF(AND(J29=3,J30=3),E29-D30)+IF(AND(J29=3,J31=3),F29-D31)+IF(AND(J29=3,J32=3),G29-D32)</f>
        <v>5</v>
      </c>
      <c r="L29" s="584">
        <f>1000*J29+K29</f>
        <v>2005</v>
      </c>
      <c r="M29" s="1186" t="s">
        <v>465</v>
      </c>
      <c r="N29" s="567" t="s">
        <v>463</v>
      </c>
      <c r="O29" s="309"/>
      <c r="P29" s="512">
        <f t="shared" si="4"/>
        <v>162</v>
      </c>
      <c r="Q29" s="514" t="str">
        <f t="shared" si="6"/>
        <v>Andres Veski</v>
      </c>
      <c r="R29" s="515">
        <f>IFERROR(INDEX(V!$O:$O,MATCH(Q29,V!$J:$J,0)),"")</f>
        <v>76</v>
      </c>
      <c r="S29" s="514" t="str">
        <f t="shared" si="7"/>
        <v>Svetlana Veski</v>
      </c>
      <c r="T29" s="515">
        <f>IFERROR(INDEX(V!$O:$O,MATCH(S29,V!$J:$J,0)),"")</f>
        <v>86</v>
      </c>
      <c r="U29" s="516" t="str">
        <f t="shared" si="8"/>
        <v/>
      </c>
      <c r="V29" s="515" t="str">
        <f>IFERROR(INDEX(V!$O:$O,MATCH(U29,V!$J:$J,0)),"")</f>
        <v/>
      </c>
      <c r="W29" s="516" t="str">
        <f t="shared" si="9"/>
        <v/>
      </c>
      <c r="X29" s="515" t="str">
        <f>IFERROR(INDEX(V!$O:$O,MATCH(W29,V!$J:$J,0)),"")</f>
        <v/>
      </c>
    </row>
    <row r="30" spans="1:26" s="188" customFormat="1" x14ac:dyDescent="0.2">
      <c r="A30" s="126">
        <v>3</v>
      </c>
      <c r="B30" s="581" t="s">
        <v>417</v>
      </c>
      <c r="C30" s="316">
        <v>3</v>
      </c>
      <c r="D30" s="316">
        <v>13</v>
      </c>
      <c r="E30" s="127"/>
      <c r="F30" s="93">
        <v>13</v>
      </c>
      <c r="G30" s="128"/>
      <c r="H30" s="602" t="str">
        <f>(IF(C30-E28&gt;0,1)+IF(D30-E29&gt;0,1)+IF(F30-E31&gt;0,1)+IF(G30-E32&gt;0,1))&amp;"-"&amp;(IF(C30-E28&lt;0,1)+IF(D30-E29&lt;0,1)+IF(F30-E31&lt;0,1)+IF(G30-E32&lt;0,1))</f>
        <v>2-1</v>
      </c>
      <c r="I30" s="93" t="str">
        <f>IF(AND(B30&lt;&gt;"",L$27=TRUE),A$27&amp;RANK(L30,L$28:L$32,0),"")</f>
        <v>D3</v>
      </c>
      <c r="J30" s="584">
        <f>VALUE(LEFT(H30,1))</f>
        <v>2</v>
      </c>
      <c r="K30" s="584">
        <f>IF(AND(J30=1,J28=1),C30-E28)+IF(AND(J30=1,J29=1),D30-E29)+IF(AND(J30=1,J31=1),F30-E31)+IF(AND(J30=1,J32=1),G30-E32)+IF(AND(J30=2,J28=2),C30-E28)+IF(AND(J30=2,J29=2),D30-E29)+IF(AND(J30=2,J31=2),F30-E31)+IF(AND(J30=2,J32=2),G30-E32)+IF(AND(J30=3,J28=3),C30-E28)+IF(AND(J30=3,J29=3),D30-E29)+IF(AND(J30=3,J31=3),F30-E31)+IF(AND(J30=3,J32=3),G30-E32)</f>
        <v>-6</v>
      </c>
      <c r="L30" s="584">
        <f>1000*J30+K30</f>
        <v>1994</v>
      </c>
      <c r="M30" s="1186" t="s">
        <v>466</v>
      </c>
      <c r="N30" s="567" t="s">
        <v>464</v>
      </c>
      <c r="O30" s="309"/>
      <c r="P30" s="512">
        <f t="shared" si="4"/>
        <v>103</v>
      </c>
      <c r="Q30" s="514" t="str">
        <f t="shared" si="6"/>
        <v>Andres Viisitam</v>
      </c>
      <c r="R30" s="515">
        <f>IFERROR(INDEX(V!$O:$O,MATCH(Q30,V!$J:$J,0)),"")</f>
        <v>30</v>
      </c>
      <c r="S30" s="514" t="str">
        <f t="shared" si="7"/>
        <v>Tõnu Piik</v>
      </c>
      <c r="T30" s="515">
        <f>IFERROR(INDEX(V!$O:$O,MATCH(S30,V!$J:$J,0)),"")</f>
        <v>73</v>
      </c>
      <c r="U30" s="516" t="str">
        <f t="shared" si="8"/>
        <v/>
      </c>
      <c r="V30" s="515" t="str">
        <f>IFERROR(INDEX(V!$O:$O,MATCH(U30,V!$J:$J,0)),"")</f>
        <v/>
      </c>
      <c r="W30" s="516" t="str">
        <f t="shared" si="9"/>
        <v/>
      </c>
      <c r="X30" s="515" t="str">
        <f>IFERROR(INDEX(V!$O:$O,MATCH(W30,V!$J:$J,0)),"")</f>
        <v/>
      </c>
    </row>
    <row r="31" spans="1:26" s="188" customFormat="1" x14ac:dyDescent="0.2">
      <c r="A31" s="126">
        <v>4</v>
      </c>
      <c r="B31" s="581" t="s">
        <v>458</v>
      </c>
      <c r="C31" s="93">
        <v>10</v>
      </c>
      <c r="D31" s="128">
        <v>8</v>
      </c>
      <c r="E31" s="93">
        <v>2</v>
      </c>
      <c r="F31" s="127"/>
      <c r="G31" s="128"/>
      <c r="H31" s="576" t="str">
        <f>(IF(C31-F28&gt;0,1)+IF(D31-F29&gt;0,1)+IF(E31-F30&gt;0,1)+IF(G31-F32&gt;0,1))&amp;"-"&amp;(IF(C31-F28&lt;0,1)+IF(D31-F29&lt;0,1)+IF(E31-F30&lt;0,1)+IF(G31-F32&lt;0,1))</f>
        <v>0-3</v>
      </c>
      <c r="I31" s="93" t="str">
        <f>IF(AND(B31&lt;&gt;"",L$27=TRUE),A$27&amp;RANK(L31,L$28:L$32,0),"")</f>
        <v>D4</v>
      </c>
      <c r="J31" s="584">
        <f>VALUE(LEFT(H31,1))</f>
        <v>0</v>
      </c>
      <c r="K31" s="584">
        <f>IF(AND(J31=1,J28=1),C31-F28)+IF(AND(J31=1,J29=1),D31-F29)+IF(AND(J31=1,J30=1),E31-F30)+IF(AND(J31=1,J32=1),G31-F32)+IF(AND(J31=2,J28=2),C31-F28)+IF(AND(J31=2,J29=2),D31-F29)+IF(AND(J31=2,J30=2),E31-F30)+IF(AND(J31=2,J32=2),G31-F32)+IF(AND(J31=3,J28=3),C31-F28)+IF(AND(J31=3,J29=3),D31-F29)+IF(AND(J31=3,J30=3),E31-F30)+IF(AND(J31=3,J32=3),G31-F32)</f>
        <v>0</v>
      </c>
      <c r="L31" s="584">
        <f>1000*J31+K31</f>
        <v>0</v>
      </c>
      <c r="M31" s="569"/>
      <c r="N31" s="310"/>
      <c r="O31" s="309"/>
      <c r="P31" s="512">
        <f t="shared" si="4"/>
        <v>42</v>
      </c>
      <c r="Q31" s="514" t="str">
        <f t="shared" si="6"/>
        <v>Oleg Rõndenkov</v>
      </c>
      <c r="R31" s="515">
        <f>IFERROR(INDEX(V!$O:$O,MATCH(Q31,V!$J:$J,0)),"")</f>
        <v>24</v>
      </c>
      <c r="S31" s="514" t="str">
        <f t="shared" si="7"/>
        <v>Toomas Tedrekull</v>
      </c>
      <c r="T31" s="515">
        <f>IFERROR(INDEX(V!$O:$O,MATCH(S31,V!$J:$J,0)),"")</f>
        <v>18</v>
      </c>
      <c r="U31" s="516" t="str">
        <f t="shared" si="8"/>
        <v/>
      </c>
      <c r="V31" s="515" t="str">
        <f>IFERROR(INDEX(V!$O:$O,MATCH(U31,V!$J:$J,0)),"")</f>
        <v/>
      </c>
      <c r="W31" s="516" t="str">
        <f t="shared" si="9"/>
        <v/>
      </c>
      <c r="X31" s="515" t="str">
        <f>IFERROR(INDEX(V!$O:$O,MATCH(W31,V!$J:$J,0)),"")</f>
        <v/>
      </c>
    </row>
    <row r="32" spans="1:26" s="188" customFormat="1" hidden="1" x14ac:dyDescent="0.2">
      <c r="A32" s="126">
        <v>5</v>
      </c>
      <c r="B32" s="164"/>
      <c r="C32" s="93"/>
      <c r="D32" s="93"/>
      <c r="E32" s="93"/>
      <c r="F32" s="93"/>
      <c r="G32" s="127"/>
      <c r="H32" s="576" t="str">
        <f>(IF(C32-G28&gt;0,1)+IF(D32-G29&gt;0,1)+IF(E32-G30&gt;0,1)+IF(F32-G31&gt;0,1))&amp;"-"&amp;(IF(C32-G28&lt;0,1)+IF(D32-G29&lt;0,1)+IF(E32-G30&lt;0,1)+IF(F32-G31&lt;0,1))</f>
        <v>0-0</v>
      </c>
      <c r="I32" s="93" t="str">
        <f>IF(AND(B32&lt;&gt;"",L$27=TRUE),A$27&amp;RANK(L32,L$28:L$32,0),"")</f>
        <v/>
      </c>
      <c r="J32" s="584">
        <f t="shared" ref="J32" si="13">VALUE(LEFT(H32,1))</f>
        <v>0</v>
      </c>
      <c r="K32" s="584">
        <f>IF(AND(J32=1,J28=1),C32-G28)+IF(AND(J32=1,J29=1),D32-G29)+IF(AND(J32=1,J30=1),E32-G30)+IF(AND(J32=1,J31=1),F32-G31)+IF(AND(J32=2,J28=2),C32-G28)+IF(AND(J32=2,J29=2),D32-G29)+IF(AND(J32=2,J30=2),E32-G30)+IF(AND(J32=2,J31=2),F32-G31)+IF(AND(J32=3,J28=3),C32-G28)+IF(AND(J32=3,J29=3),D32-G29)+IF(AND(J32=3,J30=3),E32-G30)+IF(AND(J32=3,J31=3),F32-G31)</f>
        <v>0</v>
      </c>
      <c r="L32" s="584">
        <f>1000*J32+K32</f>
        <v>0</v>
      </c>
      <c r="M32" s="569"/>
      <c r="N32" s="310"/>
      <c r="O32" s="88"/>
      <c r="P32" s="512">
        <f t="shared" ref="P32" si="14">SUM(R32:X32)</f>
        <v>0</v>
      </c>
      <c r="Q32" s="514" t="str">
        <f t="shared" si="6"/>
        <v/>
      </c>
      <c r="R32" s="515" t="str">
        <f>IFERROR(INDEX(V!$O:$O,MATCH(Q32,V!$J:$J,0)),"")</f>
        <v/>
      </c>
      <c r="S32" s="514" t="str">
        <f t="shared" si="7"/>
        <v/>
      </c>
      <c r="T32" s="515" t="str">
        <f>IFERROR(INDEX(V!$O:$O,MATCH(S32,V!$J:$J,0)),"")</f>
        <v/>
      </c>
      <c r="U32" s="516" t="str">
        <f t="shared" si="8"/>
        <v/>
      </c>
      <c r="V32" s="515" t="str">
        <f>IFERROR(INDEX(V!$O:$O,MATCH(U32,V!$J:$J,0)),"")</f>
        <v/>
      </c>
      <c r="W32" s="516" t="str">
        <f t="shared" si="9"/>
        <v/>
      </c>
      <c r="X32" s="515" t="str">
        <f>IFERROR(INDEX(V!$O:$O,MATCH(W32,V!$J:$J,0)),"")</f>
        <v/>
      </c>
      <c r="Y32" s="88"/>
      <c r="Z32" s="88"/>
    </row>
    <row r="33" spans="1:26" s="188" customFormat="1" x14ac:dyDescent="0.2">
      <c r="A33" s="314"/>
      <c r="E33" s="314"/>
      <c r="F33" s="314"/>
      <c r="G33" s="314"/>
      <c r="M33" s="88"/>
      <c r="N33" s="88"/>
      <c r="O33" s="88"/>
      <c r="R33" s="88"/>
      <c r="S33" s="88"/>
      <c r="T33" s="88"/>
      <c r="U33" s="88"/>
      <c r="V33" s="88"/>
      <c r="W33" s="88"/>
      <c r="X33" s="88"/>
      <c r="Y33" s="88"/>
      <c r="Z33" s="88"/>
    </row>
    <row r="34" spans="1:26" s="188" customFormat="1" x14ac:dyDescent="0.2">
      <c r="A34" s="314"/>
      <c r="B34" s="213" t="s">
        <v>98</v>
      </c>
      <c r="C34" s="98" t="s">
        <v>99</v>
      </c>
      <c r="D34" s="98" t="s">
        <v>100</v>
      </c>
      <c r="E34" s="314"/>
      <c r="F34" s="314"/>
      <c r="G34" s="314"/>
      <c r="M34" s="88"/>
      <c r="N34" s="88"/>
      <c r="O34" s="88"/>
      <c r="R34" s="88"/>
      <c r="S34" s="88"/>
      <c r="T34" s="88"/>
      <c r="U34" s="88"/>
      <c r="V34" s="88"/>
      <c r="W34" s="88"/>
      <c r="X34" s="88"/>
      <c r="Y34" s="88"/>
      <c r="Z34" s="88"/>
    </row>
    <row r="35" spans="1:26" s="188" customFormat="1" x14ac:dyDescent="0.2">
      <c r="A35" s="314"/>
      <c r="B35" s="213" t="s">
        <v>101</v>
      </c>
      <c r="C35" s="98" t="s">
        <v>102</v>
      </c>
      <c r="D35" s="98" t="s">
        <v>103</v>
      </c>
      <c r="E35" s="314"/>
      <c r="F35" s="314"/>
      <c r="G35" s="314"/>
      <c r="M35" s="88"/>
      <c r="N35" s="88"/>
      <c r="O35" s="88"/>
      <c r="R35" s="88"/>
      <c r="S35" s="88"/>
      <c r="T35" s="88"/>
      <c r="U35" s="88"/>
      <c r="V35" s="88"/>
      <c r="W35" s="88"/>
      <c r="X35" s="88"/>
      <c r="Y35" s="88"/>
      <c r="Z35" s="88"/>
    </row>
    <row r="36" spans="1:26" s="188" customFormat="1" x14ac:dyDescent="0.2">
      <c r="A36" s="95"/>
      <c r="B36" s="213" t="s">
        <v>104</v>
      </c>
      <c r="C36" s="98" t="s">
        <v>92</v>
      </c>
      <c r="D36" s="98" t="s">
        <v>105</v>
      </c>
      <c r="E36" s="97"/>
      <c r="F36" s="97"/>
      <c r="G36" s="402"/>
      <c r="M36" s="88"/>
      <c r="N36" s="88"/>
      <c r="O36" s="88"/>
      <c r="Q36" s="212"/>
      <c r="R36" s="88"/>
      <c r="S36" s="88"/>
      <c r="T36" s="88"/>
      <c r="U36" s="88"/>
      <c r="V36" s="88"/>
      <c r="W36" s="88"/>
      <c r="X36" s="88"/>
      <c r="Y36" s="88"/>
      <c r="Z36" s="88"/>
    </row>
    <row r="37" spans="1:26" s="88" customFormat="1" x14ac:dyDescent="0.2">
      <c r="P37" s="188"/>
      <c r="Q37" s="188"/>
    </row>
    <row r="38" spans="1:26" s="88" customFormat="1" hidden="1" x14ac:dyDescent="0.2">
      <c r="P38" s="188"/>
      <c r="Q38" s="212"/>
    </row>
    <row r="39" spans="1:26" s="88" customFormat="1" hidden="1" x14ac:dyDescent="0.2">
      <c r="P39" s="188"/>
      <c r="Q39" s="215"/>
    </row>
    <row r="40" spans="1:26" s="88" customFormat="1" hidden="1" x14ac:dyDescent="0.2">
      <c r="P40" s="188"/>
      <c r="Q40" s="215"/>
    </row>
    <row r="41" spans="1:26" s="88" customFormat="1" hidden="1" x14ac:dyDescent="0.2">
      <c r="P41" s="188"/>
      <c r="Q41" s="188"/>
    </row>
    <row r="42" spans="1:26" s="88" customFormat="1" hidden="1" x14ac:dyDescent="0.2">
      <c r="P42" s="188"/>
      <c r="Q42" s="215"/>
    </row>
    <row r="43" spans="1:26" s="88" customFormat="1" hidden="1" x14ac:dyDescent="0.2">
      <c r="P43" s="188"/>
      <c r="Q43" s="215"/>
    </row>
    <row r="44" spans="1:26" s="88" customFormat="1" hidden="1" x14ac:dyDescent="0.2">
      <c r="P44" s="188"/>
      <c r="Q44" s="188"/>
    </row>
    <row r="45" spans="1:26" s="88" customFormat="1" hidden="1" x14ac:dyDescent="0.2">
      <c r="P45" s="188"/>
      <c r="Q45" s="517"/>
    </row>
    <row r="46" spans="1:26" s="88" customFormat="1" hidden="1" x14ac:dyDescent="0.2">
      <c r="Q46" s="215"/>
    </row>
    <row r="47" spans="1:26" s="88" customFormat="1" hidden="1" x14ac:dyDescent="0.2"/>
    <row r="48" spans="1:26" s="88" customFormat="1" hidden="1" x14ac:dyDescent="0.2"/>
    <row r="49" spans="16:16" s="88" customFormat="1" hidden="1" x14ac:dyDescent="0.2"/>
    <row r="50" spans="16:16" s="88" customFormat="1" hidden="1" x14ac:dyDescent="0.2"/>
    <row r="51" spans="16:16" s="88" customFormat="1" hidden="1" x14ac:dyDescent="0.2"/>
    <row r="52" spans="16:16" s="88" customFormat="1" hidden="1" x14ac:dyDescent="0.2"/>
    <row r="53" spans="16:16" s="88" customFormat="1" hidden="1" x14ac:dyDescent="0.2"/>
    <row r="54" spans="16:16" s="88" customFormat="1" hidden="1" x14ac:dyDescent="0.2"/>
    <row r="55" spans="16:16" s="88" customFormat="1" hidden="1" x14ac:dyDescent="0.2"/>
    <row r="56" spans="16:16" s="88" customFormat="1" hidden="1" x14ac:dyDescent="0.2"/>
    <row r="57" spans="16:16" s="88" customFormat="1" hidden="1" x14ac:dyDescent="0.2"/>
    <row r="58" spans="16:16" s="88" customFormat="1" hidden="1" x14ac:dyDescent="0.2"/>
    <row r="59" spans="16:16" s="88" customFormat="1" hidden="1" x14ac:dyDescent="0.2"/>
    <row r="60" spans="16:16" s="88" customFormat="1" hidden="1" x14ac:dyDescent="0.2"/>
    <row r="61" spans="16:16" s="88" customFormat="1" hidden="1" x14ac:dyDescent="0.2">
      <c r="P61" s="188"/>
    </row>
    <row r="62" spans="16:16" s="88" customFormat="1" hidden="1" x14ac:dyDescent="0.2">
      <c r="P62" s="188"/>
    </row>
    <row r="63" spans="16:16" s="88" customFormat="1" hidden="1" x14ac:dyDescent="0.2">
      <c r="P63" s="215"/>
    </row>
    <row r="64" spans="16:16" s="88" customFormat="1" hidden="1" x14ac:dyDescent="0.2"/>
    <row r="65" s="88" customFormat="1" hidden="1" x14ac:dyDescent="0.2"/>
    <row r="66" s="88" customFormat="1" hidden="1" x14ac:dyDescent="0.2"/>
    <row r="67" s="88" customFormat="1" hidden="1" x14ac:dyDescent="0.2"/>
    <row r="68" s="88" customFormat="1" hidden="1" x14ac:dyDescent="0.2"/>
    <row r="69" s="88" customFormat="1" hidden="1" x14ac:dyDescent="0.2"/>
    <row r="70" s="88" customFormat="1" hidden="1" x14ac:dyDescent="0.2"/>
    <row r="71" s="88" customFormat="1" hidden="1" x14ac:dyDescent="0.2"/>
    <row r="72" s="88" customFormat="1" hidden="1" x14ac:dyDescent="0.2"/>
    <row r="73" s="88" customFormat="1" hidden="1" x14ac:dyDescent="0.2"/>
    <row r="74" s="349" customFormat="1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spans="1:9" hidden="1" x14ac:dyDescent="0.2"/>
    <row r="98" spans="1:9" hidden="1" x14ac:dyDescent="0.2"/>
    <row r="99" spans="1:9" hidden="1" x14ac:dyDescent="0.2"/>
    <row r="100" spans="1:9" x14ac:dyDescent="0.2">
      <c r="A100" s="214" t="s">
        <v>411</v>
      </c>
      <c r="B100" s="99"/>
      <c r="C100" s="96"/>
      <c r="D100" s="96"/>
      <c r="E100" s="96"/>
      <c r="F100" s="97"/>
      <c r="G100" s="98"/>
      <c r="H100" s="88"/>
      <c r="I100" s="88"/>
    </row>
    <row r="101" spans="1:9" x14ac:dyDescent="0.2">
      <c r="A101" s="88"/>
      <c r="B101" s="88"/>
      <c r="C101" s="88"/>
      <c r="D101" s="88"/>
      <c r="E101" s="88"/>
      <c r="F101" s="88"/>
      <c r="G101" s="88"/>
      <c r="H101" s="88"/>
      <c r="I101" s="88"/>
    </row>
    <row r="102" spans="1:9" x14ac:dyDescent="0.2">
      <c r="A102" s="106" t="s">
        <v>84</v>
      </c>
      <c r="B102" s="404" t="str">
        <f>IFERROR(INDEX(B$7:B$32,MATCH(A102,I$7:I$32,0)),"")</f>
        <v>Jaan Sepp, Oskar Sepp</v>
      </c>
      <c r="C102" s="120">
        <v>13</v>
      </c>
      <c r="D102" s="88"/>
      <c r="E102" s="88"/>
      <c r="F102" s="88"/>
      <c r="G102" s="88"/>
      <c r="H102" s="88"/>
      <c r="I102" s="88"/>
    </row>
    <row r="103" spans="1:9" x14ac:dyDescent="0.2">
      <c r="A103" s="107"/>
      <c r="B103" s="423"/>
      <c r="C103" s="524" t="str">
        <f>IF(COUNT(C102,C104)=2,IF(C102&gt;C104,B102,B104),"")</f>
        <v>Jaan Sepp, Oskar Sepp</v>
      </c>
      <c r="D103" s="88"/>
      <c r="E103" s="120">
        <v>13</v>
      </c>
      <c r="F103" s="88"/>
      <c r="G103" s="88"/>
      <c r="H103" s="88"/>
      <c r="I103" s="88"/>
    </row>
    <row r="104" spans="1:9" x14ac:dyDescent="0.2">
      <c r="A104" s="107" t="s">
        <v>406</v>
      </c>
      <c r="B104" s="406" t="str">
        <f>IFERROR(INDEX(B$7:B$32,MATCH(A104,I$7:I$32,0)),"")</f>
        <v>Heili Vasser, Vello Vasser</v>
      </c>
      <c r="C104" s="110">
        <v>12</v>
      </c>
      <c r="D104" s="111"/>
      <c r="E104" s="88"/>
      <c r="F104" s="88"/>
      <c r="G104" s="88"/>
      <c r="H104" s="88"/>
      <c r="I104" s="88"/>
    </row>
    <row r="105" spans="1:9" x14ac:dyDescent="0.2">
      <c r="A105" s="107"/>
      <c r="B105" s="407"/>
      <c r="C105" s="88"/>
      <c r="D105" s="112"/>
      <c r="E105" s="524" t="str">
        <f>IF(COUNT(E103,E107)=2,IF(E103&gt;E107,C103,C107),"")</f>
        <v>Jaan Sepp, Oskar Sepp</v>
      </c>
      <c r="F105" s="88"/>
      <c r="G105" s="120">
        <v>13</v>
      </c>
      <c r="H105" s="88"/>
      <c r="I105" s="88"/>
    </row>
    <row r="106" spans="1:9" x14ac:dyDescent="0.2">
      <c r="A106" s="107" t="s">
        <v>85</v>
      </c>
      <c r="B106" s="404" t="str">
        <f>IFERROR(INDEX(B$7:B$32,MATCH(A106,I$7:I$32,0)),"")</f>
        <v>Boriss Klubov, Elmo Lageda</v>
      </c>
      <c r="C106" s="120">
        <v>11</v>
      </c>
      <c r="D106" s="112"/>
      <c r="E106" s="216"/>
      <c r="F106" s="111"/>
      <c r="G106" s="88"/>
      <c r="H106" s="88"/>
      <c r="I106" s="88"/>
    </row>
    <row r="107" spans="1:9" x14ac:dyDescent="0.2">
      <c r="A107" s="107"/>
      <c r="B107" s="423"/>
      <c r="C107" s="524" t="str">
        <f>IF(COUNT(C106,C108)=2,IF(C106&gt;C108,B106,B108),"")</f>
        <v>Johannes Neiland, Kati Tuzberg</v>
      </c>
      <c r="D107" s="234"/>
      <c r="E107" s="110">
        <v>6</v>
      </c>
      <c r="F107" s="112"/>
      <c r="G107" s="88"/>
      <c r="H107" s="88"/>
      <c r="I107" s="88"/>
    </row>
    <row r="108" spans="1:9" x14ac:dyDescent="0.2">
      <c r="A108" s="107" t="s">
        <v>71</v>
      </c>
      <c r="B108" s="406" t="str">
        <f>IFERROR(INDEX(B$7:B$32,MATCH(A108,I$7:I$32,0)),"")</f>
        <v>Johannes Neiland, Kati Tuzberg</v>
      </c>
      <c r="C108" s="110">
        <v>13</v>
      </c>
      <c r="D108" s="88"/>
      <c r="E108" s="99"/>
      <c r="F108" s="112"/>
      <c r="G108" s="88"/>
      <c r="H108" s="88"/>
      <c r="I108" s="88"/>
    </row>
    <row r="109" spans="1:9" ht="13.5" thickBot="1" x14ac:dyDescent="0.25">
      <c r="A109" s="87"/>
      <c r="B109" s="407"/>
      <c r="C109" s="88"/>
      <c r="D109" s="88"/>
      <c r="E109" s="99"/>
      <c r="F109" s="112"/>
      <c r="G109" s="88"/>
      <c r="H109" s="184" t="str">
        <f>IF(COUNT(G105,G113)=2,IF(G105&gt;G113,E105,E113),"")</f>
        <v>Jaan Sepp, Oskar Sepp</v>
      </c>
      <c r="I109" s="88"/>
    </row>
    <row r="110" spans="1:9" x14ac:dyDescent="0.2">
      <c r="A110" s="106" t="s">
        <v>86</v>
      </c>
      <c r="B110" s="404" t="str">
        <f>IFERROR(INDEX(B$7:B$32,MATCH(A110,I$7:I$32,0)),"")</f>
        <v>Kenneth Muusikus, Peep Peenema</v>
      </c>
      <c r="C110" s="120">
        <v>11</v>
      </c>
      <c r="D110" s="88"/>
      <c r="E110" s="88"/>
      <c r="F110" s="112"/>
      <c r="G110" s="114"/>
      <c r="H110" s="379" t="s">
        <v>275</v>
      </c>
      <c r="I110" s="378"/>
    </row>
    <row r="111" spans="1:9" x14ac:dyDescent="0.2">
      <c r="A111" s="107"/>
      <c r="B111" s="423"/>
      <c r="C111" s="524" t="str">
        <f>IF(COUNT(C110,C112)=2,IF(C110&gt;C112,B110,B112),"")</f>
        <v>Klavdia Piik, Ülo Piik</v>
      </c>
      <c r="D111" s="88"/>
      <c r="E111" s="120">
        <v>13</v>
      </c>
      <c r="F111" s="112"/>
      <c r="G111" s="99"/>
      <c r="H111" s="88"/>
      <c r="I111" s="88"/>
    </row>
    <row r="112" spans="1:9" x14ac:dyDescent="0.2">
      <c r="A112" s="107" t="s">
        <v>75</v>
      </c>
      <c r="B112" s="406" t="str">
        <f>IFERROR(INDEX(B$7:B$32,MATCH(A112,I$7:I$32,0)),"")</f>
        <v>Klavdia Piik, Ülo Piik</v>
      </c>
      <c r="C112" s="110">
        <v>13</v>
      </c>
      <c r="D112" s="111"/>
      <c r="E112" s="88"/>
      <c r="F112" s="112"/>
      <c r="G112" s="99"/>
      <c r="H112" s="88"/>
      <c r="I112" s="88"/>
    </row>
    <row r="113" spans="1:9" x14ac:dyDescent="0.2">
      <c r="A113" s="107"/>
      <c r="B113" s="407"/>
      <c r="C113" s="88"/>
      <c r="D113" s="112"/>
      <c r="E113" s="524" t="str">
        <f>IF(COUNT(E111,E115)=2,IF(E111&gt;E115,C111,C115),"")</f>
        <v>Klavdia Piik, Ülo Piik</v>
      </c>
      <c r="F113" s="234"/>
      <c r="G113" s="110">
        <v>10</v>
      </c>
      <c r="H113" s="88"/>
      <c r="I113" s="88"/>
    </row>
    <row r="114" spans="1:9" ht="13.5" thickBot="1" x14ac:dyDescent="0.25">
      <c r="A114" s="107" t="s">
        <v>407</v>
      </c>
      <c r="B114" s="404" t="str">
        <f>IFERROR(INDEX(B$7:B$32,MATCH(A114,I$7:I$32,0)),"")</f>
        <v>Andres Veski, Svetlana Veski</v>
      </c>
      <c r="C114" s="120">
        <v>9</v>
      </c>
      <c r="D114" s="112"/>
      <c r="E114" s="216"/>
      <c r="F114" s="99"/>
      <c r="G114" s="99"/>
      <c r="H114" s="184" t="str">
        <f>IF(COUNT(G105,G113)=2,IF(G105&lt;G113,E105,E113),"")</f>
        <v>Klavdia Piik, Ülo Piik</v>
      </c>
      <c r="I114" s="119"/>
    </row>
    <row r="115" spans="1:9" x14ac:dyDescent="0.2">
      <c r="A115" s="107"/>
      <c r="B115" s="423"/>
      <c r="C115" s="524" t="str">
        <f>IF(COUNT(C114,C116)=2,IF(C114&gt;C116,B114,B116),"")</f>
        <v>Karla Purgats, Lemmit Toomra</v>
      </c>
      <c r="D115" s="234"/>
      <c r="E115" s="110">
        <v>10</v>
      </c>
      <c r="F115" s="88"/>
      <c r="G115" s="99"/>
      <c r="H115" s="379" t="s">
        <v>276</v>
      </c>
      <c r="I115" s="99"/>
    </row>
    <row r="116" spans="1:9" x14ac:dyDescent="0.2">
      <c r="A116" s="107" t="s">
        <v>76</v>
      </c>
      <c r="B116" s="406" t="str">
        <f>IFERROR(INDEX(B$7:B$32,MATCH(A116,I$7:I$32,0)),"")</f>
        <v>Karla Purgats, Lemmit Toomra</v>
      </c>
      <c r="C116" s="110">
        <v>13</v>
      </c>
      <c r="D116" s="88"/>
      <c r="E116" s="99"/>
      <c r="F116" s="99"/>
      <c r="G116" s="99"/>
      <c r="H116" s="88"/>
      <c r="I116" s="88"/>
    </row>
    <row r="117" spans="1:9" x14ac:dyDescent="0.2">
      <c r="A117" s="87"/>
      <c r="B117" s="407"/>
      <c r="C117" s="88"/>
      <c r="D117" s="88"/>
      <c r="E117" s="217" t="str">
        <f>IF(COUNT(E103,E107)=2,IF(E103&lt;E107,C103,C107),"")</f>
        <v>Johannes Neiland, Kati Tuzberg</v>
      </c>
      <c r="F117" s="88"/>
      <c r="G117" s="120">
        <v>10</v>
      </c>
      <c r="H117" s="88"/>
      <c r="I117" s="88"/>
    </row>
    <row r="118" spans="1:9" ht="13.5" thickBot="1" x14ac:dyDescent="0.25">
      <c r="A118" s="88"/>
      <c r="B118" s="88"/>
      <c r="C118" s="88"/>
      <c r="D118" s="88"/>
      <c r="E118" s="108"/>
      <c r="F118" s="111"/>
      <c r="G118" s="119"/>
      <c r="H118" s="184" t="str">
        <f>IF(COUNT(G117,G119)=2,IF(G117&gt;G119,E117,E119),"")</f>
        <v>Karla Purgats, Lemmit Toomra</v>
      </c>
      <c r="I118" s="119"/>
    </row>
    <row r="119" spans="1:9" x14ac:dyDescent="0.2">
      <c r="A119" s="88"/>
      <c r="B119" s="88"/>
      <c r="C119" s="88"/>
      <c r="D119" s="88"/>
      <c r="E119" s="528" t="str">
        <f>IF(COUNT(E111,E115)=2,IF(E111&lt;E115,C111,C115),"")</f>
        <v>Karla Purgats, Lemmit Toomra</v>
      </c>
      <c r="F119" s="234"/>
      <c r="G119" s="110">
        <v>13</v>
      </c>
      <c r="H119" s="121" t="s">
        <v>277</v>
      </c>
      <c r="I119" s="99"/>
    </row>
    <row r="120" spans="1:9" x14ac:dyDescent="0.2">
      <c r="A120" s="88"/>
      <c r="B120" s="88"/>
      <c r="C120" s="88"/>
      <c r="D120" s="88"/>
      <c r="E120" s="88"/>
      <c r="F120" s="88"/>
      <c r="G120" s="88"/>
      <c r="H120" s="99"/>
      <c r="I120" s="99"/>
    </row>
    <row r="121" spans="1:9" ht="13.5" thickBot="1" x14ac:dyDescent="0.25">
      <c r="A121" s="88"/>
      <c r="B121" s="88"/>
      <c r="C121" s="88"/>
      <c r="D121" s="88"/>
      <c r="E121" s="99"/>
      <c r="F121" s="99"/>
      <c r="G121" s="88"/>
      <c r="H121" s="184" t="str">
        <f>IF(COUNT(G117,G119)=2,IF(G117&lt;G119,E117,E119),"")</f>
        <v>Johannes Neiland, Kati Tuzberg</v>
      </c>
      <c r="I121" s="119"/>
    </row>
    <row r="122" spans="1:9" x14ac:dyDescent="0.2">
      <c r="A122" s="88"/>
      <c r="B122" s="88"/>
      <c r="C122" s="88"/>
      <c r="D122" s="88"/>
      <c r="E122" s="88"/>
      <c r="F122" s="88"/>
      <c r="G122" s="88"/>
      <c r="H122" s="87" t="s">
        <v>50</v>
      </c>
      <c r="I122" s="88"/>
    </row>
    <row r="123" spans="1:9" x14ac:dyDescent="0.2">
      <c r="A123" s="88"/>
      <c r="B123" s="88"/>
      <c r="C123" s="399" t="str">
        <f>IF(COUNT(C102,C104)=2,IF(C102&lt;C104,B102,B104),"")</f>
        <v>Heili Vasser, Vello Vasser</v>
      </c>
      <c r="D123" s="88"/>
      <c r="E123" s="120">
        <v>12</v>
      </c>
      <c r="F123" s="120"/>
      <c r="G123" s="120"/>
      <c r="H123" s="88"/>
      <c r="I123" s="88"/>
    </row>
    <row r="124" spans="1:9" x14ac:dyDescent="0.2">
      <c r="A124" s="88"/>
      <c r="B124" s="88"/>
      <c r="C124" s="219"/>
      <c r="D124" s="220"/>
      <c r="E124" s="524" t="str">
        <f>IF(COUNT(E123,E125)=2,IF(E123&gt;E125,C123,C125),"")</f>
        <v>Boriss Klubov, Elmo Lageda</v>
      </c>
      <c r="F124" s="88"/>
      <c r="G124" s="120">
        <v>13</v>
      </c>
      <c r="H124" s="88"/>
      <c r="I124" s="88"/>
    </row>
    <row r="125" spans="1:9" x14ac:dyDescent="0.2">
      <c r="A125" s="88"/>
      <c r="B125" s="88"/>
      <c r="C125" s="399" t="str">
        <f>IF(COUNT(C106,C108)=2,IF(C106&lt;C108,B106,B108),"")</f>
        <v>Boriss Klubov, Elmo Lageda</v>
      </c>
      <c r="D125" s="409"/>
      <c r="E125" s="110">
        <v>13</v>
      </c>
      <c r="F125" s="220"/>
      <c r="G125" s="120"/>
      <c r="H125" s="88"/>
      <c r="I125" s="88"/>
    </row>
    <row r="126" spans="1:9" ht="13.5" thickBot="1" x14ac:dyDescent="0.25">
      <c r="A126" s="88"/>
      <c r="B126" s="88"/>
      <c r="C126" s="120"/>
      <c r="D126" s="120"/>
      <c r="E126" s="113"/>
      <c r="F126" s="221"/>
      <c r="G126" s="120"/>
      <c r="H126" s="184" t="str">
        <f>IF(COUNT(G124,G128)=2,IF(G124&gt;G128,E124,E128),"")</f>
        <v>Boriss Klubov, Elmo Lageda</v>
      </c>
      <c r="I126" s="88"/>
    </row>
    <row r="127" spans="1:9" x14ac:dyDescent="0.2">
      <c r="A127" s="88"/>
      <c r="B127" s="88"/>
      <c r="C127" s="399" t="str">
        <f>IF(COUNT(C110,C112)=2,IF(C110&lt;C112,B110,B112),"")</f>
        <v>Kenneth Muusikus, Peep Peenema</v>
      </c>
      <c r="D127" s="120"/>
      <c r="E127" s="120">
        <v>6</v>
      </c>
      <c r="F127" s="221"/>
      <c r="G127" s="222"/>
      <c r="H127" s="379" t="s">
        <v>51</v>
      </c>
      <c r="I127" s="378"/>
    </row>
    <row r="128" spans="1:9" x14ac:dyDescent="0.2">
      <c r="A128" s="88"/>
      <c r="B128" s="88"/>
      <c r="C128" s="219"/>
      <c r="D128" s="220"/>
      <c r="E128" s="524" t="str">
        <f>IF(COUNT(E127,E129)=2,IF(E127&gt;E129,C127,C129),"")</f>
        <v>Andres Veski, Svetlana Veski</v>
      </c>
      <c r="F128" s="234"/>
      <c r="G128" s="110">
        <v>10</v>
      </c>
      <c r="H128" s="88"/>
      <c r="I128" s="88"/>
    </row>
    <row r="129" spans="1:9" ht="13.5" thickBot="1" x14ac:dyDescent="0.25">
      <c r="A129" s="88"/>
      <c r="B129" s="88"/>
      <c r="C129" s="399" t="str">
        <f>IF(COUNT(C114,C116)=2,IF(C114&lt;C116,B114,B116),"")</f>
        <v>Andres Veski, Svetlana Veski</v>
      </c>
      <c r="D129" s="409"/>
      <c r="E129" s="110">
        <v>13</v>
      </c>
      <c r="F129" s="120"/>
      <c r="G129" s="113"/>
      <c r="H129" s="184" t="str">
        <f>IF(COUNT(G124,G128)=2,IF(G124&lt;G128,E124,E128),"")</f>
        <v>Andres Veski, Svetlana Veski</v>
      </c>
      <c r="I129" s="119"/>
    </row>
    <row r="130" spans="1:9" x14ac:dyDescent="0.2">
      <c r="A130" s="88"/>
      <c r="B130" s="88"/>
      <c r="C130" s="120"/>
      <c r="D130" s="120"/>
      <c r="E130" s="120"/>
      <c r="F130" s="120"/>
      <c r="G130" s="113"/>
      <c r="H130" s="379" t="s">
        <v>52</v>
      </c>
      <c r="I130" s="99"/>
    </row>
    <row r="131" spans="1:9" x14ac:dyDescent="0.2">
      <c r="A131" s="88"/>
      <c r="B131" s="88"/>
      <c r="C131" s="120"/>
      <c r="D131" s="113"/>
      <c r="E131" s="217" t="str">
        <f>IF(COUNT(E123,E125)=2,IF(E123&lt;E125,C123,C125),"")</f>
        <v>Heili Vasser, Vello Vasser</v>
      </c>
      <c r="F131" s="88"/>
      <c r="G131" s="120">
        <v>13</v>
      </c>
      <c r="H131" s="99"/>
      <c r="I131" s="99"/>
    </row>
    <row r="132" spans="1:9" ht="13.5" thickBot="1" x14ac:dyDescent="0.25">
      <c r="A132" s="88"/>
      <c r="B132" s="88"/>
      <c r="C132" s="120"/>
      <c r="D132" s="113"/>
      <c r="E132" s="108"/>
      <c r="F132" s="111"/>
      <c r="G132" s="119"/>
      <c r="H132" s="184" t="str">
        <f>IF(COUNT(G131,G133)=2,IF(G131&gt;G133,E131,E133),"")</f>
        <v>Heili Vasser, Vello Vasser</v>
      </c>
      <c r="I132" s="119"/>
    </row>
    <row r="133" spans="1:9" x14ac:dyDescent="0.2">
      <c r="A133" s="88"/>
      <c r="B133" s="88"/>
      <c r="C133" s="120"/>
      <c r="D133" s="113"/>
      <c r="E133" s="528" t="str">
        <f>IF(COUNT(E127,E129)=2,IF(E127&lt;E129,C127,C129),"")</f>
        <v>Kenneth Muusikus, Peep Peenema</v>
      </c>
      <c r="F133" s="234"/>
      <c r="G133" s="110">
        <v>11</v>
      </c>
      <c r="H133" s="121" t="s">
        <v>53</v>
      </c>
      <c r="I133" s="99"/>
    </row>
    <row r="134" spans="1:9" x14ac:dyDescent="0.2">
      <c r="A134" s="88"/>
      <c r="B134" s="88"/>
      <c r="C134" s="88"/>
      <c r="D134" s="99"/>
      <c r="E134" s="88"/>
      <c r="F134" s="88"/>
      <c r="G134" s="88"/>
      <c r="H134" s="99"/>
      <c r="I134" s="99"/>
    </row>
    <row r="135" spans="1:9" ht="13.5" thickBot="1" x14ac:dyDescent="0.25">
      <c r="A135" s="88"/>
      <c r="B135" s="88"/>
      <c r="C135" s="88"/>
      <c r="D135" s="88"/>
      <c r="E135" s="99"/>
      <c r="F135" s="99"/>
      <c r="G135" s="88"/>
      <c r="H135" s="119" t="str">
        <f>IF(COUNT(G131,G133)=2,IF(G131&lt;G133,E131,E133),"")</f>
        <v>Kenneth Muusikus, Peep Peenema</v>
      </c>
      <c r="I135" s="119"/>
    </row>
    <row r="136" spans="1:9" x14ac:dyDescent="0.2">
      <c r="A136" s="88"/>
      <c r="B136" s="88"/>
      <c r="C136" s="88"/>
      <c r="D136" s="88"/>
      <c r="E136" s="99"/>
      <c r="F136" s="99"/>
      <c r="G136" s="88"/>
      <c r="H136" s="121" t="s">
        <v>54</v>
      </c>
      <c r="I136" s="88"/>
    </row>
    <row r="137" spans="1:9" x14ac:dyDescent="0.2">
      <c r="A137" s="349"/>
      <c r="B137" s="349"/>
      <c r="C137" s="349"/>
      <c r="D137" s="349"/>
      <c r="E137" s="349"/>
      <c r="F137" s="349"/>
      <c r="G137" s="349"/>
      <c r="H137" s="349"/>
      <c r="I137" s="349"/>
    </row>
    <row r="138" spans="1:9" x14ac:dyDescent="0.2">
      <c r="A138" s="218" t="s">
        <v>410</v>
      </c>
    </row>
    <row r="139" spans="1:9" x14ac:dyDescent="0.2">
      <c r="A139" s="88"/>
      <c r="B139" s="88"/>
      <c r="C139" s="88"/>
      <c r="D139" s="88"/>
      <c r="E139" s="88"/>
      <c r="F139" s="88"/>
      <c r="G139" s="88"/>
      <c r="H139" s="88"/>
      <c r="I139" s="88"/>
    </row>
    <row r="140" spans="1:9" x14ac:dyDescent="0.2">
      <c r="A140" s="106" t="s">
        <v>93</v>
      </c>
      <c r="B140" s="404" t="str">
        <f>IFERROR(INDEX(B$7:B$32,MATCH(A140,I$7:I$32,0)),"")</f>
        <v>Enn Tokman, Tarmo Bombe</v>
      </c>
      <c r="C140" s="120">
        <v>6</v>
      </c>
      <c r="D140" s="88"/>
      <c r="E140" s="88"/>
      <c r="F140" s="88"/>
      <c r="G140" s="88"/>
      <c r="H140" s="88"/>
      <c r="I140" s="88"/>
    </row>
    <row r="141" spans="1:9" x14ac:dyDescent="0.2">
      <c r="A141" s="107"/>
      <c r="B141" s="423"/>
      <c r="C141" s="524" t="str">
        <f>IF(COUNT(C140,C142)=2,IF(C140&gt;C142,B140,B142),"")</f>
        <v>Oleg Rõndenkov, Toomas Tedrekull</v>
      </c>
      <c r="D141" s="88"/>
      <c r="E141" s="120">
        <v>13</v>
      </c>
      <c r="F141" s="88"/>
      <c r="G141" s="88"/>
      <c r="H141" s="88"/>
      <c r="I141" s="88"/>
    </row>
    <row r="142" spans="1:9" x14ac:dyDescent="0.2">
      <c r="A142" s="107" t="s">
        <v>409</v>
      </c>
      <c r="B142" s="406" t="str">
        <f>IFERROR(INDEX(B$7:B$32,MATCH(A142,I$7:I$32,0)),"")</f>
        <v>Oleg Rõndenkov, Toomas Tedrekull</v>
      </c>
      <c r="C142" s="110">
        <v>13</v>
      </c>
      <c r="D142" s="111"/>
      <c r="E142" s="88"/>
      <c r="F142" s="88"/>
      <c r="G142" s="88"/>
      <c r="H142" s="88"/>
      <c r="I142" s="88"/>
    </row>
    <row r="143" spans="1:9" x14ac:dyDescent="0.2">
      <c r="A143" s="107"/>
      <c r="B143" s="407"/>
      <c r="C143" s="88"/>
      <c r="D143" s="112"/>
      <c r="E143" s="524" t="str">
        <f>IF(COUNT(E141,E145)=2,IF(E141&gt;E145,C141,C145),"")</f>
        <v>Oleg Rõndenkov, Toomas Tedrekull</v>
      </c>
      <c r="F143" s="88"/>
      <c r="G143" s="120">
        <v>10</v>
      </c>
      <c r="H143" s="88"/>
      <c r="I143" s="88"/>
    </row>
    <row r="144" spans="1:9" x14ac:dyDescent="0.2">
      <c r="A144" s="107" t="s">
        <v>118</v>
      </c>
      <c r="B144" s="404" t="str">
        <f>IFERROR(INDEX(B$7:B$32,MATCH(A144,I$7:I$32,0)),"")</f>
        <v>Henri Mitt, Taavi Press</v>
      </c>
      <c r="C144" s="120">
        <f>IF(B144="-",0,IF(B146="-",13,""))</f>
        <v>13</v>
      </c>
      <c r="D144" s="112"/>
      <c r="E144" s="216"/>
      <c r="F144" s="111"/>
      <c r="G144" s="88"/>
      <c r="H144" s="88"/>
      <c r="I144" s="88"/>
    </row>
    <row r="145" spans="1:9" x14ac:dyDescent="0.2">
      <c r="A145" s="107"/>
      <c r="B145" s="423"/>
      <c r="C145" s="524" t="str">
        <f>IF(COUNT(C144,C146)=2,IF(C144&gt;C146,B144,B146),"")</f>
        <v>Henri Mitt, Taavi Press</v>
      </c>
      <c r="D145" s="234"/>
      <c r="E145" s="110">
        <v>2</v>
      </c>
      <c r="F145" s="112"/>
      <c r="G145" s="88"/>
      <c r="H145" s="88"/>
      <c r="I145" s="88"/>
    </row>
    <row r="146" spans="1:9" x14ac:dyDescent="0.2">
      <c r="A146" s="107" t="s">
        <v>189</v>
      </c>
      <c r="B146" s="406" t="s">
        <v>70</v>
      </c>
      <c r="C146" s="110">
        <f>IF(B146="-",0,IF(B144="-",13,""))</f>
        <v>0</v>
      </c>
      <c r="D146" s="88"/>
      <c r="E146" s="99"/>
      <c r="F146" s="112"/>
      <c r="G146" s="88"/>
      <c r="H146" s="88"/>
      <c r="I146" s="88"/>
    </row>
    <row r="147" spans="1:9" ht="13.5" thickBot="1" x14ac:dyDescent="0.25">
      <c r="A147" s="87"/>
      <c r="B147" s="407"/>
      <c r="C147" s="88"/>
      <c r="D147" s="88"/>
      <c r="E147" s="99"/>
      <c r="F147" s="112"/>
      <c r="G147" s="88"/>
      <c r="H147" s="526" t="str">
        <f>IF(COUNT(G143,G151)=2,IF(G143&gt;G151,E143,E151),"")</f>
        <v>Andres Viisitam, Tõnu Piik</v>
      </c>
      <c r="I147" s="88"/>
    </row>
    <row r="148" spans="1:9" x14ac:dyDescent="0.2">
      <c r="A148" s="106" t="s">
        <v>94</v>
      </c>
      <c r="B148" s="404" t="str">
        <f>IFERROR(INDEX(B$7:B$32,MATCH(A148,I$7:I$32,0)),"")</f>
        <v>Einar Juhkam, Illar Tõnurist</v>
      </c>
      <c r="C148" s="120">
        <f>IF(B148="-",0,IF(B150="-",13,""))</f>
        <v>13</v>
      </c>
      <c r="D148" s="88"/>
      <c r="E148" s="88"/>
      <c r="F148" s="112"/>
      <c r="G148" s="114"/>
      <c r="H148" s="379" t="s">
        <v>55</v>
      </c>
      <c r="I148" s="378"/>
    </row>
    <row r="149" spans="1:9" x14ac:dyDescent="0.2">
      <c r="A149" s="107"/>
      <c r="B149" s="423"/>
      <c r="C149" s="524" t="str">
        <f>IF(COUNT(C148,C150)=2,IF(C148&gt;C150,B148,B150),"")</f>
        <v>Einar Juhkam, Illar Tõnurist</v>
      </c>
      <c r="D149" s="88"/>
      <c r="E149" s="120">
        <v>8</v>
      </c>
      <c r="F149" s="112"/>
      <c r="G149" s="99"/>
      <c r="H149" s="88"/>
      <c r="I149" s="88"/>
    </row>
    <row r="150" spans="1:9" x14ac:dyDescent="0.2">
      <c r="A150" s="107" t="s">
        <v>122</v>
      </c>
      <c r="B150" s="406" t="s">
        <v>70</v>
      </c>
      <c r="C150" s="110">
        <f>IF(B150="-",0,IF(B148="-",13,""))</f>
        <v>0</v>
      </c>
      <c r="D150" s="111"/>
      <c r="E150" s="88"/>
      <c r="F150" s="112"/>
      <c r="G150" s="99"/>
      <c r="H150" s="88"/>
      <c r="I150" s="88"/>
    </row>
    <row r="151" spans="1:9" x14ac:dyDescent="0.2">
      <c r="A151" s="107"/>
      <c r="B151" s="407"/>
      <c r="C151" s="88"/>
      <c r="D151" s="112"/>
      <c r="E151" s="524" t="str">
        <f>IF(COUNT(E149,E153)=2,IF(E149&gt;E153,C149,C153),"")</f>
        <v>Andres Viisitam, Tõnu Piik</v>
      </c>
      <c r="F151" s="234"/>
      <c r="G151" s="110">
        <v>13</v>
      </c>
      <c r="H151" s="88"/>
      <c r="I151" s="88"/>
    </row>
    <row r="152" spans="1:9" ht="13.5" thickBot="1" x14ac:dyDescent="0.25">
      <c r="A152" s="107" t="s">
        <v>408</v>
      </c>
      <c r="B152" s="447" t="str">
        <f>IFERROR(INDEX(B$7:B$32,MATCH(A152,I$7:I$32,0)),"")</f>
        <v>Andres Viisitam, Tõnu Piik</v>
      </c>
      <c r="C152" s="120">
        <f>IF(B152="-",0,IF(B154="-",13,""))</f>
        <v>13</v>
      </c>
      <c r="D152" s="112"/>
      <c r="E152" s="216"/>
      <c r="F152" s="99"/>
      <c r="G152" s="99"/>
      <c r="H152" s="526" t="str">
        <f>IF(COUNT(G143,G151)=2,IF(G143&lt;G151,E143,E151),"")</f>
        <v>Oleg Rõndenkov, Toomas Tedrekull</v>
      </c>
      <c r="I152" s="527"/>
    </row>
    <row r="153" spans="1:9" x14ac:dyDescent="0.2">
      <c r="A153" s="107"/>
      <c r="B153" s="423"/>
      <c r="C153" s="524" t="str">
        <f>IF(COUNT(C152,C154)=2,IF(C152&gt;C154,B152,B154),"")</f>
        <v>Andres Viisitam, Tõnu Piik</v>
      </c>
      <c r="D153" s="234"/>
      <c r="E153" s="110">
        <v>13</v>
      </c>
      <c r="F153" s="88"/>
      <c r="G153" s="99"/>
      <c r="H153" s="379" t="s">
        <v>56</v>
      </c>
      <c r="I153" s="99"/>
    </row>
    <row r="154" spans="1:9" x14ac:dyDescent="0.2">
      <c r="A154" s="107" t="s">
        <v>95</v>
      </c>
      <c r="B154" s="406" t="s">
        <v>70</v>
      </c>
      <c r="C154" s="110">
        <f>IF(B154="-",0,IF(B152="-",13,""))</f>
        <v>0</v>
      </c>
      <c r="D154" s="88"/>
      <c r="E154" s="99"/>
      <c r="F154" s="99"/>
      <c r="G154" s="99"/>
      <c r="H154" s="88"/>
      <c r="I154" s="88"/>
    </row>
    <row r="155" spans="1:9" x14ac:dyDescent="0.2">
      <c r="A155" s="87"/>
      <c r="B155" s="407"/>
      <c r="C155" s="88"/>
      <c r="D155" s="88"/>
      <c r="E155" s="217" t="str">
        <f>IF(COUNT(E141,E145)=2,IF(E141&lt;E145,C141,C145),"")</f>
        <v>Henri Mitt, Taavi Press</v>
      </c>
      <c r="F155" s="88"/>
      <c r="G155" s="120">
        <v>13</v>
      </c>
      <c r="H155" s="88"/>
      <c r="I155" s="88"/>
    </row>
    <row r="156" spans="1:9" ht="13.5" thickBot="1" x14ac:dyDescent="0.25">
      <c r="A156" s="88"/>
      <c r="B156" s="88"/>
      <c r="C156" s="88"/>
      <c r="D156" s="88"/>
      <c r="E156" s="108"/>
      <c r="F156" s="111"/>
      <c r="G156" s="119"/>
      <c r="H156" s="526" t="str">
        <f>IF(COUNT(G155,G157)=2,IF(G155&gt;G157,E155,E157),"")</f>
        <v>Henri Mitt, Taavi Press</v>
      </c>
      <c r="I156" s="527"/>
    </row>
    <row r="157" spans="1:9" x14ac:dyDescent="0.2">
      <c r="A157" s="88"/>
      <c r="B157" s="88"/>
      <c r="C157" s="88"/>
      <c r="D157" s="88"/>
      <c r="E157" s="528" t="str">
        <f>IF(COUNT(E149,E153)=2,IF(E149&lt;E153,C149,C153),"")</f>
        <v>Einar Juhkam, Illar Tõnurist</v>
      </c>
      <c r="F157" s="234"/>
      <c r="G157" s="110">
        <v>1</v>
      </c>
      <c r="H157" s="121" t="s">
        <v>57</v>
      </c>
      <c r="I157" s="99"/>
    </row>
    <row r="158" spans="1:9" x14ac:dyDescent="0.2">
      <c r="A158" s="88"/>
      <c r="B158" s="88"/>
      <c r="C158" s="88"/>
      <c r="D158" s="88"/>
      <c r="E158" s="88"/>
      <c r="F158" s="88"/>
      <c r="G158" s="88"/>
      <c r="H158" s="99"/>
      <c r="I158" s="99"/>
    </row>
    <row r="159" spans="1:9" ht="13.5" thickBot="1" x14ac:dyDescent="0.25">
      <c r="A159" s="88"/>
      <c r="B159" s="88"/>
      <c r="C159" s="88"/>
      <c r="D159" s="88"/>
      <c r="E159" s="99"/>
      <c r="F159" s="99"/>
      <c r="G159" s="88"/>
      <c r="H159" s="526" t="str">
        <f>IF(COUNT(G155,G157)=2,IF(G155&lt;G157,E155,E157),"")</f>
        <v>Einar Juhkam, Illar Tõnurist</v>
      </c>
      <c r="I159" s="527"/>
    </row>
    <row r="160" spans="1:9" x14ac:dyDescent="0.2">
      <c r="A160" s="88"/>
      <c r="B160" s="88"/>
      <c r="C160" s="88"/>
      <c r="D160" s="88"/>
      <c r="E160" s="88"/>
      <c r="F160" s="88"/>
      <c r="G160" s="88"/>
      <c r="H160" s="87" t="s">
        <v>58</v>
      </c>
      <c r="I160" s="88"/>
    </row>
    <row r="161" spans="1:9" x14ac:dyDescent="0.2">
      <c r="A161" s="88"/>
      <c r="B161" s="88"/>
      <c r="C161" s="528" t="str">
        <f>IF(COUNT(C140,C142)=2,IF(C140&lt;C142,B140,B142),"")</f>
        <v>Enn Tokman, Tarmo Bombe</v>
      </c>
      <c r="D161" s="88"/>
      <c r="E161" s="120">
        <f>IF(C161="-",0,IF(C163="-",13,""))</f>
        <v>13</v>
      </c>
      <c r="F161" s="120"/>
      <c r="G161" s="120"/>
      <c r="H161" s="88"/>
      <c r="I161" s="88"/>
    </row>
    <row r="162" spans="1:9" x14ac:dyDescent="0.2">
      <c r="A162" s="88"/>
      <c r="B162" s="88"/>
      <c r="C162" s="219"/>
      <c r="D162" s="220"/>
      <c r="E162" s="524" t="str">
        <f>IF(COUNT(E161,E163)=2,IF(E161&gt;E163,C161,C163),"")</f>
        <v>Enn Tokman, Tarmo Bombe</v>
      </c>
      <c r="F162" s="88"/>
      <c r="G162" s="120">
        <f>IF(E162="-",0,IF(E166="-",13,""))</f>
        <v>13</v>
      </c>
      <c r="H162" s="88"/>
      <c r="I162" s="88"/>
    </row>
    <row r="163" spans="1:9" x14ac:dyDescent="0.2">
      <c r="A163" s="88"/>
      <c r="B163" s="88"/>
      <c r="C163" s="528" t="str">
        <f>IF(COUNT(C144,C146)=2,IF(C144&lt;C146,B144,B146),"")</f>
        <v>-</v>
      </c>
      <c r="D163" s="529"/>
      <c r="E163" s="110">
        <f>IF(C163="-",0,IF(C161="-",13,""))</f>
        <v>0</v>
      </c>
      <c r="F163" s="220"/>
      <c r="G163" s="120"/>
      <c r="H163" s="88"/>
      <c r="I163" s="88"/>
    </row>
    <row r="164" spans="1:9" ht="13.5" thickBot="1" x14ac:dyDescent="0.25">
      <c r="A164" s="88"/>
      <c r="B164" s="88"/>
      <c r="C164" s="120"/>
      <c r="D164" s="120"/>
      <c r="E164" s="113"/>
      <c r="F164" s="221"/>
      <c r="G164" s="120"/>
      <c r="H164" s="526" t="str">
        <f>IF(COUNT(G162,G166)=2,IF(G162&gt;G166,E162,E166),"")</f>
        <v>Enn Tokman, Tarmo Bombe</v>
      </c>
      <c r="I164" s="88"/>
    </row>
    <row r="165" spans="1:9" x14ac:dyDescent="0.2">
      <c r="A165" s="88"/>
      <c r="B165" s="88"/>
      <c r="C165" s="528" t="str">
        <f>IF(COUNT(C148,C150)=2,IF(C148&lt;C150,B148,B150),"")</f>
        <v>-</v>
      </c>
      <c r="D165" s="120"/>
      <c r="E165" s="120">
        <f>IF(C165="-",0,IF(C167="-",13,""))</f>
        <v>0</v>
      </c>
      <c r="F165" s="221"/>
      <c r="G165" s="222"/>
      <c r="H165" s="379" t="s">
        <v>59</v>
      </c>
      <c r="I165" s="378"/>
    </row>
    <row r="166" spans="1:9" x14ac:dyDescent="0.2">
      <c r="A166" s="88"/>
      <c r="B166" s="88"/>
      <c r="C166" s="219"/>
      <c r="D166" s="220"/>
      <c r="E166" s="524" t="str">
        <f>IF(COUNT(E165,E167)=2,IF(E165&gt;E167,C165,C167),"")</f>
        <v>-</v>
      </c>
      <c r="F166" s="234"/>
      <c r="G166" s="110">
        <f>IF(E166="-",0,IF(E162="-",13,""))</f>
        <v>0</v>
      </c>
      <c r="H166" s="88"/>
      <c r="I166" s="88"/>
    </row>
    <row r="167" spans="1:9" ht="13.5" thickBot="1" x14ac:dyDescent="0.25">
      <c r="A167" s="88"/>
      <c r="B167" s="88"/>
      <c r="C167" s="528" t="str">
        <f>IF(COUNT(C152,C154)=2,IF(C152&lt;C154,B152,B154),"")</f>
        <v>-</v>
      </c>
      <c r="D167" s="529"/>
      <c r="E167" s="110">
        <f>IF(C167="-",0,IF(C165="-",13,""))</f>
        <v>0</v>
      </c>
      <c r="F167" s="120"/>
      <c r="G167" s="113"/>
      <c r="H167" s="526" t="str">
        <f>IF(COUNT(G162,G166)=2,IF(G162&lt;G166,E162,E166),"")</f>
        <v>-</v>
      </c>
      <c r="I167" s="527"/>
    </row>
    <row r="168" spans="1:9" x14ac:dyDescent="0.2">
      <c r="A168" s="88"/>
      <c r="B168" s="88"/>
      <c r="C168" s="120"/>
      <c r="D168" s="120"/>
      <c r="E168" s="120"/>
      <c r="F168" s="120"/>
      <c r="G168" s="113"/>
      <c r="H168" s="379"/>
      <c r="I168" s="99"/>
    </row>
    <row r="169" spans="1:9" x14ac:dyDescent="0.2">
      <c r="A169" s="88"/>
      <c r="B169" s="88"/>
      <c r="C169" s="120"/>
      <c r="D169" s="113"/>
      <c r="E169" s="217" t="str">
        <f>IF(COUNT(E161,E163)=2,IF(E161&lt;E163,C161,C163),"")</f>
        <v>-</v>
      </c>
      <c r="F169" s="88"/>
      <c r="G169" s="120">
        <f>IF(E169="-",0,IF(E171="-",13,""))</f>
        <v>0</v>
      </c>
      <c r="H169" s="99"/>
      <c r="I169" s="99"/>
    </row>
    <row r="170" spans="1:9" ht="13.5" thickBot="1" x14ac:dyDescent="0.25">
      <c r="A170" s="88"/>
      <c r="B170" s="88"/>
      <c r="C170" s="120"/>
      <c r="D170" s="113"/>
      <c r="E170" s="108"/>
      <c r="F170" s="111"/>
      <c r="G170" s="119"/>
      <c r="H170" s="526" t="str">
        <f>IF(COUNT(G169,G171)=2,IF(G169&gt;G171,E169,E171),"")</f>
        <v>-</v>
      </c>
      <c r="I170" s="527"/>
    </row>
    <row r="171" spans="1:9" x14ac:dyDescent="0.2">
      <c r="A171" s="88"/>
      <c r="B171" s="88"/>
      <c r="C171" s="120"/>
      <c r="D171" s="113"/>
      <c r="E171" s="528" t="str">
        <f>IF(COUNT(E165,E167)=2,IF(E165&lt;E167,C165,C167),"")</f>
        <v>-</v>
      </c>
      <c r="F171" s="234"/>
      <c r="G171" s="110">
        <f>IF(E171="-",0,IF(E169="-",13,""))</f>
        <v>0</v>
      </c>
      <c r="H171" s="379"/>
      <c r="I171" s="99"/>
    </row>
    <row r="172" spans="1:9" x14ac:dyDescent="0.2">
      <c r="A172" s="88"/>
      <c r="B172" s="88"/>
      <c r="C172" s="88"/>
      <c r="D172" s="99"/>
      <c r="E172" s="88"/>
      <c r="F172" s="88"/>
      <c r="G172" s="88"/>
      <c r="H172" s="99"/>
      <c r="I172" s="99"/>
    </row>
    <row r="173" spans="1:9" ht="13.5" thickBot="1" x14ac:dyDescent="0.25">
      <c r="A173" s="88"/>
      <c r="B173" s="88"/>
      <c r="C173" s="88"/>
      <c r="D173" s="88"/>
      <c r="E173" s="99"/>
      <c r="F173" s="99"/>
      <c r="G173" s="88"/>
      <c r="H173" s="527" t="str">
        <f>IF(COUNT(G169,G171)=2,IF(G169&lt;G171,E169,E171),"")</f>
        <v>-</v>
      </c>
      <c r="I173" s="527"/>
    </row>
    <row r="174" spans="1:9" x14ac:dyDescent="0.2">
      <c r="A174" s="88"/>
      <c r="B174" s="88"/>
      <c r="C174" s="88"/>
      <c r="D174" s="88"/>
      <c r="E174" s="99"/>
      <c r="F174" s="99"/>
      <c r="G174" s="88"/>
      <c r="H174" s="379"/>
      <c r="I174" s="88"/>
    </row>
    <row r="176" spans="1:9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spans="1:6" hidden="1" x14ac:dyDescent="0.2"/>
    <row r="290" spans="1:6" hidden="1" x14ac:dyDescent="0.2"/>
    <row r="291" spans="1:6" hidden="1" x14ac:dyDescent="0.2"/>
    <row r="292" spans="1:6" hidden="1" x14ac:dyDescent="0.2"/>
    <row r="293" spans="1:6" hidden="1" x14ac:dyDescent="0.2"/>
    <row r="294" spans="1:6" hidden="1" x14ac:dyDescent="0.2"/>
    <row r="295" spans="1:6" hidden="1" x14ac:dyDescent="0.2"/>
    <row r="296" spans="1:6" hidden="1" x14ac:dyDescent="0.2"/>
    <row r="297" spans="1:6" hidden="1" x14ac:dyDescent="0.2"/>
    <row r="298" spans="1:6" hidden="1" x14ac:dyDescent="0.2"/>
    <row r="299" spans="1:6" x14ac:dyDescent="0.2">
      <c r="C299" s="264" t="s">
        <v>263</v>
      </c>
    </row>
    <row r="300" spans="1:6" x14ac:dyDescent="0.2">
      <c r="A300" s="424">
        <v>1</v>
      </c>
      <c r="B300" s="124" t="str">
        <f t="shared" ref="B300:B312" si="15">IFERROR(INDEX(H$109:H$173,MATCH(A300&amp;". koht",H$110:H$174,0)),"")</f>
        <v>Jaan Sepp, Oskar Sepp</v>
      </c>
      <c r="C300" s="88">
        <f>MAX(A300:A312)</f>
        <v>13</v>
      </c>
    </row>
    <row r="301" spans="1:6" x14ac:dyDescent="0.2">
      <c r="A301" s="424">
        <v>2</v>
      </c>
      <c r="B301" s="615" t="str">
        <f t="shared" si="15"/>
        <v>Klavdia Piik, Ülo Piik</v>
      </c>
      <c r="C301" s="88">
        <f>C300-1</f>
        <v>12</v>
      </c>
    </row>
    <row r="302" spans="1:6" x14ac:dyDescent="0.2">
      <c r="A302" s="424">
        <v>3</v>
      </c>
      <c r="B302" s="616" t="str">
        <f t="shared" si="15"/>
        <v>Karla Purgats, Lemmit Toomra</v>
      </c>
      <c r="C302" s="88">
        <f t="shared" ref="C302:C312" si="16">C301-1</f>
        <v>11</v>
      </c>
    </row>
    <row r="303" spans="1:6" x14ac:dyDescent="0.2">
      <c r="A303" s="424">
        <v>4</v>
      </c>
      <c r="B303" s="191" t="str">
        <f t="shared" si="15"/>
        <v>Johannes Neiland, Kati Tuzberg</v>
      </c>
      <c r="C303" s="88">
        <f t="shared" si="16"/>
        <v>10</v>
      </c>
      <c r="E303" s="188"/>
      <c r="F303" s="188"/>
    </row>
    <row r="304" spans="1:6" x14ac:dyDescent="0.2">
      <c r="A304" s="424">
        <v>5</v>
      </c>
      <c r="B304" s="191" t="str">
        <f t="shared" si="15"/>
        <v>Boriss Klubov, Elmo Lageda</v>
      </c>
      <c r="C304" s="88">
        <f t="shared" si="16"/>
        <v>9</v>
      </c>
      <c r="E304" s="188"/>
      <c r="F304" s="188"/>
    </row>
    <row r="305" spans="1:14" x14ac:dyDescent="0.2">
      <c r="A305" s="424">
        <v>6</v>
      </c>
      <c r="B305" s="191" t="str">
        <f t="shared" si="15"/>
        <v>Andres Veski, Svetlana Veski</v>
      </c>
      <c r="C305" s="88">
        <f t="shared" si="16"/>
        <v>8</v>
      </c>
      <c r="E305" s="188"/>
      <c r="F305" s="215"/>
    </row>
    <row r="306" spans="1:14" x14ac:dyDescent="0.2">
      <c r="A306" s="424">
        <v>7</v>
      </c>
      <c r="B306" s="191" t="str">
        <f t="shared" si="15"/>
        <v>Heili Vasser, Vello Vasser</v>
      </c>
      <c r="C306" s="88">
        <f t="shared" si="16"/>
        <v>7</v>
      </c>
      <c r="E306" s="188"/>
      <c r="F306" s="212"/>
    </row>
    <row r="307" spans="1:14" x14ac:dyDescent="0.2">
      <c r="A307" s="424">
        <v>8</v>
      </c>
      <c r="B307" s="191" t="str">
        <f t="shared" si="15"/>
        <v>Kenneth Muusikus, Peep Peenema</v>
      </c>
      <c r="C307" s="88">
        <f t="shared" si="16"/>
        <v>6</v>
      </c>
      <c r="E307" s="188"/>
      <c r="F307" s="188"/>
    </row>
    <row r="308" spans="1:14" x14ac:dyDescent="0.2">
      <c r="A308" s="424">
        <v>9</v>
      </c>
      <c r="B308" s="191" t="str">
        <f t="shared" si="15"/>
        <v>Andres Viisitam, Tõnu Piik</v>
      </c>
      <c r="C308" s="88">
        <f t="shared" si="16"/>
        <v>5</v>
      </c>
      <c r="E308" s="188"/>
      <c r="F308" s="212"/>
    </row>
    <row r="309" spans="1:14" x14ac:dyDescent="0.2">
      <c r="A309" s="424">
        <v>10</v>
      </c>
      <c r="B309" s="191" t="str">
        <f t="shared" si="15"/>
        <v>Oleg Rõndenkov, Toomas Tedrekull</v>
      </c>
      <c r="C309" s="88">
        <f t="shared" si="16"/>
        <v>4</v>
      </c>
      <c r="E309" s="188"/>
      <c r="F309" s="188"/>
      <c r="G309" s="188"/>
      <c r="H309" s="188"/>
      <c r="I309" s="188"/>
      <c r="L309" s="188"/>
      <c r="M309" s="188"/>
      <c r="N309" s="188"/>
    </row>
    <row r="310" spans="1:14" x14ac:dyDescent="0.2">
      <c r="A310" s="424">
        <v>11</v>
      </c>
      <c r="B310" s="191" t="str">
        <f t="shared" si="15"/>
        <v>Henri Mitt, Taavi Press</v>
      </c>
      <c r="C310" s="88">
        <f t="shared" si="16"/>
        <v>3</v>
      </c>
      <c r="E310" s="188"/>
      <c r="F310" s="188"/>
      <c r="G310" s="188"/>
      <c r="H310" s="188"/>
      <c r="I310" s="188"/>
      <c r="L310" s="188"/>
      <c r="M310" s="188"/>
      <c r="N310" s="188"/>
    </row>
    <row r="311" spans="1:14" x14ac:dyDescent="0.2">
      <c r="A311" s="424">
        <v>12</v>
      </c>
      <c r="B311" s="191" t="str">
        <f t="shared" si="15"/>
        <v>Einar Juhkam, Illar Tõnurist</v>
      </c>
      <c r="C311" s="88">
        <f t="shared" si="16"/>
        <v>2</v>
      </c>
      <c r="E311" s="188"/>
      <c r="F311" s="188"/>
      <c r="G311" s="188"/>
      <c r="H311" s="188"/>
      <c r="I311" s="188"/>
      <c r="L311" s="188"/>
      <c r="M311" s="188"/>
      <c r="N311" s="188"/>
    </row>
    <row r="312" spans="1:14" x14ac:dyDescent="0.2">
      <c r="A312" s="424">
        <v>13</v>
      </c>
      <c r="B312" s="191" t="str">
        <f t="shared" si="15"/>
        <v>Enn Tokman, Tarmo Bombe</v>
      </c>
      <c r="C312" s="88">
        <f t="shared" si="16"/>
        <v>1</v>
      </c>
      <c r="E312" s="188"/>
      <c r="F312" s="188"/>
      <c r="G312" s="188"/>
      <c r="H312" s="188"/>
      <c r="I312" s="188"/>
      <c r="L312" s="188"/>
      <c r="M312" s="188"/>
      <c r="N312" s="188"/>
    </row>
    <row r="313" spans="1:14" x14ac:dyDescent="0.2">
      <c r="E313" s="188"/>
      <c r="F313" s="188"/>
      <c r="G313" s="188"/>
      <c r="H313" s="188"/>
      <c r="I313" s="188"/>
      <c r="L313" s="188"/>
      <c r="M313" s="188"/>
      <c r="N313" s="188"/>
    </row>
  </sheetData>
  <conditionalFormatting sqref="A102:A116">
    <cfRule type="cellIs" dxfId="1434" priority="134" operator="equal">
      <formula>"-"</formula>
    </cfRule>
    <cfRule type="duplicateValues" dxfId="1433" priority="149"/>
  </conditionalFormatting>
  <conditionalFormatting sqref="A140:A154">
    <cfRule type="cellIs" dxfId="1432" priority="112" operator="equal">
      <formula>"-"</formula>
    </cfRule>
    <cfRule type="duplicateValues" dxfId="1431" priority="127"/>
  </conditionalFormatting>
  <conditionalFormatting sqref="E123 E125 E127 E129 G124 G128 G131 G133">
    <cfRule type="containsBlanks" dxfId="1430" priority="98">
      <formula>LEN(TRIM(E123))=0</formula>
    </cfRule>
  </conditionalFormatting>
  <conditionalFormatting sqref="C102 C104">
    <cfRule type="aboveAverage" dxfId="1429" priority="111"/>
  </conditionalFormatting>
  <conditionalFormatting sqref="C106 C108">
    <cfRule type="aboveAverage" dxfId="1428" priority="110"/>
  </conditionalFormatting>
  <conditionalFormatting sqref="E103 E107">
    <cfRule type="aboveAverage" dxfId="1427" priority="109"/>
  </conditionalFormatting>
  <conditionalFormatting sqref="C110 C112">
    <cfRule type="aboveAverage" dxfId="1426" priority="108"/>
  </conditionalFormatting>
  <conditionalFormatting sqref="C114 C116">
    <cfRule type="aboveAverage" dxfId="1425" priority="107"/>
  </conditionalFormatting>
  <conditionalFormatting sqref="E111 E115">
    <cfRule type="aboveAverage" dxfId="1424" priority="106"/>
  </conditionalFormatting>
  <conditionalFormatting sqref="G105 G113">
    <cfRule type="aboveAverage" dxfId="1423" priority="105"/>
  </conditionalFormatting>
  <conditionalFormatting sqref="G117 G119">
    <cfRule type="aboveAverage" dxfId="1422" priority="104"/>
  </conditionalFormatting>
  <conditionalFormatting sqref="C102 C104 C106 C108 C110 C112 C114 C116 E103 E107 E111 E115 G105 G113 G117 G119">
    <cfRule type="containsBlanks" dxfId="1421" priority="103">
      <formula>LEN(TRIM(C102))=0</formula>
    </cfRule>
  </conditionalFormatting>
  <conditionalFormatting sqref="E123 E125">
    <cfRule type="aboveAverage" dxfId="1420" priority="102"/>
  </conditionalFormatting>
  <conditionalFormatting sqref="E127 E129">
    <cfRule type="aboveAverage" dxfId="1419" priority="101"/>
  </conditionalFormatting>
  <conditionalFormatting sqref="G124 G128">
    <cfRule type="aboveAverage" dxfId="1418" priority="100"/>
  </conditionalFormatting>
  <conditionalFormatting sqref="G131 G133">
    <cfRule type="aboveAverage" dxfId="1417" priority="99"/>
  </conditionalFormatting>
  <conditionalFormatting sqref="E161 E163">
    <cfRule type="aboveAverage" dxfId="1416" priority="92"/>
  </conditionalFormatting>
  <conditionalFormatting sqref="E165 E167">
    <cfRule type="aboveAverage" dxfId="1415" priority="91"/>
  </conditionalFormatting>
  <conditionalFormatting sqref="G162 G166">
    <cfRule type="aboveAverage" dxfId="1414" priority="90"/>
  </conditionalFormatting>
  <conditionalFormatting sqref="G169 G171">
    <cfRule type="aboveAverage" dxfId="1413" priority="89"/>
  </conditionalFormatting>
  <conditionalFormatting sqref="E161 E163 E165 E167 G162 G166 G169 G171">
    <cfRule type="containsBlanks" dxfId="1412" priority="88">
      <formula>LEN(TRIM(E161))=0</formula>
    </cfRule>
  </conditionalFormatting>
  <conditionalFormatting sqref="C140 C142">
    <cfRule type="aboveAverage" dxfId="1411" priority="87"/>
  </conditionalFormatting>
  <conditionalFormatting sqref="C144 C146">
    <cfRule type="aboveAverage" dxfId="1410" priority="86"/>
  </conditionalFormatting>
  <conditionalFormatting sqref="E141 E145">
    <cfRule type="aboveAverage" dxfId="1409" priority="85"/>
  </conditionalFormatting>
  <conditionalFormatting sqref="C148 C150">
    <cfRule type="aboveAverage" dxfId="1408" priority="84"/>
  </conditionalFormatting>
  <conditionalFormatting sqref="C152 C154">
    <cfRule type="aboveAverage" dxfId="1407" priority="83"/>
  </conditionalFormatting>
  <conditionalFormatting sqref="E149 E153">
    <cfRule type="aboveAverage" dxfId="1406" priority="82"/>
  </conditionalFormatting>
  <conditionalFormatting sqref="G143 G151">
    <cfRule type="aboveAverage" dxfId="1405" priority="81"/>
  </conditionalFormatting>
  <conditionalFormatting sqref="G155 G157">
    <cfRule type="aboveAverage" dxfId="1404" priority="80"/>
  </conditionalFormatting>
  <conditionalFormatting sqref="C140 C142 C144 C146 C148 C150 C152 C154 E141 E145 E149 E153 G143 G151 G155 G157">
    <cfRule type="containsBlanks" dxfId="1403" priority="79">
      <formula>LEN(TRIM(C140))=0</formula>
    </cfRule>
  </conditionalFormatting>
  <conditionalFormatting sqref="Q7:Q32 U7:U32 W7:W32">
    <cfRule type="expression" dxfId="1402" priority="78">
      <formula>AND(R7="",COUNTIF(Q7,"*,*")=0)</formula>
    </cfRule>
  </conditionalFormatting>
  <conditionalFormatting sqref="S7:S32">
    <cfRule type="expression" dxfId="1401" priority="74">
      <formula>AND(T7="",FIND(",",S7))</formula>
    </cfRule>
    <cfRule type="expression" dxfId="1400" priority="75">
      <formula>AND(T7="",COUNTIF(S7,"*,*")=0)</formula>
    </cfRule>
  </conditionalFormatting>
  <conditionalFormatting sqref="D7 C8">
    <cfRule type="aboveAverage" dxfId="1399" priority="58"/>
  </conditionalFormatting>
  <conditionalFormatting sqref="E7 C9">
    <cfRule type="aboveAverage" dxfId="1398" priority="57"/>
  </conditionalFormatting>
  <conditionalFormatting sqref="F7 C10">
    <cfRule type="aboveAverage" dxfId="1397" priority="56"/>
  </conditionalFormatting>
  <conditionalFormatting sqref="E8 D9">
    <cfRule type="aboveAverage" dxfId="1396" priority="55"/>
  </conditionalFormatting>
  <conditionalFormatting sqref="G7 C11">
    <cfRule type="aboveAverage" dxfId="1395" priority="54"/>
  </conditionalFormatting>
  <conditionalFormatting sqref="F8 D10">
    <cfRule type="aboveAverage" dxfId="1394" priority="53"/>
  </conditionalFormatting>
  <conditionalFormatting sqref="G8 D11">
    <cfRule type="aboveAverage" dxfId="1393" priority="52"/>
  </conditionalFormatting>
  <conditionalFormatting sqref="F9 E10">
    <cfRule type="aboveAverage" dxfId="1392" priority="51"/>
  </conditionalFormatting>
  <conditionalFormatting sqref="G9 E11">
    <cfRule type="aboveAverage" dxfId="1391" priority="50"/>
  </conditionalFormatting>
  <conditionalFormatting sqref="F11 G10">
    <cfRule type="aboveAverage" dxfId="1390" priority="49"/>
  </conditionalFormatting>
  <conditionalFormatting sqref="D14 C15">
    <cfRule type="aboveAverage" dxfId="1389" priority="48"/>
  </conditionalFormatting>
  <conditionalFormatting sqref="E14 C16">
    <cfRule type="aboveAverage" dxfId="1388" priority="47"/>
  </conditionalFormatting>
  <conditionalFormatting sqref="F14 C17">
    <cfRule type="aboveAverage" dxfId="1387" priority="46"/>
  </conditionalFormatting>
  <conditionalFormatting sqref="E15 D16">
    <cfRule type="aboveAverage" dxfId="1386" priority="45"/>
  </conditionalFormatting>
  <conditionalFormatting sqref="G14 C18">
    <cfRule type="aboveAverage" dxfId="1385" priority="44"/>
  </conditionalFormatting>
  <conditionalFormatting sqref="F15 D17">
    <cfRule type="aboveAverage" dxfId="1384" priority="43"/>
  </conditionalFormatting>
  <conditionalFormatting sqref="G15 D18">
    <cfRule type="aboveAverage" dxfId="1383" priority="42"/>
  </conditionalFormatting>
  <conditionalFormatting sqref="F16 E17">
    <cfRule type="aboveAverage" dxfId="1382" priority="41"/>
  </conditionalFormatting>
  <conditionalFormatting sqref="G16 E18">
    <cfRule type="aboveAverage" dxfId="1381" priority="40"/>
  </conditionalFormatting>
  <conditionalFormatting sqref="F18 G17">
    <cfRule type="aboveAverage" dxfId="1380" priority="39"/>
  </conditionalFormatting>
  <conditionalFormatting sqref="D21 C22">
    <cfRule type="aboveAverage" dxfId="1379" priority="38"/>
  </conditionalFormatting>
  <conditionalFormatting sqref="E21 C23">
    <cfRule type="aboveAverage" dxfId="1378" priority="37"/>
  </conditionalFormatting>
  <conditionalFormatting sqref="F21 C24">
    <cfRule type="aboveAverage" dxfId="1377" priority="36"/>
  </conditionalFormatting>
  <conditionalFormatting sqref="E22 D23">
    <cfRule type="aboveAverage" dxfId="1376" priority="35"/>
  </conditionalFormatting>
  <conditionalFormatting sqref="G21 C25">
    <cfRule type="aboveAverage" dxfId="1375" priority="34"/>
  </conditionalFormatting>
  <conditionalFormatting sqref="F22 D24">
    <cfRule type="aboveAverage" dxfId="1374" priority="33"/>
  </conditionalFormatting>
  <conditionalFormatting sqref="G22 D25">
    <cfRule type="aboveAverage" dxfId="1373" priority="32"/>
  </conditionalFormatting>
  <conditionalFormatting sqref="F23 E24">
    <cfRule type="aboveAverage" dxfId="1372" priority="31"/>
  </conditionalFormatting>
  <conditionalFormatting sqref="G23 E25">
    <cfRule type="aboveAverage" dxfId="1371" priority="30"/>
  </conditionalFormatting>
  <conditionalFormatting sqref="F25 G24">
    <cfRule type="aboveAverage" dxfId="1370" priority="29"/>
  </conditionalFormatting>
  <conditionalFormatting sqref="D28 C29">
    <cfRule type="aboveAverage" dxfId="1369" priority="28"/>
  </conditionalFormatting>
  <conditionalFormatting sqref="E28 C30">
    <cfRule type="aboveAverage" dxfId="1368" priority="27"/>
  </conditionalFormatting>
  <conditionalFormatting sqref="F28 C31">
    <cfRule type="aboveAverage" dxfId="1367" priority="26"/>
  </conditionalFormatting>
  <conditionalFormatting sqref="E29 D30">
    <cfRule type="aboveAverage" dxfId="1366" priority="25"/>
  </conditionalFormatting>
  <conditionalFormatting sqref="G28 C32">
    <cfRule type="aboveAverage" dxfId="1365" priority="24"/>
  </conditionalFormatting>
  <conditionalFormatting sqref="F29 D31">
    <cfRule type="aboveAverage" dxfId="1364" priority="23"/>
  </conditionalFormatting>
  <conditionalFormatting sqref="G29 D32">
    <cfRule type="aboveAverage" dxfId="1363" priority="22"/>
  </conditionalFormatting>
  <conditionalFormatting sqref="F30 E31">
    <cfRule type="aboveAverage" dxfId="1362" priority="21"/>
  </conditionalFormatting>
  <conditionalFormatting sqref="G30 E32">
    <cfRule type="aboveAverage" dxfId="1361" priority="20"/>
  </conditionalFormatting>
  <conditionalFormatting sqref="F32 G31">
    <cfRule type="aboveAverage" dxfId="1360" priority="19"/>
  </conditionalFormatting>
  <conditionalFormatting sqref="I7:I11">
    <cfRule type="expression" dxfId="1359" priority="14">
      <formula>FIND(2,I7,1)</formula>
    </cfRule>
    <cfRule type="expression" dxfId="1358" priority="15">
      <formula>FIND(1,I7,1)</formula>
    </cfRule>
  </conditionalFormatting>
  <conditionalFormatting sqref="I14:I18">
    <cfRule type="expression" dxfId="1357" priority="11">
      <formula>FIND(2,I14,1)</formula>
    </cfRule>
    <cfRule type="expression" dxfId="1356" priority="12">
      <formula>FIND(1,I14,1)</formula>
    </cfRule>
  </conditionalFormatting>
  <conditionalFormatting sqref="I21:I25">
    <cfRule type="expression" dxfId="1355" priority="9">
      <formula>FIND(2,I21,1)</formula>
    </cfRule>
    <cfRule type="expression" dxfId="1354" priority="10">
      <formula>FIND(1,I21,1)</formula>
    </cfRule>
  </conditionalFormatting>
  <conditionalFormatting sqref="I28:I32">
    <cfRule type="expression" dxfId="1353" priority="7">
      <formula>FIND(2,I28,1)</formula>
    </cfRule>
    <cfRule type="expression" dxfId="1352" priority="8">
      <formula>FIND(1,I28,1)</formula>
    </cfRule>
  </conditionalFormatting>
  <conditionalFormatting sqref="B300:B302">
    <cfRule type="containsBlanks" dxfId="1351" priority="1">
      <formula>LEN(TRIM(B300))=0</formula>
    </cfRule>
    <cfRule type="duplicateValues" dxfId="1350" priority="2"/>
  </conditionalFormatting>
  <conditionalFormatting sqref="H7:H11 H14:H18 H21:H25 H28:H32">
    <cfRule type="expression" dxfId="1349" priority="852">
      <formula>#REF!=""</formula>
    </cfRule>
  </conditionalFormatting>
  <conditionalFormatting sqref="B303:B312">
    <cfRule type="containsBlanks" dxfId="1348" priority="853">
      <formula>LEN(TRIM(B303))=0</formula>
    </cfRule>
    <cfRule type="duplicateValues" dxfId="1347" priority="854"/>
  </conditionalFormatting>
  <pageMargins left="0.78740157480314965" right="0.39370078740157483" top="0.78740157480314965" bottom="0.31496062992125984" header="0.59055118110236227" footer="0"/>
  <pageSetup paperSize="9" fitToHeight="0" orientation="landscape" horizontalDpi="1200" verticalDpi="1200" r:id="rId1"/>
  <headerFooter>
    <oddHeader>&amp;R&amp;"Arial,Regular"&amp;9Page &amp;P of &amp;N</oddHeader>
  </headerFooter>
  <rowBreaks count="3" manualBreakCount="3">
    <brk id="99" max="16383" man="1"/>
    <brk id="136" max="16383" man="1"/>
    <brk id="174" max="16383" man="1"/>
  </rowBreaks>
  <ignoredErrors>
    <ignoredError sqref="M28:M30 M7:M9" numberStoredAsText="1"/>
  </ignoredErrors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CFFCC"/>
    <pageSetUpPr fitToPage="1"/>
  </sheetPr>
  <dimension ref="A1:AA310"/>
  <sheetViews>
    <sheetView showGridLines="0" showRowColHeaders="0" zoomScaleNormal="100" workbookViewId="0">
      <pane ySplit="2" topLeftCell="A3" activePane="bottomLeft" state="frozen"/>
      <selection activeCell="G1" sqref="G1"/>
      <selection pane="bottomLeft" activeCell="I1" sqref="I1"/>
    </sheetView>
  </sheetViews>
  <sheetFormatPr defaultRowHeight="12.75" x14ac:dyDescent="0.2"/>
  <cols>
    <col min="1" max="1" width="5.5703125" style="139" customWidth="1"/>
    <col min="2" max="2" width="31.7109375" style="139" bestFit="1" customWidth="1"/>
    <col min="3" max="9" width="6.7109375" style="139" customWidth="1"/>
    <col min="10" max="10" width="4.5703125" style="139" hidden="1" customWidth="1"/>
    <col min="11" max="11" width="3.5703125" style="139" customWidth="1"/>
    <col min="12" max="12" width="3.5703125" style="139" bestFit="1" customWidth="1"/>
    <col min="13" max="13" width="7" style="139" hidden="1" customWidth="1"/>
    <col min="14" max="14" width="5.5703125" style="139" customWidth="1"/>
    <col min="15" max="15" width="31.7109375" style="139" bestFit="1" customWidth="1"/>
    <col min="16" max="16" width="9.140625" style="139"/>
    <col min="17" max="17" width="7.7109375" style="139" hidden="1" customWidth="1"/>
    <col min="18" max="18" width="17.140625" style="139" hidden="1" customWidth="1"/>
    <col min="19" max="19" width="6" style="139" hidden="1" customWidth="1"/>
    <col min="20" max="20" width="32.7109375" style="139" hidden="1" customWidth="1"/>
    <col min="21" max="21" width="6" style="139" hidden="1" customWidth="1"/>
    <col min="22" max="22" width="17.28515625" style="139" hidden="1" customWidth="1"/>
    <col min="23" max="23" width="6" style="139" hidden="1" customWidth="1"/>
    <col min="24" max="24" width="13.85546875" style="139" hidden="1" customWidth="1"/>
    <col min="25" max="25" width="6" style="139" hidden="1" customWidth="1"/>
    <col min="26" max="16384" width="9.140625" style="139"/>
  </cols>
  <sheetData>
    <row r="1" spans="1:26" x14ac:dyDescent="0.2">
      <c r="A1" s="86" t="str">
        <f>UPPER((Kalend!E28)&amp;" - "&amp;(Kalend!C28)&amp;" - "&amp;(Kalend!D28))</f>
        <v>V9 - VOKA 1. SISE-KV 9. ETAPP - DUO</v>
      </c>
      <c r="F1" s="51" t="str">
        <f>HYPERLINK("#'Kalend'!I1","Kalender")</f>
        <v>Kalender</v>
      </c>
      <c r="H1" s="51" t="str">
        <f>HYPERLINK("#'V'!AE1","Reiting")</f>
        <v>Reiting</v>
      </c>
      <c r="I1" s="88"/>
      <c r="J1" s="502" t="s">
        <v>380</v>
      </c>
      <c r="L1" s="585"/>
      <c r="M1" s="504"/>
      <c r="Q1" s="502" t="s">
        <v>380</v>
      </c>
      <c r="R1" s="504"/>
      <c r="S1" s="504"/>
      <c r="T1" s="503"/>
      <c r="U1" s="504"/>
      <c r="V1" s="504"/>
      <c r="W1" s="504"/>
      <c r="X1" s="504"/>
      <c r="Y1" s="504"/>
    </row>
    <row r="2" spans="1:26" x14ac:dyDescent="0.2">
      <c r="A2" s="186" t="str">
        <f>"Toimumisaeg: "&amp;(Kalend!A28)&amp;" kell "&amp;(Kalend!B28)</f>
        <v>Toimumisaeg: L, 03.02.2018 kell 11:00</v>
      </c>
      <c r="R2" s="314"/>
      <c r="T2" s="314"/>
    </row>
    <row r="3" spans="1:26" x14ac:dyDescent="0.2">
      <c r="A3" s="186" t="str">
        <f>"Toimumiskoht: "&amp;(Kalend!F28)</f>
        <v>Toimumiskoht: Voka petangihall</v>
      </c>
      <c r="R3" s="505" t="s">
        <v>381</v>
      </c>
      <c r="T3" s="314"/>
      <c r="V3" s="261"/>
    </row>
    <row r="4" spans="1:26" x14ac:dyDescent="0.2">
      <c r="A4" s="186" t="str">
        <f>"Korraldaja: "&amp;(Kalend!G28)</f>
        <v>Korraldaja: Johannes Neiland</v>
      </c>
      <c r="Q4" s="506" t="s">
        <v>36</v>
      </c>
      <c r="R4" s="507"/>
      <c r="S4" s="508"/>
      <c r="T4" s="509"/>
      <c r="U4" s="508"/>
      <c r="V4" s="508"/>
      <c r="W4" s="508"/>
      <c r="X4" s="508"/>
      <c r="Y4" s="508"/>
    </row>
    <row r="5" spans="1:26" x14ac:dyDescent="0.2">
      <c r="Q5" s="506" t="s">
        <v>382</v>
      </c>
      <c r="R5" s="510" t="s">
        <v>383</v>
      </c>
      <c r="S5" s="510"/>
      <c r="T5" s="511" t="s">
        <v>384</v>
      </c>
      <c r="U5" s="510"/>
      <c r="V5" s="510" t="s">
        <v>385</v>
      </c>
      <c r="W5" s="510"/>
      <c r="X5" s="510" t="s">
        <v>386</v>
      </c>
      <c r="Y5" s="512"/>
    </row>
    <row r="6" spans="1:26" s="188" customFormat="1" x14ac:dyDescent="0.2">
      <c r="A6" s="126" t="s">
        <v>66</v>
      </c>
      <c r="B6" s="126"/>
      <c r="C6" s="91">
        <v>1</v>
      </c>
      <c r="D6" s="91">
        <v>2</v>
      </c>
      <c r="E6" s="91">
        <v>3</v>
      </c>
      <c r="F6" s="91"/>
      <c r="G6" s="91"/>
      <c r="H6" s="91" t="s">
        <v>73</v>
      </c>
      <c r="I6" s="91" t="s">
        <v>21</v>
      </c>
      <c r="J6" s="577" t="s">
        <v>273</v>
      </c>
      <c r="K6" s="649" t="s">
        <v>273</v>
      </c>
      <c r="L6" s="650" t="s">
        <v>430</v>
      </c>
      <c r="M6" s="188" t="b">
        <f>OR(AND(COUNTA(B7:B11)=3,COUNTA(C7:G11)=6),AND(COUNTA(B7:B11)=4,COUNTA(C7:G11)=12),AND(COUNTA(B7:B11)=5,COUNTA(C7:G11)=20))</f>
        <v>1</v>
      </c>
      <c r="O6" s="139"/>
      <c r="Q6" s="506" t="s">
        <v>387</v>
      </c>
      <c r="R6" s="507"/>
      <c r="S6" s="508"/>
      <c r="T6" s="507"/>
      <c r="U6" s="508"/>
      <c r="V6" s="513"/>
      <c r="W6" s="513"/>
      <c r="X6" s="513"/>
      <c r="Y6" s="513"/>
    </row>
    <row r="7" spans="1:26" s="188" customFormat="1" x14ac:dyDescent="0.2">
      <c r="A7" s="126">
        <v>1</v>
      </c>
      <c r="B7" s="581" t="s">
        <v>469</v>
      </c>
      <c r="C7" s="127"/>
      <c r="D7" s="93">
        <v>11</v>
      </c>
      <c r="E7" s="93">
        <v>8</v>
      </c>
      <c r="F7" s="93"/>
      <c r="G7" s="93"/>
      <c r="H7" s="576" t="str">
        <f>(IF(D7-C8&gt;0,1)+IF(E7-C9&gt;0,1)+IF(F7-C10&gt;0,1)+IF(G7-C11&gt;0,1))&amp;"-"&amp;(IF(D7-C8&lt;0,1)+IF(E7-C9&lt;0,1)+IF(F7-C10&lt;0,1)+IF(G7-C11&lt;0,1))</f>
        <v>0-2</v>
      </c>
      <c r="I7" s="93" t="str">
        <f>IF(AND(B7&lt;&gt;"",M$6=TRUE),A$6&amp;RANK(M7,M$7:M$11,0),"")</f>
        <v>A3</v>
      </c>
      <c r="J7" s="584">
        <f>VALUE(LEFT(H7,1))</f>
        <v>0</v>
      </c>
      <c r="K7" s="651">
        <f>IF(AND(J7=1,J8=1,D7&gt;C8),1)+IF(AND(J7=1,J9=1,E7&gt;C9),1)+IF(AND(J7=1,J10=1,F7&gt;C10),1)+IF(AND(J7=1,J11=1,G7&gt;C11),1)+IF(AND(J7=2,J8=2,D7&gt;C8),1)+IF(AND(J7=2,J9=2,E7&gt;C9),1)+IF(AND(J7=2,J10=2,F7&gt;C10),1)+IF(AND(J7=2,J11=2,G7&gt;C11),1)+IF(AND(J7=3,J8=3,D7&gt;C8),1)+IF(AND(J7=3,J9=3,E7&gt;C9),1)+IF(AND(J7=3,J10=3,F7&gt;C10),1)+IF(AND(J7=3,J11=3,G7&gt;C11),1)</f>
        <v>0</v>
      </c>
      <c r="L7" s="652">
        <f>IF(AND(J7=1,J8=1),D7-C8)+IF(AND(J7=1,J9=1),E7-C9)+IF(AND(J7=1,J10=1),F7-C10)+IF(AND(J7=1,J11=1),G7-C11)+IF(AND(J7=2,J8=2),D7-C8)+IF(AND(J7=2,J9=2),E7-C9)+IF(AND(J7=2,J10=2),F7-C10)+IF(AND(J7=2,J11=2),G7-C11)+IF(AND(J7=3,J8=3),D7-C8)+IF(AND(J7=3,J9=3),E7-C9)+IF(AND(J7=3,J10=3),F7-C10)+IF(AND(J7=3,J11=3),G7-C11)</f>
        <v>0</v>
      </c>
      <c r="M7" s="668">
        <f>10000*J7+K7*100+L7</f>
        <v>0</v>
      </c>
      <c r="O7" s="139"/>
      <c r="P7" s="319"/>
      <c r="Q7" s="512">
        <f>SUM(S7:Y7)</f>
        <v>176.5</v>
      </c>
      <c r="R7" s="514" t="str">
        <f>IFERROR(LEFT(B7,(FIND(",",B7,1)-1)),"")</f>
        <v>Jaan Sepp</v>
      </c>
      <c r="S7" s="515">
        <f>IFERROR(INDEX(V!$O:$O,MATCH(R7,V!$J:$J,0)),"")</f>
        <v>82.5</v>
      </c>
      <c r="T7" s="514" t="str">
        <f>IFERROR(MID(B7,FIND(", ",B7)+2,256),"")</f>
        <v>Johannes Neiland</v>
      </c>
      <c r="U7" s="515">
        <f>IFERROR(INDEX(V!$O:$O,MATCH(T7,V!$J:$J,0)),"")</f>
        <v>94</v>
      </c>
      <c r="V7" s="516" t="str">
        <f>IFERROR(MID(B7,FIND("^",SUBSTITUTE(B7,", ","^",1))+2,FIND("^",SUBSTITUTE(B7,", ","^",2))-FIND("^",SUBSTITUTE(B7,", ","^",1))-2),"")</f>
        <v/>
      </c>
      <c r="W7" s="515" t="str">
        <f>IFERROR(INDEX(V!$O:$O,MATCH(V7,V!$J:$J,0)),"")</f>
        <v/>
      </c>
      <c r="X7" s="516" t="str">
        <f>IFERROR(MID(B7,FIND(", ",B7,FIND(", ",B7,FIND(", ",B7))+1)+2,30000),"")</f>
        <v/>
      </c>
      <c r="Y7" s="515" t="str">
        <f>IFERROR(INDEX(V!$O:$O,MATCH(X7,V!$J:$J,0)),"")</f>
        <v/>
      </c>
    </row>
    <row r="8" spans="1:26" s="188" customFormat="1" x14ac:dyDescent="0.2">
      <c r="A8" s="126">
        <v>2</v>
      </c>
      <c r="B8" s="581" t="s">
        <v>611</v>
      </c>
      <c r="C8" s="93">
        <v>13</v>
      </c>
      <c r="D8" s="127"/>
      <c r="E8" s="93">
        <v>1</v>
      </c>
      <c r="F8" s="93"/>
      <c r="G8" s="93"/>
      <c r="H8" s="576" t="str">
        <f>(IF(C8-D7&gt;0,1)+IF(E8-D9&gt;0,1)+IF(F8-D10&gt;0,1)+IF(G8-D11&gt;0,1))&amp;"-"&amp;(IF(C8-D7&lt;0,1)+IF(E8-D9&lt;0,1)+IF(F8-D10&lt;0,1)+IF(G8-D11&lt;0,1))</f>
        <v>1-1</v>
      </c>
      <c r="I8" s="93" t="str">
        <f>IF(AND(B8&lt;&gt;"",M$6=TRUE),A$6&amp;RANK(M8,M$7:M$11,0),"")</f>
        <v>A2</v>
      </c>
      <c r="J8" s="584">
        <f t="shared" ref="J8:J11" si="0">VALUE(LEFT(H8,1))</f>
        <v>1</v>
      </c>
      <c r="K8" s="653">
        <f>IF(AND(J8=1,J7=1,C8&gt;D7),1)+IF(AND(J8=1,J9=1,E8&gt;D9),1)+IF(AND(J8=1,J10=1,F8&gt;D10),1)+IF(AND(J8=1,J11=1,G8&gt;D11),1)+IF(AND(J8=2,J7=2,C8&gt;D7),1)+IF(AND(J8=2,J9=2,E8&gt;D9),1)+IF(AND(J8=2,J10=2,F8&gt;D10),1)+IF(AND(J8=2,J11=2,G8&gt;D11),1)+IF(AND(J8=3,J7=3,C8&gt;D7),1)+IF(AND(J8=3,J9=3,E8&gt;D9),1)+IF(AND(J8=3,J10=3,F8&gt;D10),1)+IF(AND(J8=3,J11=3,G8&gt;D11),1)</f>
        <v>0</v>
      </c>
      <c r="L8" s="652">
        <f>IF(AND(J8=1,J7=1),C8-D7)+IF(AND(J8=1,J9=1),E8-D9)+IF(AND(J8=1,J10=1),F8-D10)+IF(AND(J8=1,J11=1),G8-D11)+IF(AND(J8=2,J7=2),C8-D7)+IF(AND(J8=2,J9=2),E8-D9)+IF(AND(J8=2,J10=2),F8-D10)+IF(AND(J8=2,J11=2),G8-D11)+IF(AND(J8=3,J7=3),C8-D7)+IF(AND(J8=3,J9=3),E8-D9)+IF(AND(J8=3,J10=3),F8-D10)+IF(AND(J8=3,J11=3),G8-D11)</f>
        <v>0</v>
      </c>
      <c r="M8" s="668">
        <f t="shared" ref="M8:M11" si="1">10000*J8+K8*100+L8</f>
        <v>10000</v>
      </c>
      <c r="O8" s="139"/>
      <c r="P8" s="319"/>
      <c r="Q8" s="512">
        <f t="shared" ref="Q8:Q32" si="2">SUM(S8:Y8)</f>
        <v>134</v>
      </c>
      <c r="R8" s="514" t="str">
        <f t="shared" ref="R8:R32" si="3">IFERROR(LEFT(B8,(FIND(",",B8,1)-1)),"")</f>
        <v>Kenneth Muusikus</v>
      </c>
      <c r="S8" s="515">
        <f>IFERROR(INDEX(V!$O:$O,MATCH(R8,V!$J:$J,0)),"")</f>
        <v>80</v>
      </c>
      <c r="T8" s="514" t="str">
        <f t="shared" ref="T8:T32" si="4">IFERROR(MID(B8,FIND(", ",B8)+2,256),"")</f>
        <v>Peep Peenema</v>
      </c>
      <c r="U8" s="515">
        <f>IFERROR(INDEX(V!$O:$O,MATCH(T8,V!$J:$J,0)),"")</f>
        <v>54</v>
      </c>
      <c r="V8" s="516" t="str">
        <f>IFERROR(MID(B7,FIND("^",SUBSTITUTE(B7,", ","^",1))+2,FIND("^",SUBSTITUTE(B7,", ","^",2))-FIND("^",SUBSTITUTE(B7,", ","^",1))-2),"")</f>
        <v/>
      </c>
      <c r="W8" s="515" t="str">
        <f>IFERROR(INDEX(V!$O:$O,MATCH(V8,V!$J:$J,0)),"")</f>
        <v/>
      </c>
      <c r="X8" s="516" t="str">
        <f>IFERROR(MID(B7,FIND(", ",B7,FIND(", ",B7,FIND(", ",B7))+1)+2,30000),"")</f>
        <v/>
      </c>
      <c r="Y8" s="515" t="str">
        <f>IFERROR(INDEX(V!$O:$O,MATCH(X8,V!$J:$J,0)),"")</f>
        <v/>
      </c>
    </row>
    <row r="9" spans="1:26" s="188" customFormat="1" x14ac:dyDescent="0.2">
      <c r="A9" s="126">
        <v>3</v>
      </c>
      <c r="B9" s="581" t="s">
        <v>418</v>
      </c>
      <c r="C9" s="93">
        <v>13</v>
      </c>
      <c r="D9" s="548">
        <v>13</v>
      </c>
      <c r="E9" s="127"/>
      <c r="F9" s="93"/>
      <c r="G9" s="93"/>
      <c r="H9" s="576" t="str">
        <f>(IF(C9-E7&gt;0,1)+IF(D9-E8&gt;0,1)+IF(F9-E10&gt;0,1)+IF(G9-E11&gt;0,1))&amp;"-"&amp;(IF(C9-E7&lt;0,1)+IF(D9-E8&lt;0,1)+IF(F9-E10&lt;0,1)+IF(G9-E11&lt;0,1))</f>
        <v>2-0</v>
      </c>
      <c r="I9" s="93" t="str">
        <f>IF(AND(B9&lt;&gt;"",M$6=TRUE),A$6&amp;RANK(M9,M$7:M$11,0),"")</f>
        <v>A1</v>
      </c>
      <c r="J9" s="584">
        <f t="shared" si="0"/>
        <v>2</v>
      </c>
      <c r="K9" s="653">
        <f>IF(AND(J9=1,J7=1,C9&gt;E7),1)+IF(AND(J9=1,J8=1,D9&gt;E8),1)+IF(AND(J9=1,J10=1,F9&gt;E10),1)+IF(AND(J9=1,J11=1,G9&gt;E11),1)+IF(AND(J9=2,J7=2,C9&gt;E7),1)+IF(AND(J9=2,J8=2,D9&gt;E8),1)+IF(AND(J9=2,J10=2,F9&gt;E10),1)+IF(AND(J9=2,J11=2,G9&gt;E11),1)+IF(AND(J9=3,J7=3,C9&gt;E7),1)+IF(AND(J9=3,J8=3,D9&gt;E8),1)+IF(AND(J9=3,J10=3,F9&gt;E10),1)+IF(AND(J9=3,J11=3,G9&gt;E11),1)</f>
        <v>0</v>
      </c>
      <c r="L9" s="652">
        <f>IF(AND(J9=1,J7=1),C9-E7)+IF(AND(J9=1,J8=1),D9-E8)+IF(AND(J9=1,J10=1),F9-E10)+IF(AND(J9=1,J11=1),G9-E11)+IF(AND(J9=2,J7=2),C9-E7)+IF(AND(J9=2,J8=2),D9-E8)+IF(AND(J9=2,J10=2),F9-E10)+IF(AND(J9=2,J11=2),G9-E11)+IF(AND(J9=3,J7=3),C9-E7)+IF(AND(J9=3,J8=3),D9-E8)+IF(AND(J9=3,J10=3),F9-E10)+IF(AND(J9=3,J11=3),G9-E11)</f>
        <v>0</v>
      </c>
      <c r="M9" s="668">
        <f t="shared" si="1"/>
        <v>20000</v>
      </c>
      <c r="O9" s="139"/>
      <c r="P9" s="319"/>
      <c r="Q9" s="512">
        <f t="shared" si="2"/>
        <v>99</v>
      </c>
      <c r="R9" s="514" t="str">
        <f t="shared" si="3"/>
        <v>Henri Mitt</v>
      </c>
      <c r="S9" s="515">
        <f>IFERROR(INDEX(V!$O:$O,MATCH(R9,V!$J:$J,0)),"")</f>
        <v>55</v>
      </c>
      <c r="T9" s="514" t="str">
        <f t="shared" si="4"/>
        <v>Taavi Press</v>
      </c>
      <c r="U9" s="515">
        <f>IFERROR(INDEX(V!$O:$O,MATCH(T9,V!$J:$J,0)),"")</f>
        <v>44</v>
      </c>
      <c r="V9" s="516" t="str">
        <f>IFERROR(MID(B7,FIND("^",SUBSTITUTE(B7,", ","^",1))+2,FIND("^",SUBSTITUTE(B7,", ","^",2))-FIND("^",SUBSTITUTE(B7,", ","^",1))-2),"")</f>
        <v/>
      </c>
      <c r="W9" s="515" t="str">
        <f>IFERROR(INDEX(V!$O:$O,MATCH(V9,V!$J:$J,0)),"")</f>
        <v/>
      </c>
      <c r="X9" s="516" t="str">
        <f>IFERROR(MID(B7,FIND(", ",B7,FIND(", ",B7,FIND(", ",B7))+1)+2,30000),"")</f>
        <v/>
      </c>
      <c r="Y9" s="515" t="str">
        <f>IFERROR(INDEX(V!$O:$O,MATCH(X9,V!$J:$J,0)),"")</f>
        <v/>
      </c>
    </row>
    <row r="10" spans="1:26" s="188" customFormat="1" hidden="1" x14ac:dyDescent="0.2">
      <c r="A10" s="126">
        <v>4</v>
      </c>
      <c r="B10" s="581"/>
      <c r="C10" s="93"/>
      <c r="D10" s="548"/>
      <c r="E10" s="93"/>
      <c r="F10" s="127"/>
      <c r="G10" s="128"/>
      <c r="H10" s="576" t="str">
        <f>(IF(C10-F7&gt;0,1)+IF(D10-F8&gt;0,1)+IF(E10-F9&gt;0,1)+IF(G10-F11&gt;0,1))&amp;"-"&amp;(IF(C10-F7&lt;0,1)+IF(D10-F8&lt;0,1)+IF(E10-F9&lt;0,1)+IF(G10-F11&lt;0,1))</f>
        <v>0-0</v>
      </c>
      <c r="I10" s="93" t="str">
        <f t="shared" ref="I10:I11" si="5">IF(AND(B10&lt;&gt;"",M$6=TRUE),A$6&amp;RANK(M10,M$7:M$11,0),"")</f>
        <v/>
      </c>
      <c r="J10" s="584">
        <f t="shared" si="0"/>
        <v>0</v>
      </c>
      <c r="K10" s="653">
        <f>IF(AND(J10=1,J7=1,C10&gt;F7),1)+IF(AND(J10=1,J8=1,D10&gt;F8),1)+IF(AND(J10=1,J9=1,E10&gt;F9),1)+IF(AND(J10=1,J11=1,G10&gt;F11),1)+IF(AND(J10=2,J7=2,C10&gt;F7),1)+IF(AND(J10=2,J8=2,D10&gt;F8),1)+IF(AND(J10=2,J9=2,E10&gt;F9),1)+IF(AND(J10=2,J11=2,G10&gt;F11),1)+IF(AND(J10=3,J7=3,C10&gt;F7),1)+IF(AND(J10=3,J8=3,D10&gt;F8),1)+IF(AND(J10=3,J9=3,E10&gt;F9),1)+IF(AND(J10=3,J11=3,G10&gt;F11),1)</f>
        <v>0</v>
      </c>
      <c r="L10" s="652">
        <f>IF(AND(J10=1,J7=1),C10-F7)+IF(AND(J10=1,J8=1),D10-F8)+IF(AND(J10=1,J9=1),E10-F9)+IF(AND(J10=1,J11=1),G10-F11)+IF(AND(J10=2,J7=2),C10-F7)+IF(AND(J10=2,J8=2),D10-F8)+IF(AND(J10=2,J9=2),E10-F9)+IF(AND(J10=2,J11=2),G10-F11)+IF(AND(J10=3,J7=3),C10-F7)+IF(AND(J10=3,J8=3),D10-F8)+IF(AND(J10=3,J9=3),E10-F9)+IF(AND(J10=3,J11=3),G10-F11)</f>
        <v>0</v>
      </c>
      <c r="M10" s="668">
        <f t="shared" si="1"/>
        <v>0</v>
      </c>
      <c r="O10" s="139"/>
      <c r="P10" s="319"/>
      <c r="Q10" s="512">
        <f t="shared" si="2"/>
        <v>0</v>
      </c>
      <c r="R10" s="514" t="str">
        <f t="shared" si="3"/>
        <v/>
      </c>
      <c r="S10" s="515" t="str">
        <f>IFERROR(INDEX(V!$O:$O,MATCH(R10,V!$J:$J,0)),"")</f>
        <v/>
      </c>
      <c r="T10" s="514" t="str">
        <f t="shared" si="4"/>
        <v/>
      </c>
      <c r="U10" s="515" t="str">
        <f>IFERROR(INDEX(V!$O:$O,MATCH(T10,V!$J:$J,0)),"")</f>
        <v/>
      </c>
      <c r="V10" s="516" t="str">
        <f>IFERROR(MID(B7,FIND("^",SUBSTITUTE(B7,", ","^",1))+2,FIND("^",SUBSTITUTE(B7,", ","^",2))-FIND("^",SUBSTITUTE(B7,", ","^",1))-2),"")</f>
        <v/>
      </c>
      <c r="W10" s="515" t="str">
        <f>IFERROR(INDEX(V!$O:$O,MATCH(V10,V!$J:$J,0)),"")</f>
        <v/>
      </c>
      <c r="X10" s="516" t="str">
        <f>IFERROR(MID(B7,FIND(", ",B7,FIND(", ",B7,FIND(", ",B7))+1)+2,30000),"")</f>
        <v/>
      </c>
      <c r="Y10" s="515" t="str">
        <f>IFERROR(INDEX(V!$O:$O,MATCH(X10,V!$J:$J,0)),"")</f>
        <v/>
      </c>
    </row>
    <row r="11" spans="1:26" s="188" customFormat="1" hidden="1" x14ac:dyDescent="0.2">
      <c r="A11" s="126">
        <v>5</v>
      </c>
      <c r="B11" s="581"/>
      <c r="C11" s="93"/>
      <c r="D11" s="93"/>
      <c r="E11" s="93"/>
      <c r="F11" s="93"/>
      <c r="G11" s="127"/>
      <c r="H11" s="576" t="str">
        <f>(IF(C11-G7&gt;0,1)+IF(D11-G8&gt;0,1)+IF(E11-G9&gt;0,1)+IF(F11-G10&gt;0,1))&amp;"-"&amp;(IF(C11-G7&lt;0,1)+IF(D11-G8&lt;0,1)+IF(E11-G9&lt;0,1)+IF(F11-G10&lt;0,1))</f>
        <v>0-0</v>
      </c>
      <c r="I11" s="93" t="str">
        <f t="shared" si="5"/>
        <v/>
      </c>
      <c r="J11" s="584">
        <f t="shared" si="0"/>
        <v>0</v>
      </c>
      <c r="K11" s="653">
        <f>IF(AND(J11=1,J7=1,C11&gt;G7),1)+IF(AND(J11=1,J8=1,D11&gt;G8),1)+IF(AND(J11=1,J9=1,E11&gt;G9),1)+IF(AND(J11=1,J10=1,F11&gt;G10),1)+IF(AND(J11=2,J7=2,C11&gt;G7),1)+IF(AND(J11=2,J8=2,D11&gt;G8),1)+IF(AND(J11=2,J9=2,E11&gt;G9),1)+IF(AND(J11=2,J10=2,F11&gt;G10),1)+IF(AND(J11=3,J7=3,C11&gt;G7),1)+IF(AND(J11=3,J8=3,D11&gt;G8),1)+IF(AND(J11=3,J9=3,E11&gt;G9),1)+IF(AND(J11=3,J10=3,F11&gt;G10),1)</f>
        <v>0</v>
      </c>
      <c r="L11" s="652">
        <f>IF(AND(J11=1,J7=1),C11-G7)+IF(AND(J11=1,J8=1),D11-G8)+IF(AND(J11=1,J9=1),E11-G9)+IF(AND(J11=1,J10=1),F11-G10)+IF(AND(J11=2,J7=2),C11-G7)+IF(AND(J11=2,J8=2),D11-G8)+IF(AND(J11=2,J9=2),E11-G9)+IF(AND(J11=2,J10=2),F11-G10)+IF(AND(J11=3,J7=3),C11-G7)+IF(AND(J11=3,J8=3),D11-G8)+IF(AND(J11=3,J9=3),E11-G9)+IF(AND(J11=3,J10=3),F11-G10)</f>
        <v>0</v>
      </c>
      <c r="M11" s="668">
        <f t="shared" si="1"/>
        <v>0</v>
      </c>
      <c r="O11" s="139"/>
      <c r="P11" s="319"/>
      <c r="Q11" s="512">
        <f t="shared" si="2"/>
        <v>0</v>
      </c>
      <c r="R11" s="514" t="str">
        <f t="shared" si="3"/>
        <v/>
      </c>
      <c r="S11" s="515" t="str">
        <f>IFERROR(INDEX(V!$O:$O,MATCH(R11,V!$J:$J,0)),"")</f>
        <v/>
      </c>
      <c r="T11" s="514" t="str">
        <f t="shared" si="4"/>
        <v/>
      </c>
      <c r="U11" s="515" t="str">
        <f>IFERROR(INDEX(V!$O:$O,MATCH(T11,V!$J:$J,0)),"")</f>
        <v/>
      </c>
      <c r="V11" s="516" t="str">
        <f t="shared" ref="V11:V32" si="6">IFERROR(MID($B11,FIND("^",SUBSTITUTE($B11,", ","^",1))+2,FIND("^",SUBSTITUTE($B11,", ","^",2))-FIND("^",SUBSTITUTE($B11,", ","^",1))-2),"")</f>
        <v/>
      </c>
      <c r="W11" s="515" t="str">
        <f>IFERROR(INDEX(V!$O:$O,MATCH(V11,V!$J:$J,0)),"")</f>
        <v/>
      </c>
      <c r="X11" s="516" t="str">
        <f t="shared" ref="X11:X32" si="7">IFERROR(MID($B11,FIND(", ",$B11,FIND(", ",$B11,FIND(", ",$B11))+1)+2,30000),"")</f>
        <v/>
      </c>
      <c r="Y11" s="515" t="str">
        <f>IFERROR(INDEX(V!$O:$O,MATCH(X11,V!$J:$J,0)),"")</f>
        <v/>
      </c>
    </row>
    <row r="12" spans="1:26" s="188" customFormat="1" x14ac:dyDescent="0.2">
      <c r="A12" s="121"/>
      <c r="B12" s="422"/>
      <c r="C12" s="96"/>
      <c r="D12" s="312"/>
      <c r="E12" s="96"/>
      <c r="F12" s="97"/>
      <c r="H12" s="402"/>
      <c r="I12" s="580"/>
      <c r="J12" s="585"/>
      <c r="K12" s="654"/>
      <c r="L12" s="655"/>
      <c r="M12" s="585"/>
      <c r="O12" s="139"/>
      <c r="P12" s="309"/>
      <c r="Q12" s="88"/>
      <c r="R12" s="88"/>
      <c r="S12" s="88"/>
      <c r="T12" s="88"/>
      <c r="U12" s="88"/>
      <c r="V12" s="88"/>
      <c r="W12" s="88"/>
      <c r="X12" s="88"/>
      <c r="Y12" s="88"/>
      <c r="Z12" s="88"/>
    </row>
    <row r="13" spans="1:26" s="186" customFormat="1" x14ac:dyDescent="0.2">
      <c r="A13" s="126" t="s">
        <v>90</v>
      </c>
      <c r="B13" s="126"/>
      <c r="C13" s="91">
        <v>1</v>
      </c>
      <c r="D13" s="91">
        <v>2</v>
      </c>
      <c r="E13" s="91">
        <v>3</v>
      </c>
      <c r="F13" s="91">
        <v>4</v>
      </c>
      <c r="G13" s="91"/>
      <c r="H13" s="438" t="s">
        <v>73</v>
      </c>
      <c r="I13" s="438" t="s">
        <v>21</v>
      </c>
      <c r="J13" s="586" t="s">
        <v>273</v>
      </c>
      <c r="K13" s="649" t="s">
        <v>273</v>
      </c>
      <c r="L13" s="656" t="s">
        <v>430</v>
      </c>
      <c r="M13" s="588" t="b">
        <f>OR(AND(COUNTA(B14:B18)=3,COUNTA(C14:G18)=6),AND(COUNTA(B14:B18)=4,COUNTA(C14:G18)=12),AND(COUNTA(B14:B18)=5,COUNTA(C14:G18)=20))</f>
        <v>1</v>
      </c>
      <c r="N13" s="188"/>
      <c r="O13" s="139"/>
      <c r="P13" s="309"/>
      <c r="Q13" s="88"/>
      <c r="R13" s="88"/>
      <c r="S13" s="88"/>
      <c r="T13" s="88"/>
      <c r="U13" s="88"/>
      <c r="V13" s="88"/>
      <c r="W13" s="88"/>
      <c r="X13" s="88"/>
      <c r="Y13" s="88"/>
      <c r="Z13" s="88"/>
    </row>
    <row r="14" spans="1:26" s="186" customFormat="1" x14ac:dyDescent="0.2">
      <c r="A14" s="126">
        <v>1</v>
      </c>
      <c r="B14" s="581" t="s">
        <v>168</v>
      </c>
      <c r="C14" s="127"/>
      <c r="D14" s="93">
        <v>10</v>
      </c>
      <c r="E14" s="661">
        <v>13</v>
      </c>
      <c r="F14" s="93">
        <v>6</v>
      </c>
      <c r="G14" s="93"/>
      <c r="H14" s="576" t="str">
        <f>(IF(D14-C15&gt;0,1)+IF(E14-C16&gt;0,1)+IF(F14-C17&gt;0,1)+IF(G14-C18&gt;0,1))&amp;"-"&amp;(IF(D14-C15&lt;0,1)+IF(E14-C16&lt;0,1)+IF(F14-C17&lt;0,1)+IF(G14-C18&lt;0,1))</f>
        <v>1-2</v>
      </c>
      <c r="I14" s="93" t="str">
        <f>IF(AND(B14&lt;&gt;"",M$13=TRUE),A$13&amp;RANK(M14,M$14:M$18,0),"")</f>
        <v>B3</v>
      </c>
      <c r="J14" s="584">
        <f>VALUE(LEFT(H14,1))</f>
        <v>1</v>
      </c>
      <c r="K14" s="651">
        <f>IF(AND(J14=1,J15=1,D14&gt;C15),1)+IF(AND(J14=1,J16=1,E14&gt;C16),1)+IF(AND(J14=1,J17=1,F14&gt;C17),1)+IF(AND(J14=1,J18=1,G14&gt;C18),1)+IF(AND(J14=2,J15=2,D14&gt;C15),1)+IF(AND(J14=2,J16=2,E14&gt;C16),1)+IF(AND(J14=2,J17=2,F14&gt;C17),1)+IF(AND(J14=2,J18=2,G14&gt;C18),1)+IF(AND(J14=3,J15=3,D14&gt;C15),1)+IF(AND(J14=3,J16=3,E14&gt;C16),1)+IF(AND(J14=3,J17=3,F14&gt;C17),1)+IF(AND(J14=3,J18=3,G14&gt;C18),1)</f>
        <v>1</v>
      </c>
      <c r="L14" s="652">
        <f>IF(AND(J14=1,J15=1),D14-C15)+IF(AND(J14=1,J16=1),E14-C16)+IF(AND(J14=1,J17=1),F14-C17)+IF(AND(J14=1,J18=1),G14-C18)+IF(AND(J14=2,J15=2),D14-C15)+IF(AND(J14=2,J16=2),E14-C16)+IF(AND(J14=2,J17=2),F14-C17)+IF(AND(J14=2,J18=2),G14-C18)+IF(AND(J14=3,J15=3),D14-C15)+IF(AND(J14=3,J16=3),E14-C16)+IF(AND(J14=3,J17=3),F14-C17)+IF(AND(J14=3,J18=3),G14-C18)</f>
        <v>10</v>
      </c>
      <c r="M14" s="668">
        <f>10000*J14+K14*100+L14</f>
        <v>10110</v>
      </c>
      <c r="N14" s="188"/>
      <c r="O14" s="139"/>
      <c r="P14" s="567"/>
      <c r="Q14" s="512">
        <f t="shared" si="2"/>
        <v>102</v>
      </c>
      <c r="R14" s="514" t="str">
        <f t="shared" si="3"/>
        <v>Heili Vasser</v>
      </c>
      <c r="S14" s="515">
        <f>IFERROR(INDEX(V!$O:$O,MATCH(R14,V!$J:$J,0)),"")</f>
        <v>31.5</v>
      </c>
      <c r="T14" s="514" t="str">
        <f t="shared" si="4"/>
        <v>Vello Vasser</v>
      </c>
      <c r="U14" s="515">
        <f>IFERROR(INDEX(V!$O:$O,MATCH(T14,V!$J:$J,0)),"")</f>
        <v>70.5</v>
      </c>
      <c r="V14" s="516" t="str">
        <f>IFERROR(MID(B7,FIND("^",SUBSTITUTE(B7,", ","^",1))+2,FIND("^",SUBSTITUTE(B7,", ","^",2))-FIND("^",SUBSTITUTE(B7,", ","^",1))-2),"")</f>
        <v/>
      </c>
      <c r="W14" s="515" t="str">
        <f>IFERROR(INDEX(V!$O:$O,MATCH(V14,V!$J:$J,0)),"")</f>
        <v/>
      </c>
      <c r="X14" s="516" t="str">
        <f>IFERROR(MID(B7,FIND(", ",B7,FIND(", ",B7,FIND(", ",B7))+1)+2,30000),"")</f>
        <v/>
      </c>
      <c r="Y14" s="515" t="str">
        <f>IFERROR(INDEX(V!$O:$O,MATCH(X14,V!$J:$J,0)),"")</f>
        <v/>
      </c>
    </row>
    <row r="15" spans="1:26" s="186" customFormat="1" x14ac:dyDescent="0.2">
      <c r="A15" s="126">
        <v>2</v>
      </c>
      <c r="B15" s="581" t="s">
        <v>175</v>
      </c>
      <c r="C15" s="93">
        <v>13</v>
      </c>
      <c r="D15" s="127"/>
      <c r="E15" s="93">
        <v>12</v>
      </c>
      <c r="F15" s="316">
        <v>13</v>
      </c>
      <c r="G15" s="93"/>
      <c r="H15" s="576" t="str">
        <f>(IF(C15-D14&gt;0,1)+IF(E15-D16&gt;0,1)+IF(F15-D17&gt;0,1)+IF(G15-D18&gt;0,1))&amp;"-"&amp;(IF(C15-D14&lt;0,1)+IF(E15-D16&lt;0,1)+IF(F15-D17&lt;0,1)+IF(G15-D18&lt;0,1))</f>
        <v>2-1</v>
      </c>
      <c r="I15" s="93" t="str">
        <f t="shared" ref="I15:I18" si="8">IF(AND(B15&lt;&gt;"",M$13=TRUE),A$13&amp;RANK(M15,M$14:M$18,0),"")</f>
        <v>B1</v>
      </c>
      <c r="J15" s="584">
        <f t="shared" ref="J15:J18" si="9">VALUE(LEFT(H15,1))</f>
        <v>2</v>
      </c>
      <c r="K15" s="653">
        <f>IF(AND(J15=1,J14=1,C15&gt;D14),1)+IF(AND(J15=1,J16=1,E15&gt;D16),1)+IF(AND(J15=1,J17=1,F15&gt;D17),1)+IF(AND(J15=1,J18=1,G15&gt;D18),1)+IF(AND(J15=2,J14=2,C15&gt;D14),1)+IF(AND(J15=2,J16=2,E15&gt;D16),1)+IF(AND(J15=2,J17=2,F15&gt;D17),1)+IF(AND(J15=2,J18=2,G15&gt;D18),1)+IF(AND(J15=3,J14=3,C15&gt;D14),1)+IF(AND(J15=3,J16=3,E15&gt;D16),1)+IF(AND(J15=3,J17=3,F15&gt;D17),1)+IF(AND(J15=3,J18=3,G15&gt;D18),1)</f>
        <v>1</v>
      </c>
      <c r="L15" s="652">
        <f>IF(AND(J15=1,J14=1),C15-D14)+IF(AND(J15=1,J16=1),E15-D16)+IF(AND(J15=1,J17=1),F15-D17)+IF(AND(J15=1,J18=1),G15-D18)+IF(AND(J15=2,J14=2),C15-D14)+IF(AND(J15=2,J16=2),E15-D16)+IF(AND(J15=2,J17=2),F15-D17)+IF(AND(J15=2,J18=2),G15-D18)+IF(AND(J15=3,J14=3),C15-D14)+IF(AND(J15=3,J16=3),E15-D16)+IF(AND(J15=3,J17=3),F15-D17)+IF(AND(J15=3,J18=3),G15-D18)</f>
        <v>10</v>
      </c>
      <c r="M15" s="668">
        <f t="shared" ref="M15:M18" si="10">10000*J15+K15*100+L15</f>
        <v>20110</v>
      </c>
      <c r="N15" s="188"/>
      <c r="O15" s="139"/>
      <c r="P15" s="568"/>
      <c r="Q15" s="512">
        <f t="shared" si="2"/>
        <v>134</v>
      </c>
      <c r="R15" s="514" t="str">
        <f t="shared" si="3"/>
        <v>Klavdia Piik</v>
      </c>
      <c r="S15" s="515">
        <f>IFERROR(INDEX(V!$O:$O,MATCH(R15,V!$J:$J,0)),"")</f>
        <v>72</v>
      </c>
      <c r="T15" s="514" t="str">
        <f t="shared" si="4"/>
        <v>Ülo Piik</v>
      </c>
      <c r="U15" s="515">
        <f>IFERROR(INDEX(V!$O:$O,MATCH(T15,V!$J:$J,0)),"")</f>
        <v>62</v>
      </c>
      <c r="V15" s="516" t="str">
        <f>IFERROR(MID(B7,FIND("^",SUBSTITUTE(B7,", ","^",1))+2,FIND("^",SUBSTITUTE(B7,", ","^",2))-FIND("^",SUBSTITUTE(B7,", ","^",1))-2),"")</f>
        <v/>
      </c>
      <c r="W15" s="515" t="str">
        <f>IFERROR(INDEX(V!$O:$O,MATCH(V15,V!$J:$J,0)),"")</f>
        <v/>
      </c>
      <c r="X15" s="516" t="str">
        <f>IFERROR(MID(B7,FIND(", ",B7,FIND(", ",B7,FIND(", ",B7))+1)+2,30000),"")</f>
        <v/>
      </c>
      <c r="Y15" s="515" t="str">
        <f>IFERROR(INDEX(V!$O:$O,MATCH(X15,V!$J:$J,0)),"")</f>
        <v/>
      </c>
    </row>
    <row r="16" spans="1:26" s="186" customFormat="1" x14ac:dyDescent="0.2">
      <c r="A16" s="126">
        <v>3</v>
      </c>
      <c r="B16" s="581" t="s">
        <v>472</v>
      </c>
      <c r="C16" s="661">
        <v>3</v>
      </c>
      <c r="D16" s="548">
        <v>13</v>
      </c>
      <c r="E16" s="127"/>
      <c r="F16" s="93">
        <v>11</v>
      </c>
      <c r="G16" s="93"/>
      <c r="H16" s="576" t="str">
        <f>(IF(C16-E14&gt;0,1)+IF(D16-E15&gt;0,1)+IF(F16-E17&gt;0,1)+IF(G16-E18&gt;0,1))&amp;"-"&amp;(IF(C16-E14&lt;0,1)+IF(D16-E15&lt;0,1)+IF(F16-E17&lt;0,1)+IF(G16-E18&lt;0,1))</f>
        <v>1-2</v>
      </c>
      <c r="I16" s="93" t="str">
        <f t="shared" si="8"/>
        <v>B4</v>
      </c>
      <c r="J16" s="584">
        <f t="shared" si="9"/>
        <v>1</v>
      </c>
      <c r="K16" s="653">
        <f>IF(AND(J16=1,J14=1,C16&gt;E14),1)+IF(AND(J16=1,J15=1,D16&gt;E15),1)+IF(AND(J16=1,J17=1,F16&gt;E17),1)+IF(AND(J16=1,J18=1,G16&gt;E18),1)+IF(AND(J16=2,J14=2,C16&gt;E14),1)+IF(AND(J16=2,J15=2,D16&gt;E15),1)+IF(AND(J16=2,J17=2,F16&gt;E17),1)+IF(AND(J16=2,J18=2,G16&gt;E18),1)+IF(AND(J16=3,J14=3,C16&gt;E14),1)+IF(AND(J16=3,J15=3,D16&gt;E15),1)+IF(AND(J16=3,J17=3,F16&gt;E17),1)+IF(AND(J16=3,J18=3,G16&gt;E18),1)</f>
        <v>0</v>
      </c>
      <c r="L16" s="652">
        <f>IF(AND(J16=1,J14=1),C16-E14)+IF(AND(J16=1,J15=1),D16-E15)+IF(AND(J16=1,J17=1),F16-E17)+IF(AND(J16=1,J18=1),G16-E18)+IF(AND(J16=2,J14=2),C16-E14)+IF(AND(J16=2,J15=2),D16-E15)+IF(AND(J16=2,J17=2),F16-E17)+IF(AND(J16=2,J18=2),G16-E18)+IF(AND(J16=3,J14=3),C16-E14)+IF(AND(J16=3,J15=3),D16-E15)+IF(AND(J16=3,J17=3),F16-E17)+IF(AND(J16=3,J18=3),G16-E18)</f>
        <v>-10</v>
      </c>
      <c r="M16" s="668">
        <f t="shared" si="10"/>
        <v>9990</v>
      </c>
      <c r="N16" s="188"/>
      <c r="O16" s="139"/>
      <c r="P16" s="568"/>
      <c r="Q16" s="512">
        <f t="shared" si="2"/>
        <v>83</v>
      </c>
      <c r="R16" s="514" t="str">
        <f t="shared" si="3"/>
        <v>Karla Purgats</v>
      </c>
      <c r="S16" s="515">
        <f>IFERROR(INDEX(V!$O:$O,MATCH(R16,V!$J:$J,0)),"")</f>
        <v>66</v>
      </c>
      <c r="T16" s="514" t="str">
        <f t="shared" si="4"/>
        <v>Tõnu Kapper</v>
      </c>
      <c r="U16" s="515">
        <f>IFERROR(INDEX(V!$O:$O,MATCH(T16,V!$J:$J,0)),"")</f>
        <v>17</v>
      </c>
      <c r="V16" s="516" t="str">
        <f>IFERROR(MID(B7,FIND("^",SUBSTITUTE(B7,", ","^",1))+2,FIND("^",SUBSTITUTE(B7,", ","^",2))-FIND("^",SUBSTITUTE(B7,", ","^",1))-2),"")</f>
        <v/>
      </c>
      <c r="W16" s="515" t="str">
        <f>IFERROR(INDEX(V!$O:$O,MATCH(V16,V!$J:$J,0)),"")</f>
        <v/>
      </c>
      <c r="X16" s="516" t="str">
        <f>IFERROR(MID(B7,FIND(", ",B7,FIND(", ",B7,FIND(", ",B7))+1)+2,30000),"")</f>
        <v/>
      </c>
      <c r="Y16" s="515" t="str">
        <f>IFERROR(INDEX(V!$O:$O,MATCH(X16,V!$J:$J,0)),"")</f>
        <v/>
      </c>
    </row>
    <row r="17" spans="1:27" s="186" customFormat="1" x14ac:dyDescent="0.2">
      <c r="A17" s="126">
        <v>4</v>
      </c>
      <c r="B17" s="581" t="s">
        <v>167</v>
      </c>
      <c r="C17" s="93">
        <v>13</v>
      </c>
      <c r="D17" s="403">
        <v>3</v>
      </c>
      <c r="E17" s="93">
        <v>13</v>
      </c>
      <c r="F17" s="127"/>
      <c r="G17" s="128"/>
      <c r="H17" s="576" t="str">
        <f>(IF(C17-F14&gt;0,1)+IF(D17-F15&gt;0,1)+IF(E17-F16&gt;0,1)+IF(G17-F18&gt;0,1))&amp;"-"&amp;(IF(C17-F14&lt;0,1)+IF(D17-F15&lt;0,1)+IF(E17-F16&lt;0,1)+IF(G17-F18&lt;0,1))</f>
        <v>2-1</v>
      </c>
      <c r="I17" s="93" t="str">
        <f t="shared" si="8"/>
        <v>B2</v>
      </c>
      <c r="J17" s="584">
        <f t="shared" si="9"/>
        <v>2</v>
      </c>
      <c r="K17" s="653">
        <f>IF(AND(J17=1,J14=1,C17&gt;F14),1)+IF(AND(J17=1,J15=1,D17&gt;F15),1)+IF(AND(J17=1,J16=1,E17&gt;F16),1)+IF(AND(J17=1,J18=1,G17&gt;F18),1)+IF(AND(J17=2,J14=2,C17&gt;F14),1)+IF(AND(J17=2,J15=2,D17&gt;F15),1)+IF(AND(J17=2,J16=2,E17&gt;F16),1)+IF(AND(J17=2,J18=2,G17&gt;F18),1)+IF(AND(J17=3,J14=3,C17&gt;F14),1)+IF(AND(J17=3,J15=3,D17&gt;F15),1)+IF(AND(J17=3,J16=3,E17&gt;F16),1)+IF(AND(J17=3,J18=3,G17&gt;F18),1)</f>
        <v>0</v>
      </c>
      <c r="L17" s="652">
        <f>IF(AND(J17=1,J14=1),C17-F14)+IF(AND(J17=1,J15=1),D17-F15)+IF(AND(J17=1,J16=1),E17-F16)+IF(AND(J17=1,J18=1),G17-F18)+IF(AND(J17=2,J14=2),C17-F14)+IF(AND(J17=2,J15=2),D17-F15)+IF(AND(J17=2,J16=2),E17-F16)+IF(AND(J17=2,J18=2),G17-F18)+IF(AND(J17=3,J14=3),C17-F14)+IF(AND(J17=3,J15=3),D17-F15)+IF(AND(J17=3,J16=3),E17-F16)+IF(AND(J17=3,J18=3),G17-F18)</f>
        <v>-10</v>
      </c>
      <c r="M17" s="668">
        <f t="shared" si="10"/>
        <v>19990</v>
      </c>
      <c r="N17" s="188"/>
      <c r="O17" s="139"/>
      <c r="P17" s="568"/>
      <c r="Q17" s="512">
        <f t="shared" si="2"/>
        <v>66</v>
      </c>
      <c r="R17" s="514" t="str">
        <f t="shared" si="3"/>
        <v>Illar Tõnurist</v>
      </c>
      <c r="S17" s="515">
        <f>IFERROR(INDEX(V!$O:$O,MATCH(R17,V!$J:$J,0)),"")</f>
        <v>41</v>
      </c>
      <c r="T17" s="514" t="str">
        <f t="shared" si="4"/>
        <v>Jaan Saar</v>
      </c>
      <c r="U17" s="515">
        <f>IFERROR(INDEX(V!$O:$O,MATCH(T17,V!$J:$J,0)),"")</f>
        <v>25</v>
      </c>
      <c r="V17" s="516" t="str">
        <f>IFERROR(MID(B7,FIND("^",SUBSTITUTE(B7,", ","^",1))+2,FIND("^",SUBSTITUTE(B7,", ","^",2))-FIND("^",SUBSTITUTE(B7,", ","^",1))-2),"")</f>
        <v/>
      </c>
      <c r="W17" s="515" t="str">
        <f>IFERROR(INDEX(V!$O:$O,MATCH(V17,V!$J:$J,0)),"")</f>
        <v/>
      </c>
      <c r="X17" s="516" t="str">
        <f>IFERROR(MID(B7,FIND(", ",B7,FIND(", ",B7,FIND(", ",B7))+1)+2,30000),"")</f>
        <v/>
      </c>
      <c r="Y17" s="515" t="str">
        <f>IFERROR(INDEX(V!$O:$O,MATCH(X17,V!$J:$J,0)),"")</f>
        <v/>
      </c>
    </row>
    <row r="18" spans="1:27" s="186" customFormat="1" hidden="1" x14ac:dyDescent="0.2">
      <c r="A18" s="126">
        <v>5</v>
      </c>
      <c r="B18" s="581"/>
      <c r="C18" s="93"/>
      <c r="D18" s="93"/>
      <c r="E18" s="93"/>
      <c r="F18" s="93"/>
      <c r="G18" s="127"/>
      <c r="H18" s="576" t="str">
        <f>(IF(C18-G14&gt;0,1)+IF(D18-G15&gt;0,1)+IF(E18-G16&gt;0,1)+IF(F18-G17&gt;0,1))&amp;"-"&amp;(IF(C18-G14&lt;0,1)+IF(D18-G15&lt;0,1)+IF(E18-G16&lt;0,1)+IF(F18-G17&lt;0,1))</f>
        <v>0-0</v>
      </c>
      <c r="I18" s="93" t="str">
        <f t="shared" si="8"/>
        <v/>
      </c>
      <c r="J18" s="584">
        <f t="shared" si="9"/>
        <v>0</v>
      </c>
      <c r="K18" s="653">
        <f>IF(AND(J18=1,J14=1,C18&gt;G14),1)+IF(AND(J18=1,J15=1,D18&gt;G15),1)+IF(AND(J18=1,J16=1,E18&gt;G16),1)+IF(AND(J18=1,J17=1,F18&gt;G17),1)+IF(AND(J18=2,J14=2,C18&gt;G14),1)+IF(AND(J18=2,J15=2,D18&gt;G15),1)+IF(AND(J18=2,J16=2,E18&gt;G16),1)+IF(AND(J18=2,J17=2,F18&gt;G17),1)+IF(AND(J18=3,J14=3,C18&gt;G14),1)+IF(AND(J18=3,J15=3,D18&gt;G15),1)+IF(AND(J18=3,J16=3,E18&gt;G16),1)+IF(AND(J18=3,J17=3,F18&gt;G17),1)</f>
        <v>0</v>
      </c>
      <c r="L18" s="652">
        <f>IF(AND(J18=1,J14=1),C18-G14)+IF(AND(J18=1,J15=1),D18-G15)+IF(AND(J18=1,J16=1),E18-G16)+IF(AND(J18=1,J17=1),F18-G17)+IF(AND(J18=2,J14=2),C18-G14)+IF(AND(J18=2,J15=2),D18-G15)+IF(AND(J18=2,J16=2),E18-G16)+IF(AND(J18=2,J17=2),F18-G17)+IF(AND(J18=3,J14=3),C18-G14)+IF(AND(J18=3,J15=3),D18-G15)+IF(AND(J18=3,J16=3),E18-G16)+IF(AND(J18=3,J17=3),F18-G17)</f>
        <v>0</v>
      </c>
      <c r="M18" s="668">
        <f t="shared" si="10"/>
        <v>0</v>
      </c>
      <c r="N18" s="188"/>
      <c r="O18" s="139"/>
      <c r="P18" s="568"/>
      <c r="Q18" s="512">
        <f t="shared" si="2"/>
        <v>0</v>
      </c>
      <c r="R18" s="514" t="str">
        <f t="shared" si="3"/>
        <v/>
      </c>
      <c r="S18" s="515" t="str">
        <f>IFERROR(INDEX(V!$O:$O,MATCH(R18,V!$J:$J,0)),"")</f>
        <v/>
      </c>
      <c r="T18" s="514" t="str">
        <f t="shared" si="4"/>
        <v/>
      </c>
      <c r="U18" s="515" t="str">
        <f>IFERROR(INDEX(V!$O:$O,MATCH(T18,V!$J:$J,0)),"")</f>
        <v/>
      </c>
      <c r="V18" s="516" t="str">
        <f t="shared" si="6"/>
        <v/>
      </c>
      <c r="W18" s="515" t="str">
        <f>IFERROR(INDEX(V!$O:$O,MATCH(V18,V!$J:$J,0)),"")</f>
        <v/>
      </c>
      <c r="X18" s="516" t="str">
        <f t="shared" si="7"/>
        <v/>
      </c>
      <c r="Y18" s="515" t="str">
        <f>IFERROR(INDEX(V!$O:$O,MATCH(X18,V!$J:$J,0)),"")</f>
        <v/>
      </c>
    </row>
    <row r="19" spans="1:27" s="186" customFormat="1" x14ac:dyDescent="0.2">
      <c r="A19" s="87"/>
      <c r="B19" s="88"/>
      <c r="C19" s="309"/>
      <c r="D19" s="309"/>
      <c r="E19" s="309"/>
      <c r="H19" s="589"/>
      <c r="I19" s="590"/>
      <c r="J19" s="585"/>
      <c r="K19" s="657"/>
      <c r="L19" s="655"/>
      <c r="M19" s="585"/>
      <c r="N19" s="188"/>
      <c r="O19" s="139"/>
      <c r="P19" s="309"/>
      <c r="Q19" s="88"/>
      <c r="R19" s="88"/>
      <c r="S19" s="88"/>
      <c r="T19" s="88"/>
      <c r="U19" s="88"/>
      <c r="V19" s="88"/>
      <c r="W19" s="88"/>
      <c r="X19" s="88"/>
      <c r="Y19" s="88"/>
      <c r="Z19" s="88"/>
    </row>
    <row r="20" spans="1:27" s="188" customFormat="1" x14ac:dyDescent="0.2">
      <c r="A20" s="126" t="s">
        <v>166</v>
      </c>
      <c r="B20" s="126"/>
      <c r="C20" s="91">
        <v>1</v>
      </c>
      <c r="D20" s="91">
        <v>2</v>
      </c>
      <c r="E20" s="91">
        <v>3</v>
      </c>
      <c r="F20" s="91">
        <v>4</v>
      </c>
      <c r="G20" s="91"/>
      <c r="H20" s="438" t="s">
        <v>73</v>
      </c>
      <c r="I20" s="438" t="s">
        <v>21</v>
      </c>
      <c r="J20" s="586" t="s">
        <v>273</v>
      </c>
      <c r="K20" s="649" t="s">
        <v>273</v>
      </c>
      <c r="L20" s="656" t="s">
        <v>430</v>
      </c>
      <c r="M20" s="588" t="b">
        <f>OR(AND(COUNTA(B21:B25)=3,COUNTA(C21:G25)=6),AND(COUNTA(B21:B25)=4,COUNTA(C21:G25)=12),AND(COUNTA(B21:B25)=5,COUNTA(C21:G25)=20))</f>
        <v>1</v>
      </c>
      <c r="O20" s="139"/>
      <c r="P20" s="309"/>
      <c r="Q20" s="88"/>
      <c r="R20" s="88"/>
      <c r="S20" s="88"/>
      <c r="T20" s="88"/>
      <c r="U20" s="88"/>
      <c r="V20" s="88"/>
      <c r="W20" s="88"/>
      <c r="X20" s="88"/>
      <c r="Y20" s="88"/>
      <c r="Z20" s="88"/>
    </row>
    <row r="21" spans="1:27" s="188" customFormat="1" x14ac:dyDescent="0.2">
      <c r="A21" s="126">
        <v>1</v>
      </c>
      <c r="B21" s="581" t="s">
        <v>470</v>
      </c>
      <c r="C21" s="127"/>
      <c r="D21" s="93">
        <v>12</v>
      </c>
      <c r="E21" s="93">
        <v>2</v>
      </c>
      <c r="F21" s="93">
        <v>4</v>
      </c>
      <c r="G21" s="93"/>
      <c r="H21" s="576" t="str">
        <f>(IF(D21-C22&gt;0,1)+IF(E21-C23&gt;0,1)+IF(F21-C24&gt;0,1)+IF(G21-C25&gt;0,1))&amp;"-"&amp;(IF(D21-C22&lt;0,1)+IF(E21-C23&lt;0,1)+IF(F21-C24&lt;0,1)+IF(G21-C25&lt;0,1))</f>
        <v>0-3</v>
      </c>
      <c r="I21" s="93" t="str">
        <f>IF(AND(B21&lt;&gt;"",M$20=TRUE),A$20&amp;RANK(M21,M$21:M$25,0),"")</f>
        <v>C4</v>
      </c>
      <c r="J21" s="584">
        <f>VALUE(LEFT(H21,1))</f>
        <v>0</v>
      </c>
      <c r="K21" s="651">
        <f>IF(AND(J21=1,J22=1,D21&gt;C22),1)+IF(AND(J21=1,J23=1,E21&gt;C23),1)+IF(AND(J21=1,J24=1,F21&gt;C24),1)+IF(AND(J21=1,J25=1,G21&gt;C25),1)+IF(AND(J21=2,J22=2,D21&gt;C22),1)+IF(AND(J21=2,J23=2,E21&gt;C23),1)+IF(AND(J21=2,J24=2,F21&gt;C24),1)+IF(AND(J21=2,J25=2,G21&gt;C25),1)+IF(AND(J21=3,J22=3,D21&gt;C22),1)+IF(AND(J21=3,J23=3,E21&gt;C23),1)+IF(AND(J21=3,J24=3,F21&gt;C24),1)+IF(AND(J21=3,J25=3,G21&gt;C25),1)</f>
        <v>0</v>
      </c>
      <c r="L21" s="652">
        <f>IF(AND(J21=1,J22=1),D21-C22)+IF(AND(J21=1,J23=1),E21-C23)+IF(AND(J21=1,J24=1),F21-C24)+IF(AND(J21=1,J25=1),G21-C25)+IF(AND(J21=2,J22=2),D21-C22)+IF(AND(J21=2,J23=2),E21-C23)+IF(AND(J21=2,J24=2),F21-C24)+IF(AND(J21=2,J25=2),G21-C25)+IF(AND(J21=3,J22=3),D21-C22)+IF(AND(J21=3,J23=3),E21-C23)+IF(AND(J21=3,J24=3),F21-C24)+IF(AND(J21=3,J25=3),G21-C25)</f>
        <v>0</v>
      </c>
      <c r="M21" s="668">
        <f>10000*J21+K21*100+L21</f>
        <v>0</v>
      </c>
      <c r="O21" s="139"/>
      <c r="P21" s="309"/>
      <c r="Q21" s="512">
        <f t="shared" si="2"/>
        <v>102</v>
      </c>
      <c r="R21" s="514" t="str">
        <f t="shared" si="3"/>
        <v>Enn Tokman</v>
      </c>
      <c r="S21" s="515">
        <f>IFERROR(INDEX(V!$O:$O,MATCH(R21,V!$J:$J,0)),"")</f>
        <v>41</v>
      </c>
      <c r="T21" s="514" t="str">
        <f t="shared" si="4"/>
        <v>Kati Tuzberg</v>
      </c>
      <c r="U21" s="515">
        <f>IFERROR(INDEX(V!$O:$O,MATCH(T21,V!$J:$J,0)),"")</f>
        <v>61</v>
      </c>
      <c r="V21" s="516" t="str">
        <f>IFERROR(MID(B7,FIND("^",SUBSTITUTE(B7,", ","^",1))+2,FIND("^",SUBSTITUTE(B7,", ","^",2))-FIND("^",SUBSTITUTE(B7,", ","^",1))-2),"")</f>
        <v/>
      </c>
      <c r="W21" s="515" t="str">
        <f>IFERROR(INDEX(V!$O:$O,MATCH(V21,V!$J:$J,0)),"")</f>
        <v/>
      </c>
      <c r="X21" s="516" t="str">
        <f>IFERROR(MID(B7,FIND(", ",B7,FIND(", ",B7,FIND(", ",B7))+1)+2,30000),"")</f>
        <v/>
      </c>
      <c r="Y21" s="515" t="str">
        <f>IFERROR(INDEX(V!$O:$O,MATCH(X21,V!$J:$J,0)),"")</f>
        <v/>
      </c>
    </row>
    <row r="22" spans="1:27" s="188" customFormat="1" x14ac:dyDescent="0.2">
      <c r="A22" s="126">
        <v>2</v>
      </c>
      <c r="B22" s="581" t="s">
        <v>471</v>
      </c>
      <c r="C22" s="93">
        <v>13</v>
      </c>
      <c r="D22" s="127"/>
      <c r="E22" s="316">
        <v>13</v>
      </c>
      <c r="F22" s="316">
        <v>10</v>
      </c>
      <c r="G22" s="93"/>
      <c r="H22" s="576" t="str">
        <f>(IF(C22-D21&gt;0,1)+IF(E22-D23&gt;0,1)+IF(F22-D24&gt;0,1)+IF(G22-D25&gt;0,1))&amp;"-"&amp;(IF(C22-D21&lt;0,1)+IF(E22-D23&lt;0,1)+IF(F22-D24&lt;0,1)+IF(G22-D25&lt;0,1))</f>
        <v>2-1</v>
      </c>
      <c r="I22" s="93" t="str">
        <f>IF(AND(B22&lt;&gt;"",M$20=TRUE),A$20&amp;RANK(M22,M$21:M$25,0),"")</f>
        <v>C1</v>
      </c>
      <c r="J22" s="584">
        <f t="shared" ref="J22:J25" si="11">VALUE(LEFT(H22,1))</f>
        <v>2</v>
      </c>
      <c r="K22" s="653">
        <f>IF(AND(J22=1,J21=1,C22&gt;D21),1)+IF(AND(J22=1,J23=1,E22&gt;D23),1)+IF(AND(J22=1,J24=1,F22&gt;D24),1)+IF(AND(J22=1,J25=1,G22&gt;D25),1)+IF(AND(J22=2,J21=2,C22&gt;D21),1)+IF(AND(J22=2,J23=2,E22&gt;D23),1)+IF(AND(J22=2,J24=2,F22&gt;D24),1)+IF(AND(J22=2,J25=2,G22&gt;D25),1)+IF(AND(J22=3,J21=3,C22&gt;D21),1)+IF(AND(J22=3,J23=3,E22&gt;D23),1)+IF(AND(J22=3,J24=3,F22&gt;D24),1)+IF(AND(J22=3,J25=3,G22&gt;D25),1)</f>
        <v>1</v>
      </c>
      <c r="L22" s="652">
        <f>IF(AND(J22=1,J21=1),C22-D21)+IF(AND(J22=1,J23=1),E22-D23)+IF(AND(J22=1,J24=1),F22-D24)+IF(AND(J22=1,J25=1),G22-D25)+IF(AND(J22=2,J21=2),C22-D21)+IF(AND(J22=2,J23=2),E22-D23)+IF(AND(J22=2,J24=2),F22-D24)+IF(AND(J22=2,J25=2),G22-D25)+IF(AND(J22=3,J21=3),C22-D21)+IF(AND(J22=3,J23=3),E22-D23)+IF(AND(J22=3,J24=3),F22-D24)+IF(AND(J22=3,J25=3),G22-D25)</f>
        <v>2</v>
      </c>
      <c r="M22" s="668">
        <f t="shared" ref="M22:M25" si="12">10000*J22+K22*100+L22</f>
        <v>20102</v>
      </c>
      <c r="O22" s="139"/>
      <c r="P22" s="309"/>
      <c r="Q22" s="512">
        <f t="shared" si="2"/>
        <v>148</v>
      </c>
      <c r="R22" s="514" t="str">
        <f t="shared" si="3"/>
        <v>Boriss Klubov</v>
      </c>
      <c r="S22" s="515">
        <f>IFERROR(INDEX(V!$O:$O,MATCH(R22,V!$J:$J,0)),"")</f>
        <v>89</v>
      </c>
      <c r="T22" s="514" t="str">
        <f t="shared" si="4"/>
        <v>Mait Metsla</v>
      </c>
      <c r="U22" s="515">
        <f>IFERROR(INDEX(V!$O:$O,MATCH(T22,V!$J:$J,0)),"")</f>
        <v>59</v>
      </c>
      <c r="V22" s="516" t="str">
        <f>IFERROR(MID(B7,FIND("^",SUBSTITUTE(B7,", ","^",1))+2,FIND("^",SUBSTITUTE(B7,", ","^",2))-FIND("^",SUBSTITUTE(B7,", ","^",1))-2),"")</f>
        <v/>
      </c>
      <c r="W22" s="515" t="str">
        <f>IFERROR(INDEX(V!$O:$O,MATCH(V22,V!$J:$J,0)),"")</f>
        <v/>
      </c>
      <c r="X22" s="516" t="str">
        <f>IFERROR(MID(B7,FIND(", ",B7,FIND(", ",B7,FIND(", ",B7))+1)+2,30000),"")</f>
        <v/>
      </c>
      <c r="Y22" s="515" t="str">
        <f>IFERROR(INDEX(V!$O:$O,MATCH(X22,V!$J:$J,0)),"")</f>
        <v/>
      </c>
    </row>
    <row r="23" spans="1:27" s="188" customFormat="1" x14ac:dyDescent="0.2">
      <c r="A23" s="126">
        <v>3</v>
      </c>
      <c r="B23" s="581" t="s">
        <v>417</v>
      </c>
      <c r="C23" s="93">
        <v>13</v>
      </c>
      <c r="D23" s="403">
        <v>8</v>
      </c>
      <c r="E23" s="127"/>
      <c r="F23" s="316">
        <v>13</v>
      </c>
      <c r="G23" s="93"/>
      <c r="H23" s="576" t="str">
        <f>(IF(C23-E21&gt;0,1)+IF(D23-E22&gt;0,1)+IF(F23-E24&gt;0,1)+IF(G23-E25&gt;0,1))&amp;"-"&amp;(IF(C23-E21&lt;0,1)+IF(D23-E22&lt;0,1)+IF(F23-E24&lt;0,1)+IF(G23-E25&lt;0,1))</f>
        <v>2-1</v>
      </c>
      <c r="I23" s="93" t="str">
        <f>IF(AND(B23&lt;&gt;"",M$20=TRUE),A$20&amp;RANK(M23,M$21:M$25,0),"")</f>
        <v>C2</v>
      </c>
      <c r="J23" s="584">
        <f t="shared" si="11"/>
        <v>2</v>
      </c>
      <c r="K23" s="653">
        <f>IF(AND(J23=1,J21=1,C23&gt;E21),1)+IF(AND(J23=1,J22=1,D23&gt;E22),1)+IF(AND(J23=1,J24=1,F23&gt;E24),1)+IF(AND(J23=1,J25=1,G23&gt;E25),1)+IF(AND(J23=2,J21=2,C23&gt;E21),1)+IF(AND(J23=2,J22=2,D23&gt;E22),1)+IF(AND(J23=2,J24=2,F23&gt;E24),1)+IF(AND(J23=2,J25=2,G23&gt;E25),1)+IF(AND(J23=3,J21=3,C23&gt;E21),1)+IF(AND(J23=3,J22=3,D23&gt;E22),1)+IF(AND(J23=3,J24=3,F23&gt;E24),1)+IF(AND(J23=3,J25=3,G23&gt;E25),1)</f>
        <v>1</v>
      </c>
      <c r="L23" s="652">
        <f>IF(AND(J23=1,J21=1),C23-E21)+IF(AND(J23=1,J22=1),D23-E22)+IF(AND(J23=1,J24=1),F23-E24)+IF(AND(J23=1,J25=1),G23-E25)+IF(AND(J23=2,J21=2),C23-E21)+IF(AND(J23=2,J22=2),D23-E22)+IF(AND(J23=2,J24=2),F23-E24)+IF(AND(J23=2,J25=2),G23-E25)+IF(AND(J23=3,J21=3),C23-E21)+IF(AND(J23=3,J22=3),D23-E22)+IF(AND(J23=3,J24=3),F23-E24)+IF(AND(J23=3,J25=3),G23-E25)</f>
        <v>0</v>
      </c>
      <c r="M23" s="668">
        <f t="shared" si="12"/>
        <v>20100</v>
      </c>
      <c r="O23" s="139"/>
      <c r="P23" s="309"/>
      <c r="Q23" s="512">
        <f t="shared" si="2"/>
        <v>103</v>
      </c>
      <c r="R23" s="514" t="str">
        <f t="shared" si="3"/>
        <v>Andres Viisitam</v>
      </c>
      <c r="S23" s="515">
        <f>IFERROR(INDEX(V!$O:$O,MATCH(R23,V!$J:$J,0)),"")</f>
        <v>30</v>
      </c>
      <c r="T23" s="514" t="str">
        <f t="shared" si="4"/>
        <v>Tõnu Piik</v>
      </c>
      <c r="U23" s="515">
        <f>IFERROR(INDEX(V!$O:$O,MATCH(T23,V!$J:$J,0)),"")</f>
        <v>73</v>
      </c>
      <c r="V23" s="516" t="str">
        <f>IFERROR(MID(B7,FIND("^",SUBSTITUTE(B7,", ","^",1))+2,FIND("^",SUBSTITUTE(B7,", ","^",2))-FIND("^",SUBSTITUTE(B7,", ","^",1))-2),"")</f>
        <v/>
      </c>
      <c r="W23" s="515" t="str">
        <f>IFERROR(INDEX(V!$O:$O,MATCH(V23,V!$J:$J,0)),"")</f>
        <v/>
      </c>
      <c r="X23" s="516" t="str">
        <f>IFERROR(MID(B7,FIND(", ",B7,FIND(", ",B7,FIND(", ",B7))+1)+2,30000),"")</f>
        <v/>
      </c>
      <c r="Y23" s="515" t="str">
        <f>IFERROR(INDEX(V!$O:$O,MATCH(X23,V!$J:$J,0)),"")</f>
        <v/>
      </c>
    </row>
    <row r="24" spans="1:27" s="188" customFormat="1" x14ac:dyDescent="0.2">
      <c r="A24" s="126">
        <v>4</v>
      </c>
      <c r="B24" s="581" t="s">
        <v>117</v>
      </c>
      <c r="C24" s="93">
        <v>13</v>
      </c>
      <c r="D24" s="403">
        <v>13</v>
      </c>
      <c r="E24" s="316">
        <v>8</v>
      </c>
      <c r="F24" s="127"/>
      <c r="G24" s="128"/>
      <c r="H24" s="576" t="str">
        <f>(IF(C24-F21&gt;0,1)+IF(D24-F22&gt;0,1)+IF(E24-F23&gt;0,1)+IF(G24-F25&gt;0,1))&amp;"-"&amp;(IF(C24-F21&lt;0,1)+IF(D24-F22&lt;0,1)+IF(E24-F23&lt;0,1)+IF(G24-F25&lt;0,1))</f>
        <v>2-1</v>
      </c>
      <c r="I24" s="93" t="str">
        <f>IF(AND(B24&lt;&gt;"",M$20=TRUE),A$20&amp;RANK(M24,M$21:M$25,0),"")</f>
        <v>C3</v>
      </c>
      <c r="J24" s="584">
        <f t="shared" si="11"/>
        <v>2</v>
      </c>
      <c r="K24" s="653">
        <f>IF(AND(J24=1,J21=1,C24&gt;F21),1)+IF(AND(J24=1,J22=1,D24&gt;F22),1)+IF(AND(J24=1,J23=1,E24&gt;F23),1)+IF(AND(J24=1,J25=1,G24&gt;F25),1)+IF(AND(J24=2,J21=2,C24&gt;F21),1)+IF(AND(J24=2,J22=2,D24&gt;F22),1)+IF(AND(J24=2,J23=2,E24&gt;F23),1)+IF(AND(J24=2,J25=2,G24&gt;F25),1)+IF(AND(J24=3,J21=3,C24&gt;F21),1)+IF(AND(J24=3,J22=3,D24&gt;F22),1)+IF(AND(J24=3,J23=3,E24&gt;F23),1)+IF(AND(J24=3,J25=3,G24&gt;F25),1)</f>
        <v>1</v>
      </c>
      <c r="L24" s="652">
        <f>IF(AND(J24=1,J21=1),C24-F21)+IF(AND(J24=1,J22=1),D24-F22)+IF(AND(J24=1,J23=1),E24-F23)+IF(AND(J24=1,J25=1),G24-F25)+IF(AND(J24=2,J21=2),C24-F21)+IF(AND(J24=2,J22=2),D24-F22)+IF(AND(J24=2,J23=2),E24-F23)+IF(AND(J24=2,J25=2),G24-F25)+IF(AND(J24=3,J21=3),C24-F21)+IF(AND(J24=3,J22=3),D24-F22)+IF(AND(J24=3,J23=3),E24-F23)+IF(AND(J24=3,J25=3),G24-F25)</f>
        <v>-2</v>
      </c>
      <c r="M24" s="668">
        <f t="shared" si="12"/>
        <v>20098</v>
      </c>
      <c r="P24" s="309"/>
      <c r="Q24" s="512">
        <f t="shared" si="2"/>
        <v>102</v>
      </c>
      <c r="R24" s="514" t="str">
        <f t="shared" si="3"/>
        <v>Ljudmila Varendi</v>
      </c>
      <c r="S24" s="515">
        <f>IFERROR(INDEX(V!$O:$O,MATCH(R24,V!$J:$J,0)),"")</f>
        <v>51</v>
      </c>
      <c r="T24" s="514" t="str">
        <f t="shared" si="4"/>
        <v>Viktor Švarõgin</v>
      </c>
      <c r="U24" s="515">
        <f>IFERROR(INDEX(V!$O:$O,MATCH(T24,V!$J:$J,0)),"")</f>
        <v>51</v>
      </c>
      <c r="V24" s="516" t="str">
        <f>IFERROR(MID(B7,FIND("^",SUBSTITUTE(B7,", ","^",1))+2,FIND("^",SUBSTITUTE(B7,", ","^",2))-FIND("^",SUBSTITUTE(B7,", ","^",1))-2),"")</f>
        <v/>
      </c>
      <c r="W24" s="515" t="str">
        <f>IFERROR(INDEX(V!$O:$O,MATCH(V24,V!$J:$J,0)),"")</f>
        <v/>
      </c>
      <c r="X24" s="516" t="str">
        <f>IFERROR(MID(B7,FIND(", ",B7,FIND(", ",B7,FIND(", ",B7))+1)+2,30000),"")</f>
        <v/>
      </c>
      <c r="Y24" s="515" t="str">
        <f>IFERROR(INDEX(V!$O:$O,MATCH(X24,V!$J:$J,0)),"")</f>
        <v/>
      </c>
    </row>
    <row r="25" spans="1:27" s="188" customFormat="1" hidden="1" x14ac:dyDescent="0.2">
      <c r="A25" s="126">
        <v>5</v>
      </c>
      <c r="B25" s="581"/>
      <c r="C25" s="93"/>
      <c r="D25" s="93"/>
      <c r="E25" s="93"/>
      <c r="F25" s="93"/>
      <c r="G25" s="93"/>
      <c r="H25" s="576" t="str">
        <f>(IF(C25-G21&gt;0,1)+IF(D25-G22&gt;0,1)+IF(E25-G23&gt;0,1)+IF(F25-G24&gt;0,1))&amp;"-"&amp;(IF(C25-G21&lt;0,1)+IF(D25-G22&lt;0,1)+IF(E25-G23&lt;0,1)+IF(F25-G24&lt;0,1))</f>
        <v>0-0</v>
      </c>
      <c r="I25" s="93" t="str">
        <f>IF(AND(B25&lt;&gt;"",M$20=TRUE),A$20&amp;RANK(M25,M$21:M$25,0),"")</f>
        <v/>
      </c>
      <c r="J25" s="584">
        <f t="shared" si="11"/>
        <v>0</v>
      </c>
      <c r="K25" s="653">
        <f>IF(AND(J25=1,J21=1,C25&gt;G21),1)+IF(AND(J25=1,J22=1,D25&gt;G22),1)+IF(AND(J25=1,J23=1,E25&gt;G23),1)+IF(AND(J25=1,J24=1,F25&gt;G24),1)+IF(AND(J25=2,J21=2,C25&gt;G21),1)+IF(AND(J25=2,J22=2,D25&gt;G22),1)+IF(AND(J25=2,J23=2,E25&gt;G23),1)+IF(AND(J25=2,J24=2,F25&gt;G24),1)+IF(AND(J25=3,J21=3,C25&gt;G21),1)+IF(AND(J25=3,J22=3,D25&gt;G22),1)+IF(AND(J25=3,J23=3,E25&gt;G23),1)+IF(AND(J25=3,J24=3,F25&gt;G24),1)</f>
        <v>0</v>
      </c>
      <c r="L25" s="652">
        <f>IF(AND(J25=1,J21=1),C25-G21)+IF(AND(J25=1,J22=1),D25-G22)+IF(AND(J25=1,J23=1),E25-G23)+IF(AND(J25=1,J24=1),F25-G24)+IF(AND(J25=2,J21=2),C25-G21)+IF(AND(J25=2,J22=2),D25-G22)+IF(AND(J25=2,J23=2),E25-G23)+IF(AND(J25=2,J24=2),F25-G24)+IF(AND(J25=3,J21=3),C25-G21)+IF(AND(J25=3,J22=3),D25-G22)+IF(AND(J25=3,J23=3),E25-G23)+IF(AND(J25=3,J24=3),F25-G24)</f>
        <v>0</v>
      </c>
      <c r="M25" s="668">
        <f t="shared" si="12"/>
        <v>0</v>
      </c>
      <c r="P25" s="309"/>
      <c r="Q25" s="512">
        <f t="shared" si="2"/>
        <v>0</v>
      </c>
      <c r="R25" s="514" t="str">
        <f t="shared" si="3"/>
        <v/>
      </c>
      <c r="S25" s="515" t="str">
        <f>IFERROR(INDEX(V!$O:$O,MATCH(R25,V!$J:$J,0)),"")</f>
        <v/>
      </c>
      <c r="T25" s="514" t="str">
        <f t="shared" si="4"/>
        <v/>
      </c>
      <c r="U25" s="515" t="str">
        <f>IFERROR(INDEX(V!$O:$O,MATCH(T25,V!$J:$J,0)),"")</f>
        <v/>
      </c>
      <c r="V25" s="516" t="str">
        <f t="shared" si="6"/>
        <v/>
      </c>
      <c r="W25" s="515" t="str">
        <f>IFERROR(INDEX(V!$O:$O,MATCH(V25,V!$J:$J,0)),"")</f>
        <v/>
      </c>
      <c r="X25" s="516" t="str">
        <f t="shared" si="7"/>
        <v/>
      </c>
      <c r="Y25" s="515" t="str">
        <f>IFERROR(INDEX(V!$O:$O,MATCH(X25,V!$J:$J,0)),"")</f>
        <v/>
      </c>
    </row>
    <row r="26" spans="1:27" s="188" customFormat="1" hidden="1" x14ac:dyDescent="0.2">
      <c r="A26" s="121"/>
      <c r="B26" s="217"/>
      <c r="C26" s="96"/>
      <c r="D26" s="501"/>
      <c r="F26" s="94"/>
      <c r="H26" s="592"/>
      <c r="I26" s="593" t="str">
        <f t="shared" ref="I26" si="13">IF(AND(B26&lt;&gt;"",L$20=TRUE),A$20&amp;RANK(L26,L$21:L$25,0),"")</f>
        <v/>
      </c>
      <c r="J26" s="591"/>
      <c r="K26" s="654"/>
      <c r="L26" s="658"/>
      <c r="M26" s="591"/>
      <c r="P26" s="309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</row>
    <row r="27" spans="1:27" s="188" customFormat="1" hidden="1" x14ac:dyDescent="0.2">
      <c r="A27" s="126" t="s">
        <v>323</v>
      </c>
      <c r="B27" s="126"/>
      <c r="C27" s="91">
        <v>1</v>
      </c>
      <c r="D27" s="91">
        <v>2</v>
      </c>
      <c r="E27" s="91">
        <v>3</v>
      </c>
      <c r="F27" s="91">
        <v>4</v>
      </c>
      <c r="G27" s="91">
        <v>5</v>
      </c>
      <c r="H27" s="438" t="s">
        <v>73</v>
      </c>
      <c r="I27" s="438" t="s">
        <v>21</v>
      </c>
      <c r="J27" s="586" t="s">
        <v>273</v>
      </c>
      <c r="K27" s="649" t="s">
        <v>273</v>
      </c>
      <c r="L27" s="656" t="s">
        <v>430</v>
      </c>
      <c r="M27" s="588" t="b">
        <f>OR(AND(COUNTA(B28:B32)=3,COUNTA(C28:G32)=6),AND(COUNTA(B28:B32)=4,COUNTA(C28:G32)=12),AND(COUNTA(B28:B32)=5,COUNTA(C28:G32)=20))</f>
        <v>0</v>
      </c>
      <c r="P27" s="309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</row>
    <row r="28" spans="1:27" s="188" customFormat="1" hidden="1" x14ac:dyDescent="0.2">
      <c r="A28" s="126">
        <v>1</v>
      </c>
      <c r="B28" s="581"/>
      <c r="C28" s="127"/>
      <c r="D28" s="93"/>
      <c r="E28" s="93"/>
      <c r="F28" s="93"/>
      <c r="G28" s="128"/>
      <c r="H28" s="576" t="str">
        <f>(IF(D28-C29&gt;0,1)+IF(E28-C30&gt;0,1)+IF(F28-C31&gt;0,1)+IF(G28-C32&gt;0,1))&amp;"-"&amp;(IF(D28-C29&lt;0,1)+IF(E28-C30&lt;0,1)+IF(F28-C31&lt;0,1)+IF(G28-C32&lt;0,1))</f>
        <v>0-0</v>
      </c>
      <c r="I28" s="93" t="str">
        <f>IF(AND(B28&lt;&gt;"",M$27=TRUE),A$27&amp;RANK(M28,M$28:M$32,0),"")</f>
        <v/>
      </c>
      <c r="J28" s="584">
        <f>VALUE(LEFT(H28,1))</f>
        <v>0</v>
      </c>
      <c r="K28" s="651">
        <f>IF(AND(J28=1,J29=1,D28&gt;C29),1)+IF(AND(J28=1,J30=1,E28&gt;C30),1)+IF(AND(J28=1,J31=1,F28&gt;C31),1)+IF(AND(J28=1,J32=1,G28&gt;C32),1)+IF(AND(J28=2,J29=2,D28&gt;C29),1)+IF(AND(J28=2,J30=2,E28&gt;C30),1)+IF(AND(J28=2,J31=2,F28&gt;C31),1)+IF(AND(J28=2,J32=2,G28&gt;C32),1)+IF(AND(J28=3,J29=3,D28&gt;C29),1)+IF(AND(J28=3,J30=3,E28&gt;C30),1)+IF(AND(J28=3,J31=3,F28&gt;C31),1)+IF(AND(J28=3,J32=3,G28&gt;C32),1)</f>
        <v>0</v>
      </c>
      <c r="L28" s="652">
        <f>IF(AND(J28=1,J29=1),D28-C29)+IF(AND(J28=1,J30=1),E28-C30)+IF(AND(J28=1,J31=1),F28-C31)+IF(AND(J28=1,J32=1),G28-C32)+IF(AND(J28=2,J29=2),D28-C29)+IF(AND(J28=2,J30=2),E28-C30)+IF(AND(J28=2,J31=2),F28-C31)+IF(AND(J28=2,J32=2),G28-C32)+IF(AND(J28=3,J29=3),D28-C29)+IF(AND(J28=3,J30=3),E28-C30)+IF(AND(J28=3,J31=3),F28-C31)+IF(AND(J28=3,J32=3),G28-C32)</f>
        <v>0</v>
      </c>
      <c r="M28" s="668">
        <f>10000*J28+K28*100+L28</f>
        <v>0</v>
      </c>
      <c r="P28" s="309"/>
      <c r="Q28" s="512">
        <f t="shared" si="2"/>
        <v>0</v>
      </c>
      <c r="R28" s="514" t="str">
        <f t="shared" si="3"/>
        <v/>
      </c>
      <c r="S28" s="515" t="str">
        <f>IFERROR(INDEX(V!$O:$O,MATCH(R28,V!$J:$J,0)),"")</f>
        <v/>
      </c>
      <c r="T28" s="514" t="str">
        <f t="shared" si="4"/>
        <v/>
      </c>
      <c r="U28" s="515" t="str">
        <f>IFERROR(INDEX(V!$O:$O,MATCH(T28,V!$J:$J,0)),"")</f>
        <v/>
      </c>
      <c r="V28" s="516" t="str">
        <f t="shared" si="6"/>
        <v/>
      </c>
      <c r="W28" s="515" t="str">
        <f>IFERROR(INDEX(V!$O:$O,MATCH(V28,V!$J:$J,0)),"")</f>
        <v/>
      </c>
      <c r="X28" s="516" t="str">
        <f t="shared" si="7"/>
        <v/>
      </c>
      <c r="Y28" s="515" t="str">
        <f>IFERROR(INDEX(V!$O:$O,MATCH(X28,V!$J:$J,0)),"")</f>
        <v/>
      </c>
    </row>
    <row r="29" spans="1:27" s="188" customFormat="1" hidden="1" x14ac:dyDescent="0.2">
      <c r="A29" s="126">
        <v>2</v>
      </c>
      <c r="B29" s="581"/>
      <c r="C29" s="131"/>
      <c r="D29" s="127"/>
      <c r="E29" s="93"/>
      <c r="F29" s="93"/>
      <c r="G29" s="128"/>
      <c r="H29" s="576" t="str">
        <f>(IF(C29-D28&gt;0,1)+IF(E29-D30&gt;0,1)+IF(F29-D31&gt;0,1)+IF(G29-D32&gt;0,1))&amp;"-"&amp;(IF(C29-D28&lt;0,1)+IF(E29-D30&lt;0,1)+IF(F29-D31&lt;0,1)+IF(G29-D32&lt;0,1))</f>
        <v>0-0</v>
      </c>
      <c r="I29" s="93" t="str">
        <f t="shared" ref="I29:I32" si="14">IF(AND(B29&lt;&gt;"",M$27=TRUE),A$27&amp;RANK(M29,M$28:M$32,0),"")</f>
        <v/>
      </c>
      <c r="J29" s="584">
        <f t="shared" ref="J29:J32" si="15">VALUE(LEFT(H29,1))</f>
        <v>0</v>
      </c>
      <c r="K29" s="653">
        <f>IF(AND(J29=1,J28=1,C29&gt;D28),1)+IF(AND(J29=1,J30=1,E29&gt;D30),1)+IF(AND(J29=1,J31=1,F29&gt;D31),1)+IF(AND(J29=1,J32=1,G29&gt;D32),1)+IF(AND(J29=2,J28=2,C29&gt;D28),1)+IF(AND(J29=2,J30=2,E29&gt;D30),1)+IF(AND(J29=2,J31=2,F29&gt;D31),1)+IF(AND(J29=2,J32=2,G29&gt;D32),1)+IF(AND(J29=3,J28=3,C29&gt;D28),1)+IF(AND(J29=3,J30=3,E29&gt;D30),1)+IF(AND(J29=3,J31=3,F29&gt;D31),1)+IF(AND(J29=3,J32=3,G29&gt;D32),1)</f>
        <v>0</v>
      </c>
      <c r="L29" s="652">
        <f>IF(AND(J29=1,J28=1),C29-D28)+IF(AND(J29=1,J30=1),E29-D30)+IF(AND(J29=1,J31=1),F29-D31)+IF(AND(J29=1,J32=1),G29-D32)+IF(AND(J29=2,J28=2),C29-D28)+IF(AND(J29=2,J30=2),E29-D30)+IF(AND(J29=2,J31=2),F29-D31)+IF(AND(J29=2,J32=2),G29-D32)+IF(AND(J29=3,J28=3),C29-D28)+IF(AND(J29=3,J30=3),E29-D30)+IF(AND(J29=3,J31=3),F29-D31)+IF(AND(J29=3,J32=3),G29-D32)</f>
        <v>0</v>
      </c>
      <c r="M29" s="668">
        <f t="shared" ref="M29:M32" si="16">10000*J29+K29*100+L29</f>
        <v>0</v>
      </c>
      <c r="O29" s="579"/>
      <c r="P29" s="309"/>
      <c r="Q29" s="512">
        <f t="shared" si="2"/>
        <v>0</v>
      </c>
      <c r="R29" s="514" t="str">
        <f t="shared" si="3"/>
        <v/>
      </c>
      <c r="S29" s="515" t="str">
        <f>IFERROR(INDEX(V!$O:$O,MATCH(R29,V!$J:$J,0)),"")</f>
        <v/>
      </c>
      <c r="T29" s="514" t="str">
        <f t="shared" si="4"/>
        <v/>
      </c>
      <c r="U29" s="515" t="str">
        <f>IFERROR(INDEX(V!$O:$O,MATCH(T29,V!$J:$J,0)),"")</f>
        <v/>
      </c>
      <c r="V29" s="516" t="str">
        <f t="shared" si="6"/>
        <v/>
      </c>
      <c r="W29" s="515" t="str">
        <f>IFERROR(INDEX(V!$O:$O,MATCH(V29,V!$J:$J,0)),"")</f>
        <v/>
      </c>
      <c r="X29" s="516" t="str">
        <f t="shared" si="7"/>
        <v/>
      </c>
      <c r="Y29" s="515" t="str">
        <f>IFERROR(INDEX(V!$O:$O,MATCH(X29,V!$J:$J,0)),"")</f>
        <v/>
      </c>
    </row>
    <row r="30" spans="1:27" s="188" customFormat="1" hidden="1" x14ac:dyDescent="0.2">
      <c r="A30" s="126">
        <v>3</v>
      </c>
      <c r="B30" s="581"/>
      <c r="C30" s="93"/>
      <c r="D30" s="548"/>
      <c r="E30" s="127"/>
      <c r="F30" s="93"/>
      <c r="G30" s="128"/>
      <c r="H30" s="576" t="str">
        <f>(IF(C30-E28&gt;0,1)+IF(D30-E29&gt;0,1)+IF(F30-E31&gt;0,1)+IF(G30-E32&gt;0,1))&amp;"-"&amp;(IF(C30-E28&lt;0,1)+IF(D30-E29&lt;0,1)+IF(F30-E31&lt;0,1)+IF(G30-E32&lt;0,1))</f>
        <v>0-0</v>
      </c>
      <c r="I30" s="93" t="str">
        <f t="shared" si="14"/>
        <v/>
      </c>
      <c r="J30" s="584">
        <f t="shared" si="15"/>
        <v>0</v>
      </c>
      <c r="K30" s="653">
        <f>IF(AND(J30=1,J28=1,C30&gt;E28),1)+IF(AND(J30=1,J29=1,D30&gt;E29),1)+IF(AND(J30=1,J31=1,F30&gt;E31),1)+IF(AND(J30=1,J32=1,G30&gt;E32),1)+IF(AND(J30=2,J28=2,C30&gt;E28),1)+IF(AND(J30=2,J29=2,D30&gt;E29),1)+IF(AND(J30=2,J31=2,F30&gt;E31),1)+IF(AND(J30=2,J32=2,G30&gt;E32),1)+IF(AND(J30=3,J28=3,C30&gt;E28),1)+IF(AND(J30=3,J29=3,D30&gt;E29),1)+IF(AND(J30=3,J31=3,F30&gt;E31),1)+IF(AND(J30=3,J32=3,G30&gt;E32),1)</f>
        <v>0</v>
      </c>
      <c r="L30" s="652">
        <f>IF(AND(J30=1,J28=1),C30-E28)+IF(AND(J30=1,J29=1),D30-E29)+IF(AND(J30=1,J31=1),F30-E31)+IF(AND(J30=1,J32=1),G30-E32)+IF(AND(J30=2,J28=2),C30-E28)+IF(AND(J30=2,J29=2),D30-E29)+IF(AND(J30=2,J31=2),F30-E31)+IF(AND(J30=2,J32=2),G30-E32)+IF(AND(J30=3,J28=3),C30-E28)+IF(AND(J30=3,J29=3),D30-E29)+IF(AND(J30=3,J31=3),F30-E31)+IF(AND(J30=3,J32=3),G30-E32)</f>
        <v>0</v>
      </c>
      <c r="M30" s="668">
        <f t="shared" si="16"/>
        <v>0</v>
      </c>
      <c r="O30" s="579"/>
      <c r="P30" s="669"/>
      <c r="Q30" s="512">
        <f t="shared" si="2"/>
        <v>0</v>
      </c>
      <c r="R30" s="514" t="str">
        <f t="shared" si="3"/>
        <v/>
      </c>
      <c r="S30" s="515" t="str">
        <f>IFERROR(INDEX(V!$O:$O,MATCH(R30,V!$J:$J,0)),"")</f>
        <v/>
      </c>
      <c r="T30" s="514" t="str">
        <f t="shared" si="4"/>
        <v/>
      </c>
      <c r="U30" s="515" t="str">
        <f>IFERROR(INDEX(V!$O:$O,MATCH(T30,V!$J:$J,0)),"")</f>
        <v/>
      </c>
      <c r="V30" s="516" t="str">
        <f t="shared" si="6"/>
        <v/>
      </c>
      <c r="W30" s="515" t="str">
        <f>IFERROR(INDEX(V!$O:$O,MATCH(V30,V!$J:$J,0)),"")</f>
        <v/>
      </c>
      <c r="X30" s="516" t="str">
        <f t="shared" si="7"/>
        <v/>
      </c>
      <c r="Y30" s="515" t="str">
        <f>IFERROR(INDEX(V!$O:$O,MATCH(X30,V!$J:$J,0)),"")</f>
        <v/>
      </c>
    </row>
    <row r="31" spans="1:27" s="188" customFormat="1" hidden="1" x14ac:dyDescent="0.2">
      <c r="A31" s="126">
        <v>4</v>
      </c>
      <c r="B31" s="164"/>
      <c r="C31" s="93"/>
      <c r="D31" s="548"/>
      <c r="E31" s="93"/>
      <c r="F31" s="127"/>
      <c r="G31" s="128"/>
      <c r="H31" s="576" t="str">
        <f>(IF(C31-F28&gt;0,1)+IF(D31-F29&gt;0,1)+IF(E31-F30&gt;0,1)+IF(G31-F32&gt;0,1))&amp;"-"&amp;(IF(C31-F28&lt;0,1)+IF(D31-F29&lt;0,1)+IF(E31-F30&lt;0,1)+IF(G31-F32&lt;0,1))</f>
        <v>0-0</v>
      </c>
      <c r="I31" s="93" t="str">
        <f t="shared" si="14"/>
        <v/>
      </c>
      <c r="J31" s="584">
        <f t="shared" si="15"/>
        <v>0</v>
      </c>
      <c r="K31" s="653">
        <f>IF(AND(J31=1,J28=1,C31&gt;F28),1)+IF(AND(J31=1,J29=1,D31&gt;F29),1)+IF(AND(J31=1,J30=1,E31&gt;F30),1)+IF(AND(J31=1,J32=1,G31&gt;F32),1)+IF(AND(J31=2,J28=2,C31&gt;F28),1)+IF(AND(J31=2,J29=2,D31&gt;F29),1)+IF(AND(J31=2,J30=2,E31&gt;F30),1)+IF(AND(J31=2,J32=2,G31&gt;F32),1)+IF(AND(J31=3,J28=3,C31&gt;F28),1)+IF(AND(J31=3,J29=3,D31&gt;F29),1)+IF(AND(J31=3,J30=3,E31&gt;F30),1)+IF(AND(J31=3,J32=3,G31&gt;F32),1)</f>
        <v>0</v>
      </c>
      <c r="L31" s="652">
        <f>IF(AND(J31=1,J28=1),C31-F28)+IF(AND(J31=1,J29=1),D31-F29)+IF(AND(J31=1,J30=1),E31-F30)+IF(AND(J31=1,J32=1),G31-F32)+IF(AND(J31=2,J28=2),C31-F28)+IF(AND(J31=2,J29=2),D31-F29)+IF(AND(J31=2,J30=2),E31-F30)+IF(AND(J31=2,J32=2),G31-F32)+IF(AND(J31=3,J28=3),C31-F28)+IF(AND(J31=3,J29=3),D31-F29)+IF(AND(J31=3,J30=3),E31-F30)+IF(AND(J31=3,J32=3),G31-F32)</f>
        <v>0</v>
      </c>
      <c r="M31" s="668">
        <f t="shared" si="16"/>
        <v>0</v>
      </c>
      <c r="O31" s="579"/>
      <c r="P31" s="309"/>
      <c r="Q31" s="512">
        <f t="shared" si="2"/>
        <v>0</v>
      </c>
      <c r="R31" s="514" t="str">
        <f t="shared" si="3"/>
        <v/>
      </c>
      <c r="S31" s="515" t="str">
        <f>IFERROR(INDEX(V!$O:$O,MATCH(R31,V!$J:$J,0)),"")</f>
        <v/>
      </c>
      <c r="T31" s="514" t="str">
        <f t="shared" si="4"/>
        <v/>
      </c>
      <c r="U31" s="515" t="str">
        <f>IFERROR(INDEX(V!$O:$O,MATCH(T31,V!$J:$J,0)),"")</f>
        <v/>
      </c>
      <c r="V31" s="516" t="str">
        <f t="shared" si="6"/>
        <v/>
      </c>
      <c r="W31" s="515" t="str">
        <f>IFERROR(INDEX(V!$O:$O,MATCH(V31,V!$J:$J,0)),"")</f>
        <v/>
      </c>
      <c r="X31" s="516" t="str">
        <f t="shared" si="7"/>
        <v/>
      </c>
      <c r="Y31" s="515" t="str">
        <f>IFERROR(INDEX(V!$O:$O,MATCH(X31,V!$J:$J,0)),"")</f>
        <v/>
      </c>
    </row>
    <row r="32" spans="1:27" s="188" customFormat="1" hidden="1" x14ac:dyDescent="0.2">
      <c r="A32" s="126">
        <v>5</v>
      </c>
      <c r="B32" s="164"/>
      <c r="C32" s="93"/>
      <c r="D32" s="93"/>
      <c r="E32" s="93"/>
      <c r="F32" s="93"/>
      <c r="G32" s="127"/>
      <c r="H32" s="576" t="str">
        <f>(IF(C32-G28&gt;0,1)+IF(D32-G29&gt;0,1)+IF(E32-G30&gt;0,1)+IF(F32-G31&gt;0,1))&amp;"-"&amp;(IF(C32-G28&lt;0,1)+IF(D32-G29&lt;0,1)+IF(E32-G30&lt;0,1)+IF(F32-G31&lt;0,1))</f>
        <v>0-0</v>
      </c>
      <c r="I32" s="93" t="str">
        <f t="shared" si="14"/>
        <v/>
      </c>
      <c r="J32" s="584">
        <f t="shared" si="15"/>
        <v>0</v>
      </c>
      <c r="K32" s="653">
        <f>IF(AND(J32=1,J28=1,C32&gt;G28),1)+IF(AND(J32=1,J29=1,D32&gt;G29),1)+IF(AND(J32=1,J30=1,E32&gt;G30),1)+IF(AND(J32=1,J31=1,F32&gt;G31),1)+IF(AND(J32=2,J28=2,C32&gt;G28),1)+IF(AND(J32=2,J29=2,D32&gt;G29),1)+IF(AND(J32=2,J30=2,E32&gt;G30),1)+IF(AND(J32=2,J31=2,F32&gt;G31),1)+IF(AND(J32=3,J28=3,C32&gt;G28),1)+IF(AND(J32=3,J29=3,D32&gt;G29),1)+IF(AND(J32=3,J30=3,E32&gt;G30),1)+IF(AND(J32=3,J31=3,F32&gt;G31),1)</f>
        <v>0</v>
      </c>
      <c r="L32" s="652">
        <f>IF(AND(J32=1,J28=1),C32-G28)+IF(AND(J32=1,J29=1),D32-G29)+IF(AND(J32=1,J30=1),E32-G30)+IF(AND(J32=1,J31=1),F32-G31)+IF(AND(J32=2,J28=2),C32-G28)+IF(AND(J32=2,J29=2),D32-G29)+IF(AND(J32=2,J30=2),E32-G30)+IF(AND(J32=2,J31=2),F32-G31)+IF(AND(J32=3,J28=3),C32-G28)+IF(AND(J32=3,J29=3),D32-G29)+IF(AND(J32=3,J30=3),E32-G30)+IF(AND(J32=3,J31=3),F32-G31)</f>
        <v>0</v>
      </c>
      <c r="M32" s="668">
        <f t="shared" si="16"/>
        <v>0</v>
      </c>
      <c r="O32" s="579"/>
      <c r="P32" s="88"/>
      <c r="Q32" s="512">
        <f t="shared" si="2"/>
        <v>0</v>
      </c>
      <c r="R32" s="514" t="str">
        <f t="shared" si="3"/>
        <v/>
      </c>
      <c r="S32" s="515" t="str">
        <f>IFERROR(INDEX(V!$O:$O,MATCH(R32,V!$J:$J,0)),"")</f>
        <v/>
      </c>
      <c r="T32" s="514" t="str">
        <f t="shared" si="4"/>
        <v/>
      </c>
      <c r="U32" s="515" t="str">
        <f>IFERROR(INDEX(V!$O:$O,MATCH(T32,V!$J:$J,0)),"")</f>
        <v/>
      </c>
      <c r="V32" s="516" t="str">
        <f t="shared" si="6"/>
        <v/>
      </c>
      <c r="W32" s="515" t="str">
        <f>IFERROR(INDEX(V!$O:$O,MATCH(V32,V!$J:$J,0)),"")</f>
        <v/>
      </c>
      <c r="X32" s="516" t="str">
        <f t="shared" si="7"/>
        <v/>
      </c>
      <c r="Y32" s="515" t="str">
        <f>IFERROR(INDEX(V!$O:$O,MATCH(X32,V!$J:$J,0)),"")</f>
        <v/>
      </c>
      <c r="Z32" s="88"/>
      <c r="AA32" s="88"/>
    </row>
    <row r="33" spans="1:27" s="188" customFormat="1" x14ac:dyDescent="0.2">
      <c r="A33" s="121"/>
      <c r="B33" s="217"/>
      <c r="C33" s="97"/>
      <c r="D33" s="97"/>
      <c r="E33" s="97"/>
      <c r="F33" s="97"/>
      <c r="G33" s="97"/>
      <c r="H33" s="639"/>
      <c r="I33" s="97"/>
      <c r="J33" s="584"/>
      <c r="K33" s="584"/>
      <c r="L33" s="584"/>
      <c r="M33" s="569"/>
      <c r="N33" s="310"/>
      <c r="O33" s="579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</row>
    <row r="34" spans="1:27" s="188" customFormat="1" x14ac:dyDescent="0.2">
      <c r="A34" s="314"/>
      <c r="B34" s="213" t="s">
        <v>98</v>
      </c>
      <c r="C34" s="98" t="s">
        <v>99</v>
      </c>
      <c r="D34" s="98" t="s">
        <v>100</v>
      </c>
      <c r="E34" s="314"/>
      <c r="F34" s="314"/>
      <c r="G34" s="314"/>
      <c r="M34" s="88"/>
      <c r="N34" s="88"/>
      <c r="O34" s="579"/>
      <c r="P34" s="88"/>
      <c r="S34" s="88"/>
      <c r="T34" s="88"/>
      <c r="U34" s="88"/>
      <c r="V34" s="88"/>
      <c r="W34" s="88"/>
      <c r="X34" s="88"/>
      <c r="Y34" s="88"/>
      <c r="Z34" s="88"/>
      <c r="AA34" s="88"/>
    </row>
    <row r="35" spans="1:27" s="188" customFormat="1" x14ac:dyDescent="0.2">
      <c r="A35" s="314"/>
      <c r="B35" s="213" t="s">
        <v>101</v>
      </c>
      <c r="C35" s="98" t="s">
        <v>102</v>
      </c>
      <c r="D35" s="98" t="s">
        <v>103</v>
      </c>
      <c r="E35" s="314"/>
      <c r="F35" s="314"/>
      <c r="G35" s="314"/>
      <c r="M35" s="88"/>
      <c r="N35" s="88"/>
      <c r="O35" s="579"/>
      <c r="P35" s="88"/>
      <c r="S35" s="88"/>
      <c r="T35" s="88"/>
      <c r="U35" s="88"/>
      <c r="V35" s="88"/>
      <c r="W35" s="88"/>
      <c r="X35" s="88"/>
      <c r="Y35" s="88"/>
      <c r="Z35" s="88"/>
      <c r="AA35" s="88"/>
    </row>
    <row r="36" spans="1:27" s="188" customFormat="1" x14ac:dyDescent="0.2">
      <c r="A36" s="314"/>
      <c r="B36" s="213" t="s">
        <v>104</v>
      </c>
      <c r="C36" s="98" t="s">
        <v>92</v>
      </c>
      <c r="D36" s="98" t="s">
        <v>105</v>
      </c>
      <c r="E36" s="314"/>
      <c r="F36" s="314"/>
      <c r="G36" s="314"/>
      <c r="M36" s="88"/>
      <c r="N36" s="88"/>
      <c r="O36" s="579"/>
      <c r="P36" s="88"/>
      <c r="S36" s="88"/>
      <c r="T36" s="88"/>
      <c r="U36" s="88"/>
      <c r="V36" s="88"/>
      <c r="W36" s="88"/>
      <c r="X36" s="88"/>
      <c r="Y36" s="88"/>
      <c r="Z36" s="88"/>
      <c r="AA36" s="88"/>
    </row>
    <row r="37" spans="1:27" s="188" customFormat="1" x14ac:dyDescent="0.2">
      <c r="A37" s="95"/>
      <c r="B37" s="410"/>
      <c r="C37" s="97"/>
      <c r="D37" s="97"/>
      <c r="E37" s="97"/>
      <c r="F37" s="97"/>
      <c r="G37" s="402"/>
      <c r="M37" s="88"/>
      <c r="N37" s="88"/>
      <c r="P37" s="88"/>
      <c r="R37" s="212"/>
      <c r="S37" s="88"/>
      <c r="T37" s="88"/>
      <c r="U37" s="88"/>
      <c r="V37" s="88"/>
      <c r="W37" s="88"/>
      <c r="X37" s="88"/>
      <c r="Y37" s="88"/>
      <c r="Z37" s="88"/>
      <c r="AA37" s="88"/>
    </row>
    <row r="38" spans="1:27" s="88" customFormat="1" x14ac:dyDescent="0.2">
      <c r="A38" s="214" t="s">
        <v>72</v>
      </c>
      <c r="B38" s="99"/>
      <c r="C38" s="96"/>
      <c r="D38" s="96"/>
      <c r="E38" s="96"/>
      <c r="F38" s="97"/>
      <c r="G38" s="98"/>
      <c r="Q38" s="188"/>
      <c r="R38" s="188"/>
    </row>
    <row r="39" spans="1:27" s="88" customFormat="1" x14ac:dyDescent="0.2">
      <c r="Q39" s="188"/>
      <c r="R39" s="212"/>
    </row>
    <row r="40" spans="1:27" s="88" customFormat="1" x14ac:dyDescent="0.2">
      <c r="A40" s="106" t="s">
        <v>84</v>
      </c>
      <c r="B40" s="404" t="str">
        <f>IFERROR(INDEX(B$7:B$32,MATCH(A40,I$7:I$32,0)),"")</f>
        <v>Henri Mitt, Taavi Press</v>
      </c>
      <c r="C40" s="120">
        <f>IF(B40="-",0,IF(B42="-",13,""))</f>
        <v>13</v>
      </c>
      <c r="Q40" s="188"/>
      <c r="R40" s="215"/>
    </row>
    <row r="41" spans="1:27" s="88" customFormat="1" x14ac:dyDescent="0.2">
      <c r="A41" s="107"/>
      <c r="B41" s="423"/>
      <c r="C41" s="524" t="str">
        <f>IF(COUNT(C40,C42)=2,IF(C40&gt;C42,B40,B42),"")</f>
        <v>Henri Mitt, Taavi Press</v>
      </c>
      <c r="E41" s="120">
        <v>9</v>
      </c>
      <c r="Q41" s="188"/>
      <c r="R41" s="215"/>
    </row>
    <row r="42" spans="1:27" s="88" customFormat="1" x14ac:dyDescent="0.2">
      <c r="A42" s="107" t="s">
        <v>70</v>
      </c>
      <c r="B42" s="406" t="s">
        <v>70</v>
      </c>
      <c r="C42" s="110">
        <f>IF(B42="-",0,IF(B40="-",13,""))</f>
        <v>0</v>
      </c>
      <c r="D42" s="111"/>
      <c r="Q42" s="188"/>
      <c r="R42" s="188"/>
    </row>
    <row r="43" spans="1:27" s="88" customFormat="1" x14ac:dyDescent="0.2">
      <c r="A43" s="107"/>
      <c r="B43" s="407"/>
      <c r="D43" s="112"/>
      <c r="E43" s="524" t="str">
        <f>IF(COUNT(E41,E45)=2,IF(E41&gt;E45,C41,C45),"")</f>
        <v>Illar Tõnurist, Jaan Saar</v>
      </c>
      <c r="G43" s="120">
        <v>12</v>
      </c>
      <c r="Q43" s="188"/>
      <c r="R43" s="215"/>
    </row>
    <row r="44" spans="1:27" s="88" customFormat="1" x14ac:dyDescent="0.2">
      <c r="A44" s="107" t="s">
        <v>71</v>
      </c>
      <c r="B44" s="404" t="str">
        <f>IFERROR(INDEX(B$7:B$32,MATCH(A44,I$7:I$32,0)),"")</f>
        <v>Illar Tõnurist, Jaan Saar</v>
      </c>
      <c r="C44" s="120">
        <v>13</v>
      </c>
      <c r="D44" s="112"/>
      <c r="E44" s="216"/>
      <c r="F44" s="111"/>
      <c r="Q44" s="188"/>
      <c r="R44" s="215"/>
    </row>
    <row r="45" spans="1:27" s="88" customFormat="1" x14ac:dyDescent="0.2">
      <c r="A45" s="107"/>
      <c r="B45" s="423"/>
      <c r="C45" s="524" t="str">
        <f>IF(COUNT(C44,C46)=2,IF(C44&gt;C46,B44,B46),"")</f>
        <v>Illar Tõnurist, Jaan Saar</v>
      </c>
      <c r="D45" s="234"/>
      <c r="E45" s="110">
        <v>13</v>
      </c>
      <c r="F45" s="112"/>
      <c r="Q45" s="188"/>
      <c r="R45" s="188"/>
    </row>
    <row r="46" spans="1:27" s="88" customFormat="1" x14ac:dyDescent="0.2">
      <c r="A46" s="107" t="s">
        <v>75</v>
      </c>
      <c r="B46" s="406" t="str">
        <f>IFERROR(INDEX(B$7:B$32,MATCH(A46,I$7:I$32,0)),"")</f>
        <v>Andres Viisitam, Tõnu Piik</v>
      </c>
      <c r="C46" s="110">
        <v>5</v>
      </c>
      <c r="E46" s="99"/>
      <c r="F46" s="112"/>
      <c r="Q46" s="188"/>
      <c r="R46" s="517"/>
    </row>
    <row r="47" spans="1:27" s="88" customFormat="1" ht="13.5" thickBot="1" x14ac:dyDescent="0.25">
      <c r="A47" s="87"/>
      <c r="B47" s="407"/>
      <c r="E47" s="99"/>
      <c r="F47" s="112"/>
      <c r="H47" s="184" t="str">
        <f>IF(COUNT(G43,G51)=2,IF(G43&gt;G51,E43,E51),"")</f>
        <v>Klavdia Piik, Ülo Piik</v>
      </c>
      <c r="R47" s="215"/>
    </row>
    <row r="48" spans="1:27" s="88" customFormat="1" x14ac:dyDescent="0.2">
      <c r="A48" s="106" t="s">
        <v>85</v>
      </c>
      <c r="B48" s="404" t="str">
        <f>IFERROR(INDEX(B$7:B$32,MATCH(A48,I$7:I$32,0)),"")</f>
        <v>Boriss Klubov, Mait Metsla</v>
      </c>
      <c r="C48" s="120">
        <v>10</v>
      </c>
      <c r="F48" s="112"/>
      <c r="G48" s="114"/>
      <c r="H48" s="379" t="s">
        <v>275</v>
      </c>
      <c r="I48" s="378"/>
    </row>
    <row r="49" spans="1:17" s="88" customFormat="1" x14ac:dyDescent="0.2">
      <c r="A49" s="107"/>
      <c r="B49" s="423"/>
      <c r="C49" s="524" t="str">
        <f>IF(COUNT(C48,C50)=2,IF(C48&gt;C50,B48,B50),"")</f>
        <v>Kenneth Muusikus, Peep Peenema</v>
      </c>
      <c r="E49" s="120">
        <v>11</v>
      </c>
      <c r="F49" s="112"/>
      <c r="G49" s="99"/>
    </row>
    <row r="50" spans="1:17" s="88" customFormat="1" x14ac:dyDescent="0.2">
      <c r="A50" s="107" t="s">
        <v>76</v>
      </c>
      <c r="B50" s="406" t="str">
        <f>IFERROR(INDEX(B$7:B$32,MATCH(A50,I$7:I$32,0)),"")</f>
        <v>Kenneth Muusikus, Peep Peenema</v>
      </c>
      <c r="C50" s="110">
        <v>13</v>
      </c>
      <c r="D50" s="111"/>
      <c r="F50" s="112"/>
      <c r="G50" s="99"/>
    </row>
    <row r="51" spans="1:17" s="88" customFormat="1" x14ac:dyDescent="0.2">
      <c r="A51" s="107"/>
      <c r="B51" s="407"/>
      <c r="D51" s="112"/>
      <c r="E51" s="524" t="str">
        <f>IF(COUNT(E49,E53)=2,IF(E49&gt;E53,C49,C53),"")</f>
        <v>Klavdia Piik, Ülo Piik</v>
      </c>
      <c r="F51" s="234"/>
      <c r="G51" s="110">
        <v>13</v>
      </c>
    </row>
    <row r="52" spans="1:17" s="88" customFormat="1" ht="13.5" thickBot="1" x14ac:dyDescent="0.25">
      <c r="A52" s="107" t="s">
        <v>70</v>
      </c>
      <c r="B52" s="404" t="s">
        <v>70</v>
      </c>
      <c r="C52" s="120">
        <f>IF(B52="-",0,IF(B54="-",13,""))</f>
        <v>0</v>
      </c>
      <c r="D52" s="112"/>
      <c r="E52" s="216"/>
      <c r="F52" s="99"/>
      <c r="G52" s="99"/>
      <c r="H52" s="184" t="str">
        <f>IF(COUNT(G43,G51)=2,IF(G43&lt;G51,E43,E51),"")</f>
        <v>Illar Tõnurist, Jaan Saar</v>
      </c>
      <c r="I52" s="119"/>
    </row>
    <row r="53" spans="1:17" s="88" customFormat="1" x14ac:dyDescent="0.2">
      <c r="A53" s="107"/>
      <c r="B53" s="423"/>
      <c r="C53" s="524" t="str">
        <f>IF(COUNT(C52,C54)=2,IF(C52&gt;C54,B52,B54),"")</f>
        <v>Klavdia Piik, Ülo Piik</v>
      </c>
      <c r="D53" s="234"/>
      <c r="E53" s="110">
        <v>13</v>
      </c>
      <c r="G53" s="99"/>
      <c r="H53" s="379" t="s">
        <v>276</v>
      </c>
      <c r="I53" s="99"/>
    </row>
    <row r="54" spans="1:17" s="88" customFormat="1" x14ac:dyDescent="0.2">
      <c r="A54" s="107" t="s">
        <v>86</v>
      </c>
      <c r="B54" s="406" t="str">
        <f>IFERROR(INDEX(B$7:B$32,MATCH(A54,I$7:I$32,0)),"")</f>
        <v>Klavdia Piik, Ülo Piik</v>
      </c>
      <c r="C54" s="110">
        <f>IF(B54="-",0,IF(B52="-",13,""))</f>
        <v>13</v>
      </c>
      <c r="E54" s="99"/>
      <c r="F54" s="99"/>
      <c r="G54" s="99"/>
    </row>
    <row r="55" spans="1:17" s="88" customFormat="1" x14ac:dyDescent="0.2">
      <c r="A55" s="87"/>
      <c r="B55" s="407"/>
      <c r="E55" s="217" t="str">
        <f>IF(COUNT(E41,E45)=2,IF(E41&lt;E45,C41,C45),"")</f>
        <v>Henri Mitt, Taavi Press</v>
      </c>
      <c r="G55" s="120">
        <v>13</v>
      </c>
    </row>
    <row r="56" spans="1:17" s="88" customFormat="1" ht="13.5" thickBot="1" x14ac:dyDescent="0.25">
      <c r="E56" s="108"/>
      <c r="F56" s="111"/>
      <c r="G56" s="119"/>
      <c r="H56" s="184" t="str">
        <f>IF(COUNT(G55,G57)=2,IF(G55&gt;G57,E55,E57),"")</f>
        <v>Henri Mitt, Taavi Press</v>
      </c>
      <c r="I56" s="119"/>
    </row>
    <row r="57" spans="1:17" s="88" customFormat="1" x14ac:dyDescent="0.2">
      <c r="E57" s="528" t="str">
        <f>IF(COUNT(E49,E53)=2,IF(E49&lt;E53,C49,C53),"")</f>
        <v>Kenneth Muusikus, Peep Peenema</v>
      </c>
      <c r="F57" s="234"/>
      <c r="G57" s="110">
        <v>12</v>
      </c>
      <c r="H57" s="121" t="s">
        <v>277</v>
      </c>
      <c r="I57" s="99"/>
    </row>
    <row r="58" spans="1:17" s="88" customFormat="1" x14ac:dyDescent="0.2">
      <c r="H58" s="99"/>
      <c r="I58" s="99"/>
    </row>
    <row r="59" spans="1:17" s="88" customFormat="1" ht="13.5" thickBot="1" x14ac:dyDescent="0.25">
      <c r="E59" s="99"/>
      <c r="F59" s="99"/>
      <c r="H59" s="184" t="str">
        <f>IF(COUNT(G55,G57)=2,IF(G55&lt;G57,E55,E57),"")</f>
        <v>Kenneth Muusikus, Peep Peenema</v>
      </c>
      <c r="I59" s="119"/>
    </row>
    <row r="60" spans="1:17" s="88" customFormat="1" x14ac:dyDescent="0.2">
      <c r="H60" s="87" t="s">
        <v>50</v>
      </c>
    </row>
    <row r="61" spans="1:17" s="88" customFormat="1" x14ac:dyDescent="0.2">
      <c r="C61" s="399" t="str">
        <f>IF(COUNT(C40,C42)=2,IF(C40&lt;C42,B40,B42),"")</f>
        <v>-</v>
      </c>
      <c r="E61" s="120">
        <f>IF(C61="-",0,IF(C63="-",13,""))</f>
        <v>0</v>
      </c>
      <c r="F61" s="120"/>
      <c r="G61" s="120"/>
    </row>
    <row r="62" spans="1:17" s="88" customFormat="1" x14ac:dyDescent="0.2">
      <c r="C62" s="219"/>
      <c r="D62" s="220"/>
      <c r="E62" s="524" t="str">
        <f>IF(COUNT(E61,E63)=2,IF(E61&gt;E63,C61,C63),"")</f>
        <v>Andres Viisitam, Tõnu Piik</v>
      </c>
      <c r="G62" s="120">
        <v>3</v>
      </c>
      <c r="Q62" s="188"/>
    </row>
    <row r="63" spans="1:17" s="88" customFormat="1" x14ac:dyDescent="0.2">
      <c r="C63" s="399" t="str">
        <f>IF(COUNT(C44,C46)=2,IF(C44&lt;C46,B44,B46),"")</f>
        <v>Andres Viisitam, Tõnu Piik</v>
      </c>
      <c r="D63" s="409"/>
      <c r="E63" s="110">
        <f>IF(C63="-",0,IF(C61="-",13,""))</f>
        <v>13</v>
      </c>
      <c r="F63" s="220"/>
      <c r="G63" s="120"/>
      <c r="Q63" s="188"/>
    </row>
    <row r="64" spans="1:17" s="88" customFormat="1" ht="13.5" thickBot="1" x14ac:dyDescent="0.25">
      <c r="C64" s="120"/>
      <c r="D64" s="120"/>
      <c r="E64" s="113"/>
      <c r="F64" s="221"/>
      <c r="G64" s="120"/>
      <c r="H64" s="184" t="str">
        <f>IF(COUNT(G62,G66)=2,IF(G62&gt;G66,E62,E66),"")</f>
        <v>Boriss Klubov, Mait Metsla</v>
      </c>
      <c r="Q64" s="215"/>
    </row>
    <row r="65" spans="1:9" s="88" customFormat="1" x14ac:dyDescent="0.2">
      <c r="C65" s="399" t="str">
        <f>IF(COUNT(C48,C50)=2,IF(C48&lt;C50,B48,B50),"")</f>
        <v>Boriss Klubov, Mait Metsla</v>
      </c>
      <c r="D65" s="120"/>
      <c r="E65" s="120">
        <f>IF(C65="-",0,IF(C67="-",13,""))</f>
        <v>13</v>
      </c>
      <c r="F65" s="221"/>
      <c r="G65" s="222"/>
      <c r="H65" s="379" t="s">
        <v>51</v>
      </c>
      <c r="I65" s="378"/>
    </row>
    <row r="66" spans="1:9" s="88" customFormat="1" x14ac:dyDescent="0.2">
      <c r="C66" s="219"/>
      <c r="D66" s="220"/>
      <c r="E66" s="524" t="str">
        <f>IF(COUNT(E65,E67)=2,IF(E65&gt;E67,C65,C67),"")</f>
        <v>Boriss Klubov, Mait Metsla</v>
      </c>
      <c r="F66" s="234"/>
      <c r="G66" s="110">
        <v>13</v>
      </c>
    </row>
    <row r="67" spans="1:9" s="88" customFormat="1" ht="13.5" thickBot="1" x14ac:dyDescent="0.25">
      <c r="C67" s="399" t="str">
        <f>IF(COUNT(C52,C54)=2,IF(C52&lt;C54,B52,B54),"")</f>
        <v>-</v>
      </c>
      <c r="D67" s="409"/>
      <c r="E67" s="110">
        <f>IF(C67="-",0,IF(C65="-",13,""))</f>
        <v>0</v>
      </c>
      <c r="F67" s="120"/>
      <c r="G67" s="113"/>
      <c r="H67" s="184" t="str">
        <f>IF(COUNT(G62,G66)=2,IF(G62&lt;G66,E62,E66),"")</f>
        <v>Andres Viisitam, Tõnu Piik</v>
      </c>
      <c r="I67" s="119"/>
    </row>
    <row r="68" spans="1:9" s="88" customFormat="1" x14ac:dyDescent="0.2">
      <c r="C68" s="120"/>
      <c r="D68" s="120"/>
      <c r="E68" s="120"/>
      <c r="F68" s="120"/>
      <c r="G68" s="113"/>
      <c r="H68" s="379" t="s">
        <v>52</v>
      </c>
      <c r="I68" s="99"/>
    </row>
    <row r="69" spans="1:9" s="88" customFormat="1" x14ac:dyDescent="0.2">
      <c r="C69" s="120"/>
      <c r="D69" s="113"/>
      <c r="E69" s="217" t="str">
        <f>IF(COUNT(E61,E63)=2,IF(E61&lt;E63,C61,C63),"")</f>
        <v>-</v>
      </c>
      <c r="G69" s="120">
        <f>IF(E69="-",0,IF(E71="-",13,""))</f>
        <v>0</v>
      </c>
      <c r="H69" s="99"/>
      <c r="I69" s="99"/>
    </row>
    <row r="70" spans="1:9" s="88" customFormat="1" ht="13.5" thickBot="1" x14ac:dyDescent="0.25">
      <c r="C70" s="120"/>
      <c r="D70" s="113"/>
      <c r="E70" s="108"/>
      <c r="F70" s="111"/>
      <c r="G70" s="119"/>
      <c r="H70" s="184" t="str">
        <f>IF(COUNT(G69,G71)=2,IF(G69&gt;G71,E69,E71),"")</f>
        <v>-</v>
      </c>
      <c r="I70" s="119"/>
    </row>
    <row r="71" spans="1:9" s="88" customFormat="1" x14ac:dyDescent="0.2">
      <c r="C71" s="120"/>
      <c r="D71" s="113"/>
      <c r="E71" s="528" t="str">
        <f>IF(COUNT(E65,E67)=2,IF(E65&lt;E67,C65,C67),"")</f>
        <v>-</v>
      </c>
      <c r="F71" s="234"/>
      <c r="G71" s="110">
        <f>IF(E71="-",0,IF(E69="-",13,""))</f>
        <v>0</v>
      </c>
      <c r="H71" s="121"/>
      <c r="I71" s="99"/>
    </row>
    <row r="72" spans="1:9" s="88" customFormat="1" x14ac:dyDescent="0.2">
      <c r="D72" s="99"/>
      <c r="H72" s="99"/>
      <c r="I72" s="99"/>
    </row>
    <row r="73" spans="1:9" s="88" customFormat="1" ht="13.5" thickBot="1" x14ac:dyDescent="0.25">
      <c r="E73" s="99"/>
      <c r="F73" s="99"/>
      <c r="H73" s="119" t="str">
        <f>IF(COUNT(G69,G71)=2,IF(G69&lt;G71,E69,E71),"")</f>
        <v>-</v>
      </c>
      <c r="I73" s="119"/>
    </row>
    <row r="74" spans="1:9" s="88" customFormat="1" x14ac:dyDescent="0.2">
      <c r="E74" s="99"/>
      <c r="F74" s="99"/>
      <c r="H74" s="121"/>
    </row>
    <row r="75" spans="1:9" s="349" customFormat="1" x14ac:dyDescent="0.2"/>
    <row r="76" spans="1:9" x14ac:dyDescent="0.2">
      <c r="A76" s="218" t="s">
        <v>278</v>
      </c>
    </row>
    <row r="77" spans="1:9" x14ac:dyDescent="0.2">
      <c r="A77" s="88"/>
      <c r="B77" s="88"/>
      <c r="C77" s="88"/>
      <c r="D77" s="88"/>
      <c r="E77" s="88"/>
      <c r="F77" s="88"/>
      <c r="G77" s="88"/>
      <c r="H77" s="88"/>
      <c r="I77" s="88"/>
    </row>
    <row r="78" spans="1:9" x14ac:dyDescent="0.2">
      <c r="A78" s="106" t="s">
        <v>93</v>
      </c>
      <c r="B78" s="404" t="str">
        <f>IFERROR(INDEX(B$7:B$32,MATCH(A78,I$7:I$32,0)),"")</f>
        <v>Jaan Sepp, Johannes Neiland</v>
      </c>
      <c r="C78" s="120">
        <f>IF(B78="-",0,IF(B80="-",13,""))</f>
        <v>13</v>
      </c>
      <c r="D78" s="88"/>
      <c r="E78" s="88"/>
      <c r="F78" s="88"/>
      <c r="G78" s="88"/>
      <c r="H78" s="88"/>
      <c r="I78" s="88"/>
    </row>
    <row r="79" spans="1:9" x14ac:dyDescent="0.2">
      <c r="A79" s="107"/>
      <c r="B79" s="423"/>
      <c r="C79" s="524" t="str">
        <f>IF(COUNT(C78,C80)=2,IF(C78&gt;C80,B78,B80),"")</f>
        <v>Jaan Sepp, Johannes Neiland</v>
      </c>
      <c r="D79" s="88"/>
      <c r="E79" s="120">
        <v>13</v>
      </c>
      <c r="F79" s="88"/>
      <c r="G79" s="88"/>
      <c r="H79" s="88"/>
      <c r="I79" s="88"/>
    </row>
    <row r="80" spans="1:9" x14ac:dyDescent="0.2">
      <c r="A80" s="107" t="s">
        <v>70</v>
      </c>
      <c r="B80" s="406" t="s">
        <v>70</v>
      </c>
      <c r="C80" s="110">
        <f>IF(B80="-",0,IF(B78="-",13,""))</f>
        <v>0</v>
      </c>
      <c r="D80" s="111"/>
      <c r="E80" s="88"/>
      <c r="F80" s="88"/>
      <c r="G80" s="88"/>
      <c r="H80" s="88"/>
      <c r="I80" s="88"/>
    </row>
    <row r="81" spans="1:9" x14ac:dyDescent="0.2">
      <c r="A81" s="107"/>
      <c r="B81" s="407"/>
      <c r="C81" s="88"/>
      <c r="D81" s="112"/>
      <c r="E81" s="524" t="str">
        <f>IF(COUNT(E79,E83)=2,IF(E79&gt;E83,C79,C83),"")</f>
        <v>Jaan Sepp, Johannes Neiland</v>
      </c>
      <c r="F81" s="88"/>
      <c r="G81" s="120">
        <v>13</v>
      </c>
      <c r="H81" s="88"/>
      <c r="I81" s="88"/>
    </row>
    <row r="82" spans="1:9" x14ac:dyDescent="0.2">
      <c r="A82" s="107" t="s">
        <v>189</v>
      </c>
      <c r="B82" s="404" t="str">
        <f>IFERROR(INDEX(B$7:B$32,MATCH(A82,I$7:I$32,0)),"")</f>
        <v>Karla Purgats, Tõnu Kapper</v>
      </c>
      <c r="C82" s="120">
        <v>13</v>
      </c>
      <c r="D82" s="112"/>
      <c r="E82" s="216"/>
      <c r="F82" s="111"/>
      <c r="G82" s="88"/>
      <c r="H82" s="88"/>
      <c r="I82" s="88"/>
    </row>
    <row r="83" spans="1:9" x14ac:dyDescent="0.2">
      <c r="A83" s="107"/>
      <c r="B83" s="423"/>
      <c r="C83" s="524" t="str">
        <f>IF(COUNT(C82,C84)=2,IF(C82&gt;C84,B82,B84),"")</f>
        <v>Karla Purgats, Tõnu Kapper</v>
      </c>
      <c r="D83" s="234"/>
      <c r="E83" s="110">
        <v>10</v>
      </c>
      <c r="F83" s="112"/>
      <c r="G83" s="88"/>
      <c r="H83" s="88"/>
      <c r="I83" s="88"/>
    </row>
    <row r="84" spans="1:9" x14ac:dyDescent="0.2">
      <c r="A84" s="107" t="s">
        <v>122</v>
      </c>
      <c r="B84" s="406" t="str">
        <f>IFERROR(INDEX(B$7:B$32,MATCH(A84,I$7:I$32,0)),"")</f>
        <v>Enn Tokman, Kati Tuzberg</v>
      </c>
      <c r="C84" s="110">
        <v>1</v>
      </c>
      <c r="D84" s="88"/>
      <c r="E84" s="99"/>
      <c r="F84" s="112"/>
      <c r="G84" s="88"/>
      <c r="H84" s="88"/>
      <c r="I84" s="88"/>
    </row>
    <row r="85" spans="1:9" ht="13.5" thickBot="1" x14ac:dyDescent="0.25">
      <c r="A85" s="87"/>
      <c r="B85" s="407"/>
      <c r="C85" s="88"/>
      <c r="D85" s="88"/>
      <c r="E85" s="99"/>
      <c r="F85" s="112"/>
      <c r="G85" s="88"/>
      <c r="H85" s="526" t="str">
        <f>IF(COUNT(G81,G89)=2,IF(G81&gt;G89,E81,E89),"")</f>
        <v>Jaan Sepp, Johannes Neiland</v>
      </c>
      <c r="I85" s="88"/>
    </row>
    <row r="86" spans="1:9" x14ac:dyDescent="0.2">
      <c r="A86" s="106" t="s">
        <v>118</v>
      </c>
      <c r="B86" s="404" t="str">
        <f>IFERROR(INDEX(B$7:B$32,MATCH(A86,I$7:I$32,0)),"")</f>
        <v>Ljudmila Varendi, Viktor Švarõgin</v>
      </c>
      <c r="C86" s="120">
        <f>IF(B86="-",0,IF(B88="-",13,""))</f>
        <v>13</v>
      </c>
      <c r="D86" s="88"/>
      <c r="E86" s="88"/>
      <c r="F86" s="112"/>
      <c r="G86" s="114"/>
      <c r="H86" s="379" t="s">
        <v>53</v>
      </c>
      <c r="I86" s="378"/>
    </row>
    <row r="87" spans="1:9" x14ac:dyDescent="0.2">
      <c r="A87" s="107"/>
      <c r="B87" s="423"/>
      <c r="C87" s="524" t="str">
        <f>IF(COUNT(C86,C88)=2,IF(C86&gt;C88,B86,B88),"")</f>
        <v>Ljudmila Varendi, Viktor Švarõgin</v>
      </c>
      <c r="D87" s="88"/>
      <c r="E87" s="120">
        <v>4</v>
      </c>
      <c r="F87" s="112"/>
      <c r="G87" s="99"/>
      <c r="H87" s="88"/>
      <c r="I87" s="88"/>
    </row>
    <row r="88" spans="1:9" x14ac:dyDescent="0.2">
      <c r="A88" s="107" t="s">
        <v>70</v>
      </c>
      <c r="B88" s="406" t="s">
        <v>70</v>
      </c>
      <c r="C88" s="110">
        <f>IF(B88="-",0,IF(B86="-",13,""))</f>
        <v>0</v>
      </c>
      <c r="D88" s="111"/>
      <c r="E88" s="88"/>
      <c r="F88" s="112"/>
      <c r="G88" s="99"/>
      <c r="H88" s="88"/>
      <c r="I88" s="88"/>
    </row>
    <row r="89" spans="1:9" x14ac:dyDescent="0.2">
      <c r="A89" s="107"/>
      <c r="B89" s="407"/>
      <c r="C89" s="88"/>
      <c r="D89" s="112"/>
      <c r="E89" s="524" t="str">
        <f>IF(COUNT(E87,E91)=2,IF(E87&gt;E91,C87,C91),"")</f>
        <v>Heili Vasser, Vello Vasser</v>
      </c>
      <c r="F89" s="234"/>
      <c r="G89" s="110">
        <v>7</v>
      </c>
      <c r="H89" s="88"/>
      <c r="I89" s="88"/>
    </row>
    <row r="90" spans="1:9" ht="13.5" thickBot="1" x14ac:dyDescent="0.25">
      <c r="A90" s="107" t="s">
        <v>70</v>
      </c>
      <c r="B90" s="404" t="s">
        <v>70</v>
      </c>
      <c r="C90" s="120">
        <f>IF(B90="-",0,IF(B92="-",13,""))</f>
        <v>0</v>
      </c>
      <c r="D90" s="112"/>
      <c r="E90" s="216"/>
      <c r="F90" s="99"/>
      <c r="G90" s="99"/>
      <c r="H90" s="526" t="str">
        <f>IF(COUNT(G81,G89)=2,IF(G81&lt;G89,E81,E89),"")</f>
        <v>Heili Vasser, Vello Vasser</v>
      </c>
      <c r="I90" s="527"/>
    </row>
    <row r="91" spans="1:9" x14ac:dyDescent="0.2">
      <c r="A91" s="107"/>
      <c r="B91" s="423"/>
      <c r="C91" s="524" t="str">
        <f>IF(COUNT(C90,C92)=2,IF(C90&gt;C92,B90,B92),"")</f>
        <v>Heili Vasser, Vello Vasser</v>
      </c>
      <c r="D91" s="234"/>
      <c r="E91" s="110">
        <v>13</v>
      </c>
      <c r="F91" s="88"/>
      <c r="G91" s="99"/>
      <c r="H91" s="379" t="s">
        <v>54</v>
      </c>
      <c r="I91" s="99"/>
    </row>
    <row r="92" spans="1:9" x14ac:dyDescent="0.2">
      <c r="A92" s="107" t="s">
        <v>94</v>
      </c>
      <c r="B92" s="406" t="str">
        <f>IFERROR(INDEX(B$7:B$32,MATCH(A92,I$7:I$32,0)),"")</f>
        <v>Heili Vasser, Vello Vasser</v>
      </c>
      <c r="C92" s="110">
        <f>IF(B92="-",0,IF(B90="-",13,""))</f>
        <v>13</v>
      </c>
      <c r="D92" s="88"/>
      <c r="E92" s="99"/>
      <c r="F92" s="99"/>
      <c r="G92" s="99"/>
      <c r="H92" s="88"/>
      <c r="I92" s="88"/>
    </row>
    <row r="93" spans="1:9" x14ac:dyDescent="0.2">
      <c r="A93" s="87"/>
      <c r="B93" s="407"/>
      <c r="C93" s="88"/>
      <c r="D93" s="88"/>
      <c r="E93" s="217" t="str">
        <f>IF(COUNT(E79,E83)=2,IF(E79&lt;E83,C79,C83),"")</f>
        <v>Karla Purgats, Tõnu Kapper</v>
      </c>
      <c r="F93" s="88"/>
      <c r="G93" s="120">
        <v>8</v>
      </c>
      <c r="H93" s="88"/>
      <c r="I93" s="88"/>
    </row>
    <row r="94" spans="1:9" ht="13.5" thickBot="1" x14ac:dyDescent="0.25">
      <c r="A94" s="88"/>
      <c r="B94" s="88"/>
      <c r="C94" s="88"/>
      <c r="D94" s="88"/>
      <c r="E94" s="108"/>
      <c r="F94" s="111"/>
      <c r="G94" s="119"/>
      <c r="H94" s="184" t="str">
        <f>IF(COUNT(G93,G95)=2,IF(G93&gt;G95,E93,E95),"")</f>
        <v>Ljudmila Varendi, Viktor Švarõgin</v>
      </c>
      <c r="I94" s="119"/>
    </row>
    <row r="95" spans="1:9" x14ac:dyDescent="0.2">
      <c r="A95" s="88"/>
      <c r="B95" s="88"/>
      <c r="C95" s="88"/>
      <c r="D95" s="88"/>
      <c r="E95" s="399" t="str">
        <f>IF(COUNT(E87,E91)=2,IF(E87&lt;E91,C87,C91),"")</f>
        <v>Ljudmila Varendi, Viktor Švarõgin</v>
      </c>
      <c r="F95" s="377"/>
      <c r="G95" s="110">
        <v>13</v>
      </c>
      <c r="H95" s="121" t="s">
        <v>55</v>
      </c>
      <c r="I95" s="99"/>
    </row>
    <row r="96" spans="1:9" x14ac:dyDescent="0.2">
      <c r="A96" s="88"/>
      <c r="B96" s="88"/>
      <c r="C96" s="88"/>
      <c r="D96" s="88"/>
      <c r="E96" s="88"/>
      <c r="F96" s="88"/>
      <c r="G96" s="88"/>
      <c r="H96" s="99"/>
      <c r="I96" s="99"/>
    </row>
    <row r="97" spans="1:9" ht="13.5" thickBot="1" x14ac:dyDescent="0.25">
      <c r="A97" s="88"/>
      <c r="B97" s="88"/>
      <c r="C97" s="88"/>
      <c r="D97" s="88"/>
      <c r="E97" s="99"/>
      <c r="F97" s="99"/>
      <c r="G97" s="88"/>
      <c r="H97" s="184" t="str">
        <f>IF(COUNT(G93,G95)=2,IF(G93&lt;G95,E93,E95),"")</f>
        <v>Karla Purgats, Tõnu Kapper</v>
      </c>
      <c r="I97" s="119"/>
    </row>
    <row r="98" spans="1:9" x14ac:dyDescent="0.2">
      <c r="E98" s="88"/>
      <c r="F98" s="88"/>
      <c r="G98" s="88"/>
      <c r="H98" s="87" t="s">
        <v>56</v>
      </c>
      <c r="I98" s="88"/>
    </row>
    <row r="99" spans="1:9" x14ac:dyDescent="0.2">
      <c r="E99" s="88"/>
      <c r="F99" s="88"/>
      <c r="G99" s="88"/>
      <c r="H99" s="87"/>
      <c r="I99" s="88"/>
    </row>
    <row r="100" spans="1:9" ht="13.5" thickBot="1" x14ac:dyDescent="0.25">
      <c r="E100" s="88"/>
      <c r="F100" s="88"/>
      <c r="G100" s="666"/>
      <c r="H100" s="526" t="str">
        <f>IF(COUNT(G93,G95)=2,IF(C82&lt;C84,B82,B84),"")</f>
        <v>Enn Tokman, Kati Tuzberg</v>
      </c>
      <c r="I100" s="527"/>
    </row>
    <row r="101" spans="1:9" x14ac:dyDescent="0.2">
      <c r="E101" s="88"/>
      <c r="F101" s="120"/>
      <c r="G101" s="667"/>
      <c r="H101" s="379" t="s">
        <v>57</v>
      </c>
      <c r="I101" s="378"/>
    </row>
    <row r="102" spans="1:9" hidden="1" x14ac:dyDescent="0.2"/>
    <row r="103" spans="1:9" hidden="1" x14ac:dyDescent="0.2"/>
    <row r="104" spans="1:9" hidden="1" x14ac:dyDescent="0.2"/>
    <row r="105" spans="1:9" hidden="1" x14ac:dyDescent="0.2"/>
    <row r="106" spans="1:9" hidden="1" x14ac:dyDescent="0.2"/>
    <row r="107" spans="1:9" hidden="1" x14ac:dyDescent="0.2"/>
    <row r="108" spans="1:9" hidden="1" x14ac:dyDescent="0.2"/>
    <row r="109" spans="1:9" hidden="1" x14ac:dyDescent="0.2"/>
    <row r="110" spans="1:9" hidden="1" x14ac:dyDescent="0.2"/>
    <row r="111" spans="1:9" hidden="1" x14ac:dyDescent="0.2"/>
    <row r="112" spans="1:9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spans="5:6" hidden="1" x14ac:dyDescent="0.2"/>
    <row r="274" spans="5:6" hidden="1" x14ac:dyDescent="0.2"/>
    <row r="275" spans="5:6" hidden="1" x14ac:dyDescent="0.2"/>
    <row r="276" spans="5:6" hidden="1" x14ac:dyDescent="0.2"/>
    <row r="277" spans="5:6" hidden="1" x14ac:dyDescent="0.2"/>
    <row r="278" spans="5:6" hidden="1" x14ac:dyDescent="0.2"/>
    <row r="279" spans="5:6" hidden="1" x14ac:dyDescent="0.2"/>
    <row r="280" spans="5:6" hidden="1" x14ac:dyDescent="0.2"/>
    <row r="281" spans="5:6" hidden="1" x14ac:dyDescent="0.2"/>
    <row r="282" spans="5:6" hidden="1" x14ac:dyDescent="0.2"/>
    <row r="283" spans="5:6" hidden="1" x14ac:dyDescent="0.2"/>
    <row r="284" spans="5:6" hidden="1" x14ac:dyDescent="0.2"/>
    <row r="285" spans="5:6" hidden="1" x14ac:dyDescent="0.2"/>
    <row r="286" spans="5:6" hidden="1" x14ac:dyDescent="0.2"/>
    <row r="287" spans="5:6" hidden="1" x14ac:dyDescent="0.2">
      <c r="E287" s="188"/>
      <c r="F287" s="188"/>
    </row>
    <row r="288" spans="5:6" hidden="1" x14ac:dyDescent="0.2">
      <c r="E288" s="188"/>
      <c r="F288" s="188"/>
    </row>
    <row r="289" spans="1:14" hidden="1" x14ac:dyDescent="0.2">
      <c r="E289" s="188"/>
      <c r="F289" s="215"/>
    </row>
    <row r="290" spans="1:14" hidden="1" x14ac:dyDescent="0.2">
      <c r="E290" s="188"/>
      <c r="F290" s="212"/>
    </row>
    <row r="291" spans="1:14" hidden="1" x14ac:dyDescent="0.2">
      <c r="E291" s="188"/>
      <c r="F291" s="188"/>
    </row>
    <row r="292" spans="1:14" hidden="1" x14ac:dyDescent="0.2">
      <c r="E292" s="188"/>
      <c r="F292" s="212"/>
    </row>
    <row r="293" spans="1:14" hidden="1" x14ac:dyDescent="0.2">
      <c r="E293" s="188"/>
      <c r="F293" s="188"/>
      <c r="G293" s="188"/>
      <c r="H293" s="188"/>
      <c r="I293" s="188"/>
      <c r="L293" s="188"/>
      <c r="M293" s="188"/>
      <c r="N293" s="188"/>
    </row>
    <row r="294" spans="1:14" hidden="1" x14ac:dyDescent="0.2">
      <c r="E294" s="188"/>
      <c r="F294" s="188"/>
      <c r="G294" s="188"/>
      <c r="H294" s="188"/>
      <c r="I294" s="188"/>
      <c r="L294" s="188"/>
      <c r="M294" s="188"/>
      <c r="N294" s="188"/>
    </row>
    <row r="295" spans="1:14" hidden="1" x14ac:dyDescent="0.2"/>
    <row r="296" spans="1:14" hidden="1" x14ac:dyDescent="0.2"/>
    <row r="297" spans="1:14" hidden="1" x14ac:dyDescent="0.2"/>
    <row r="298" spans="1:14" hidden="1" x14ac:dyDescent="0.2"/>
    <row r="299" spans="1:14" x14ac:dyDescent="0.2">
      <c r="C299" s="264" t="s">
        <v>263</v>
      </c>
    </row>
    <row r="300" spans="1:14" x14ac:dyDescent="0.2">
      <c r="A300" s="424">
        <v>1</v>
      </c>
      <c r="B300" s="124" t="str">
        <f t="shared" ref="B300:B310" si="17">IFERROR(INDEX(H$47:H$100,MATCH(A300&amp;". koht",H$48:H$101,0)),"")</f>
        <v>Klavdia Piik, Ülo Piik</v>
      </c>
      <c r="C300" s="88">
        <f>MAX(A300:A310)</f>
        <v>11</v>
      </c>
    </row>
    <row r="301" spans="1:14" x14ac:dyDescent="0.2">
      <c r="A301" s="424">
        <v>2</v>
      </c>
      <c r="B301" s="615" t="str">
        <f t="shared" si="17"/>
        <v>Illar Tõnurist, Jaan Saar</v>
      </c>
      <c r="C301" s="88">
        <f t="shared" ref="C301:C310" si="18">C300-1</f>
        <v>10</v>
      </c>
    </row>
    <row r="302" spans="1:14" x14ac:dyDescent="0.2">
      <c r="A302" s="424">
        <v>3</v>
      </c>
      <c r="B302" s="616" t="str">
        <f t="shared" si="17"/>
        <v>Henri Mitt, Taavi Press</v>
      </c>
      <c r="C302" s="88">
        <f t="shared" si="18"/>
        <v>9</v>
      </c>
    </row>
    <row r="303" spans="1:14" x14ac:dyDescent="0.2">
      <c r="A303" s="424">
        <v>4</v>
      </c>
      <c r="B303" s="665" t="str">
        <f t="shared" si="17"/>
        <v>Kenneth Muusikus, Peep Peenema</v>
      </c>
      <c r="C303" s="88">
        <f t="shared" si="18"/>
        <v>8</v>
      </c>
    </row>
    <row r="304" spans="1:14" x14ac:dyDescent="0.2">
      <c r="A304" s="424">
        <v>5</v>
      </c>
      <c r="B304" s="665" t="str">
        <f t="shared" si="17"/>
        <v>Boriss Klubov, Mait Metsla</v>
      </c>
      <c r="C304" s="88">
        <f t="shared" si="18"/>
        <v>7</v>
      </c>
    </row>
    <row r="305" spans="1:3" x14ac:dyDescent="0.2">
      <c r="A305" s="424">
        <v>6</v>
      </c>
      <c r="B305" s="665" t="str">
        <f t="shared" si="17"/>
        <v>Andres Viisitam, Tõnu Piik</v>
      </c>
      <c r="C305" s="88">
        <f t="shared" si="18"/>
        <v>6</v>
      </c>
    </row>
    <row r="306" spans="1:3" x14ac:dyDescent="0.2">
      <c r="A306" s="424">
        <v>7</v>
      </c>
      <c r="B306" s="665" t="str">
        <f t="shared" si="17"/>
        <v>Jaan Sepp, Johannes Neiland</v>
      </c>
      <c r="C306" s="88">
        <f t="shared" si="18"/>
        <v>5</v>
      </c>
    </row>
    <row r="307" spans="1:3" x14ac:dyDescent="0.2">
      <c r="A307" s="424">
        <v>8</v>
      </c>
      <c r="B307" s="665" t="str">
        <f t="shared" si="17"/>
        <v>Heili Vasser, Vello Vasser</v>
      </c>
      <c r="C307" s="88">
        <f t="shared" si="18"/>
        <v>4</v>
      </c>
    </row>
    <row r="308" spans="1:3" x14ac:dyDescent="0.2">
      <c r="A308" s="424">
        <v>9</v>
      </c>
      <c r="B308" s="665" t="str">
        <f t="shared" si="17"/>
        <v>Ljudmila Varendi, Viktor Švarõgin</v>
      </c>
      <c r="C308" s="88">
        <f t="shared" si="18"/>
        <v>3</v>
      </c>
    </row>
    <row r="309" spans="1:3" x14ac:dyDescent="0.2">
      <c r="A309" s="424">
        <v>10</v>
      </c>
      <c r="B309" s="665" t="str">
        <f t="shared" si="17"/>
        <v>Karla Purgats, Tõnu Kapper</v>
      </c>
      <c r="C309" s="88">
        <f t="shared" si="18"/>
        <v>2</v>
      </c>
    </row>
    <row r="310" spans="1:3" x14ac:dyDescent="0.2">
      <c r="A310" s="424">
        <v>11</v>
      </c>
      <c r="B310" s="665" t="str">
        <f t="shared" si="17"/>
        <v>Enn Tokman, Kati Tuzberg</v>
      </c>
      <c r="C310" s="88">
        <f t="shared" si="18"/>
        <v>1</v>
      </c>
    </row>
  </sheetData>
  <sortState ref="O7:O20">
    <sortCondition ref="O7"/>
  </sortState>
  <conditionalFormatting sqref="E61 E63 E65 E67 G62 G66 G69 G71">
    <cfRule type="containsBlanks" dxfId="1346" priority="189">
      <formula>LEN(TRIM(E61))=0</formula>
    </cfRule>
  </conditionalFormatting>
  <conditionalFormatting sqref="C40 C42">
    <cfRule type="aboveAverage" dxfId="1345" priority="202"/>
  </conditionalFormatting>
  <conditionalFormatting sqref="C44 C46">
    <cfRule type="aboveAverage" dxfId="1344" priority="201"/>
  </conditionalFormatting>
  <conditionalFormatting sqref="E41 E45">
    <cfRule type="aboveAverage" dxfId="1343" priority="200"/>
  </conditionalFormatting>
  <conditionalFormatting sqref="C48 C50">
    <cfRule type="aboveAverage" dxfId="1342" priority="199"/>
  </conditionalFormatting>
  <conditionalFormatting sqref="C52 C54">
    <cfRule type="aboveAverage" dxfId="1341" priority="198"/>
  </conditionalFormatting>
  <conditionalFormatting sqref="E49 E53">
    <cfRule type="aboveAverage" dxfId="1340" priority="197"/>
  </conditionalFormatting>
  <conditionalFormatting sqref="G43 G51">
    <cfRule type="aboveAverage" dxfId="1339" priority="196"/>
  </conditionalFormatting>
  <conditionalFormatting sqref="G55 G57">
    <cfRule type="aboveAverage" dxfId="1338" priority="195"/>
  </conditionalFormatting>
  <conditionalFormatting sqref="C40 C42 C44 C46 C48 C50 C52 C54 E41 E45 E49 E53 G43 G51 G55 G57">
    <cfRule type="containsBlanks" dxfId="1337" priority="194">
      <formula>LEN(TRIM(C40))=0</formula>
    </cfRule>
  </conditionalFormatting>
  <conditionalFormatting sqref="E61 E63">
    <cfRule type="aboveAverage" dxfId="1336" priority="193"/>
  </conditionalFormatting>
  <conditionalFormatting sqref="E65 E67">
    <cfRule type="aboveAverage" dxfId="1335" priority="192"/>
  </conditionalFormatting>
  <conditionalFormatting sqref="G62 G66">
    <cfRule type="aboveAverage" dxfId="1334" priority="191"/>
  </conditionalFormatting>
  <conditionalFormatting sqref="G69 G71">
    <cfRule type="aboveAverage" dxfId="1333" priority="190"/>
  </conditionalFormatting>
  <conditionalFormatting sqref="C78 C80">
    <cfRule type="aboveAverage" dxfId="1332" priority="183"/>
  </conditionalFormatting>
  <conditionalFormatting sqref="C82 C84">
    <cfRule type="aboveAverage" dxfId="1331" priority="182"/>
  </conditionalFormatting>
  <conditionalFormatting sqref="E79 E83">
    <cfRule type="aboveAverage" dxfId="1330" priority="181"/>
  </conditionalFormatting>
  <conditionalFormatting sqref="C86 C88">
    <cfRule type="aboveAverage" dxfId="1329" priority="180"/>
  </conditionalFormatting>
  <conditionalFormatting sqref="C90 C92">
    <cfRule type="aboveAverage" dxfId="1328" priority="179"/>
  </conditionalFormatting>
  <conditionalFormatting sqref="E87 E91">
    <cfRule type="aboveAverage" dxfId="1327" priority="178"/>
  </conditionalFormatting>
  <conditionalFormatting sqref="G81 G89">
    <cfRule type="aboveAverage" dxfId="1326" priority="177"/>
  </conditionalFormatting>
  <conditionalFormatting sqref="C78 C80 C82 C84 C86 C88 C90 C92 E79 E83 E87 E91 G81 G89">
    <cfRule type="containsBlanks" dxfId="1325" priority="175">
      <formula>LEN(TRIM(C78))=0</formula>
    </cfRule>
  </conditionalFormatting>
  <conditionalFormatting sqref="X7:X11 V7:V11 V14:V18 X14:X18 X21:X25 V21:V25 V28:V32 X28:X32 R7:R11 R14:R18 R21:R32">
    <cfRule type="expression" dxfId="1324" priority="174">
      <formula>AND(S7="",COUNTIF(R7,"*,*")=0)</formula>
    </cfRule>
  </conditionalFormatting>
  <conditionalFormatting sqref="T7:T11 T14:T18 T21:T32">
    <cfRule type="expression" dxfId="1323" priority="172">
      <formula>AND(U7="",FIND(",",T7))</formula>
    </cfRule>
    <cfRule type="expression" dxfId="1322" priority="173">
      <formula>AND(U7="",COUNTIF(T7,"*,*")=0)</formula>
    </cfRule>
  </conditionalFormatting>
  <conditionalFormatting sqref="C33">
    <cfRule type="aboveAverage" dxfId="1321" priority="137"/>
  </conditionalFormatting>
  <conditionalFormatting sqref="D33">
    <cfRule type="aboveAverage" dxfId="1320" priority="135"/>
  </conditionalFormatting>
  <conditionalFormatting sqref="E33">
    <cfRule type="aboveAverage" dxfId="1319" priority="133"/>
  </conditionalFormatting>
  <conditionalFormatting sqref="F33">
    <cfRule type="aboveAverage" dxfId="1318" priority="132"/>
  </conditionalFormatting>
  <conditionalFormatting sqref="I33">
    <cfRule type="expression" dxfId="1317" priority="124">
      <formula>FIND(2,I33,1)</formula>
    </cfRule>
    <cfRule type="expression" dxfId="1316" priority="125">
      <formula>FIND(1,I33,1)</formula>
    </cfRule>
  </conditionalFormatting>
  <conditionalFormatting sqref="H33">
    <cfRule type="expression" dxfId="1315" priority="120">
      <formula>B33=""</formula>
    </cfRule>
  </conditionalFormatting>
  <conditionalFormatting sqref="B300:B310">
    <cfRule type="containsBlanks" dxfId="1314" priority="118">
      <formula>LEN(TRIM(B300))=0</formula>
    </cfRule>
    <cfRule type="duplicateValues" dxfId="1313" priority="119"/>
  </conditionalFormatting>
  <conditionalFormatting sqref="A40:A54">
    <cfRule type="cellIs" dxfId="1312" priority="110" operator="equal">
      <formula>"-"</formula>
    </cfRule>
    <cfRule type="duplicateValues" dxfId="1311" priority="111"/>
  </conditionalFormatting>
  <conditionalFormatting sqref="A78:A92">
    <cfRule type="cellIs" dxfId="1310" priority="108" operator="equal">
      <formula>"-"</formula>
    </cfRule>
    <cfRule type="duplicateValues" dxfId="1309" priority="109"/>
  </conditionalFormatting>
  <conditionalFormatting sqref="G33">
    <cfRule type="expression" dxfId="1308" priority="106">
      <formula>FIND(2,G33,1)</formula>
    </cfRule>
    <cfRule type="expression" dxfId="1307" priority="107">
      <formula>FIND(1,G33,1)</formula>
    </cfRule>
  </conditionalFormatting>
  <conditionalFormatting sqref="G93 G95">
    <cfRule type="containsBlanks" dxfId="1306" priority="98">
      <formula>LEN(TRIM(G93))=0</formula>
    </cfRule>
  </conditionalFormatting>
  <conditionalFormatting sqref="G93 G95">
    <cfRule type="aboveAverage" dxfId="1305" priority="99"/>
  </conditionalFormatting>
  <conditionalFormatting sqref="O300:O302">
    <cfRule type="containsBlanks" dxfId="1304" priority="96">
      <formula>LEN(TRIM(O300))=0</formula>
    </cfRule>
    <cfRule type="duplicateValues" dxfId="1303" priority="97"/>
  </conditionalFormatting>
  <conditionalFormatting sqref="K14:K18">
    <cfRule type="expression" dxfId="1302" priority="86">
      <formula>AND(J14=3,IF(COUNTIF(J$14:J$18,"=3")&gt;=2,TRUE))</formula>
    </cfRule>
    <cfRule type="expression" dxfId="1301" priority="94">
      <formula>AND(J14=1,IF(COUNTIF(J$14:J$18,"=1")&gt;=2,TRUE))</formula>
    </cfRule>
    <cfRule type="expression" dxfId="1300" priority="95">
      <formula>AND(J14=2,IF(COUNTIF(J$14:J$18,"=2")&gt;=2,TRUE))</formula>
    </cfRule>
  </conditionalFormatting>
  <conditionalFormatting sqref="K21:K25">
    <cfRule type="expression" dxfId="1299" priority="85">
      <formula>AND(J21=3,IF(COUNTIF(J$21:J$25,"=3")&gt;=2,TRUE))</formula>
    </cfRule>
    <cfRule type="expression" dxfId="1298" priority="92">
      <formula>AND(J21=1,IF(COUNTIF(J$21:J$25,"=1")&gt;=2,TRUE))</formula>
    </cfRule>
    <cfRule type="expression" dxfId="1297" priority="93">
      <formula>AND(J21=2,IF(COUNTIF(J$21:J$25,"=2")&gt;=2,TRUE))</formula>
    </cfRule>
  </conditionalFormatting>
  <conditionalFormatting sqref="K28:K32">
    <cfRule type="expression" dxfId="1296" priority="84">
      <formula>AND(J28=3,IF(COUNTIF(J$28:J$32,"=3")&gt;=2,TRUE))</formula>
    </cfRule>
    <cfRule type="expression" dxfId="1295" priority="90">
      <formula>AND(J28=1,IF(COUNTIF(J$28:J$32,"=1")&gt;=2,TRUE))</formula>
    </cfRule>
    <cfRule type="expression" dxfId="1294" priority="91">
      <formula>AND(J28=2,IF(COUNTIF(J$28:J$32,"=2")&gt;=2,TRUE))</formula>
    </cfRule>
  </conditionalFormatting>
  <conditionalFormatting sqref="K7:K11">
    <cfRule type="expression" dxfId="1293" priority="87">
      <formula>AND(J7=3,IF(COUNTIF(J$7:J$11,"=3")&gt;=2,TRUE))</formula>
    </cfRule>
    <cfRule type="expression" dxfId="1292" priority="88">
      <formula>AND(J7=1,IF(COUNTIF(J$7:J$11,"=1")&gt;=2,TRUE))</formula>
    </cfRule>
    <cfRule type="expression" dxfId="1291" priority="89">
      <formula>AND(J7=2,IF(COUNTIF(J$7:J$11,"=2")&gt;=2,TRUE))</formula>
    </cfRule>
  </conditionalFormatting>
  <conditionalFormatting sqref="L14:L18">
    <cfRule type="expression" dxfId="1290" priority="7">
      <formula>AND(J14=2,IF(COUNTIF(J$14:J$18,"=2")=1,TRUE))</formula>
    </cfRule>
    <cfRule type="expression" dxfId="1289" priority="78">
      <formula>OR(J14=0,J14=4)</formula>
    </cfRule>
    <cfRule type="expression" dxfId="1288" priority="82">
      <formula>AND(J14=1,IF(COUNTIF(J$14:J$18,"=1")=1,TRUE))</formula>
    </cfRule>
    <cfRule type="expression" dxfId="1287" priority="83">
      <formula>AND(J14=3,IF(COUNTIF(J$14:J$18,"=3")=1,TRUE))</formula>
    </cfRule>
  </conditionalFormatting>
  <conditionalFormatting sqref="L21:L25">
    <cfRule type="expression" dxfId="1286" priority="6">
      <formula>AND(J21=2,IF(COUNTIF(J$21:J$25,"=2")=1,TRUE))</formula>
    </cfRule>
    <cfRule type="expression" dxfId="1285" priority="79">
      <formula>OR(J21=0,J21=4)</formula>
    </cfRule>
    <cfRule type="expression" dxfId="1284" priority="80">
      <formula>AND(J21=1,IF(COUNTIF(J$21:J$25,"=1")=1,TRUE))</formula>
    </cfRule>
    <cfRule type="expression" dxfId="1283" priority="81">
      <formula>AND(J21=3,IF(COUNTIF(J$21:J$25,"=3")=1,TRUE))</formula>
    </cfRule>
  </conditionalFormatting>
  <conditionalFormatting sqref="L7:L11">
    <cfRule type="expression" dxfId="1282" priority="8">
      <formula>AND(J7=2,IF(COUNTIF(J$7:J$11,"=2")=1,TRUE))</formula>
    </cfRule>
    <cfRule type="expression" dxfId="1281" priority="75">
      <formula>OR(J7=0,J7=4)</formula>
    </cfRule>
    <cfRule type="expression" dxfId="1280" priority="76">
      <formula>AND(J7=1,IF(COUNTIF(J$7:J$11,"=1")=1,TRUE))</formula>
    </cfRule>
    <cfRule type="expression" dxfId="1279" priority="77">
      <formula>AND(J7=3,IF(COUNTIF(J$7:J$11,"=3")=1,TRUE))</formula>
    </cfRule>
  </conditionalFormatting>
  <conditionalFormatting sqref="L28:L32">
    <cfRule type="expression" dxfId="1278" priority="5">
      <formula>AND(J28=2,IF(COUNTIF(J$28:J$32,"=2")=1,TRUE))</formula>
    </cfRule>
    <cfRule type="expression" dxfId="1277" priority="72">
      <formula>OR(J28=0,J28=4)</formula>
    </cfRule>
    <cfRule type="expression" dxfId="1276" priority="73">
      <formula>AND(J28=1,IF(COUNTIF(J$28:J$32,"=1")=1,TRUE))</formula>
    </cfRule>
    <cfRule type="expression" dxfId="1275" priority="74">
      <formula>AND(J28=3,IF(COUNTIF(J$28:J$32,"=3")=1,TRUE))</formula>
    </cfRule>
  </conditionalFormatting>
  <conditionalFormatting sqref="I10:I11">
    <cfRule type="expression" dxfId="1274" priority="70">
      <formula>FIND(2,I10,1)</formula>
    </cfRule>
    <cfRule type="expression" dxfId="1273" priority="71">
      <formula>FIND(1,I10,1)</formula>
    </cfRule>
  </conditionalFormatting>
  <conditionalFormatting sqref="I7:I9">
    <cfRule type="expression" dxfId="1272" priority="68">
      <formula>FIND(2,I7,1)</formula>
    </cfRule>
    <cfRule type="expression" dxfId="1271" priority="69">
      <formula>FIND(1,I7,1)</formula>
    </cfRule>
  </conditionalFormatting>
  <conditionalFormatting sqref="D7 C8">
    <cfRule type="aboveAverage" dxfId="1270" priority="67"/>
  </conditionalFormatting>
  <conditionalFormatting sqref="E7 C9">
    <cfRule type="aboveAverage" dxfId="1269" priority="66"/>
  </conditionalFormatting>
  <conditionalFormatting sqref="F7 C10">
    <cfRule type="aboveAverage" dxfId="1268" priority="65"/>
  </conditionalFormatting>
  <conditionalFormatting sqref="E8 D9">
    <cfRule type="aboveAverage" dxfId="1267" priority="64"/>
  </conditionalFormatting>
  <conditionalFormatting sqref="G7 C11">
    <cfRule type="aboveAverage" dxfId="1266" priority="63"/>
  </conditionalFormatting>
  <conditionalFormatting sqref="F8 D10">
    <cfRule type="aboveAverage" dxfId="1265" priority="62"/>
  </conditionalFormatting>
  <conditionalFormatting sqref="G8 D11">
    <cfRule type="aboveAverage" dxfId="1264" priority="61"/>
  </conditionalFormatting>
  <conditionalFormatting sqref="F9 E10">
    <cfRule type="aboveAverage" dxfId="1263" priority="60"/>
  </conditionalFormatting>
  <conditionalFormatting sqref="G9 E11">
    <cfRule type="aboveAverage" dxfId="1262" priority="59"/>
  </conditionalFormatting>
  <conditionalFormatting sqref="F11 G10">
    <cfRule type="aboveAverage" dxfId="1261" priority="58"/>
  </conditionalFormatting>
  <conditionalFormatting sqref="H7:H11">
    <cfRule type="expression" dxfId="1260" priority="55">
      <formula>AND(J7=1,IF(COUNTIF(J$7:J$11,"=1")&gt;=2,TRUE))</formula>
    </cfRule>
    <cfRule type="expression" dxfId="1259" priority="56">
      <formula>AND(J7=3,IF(COUNTIF(J$7:J$11,"=3")&gt;=2,TRUE))</formula>
    </cfRule>
    <cfRule type="expression" dxfId="1258" priority="57">
      <formula>AND(J7=2,IF(COUNTIF(J$7:J$11,"=2")&gt;=2,TRUE))</formula>
    </cfRule>
  </conditionalFormatting>
  <conditionalFormatting sqref="I14:I18">
    <cfRule type="expression" dxfId="1257" priority="53">
      <formula>FIND(2,I14,1)</formula>
    </cfRule>
    <cfRule type="expression" dxfId="1256" priority="54">
      <formula>FIND(1,I14,1)</formula>
    </cfRule>
  </conditionalFormatting>
  <conditionalFormatting sqref="D14 C15">
    <cfRule type="aboveAverage" dxfId="1255" priority="52"/>
  </conditionalFormatting>
  <conditionalFormatting sqref="E14 C16">
    <cfRule type="aboveAverage" dxfId="1254" priority="51"/>
  </conditionalFormatting>
  <conditionalFormatting sqref="F14 C17">
    <cfRule type="aboveAverage" dxfId="1253" priority="50"/>
  </conditionalFormatting>
  <conditionalFormatting sqref="E15 D16">
    <cfRule type="aboveAverage" dxfId="1252" priority="49"/>
  </conditionalFormatting>
  <conditionalFormatting sqref="G14 C18">
    <cfRule type="aboveAverage" dxfId="1251" priority="48"/>
  </conditionalFormatting>
  <conditionalFormatting sqref="F15 D17">
    <cfRule type="aboveAverage" dxfId="1250" priority="47"/>
  </conditionalFormatting>
  <conditionalFormatting sqref="G15 D18">
    <cfRule type="aboveAverage" dxfId="1249" priority="46"/>
  </conditionalFormatting>
  <conditionalFormatting sqref="F16 E17">
    <cfRule type="aboveAverage" dxfId="1248" priority="45"/>
  </conditionalFormatting>
  <conditionalFormatting sqref="G16 E18">
    <cfRule type="aboveAverage" dxfId="1247" priority="44"/>
  </conditionalFormatting>
  <conditionalFormatting sqref="F18 G17">
    <cfRule type="aboveAverage" dxfId="1246" priority="43"/>
  </conditionalFormatting>
  <conditionalFormatting sqref="H14:H18">
    <cfRule type="expression" dxfId="1245" priority="40">
      <formula>AND(J14=1,IF(COUNTIF(J$14:J$18,"=1")&gt;=2,TRUE))</formula>
    </cfRule>
    <cfRule type="expression" dxfId="1244" priority="41">
      <formula>AND(J14=3,IF(COUNTIF(J$14:J$18,"=3")&gt;=2,TRUE))</formula>
    </cfRule>
    <cfRule type="expression" dxfId="1243" priority="42">
      <formula>AND(J14=2,IF(COUNTIF(J$14:J$18,"=2")&gt;=2,TRUE))</formula>
    </cfRule>
  </conditionalFormatting>
  <conditionalFormatting sqref="I21:I25">
    <cfRule type="expression" dxfId="1242" priority="38">
      <formula>FIND(2,I21,1)</formula>
    </cfRule>
    <cfRule type="expression" dxfId="1241" priority="39">
      <formula>FIND(1,I21,1)</formula>
    </cfRule>
  </conditionalFormatting>
  <conditionalFormatting sqref="D21 C22">
    <cfRule type="aboveAverage" dxfId="1240" priority="37"/>
  </conditionalFormatting>
  <conditionalFormatting sqref="E21 C23">
    <cfRule type="aboveAverage" dxfId="1239" priority="36"/>
  </conditionalFormatting>
  <conditionalFormatting sqref="F21 C24">
    <cfRule type="aboveAverage" dxfId="1238" priority="35"/>
  </conditionalFormatting>
  <conditionalFormatting sqref="E22 D23">
    <cfRule type="aboveAverage" dxfId="1237" priority="34"/>
  </conditionalFormatting>
  <conditionalFormatting sqref="G21 C25">
    <cfRule type="aboveAverage" dxfId="1236" priority="33"/>
  </conditionalFormatting>
  <conditionalFormatting sqref="F22 D24">
    <cfRule type="aboveAverage" dxfId="1235" priority="32"/>
  </conditionalFormatting>
  <conditionalFormatting sqref="G22 D25">
    <cfRule type="aboveAverage" dxfId="1234" priority="31"/>
  </conditionalFormatting>
  <conditionalFormatting sqref="F23 E24">
    <cfRule type="aboveAverage" dxfId="1233" priority="30"/>
  </conditionalFormatting>
  <conditionalFormatting sqref="G23 E25">
    <cfRule type="aboveAverage" dxfId="1232" priority="29"/>
  </conditionalFormatting>
  <conditionalFormatting sqref="F25 G24">
    <cfRule type="aboveAverage" dxfId="1231" priority="28"/>
  </conditionalFormatting>
  <conditionalFormatting sqref="H21:H25">
    <cfRule type="expression" dxfId="1230" priority="25">
      <formula>AND(J21=1,IF(COUNTIF(J$21:J$25,"=1")&gt;=2,TRUE))</formula>
    </cfRule>
    <cfRule type="expression" dxfId="1229" priority="26">
      <formula>AND(J21=3,IF(COUNTIF(J$21:J$25,"=3")&gt;=2,TRUE))</formula>
    </cfRule>
    <cfRule type="expression" dxfId="1228" priority="27">
      <formula>AND(J21=2,IF(COUNTIF(J$21:J$25,"=2")&gt;=2,TRUE))</formula>
    </cfRule>
  </conditionalFormatting>
  <conditionalFormatting sqref="D28 C29">
    <cfRule type="aboveAverage" dxfId="1227" priority="24"/>
  </conditionalFormatting>
  <conditionalFormatting sqref="E28 C30">
    <cfRule type="aboveAverage" dxfId="1226" priority="23"/>
  </conditionalFormatting>
  <conditionalFormatting sqref="F28 C31">
    <cfRule type="aboveAverage" dxfId="1225" priority="22"/>
  </conditionalFormatting>
  <conditionalFormatting sqref="E29 D30">
    <cfRule type="aboveAverage" dxfId="1224" priority="21"/>
  </conditionalFormatting>
  <conditionalFormatting sqref="G28 C32">
    <cfRule type="aboveAverage" dxfId="1223" priority="20"/>
  </conditionalFormatting>
  <conditionalFormatting sqref="F29 D31">
    <cfRule type="aboveAverage" dxfId="1222" priority="19"/>
  </conditionalFormatting>
  <conditionalFormatting sqref="G29 D32">
    <cfRule type="aboveAverage" dxfId="1221" priority="18"/>
  </conditionalFormatting>
  <conditionalFormatting sqref="F30 E31">
    <cfRule type="aboveAverage" dxfId="1220" priority="17"/>
  </conditionalFormatting>
  <conditionalFormatting sqref="G30 E32">
    <cfRule type="aboveAverage" dxfId="1219" priority="16"/>
  </conditionalFormatting>
  <conditionalFormatting sqref="F32 G31">
    <cfRule type="aboveAverage" dxfId="1218" priority="15"/>
  </conditionalFormatting>
  <conditionalFormatting sqref="I28:I32">
    <cfRule type="expression" dxfId="1217" priority="13">
      <formula>FIND(2,I28,1)</formula>
    </cfRule>
    <cfRule type="expression" dxfId="1216" priority="14">
      <formula>FIND(1,I28,1)</formula>
    </cfRule>
  </conditionalFormatting>
  <conditionalFormatting sqref="H28:H32">
    <cfRule type="expression" dxfId="1215" priority="10">
      <formula>AND(J28=1,IF(COUNTIF(J$28:J$32,"=1")&gt;=2,TRUE))</formula>
    </cfRule>
    <cfRule type="expression" dxfId="1214" priority="11">
      <formula>AND(J28=3,IF(COUNTIF(J$28:J$32,"=3")&gt;=2,TRUE))</formula>
    </cfRule>
    <cfRule type="expression" dxfId="1213" priority="12">
      <formula>AND(J28=2,IF(COUNTIF(J$28:J$32,"=2")&gt;=2,TRUE))</formula>
    </cfRule>
  </conditionalFormatting>
  <conditionalFormatting sqref="H7:H11 H14:H18 H21:H25 H28:H32">
    <cfRule type="expression" dxfId="1212" priority="9">
      <formula>B7=""</formula>
    </cfRule>
  </conditionalFormatting>
  <pageMargins left="0.78740157480314965" right="0.39370078740157483" top="0.78740157480314965" bottom="0.31496062992125984" header="0.59055118110236227" footer="0"/>
  <pageSetup paperSize="9" fitToHeight="0" orientation="landscape" horizontalDpi="1200" verticalDpi="1200" r:id="rId1"/>
  <headerFooter>
    <oddHeader>&amp;R&amp;"Arial,Regular"&amp;9Page &amp;P of &amp;N</oddHeader>
  </headerFooter>
  <rowBreaks count="2" manualBreakCount="2">
    <brk id="36" max="16383" man="1"/>
    <brk id="74" max="16383" man="1"/>
  </rowBreaks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CFFCC"/>
    <pageSetUpPr fitToPage="1"/>
  </sheetPr>
  <dimension ref="A1:AB310"/>
  <sheetViews>
    <sheetView showGridLines="0" showRowColHeaders="0" zoomScaleNormal="100" workbookViewId="0">
      <pane ySplit="2" topLeftCell="A3" activePane="bottomLeft" state="frozen"/>
      <selection activeCell="G1" sqref="G1"/>
      <selection pane="bottomLeft" activeCell="I1" sqref="I1"/>
    </sheetView>
  </sheetViews>
  <sheetFormatPr defaultRowHeight="12.75" x14ac:dyDescent="0.2"/>
  <cols>
    <col min="1" max="1" width="5.5703125" style="139" customWidth="1"/>
    <col min="2" max="2" width="32" style="139" bestFit="1" customWidth="1"/>
    <col min="3" max="8" width="6.7109375" style="139" customWidth="1"/>
    <col min="9" max="9" width="5.140625" style="139" bestFit="1" customWidth="1"/>
    <col min="10" max="10" width="4.5703125" style="139" hidden="1" customWidth="1"/>
    <col min="11" max="11" width="2.28515625" style="139" customWidth="1"/>
    <col min="12" max="12" width="3.5703125" style="139" customWidth="1"/>
    <col min="13" max="13" width="6" style="139" hidden="1" customWidth="1"/>
    <col min="14" max="14" width="4.28515625" style="139" customWidth="1"/>
    <col min="15" max="15" width="5.5703125" style="139" customWidth="1"/>
    <col min="16" max="16" width="8.5703125" style="139" bestFit="1" customWidth="1"/>
    <col min="17" max="17" width="9.140625" style="139"/>
    <col min="18" max="18" width="7.7109375" style="139" hidden="1" customWidth="1"/>
    <col min="19" max="19" width="17.140625" style="139" hidden="1" customWidth="1"/>
    <col min="20" max="20" width="6" style="139" hidden="1" customWidth="1"/>
    <col min="21" max="21" width="32.7109375" style="139" hidden="1" customWidth="1"/>
    <col min="22" max="22" width="6" style="139" hidden="1" customWidth="1"/>
    <col min="23" max="23" width="17.28515625" style="139" hidden="1" customWidth="1"/>
    <col min="24" max="24" width="6" style="139" hidden="1" customWidth="1"/>
    <col min="25" max="25" width="13.85546875" style="139" hidden="1" customWidth="1"/>
    <col min="26" max="26" width="6" style="139" hidden="1" customWidth="1"/>
    <col min="27" max="16384" width="9.140625" style="139"/>
  </cols>
  <sheetData>
    <row r="1" spans="1:27" x14ac:dyDescent="0.2">
      <c r="A1" s="86" t="str">
        <f>UPPER((Kalend!E29)&amp;" - "&amp;(Kalend!C29)&amp;" - "&amp;(Kalend!D29))</f>
        <v>V10 - VOKA 1. SISE-KV 10. ETAPP - DUO</v>
      </c>
      <c r="F1" s="51" t="str">
        <f>HYPERLINK("#'Kalend'!I1","Kalender")</f>
        <v>Kalender</v>
      </c>
      <c r="H1" s="51" t="str">
        <f>HYPERLINK("#'V'!AE1","Reiting")</f>
        <v>Reiting</v>
      </c>
      <c r="I1" s="88"/>
      <c r="J1" s="502" t="s">
        <v>380</v>
      </c>
      <c r="L1" s="585"/>
      <c r="M1" s="504"/>
      <c r="R1" s="502" t="s">
        <v>380</v>
      </c>
      <c r="S1" s="504"/>
      <c r="T1" s="504"/>
      <c r="U1" s="503"/>
      <c r="V1" s="504"/>
      <c r="W1" s="504"/>
      <c r="X1" s="504"/>
      <c r="Y1" s="504"/>
      <c r="Z1" s="504"/>
    </row>
    <row r="2" spans="1:27" x14ac:dyDescent="0.2">
      <c r="A2" s="186" t="str">
        <f>"Toimumisaeg: "&amp;(Kalend!A29)&amp;" kell "&amp;(Kalend!B29)</f>
        <v>Toimumisaeg: L, 10.02.2018 kell 11:00</v>
      </c>
      <c r="S2" s="314"/>
      <c r="U2" s="314"/>
    </row>
    <row r="3" spans="1:27" x14ac:dyDescent="0.2">
      <c r="A3" s="186" t="str">
        <f>"Toimumiskoht: "&amp;(Kalend!F29)</f>
        <v>Toimumiskoht: Voka petangihall</v>
      </c>
      <c r="S3" s="505" t="s">
        <v>381</v>
      </c>
      <c r="U3" s="314"/>
      <c r="W3" s="261"/>
    </row>
    <row r="4" spans="1:27" x14ac:dyDescent="0.2">
      <c r="A4" s="186" t="str">
        <f>"Korraldaja: "&amp;(Kalend!G29)</f>
        <v>Korraldaja: Johannes Neiland</v>
      </c>
      <c r="R4" s="506" t="s">
        <v>36</v>
      </c>
      <c r="S4" s="507"/>
      <c r="T4" s="508"/>
      <c r="U4" s="509"/>
      <c r="V4" s="508"/>
      <c r="W4" s="508"/>
      <c r="X4" s="508"/>
      <c r="Y4" s="508"/>
      <c r="Z4" s="508"/>
    </row>
    <row r="5" spans="1:27" x14ac:dyDescent="0.2">
      <c r="R5" s="506" t="s">
        <v>382</v>
      </c>
      <c r="S5" s="510" t="s">
        <v>383</v>
      </c>
      <c r="T5" s="510"/>
      <c r="U5" s="511" t="s">
        <v>384</v>
      </c>
      <c r="V5" s="510"/>
      <c r="W5" s="510" t="s">
        <v>385</v>
      </c>
      <c r="X5" s="510"/>
      <c r="Y5" s="510" t="s">
        <v>386</v>
      </c>
      <c r="Z5" s="512"/>
    </row>
    <row r="6" spans="1:27" s="188" customFormat="1" x14ac:dyDescent="0.2">
      <c r="A6" s="126" t="s">
        <v>66</v>
      </c>
      <c r="B6" s="438"/>
      <c r="C6" s="91">
        <v>1</v>
      </c>
      <c r="D6" s="91">
        <v>2</v>
      </c>
      <c r="E6" s="91">
        <v>3</v>
      </c>
      <c r="F6" s="91"/>
      <c r="G6" s="91"/>
      <c r="H6" s="91" t="s">
        <v>73</v>
      </c>
      <c r="I6" s="438" t="s">
        <v>46</v>
      </c>
      <c r="J6" s="577" t="s">
        <v>273</v>
      </c>
      <c r="K6" s="649" t="s">
        <v>273</v>
      </c>
      <c r="L6" s="650" t="s">
        <v>430</v>
      </c>
      <c r="M6" s="188" t="b">
        <f>OR(AND(COUNTA(B7:B11)=3,COUNTA(C7:G11)=6),AND(COUNTA(B7:B11)=4,COUNTA(C7:G11)=12),AND(COUNTA(B7:B11)=5,COUNTA(C7:G11)=20))</f>
        <v>1</v>
      </c>
      <c r="P6" s="139"/>
      <c r="Q6" s="139"/>
      <c r="R6" s="506" t="s">
        <v>387</v>
      </c>
      <c r="S6" s="507"/>
      <c r="T6" s="508"/>
      <c r="U6" s="507"/>
      <c r="V6" s="508"/>
      <c r="W6" s="513"/>
      <c r="X6" s="513"/>
      <c r="Y6" s="513"/>
      <c r="Z6" s="513"/>
    </row>
    <row r="7" spans="1:27" s="188" customFormat="1" x14ac:dyDescent="0.2">
      <c r="A7" s="126">
        <v>1</v>
      </c>
      <c r="B7" s="582" t="s">
        <v>172</v>
      </c>
      <c r="C7" s="127"/>
      <c r="D7" s="93">
        <v>13</v>
      </c>
      <c r="E7" s="93">
        <v>8</v>
      </c>
      <c r="F7" s="93"/>
      <c r="G7" s="93"/>
      <c r="H7" s="576" t="str">
        <f>(IF(D7-C8&gt;0,1)+IF(E7-C9&gt;0,1)+IF(F7-C10&gt;0,1)+IF(G7-C11&gt;0,1))&amp;"-"&amp;(IF(D7-C8&lt;0,1)+IF(E7-C9&lt;0,1)+IF(F7-C10&lt;0,1)+IF(G7-C11&lt;0,1))</f>
        <v>1-1</v>
      </c>
      <c r="I7" s="93" t="str">
        <f>IF(AND(B7&lt;&gt;"",M$6=TRUE),A$6&amp;RANK(M7,M$7:M$11,0),"")</f>
        <v>A2</v>
      </c>
      <c r="J7" s="584">
        <f>VALUE(LEFT(H7,1))</f>
        <v>1</v>
      </c>
      <c r="K7" s="651">
        <f>IF(AND(J7=1,J8=1,D7&gt;C8),1)+IF(AND(J7=1,J9=1,E7&gt;C9),1)+IF(AND(J7=1,J10=1,F7&gt;C10),1)+IF(AND(J7=1,J11=1,G7&gt;C11),1)+IF(AND(J7=2,J8=2,D7&gt;C8),1)+IF(AND(J7=2,J9=2,E7&gt;C9),1)+IF(AND(J7=2,J10=2,F7&gt;C10),1)+IF(AND(J7=2,J11=2,G7&gt;C11),1)+IF(AND(J7=3,J8=3,D7&gt;C8),1)+IF(AND(J7=3,J9=3,E7&gt;C9),1)+IF(AND(J7=3,J10=3,F7&gt;C10),1)+IF(AND(J7=3,J11=3,G7&gt;C11),1)</f>
        <v>1</v>
      </c>
      <c r="L7" s="652">
        <f>IF(AND(J7=1,J8=1),D7-C8)+IF(AND(J7=1,J9=1),E7-C9)+IF(AND(J7=1,J10=1),F7-C10)+IF(AND(J7=1,J11=1),G7-C11)+IF(AND(J7=2,J8=2),D7-C8)+IF(AND(J7=2,J9=2),E7-C9)+IF(AND(J7=2,J10=2),F7-C10)+IF(AND(J7=2,J11=2),G7-C11)+IF(AND(J7=3,J8=3),D7-C8)+IF(AND(J7=3,J9=3),E7-C9)+IF(AND(J7=3,J10=3),F7-C10)+IF(AND(J7=3,J11=3),G7-C11)</f>
        <v>0</v>
      </c>
      <c r="M7" s="668">
        <f>10000*J7+K7*100+L7</f>
        <v>10100</v>
      </c>
      <c r="N7" s="569"/>
      <c r="O7" s="310"/>
      <c r="P7" s="139"/>
      <c r="Q7" s="140"/>
      <c r="R7" s="512">
        <f>SUM(T7:Z7)</f>
        <v>165</v>
      </c>
      <c r="S7" s="514" t="str">
        <f t="shared" ref="S7:S25" si="0">IFERROR(LEFT($B7,(FIND(",",$B7,1)-1)),"")</f>
        <v>Boriss Klubov</v>
      </c>
      <c r="T7" s="515">
        <f>IFERROR(INDEX(V!$O:$O,MATCH(S7,V!$J:$J,0)),"")</f>
        <v>89</v>
      </c>
      <c r="U7" s="514" t="str">
        <f t="shared" ref="U7:U25" si="1">IFERROR(MID($B7,FIND(", ",$B7)+2,256),"")</f>
        <v>Elmo Lageda</v>
      </c>
      <c r="V7" s="515">
        <f>IFERROR(INDEX(V!$O:$O,MATCH(U7,V!$J:$J,0)),"")</f>
        <v>76</v>
      </c>
      <c r="W7" s="516" t="str">
        <f t="shared" ref="W7:W25" si="2">IFERROR(MID($B7,FIND("^",SUBSTITUTE($B7,", ","^",1))+2,FIND("^",SUBSTITUTE($B7,", ","^",2))-FIND("^",SUBSTITUTE($B7,", ","^",1))-2),"")</f>
        <v/>
      </c>
      <c r="X7" s="515" t="str">
        <f>IFERROR(INDEX(V!$O:$O,MATCH(W7,V!$J:$J,0)),"")</f>
        <v/>
      </c>
      <c r="Y7" s="516" t="str">
        <f t="shared" ref="Y7:Y25" si="3">IFERROR(MID($B7,FIND(", ",$B7,FIND(", ",$B7,FIND(", ",$B7))+1)+2,30000),"")</f>
        <v/>
      </c>
      <c r="Z7" s="515" t="str">
        <f>IFERROR(INDEX(V!$O:$O,MATCH(Y7,V!$J:$J,0)),"")</f>
        <v/>
      </c>
    </row>
    <row r="8" spans="1:27" s="188" customFormat="1" x14ac:dyDescent="0.2">
      <c r="A8" s="126">
        <v>2</v>
      </c>
      <c r="B8" s="581" t="s">
        <v>170</v>
      </c>
      <c r="C8" s="93">
        <v>8</v>
      </c>
      <c r="D8" s="127"/>
      <c r="E8" s="93">
        <v>13</v>
      </c>
      <c r="F8" s="93"/>
      <c r="G8" s="93"/>
      <c r="H8" s="576" t="str">
        <f>(IF(C8-D7&gt;0,1)+IF(E8-D9&gt;0,1)+IF(F8-D10&gt;0,1)+IF(G8-D11&gt;0,1))&amp;"-"&amp;(IF(C8-D7&lt;0,1)+IF(E8-D9&lt;0,1)+IF(F8-D10&lt;0,1)+IF(G8-D11&lt;0,1))</f>
        <v>1-1</v>
      </c>
      <c r="I8" s="93" t="str">
        <f>IF(AND(B8&lt;&gt;"",M$6=TRUE),A$6&amp;RANK(M8,M$7:M$11,0),"")</f>
        <v>A3</v>
      </c>
      <c r="J8" s="584">
        <f t="shared" ref="J8:J11" si="4">VALUE(LEFT(H8,1))</f>
        <v>1</v>
      </c>
      <c r="K8" s="653">
        <f>IF(AND(J8=1,J7=1,C8&gt;D7),1)+IF(AND(J8=1,J9=1,E8&gt;D9),1)+IF(AND(J8=1,J10=1,F8&gt;D10),1)+IF(AND(J8=1,J11=1,G8&gt;D11),1)+IF(AND(J8=2,J7=2,C8&gt;D7),1)+IF(AND(J8=2,J9=2,E8&gt;D9),1)+IF(AND(J8=2,J10=2,F8&gt;D10),1)+IF(AND(J8=2,J11=2,G8&gt;D11),1)+IF(AND(J8=3,J7=3,C8&gt;D7),1)+IF(AND(J8=3,J9=3,E8&gt;D9),1)+IF(AND(J8=3,J10=3,F8&gt;D10),1)+IF(AND(J8=3,J11=3,G8&gt;D11),1)</f>
        <v>1</v>
      </c>
      <c r="L8" s="652">
        <f>IF(AND(J8=1,J7=1),C8-D7)+IF(AND(J8=1,J9=1),E8-D9)+IF(AND(J8=1,J10=1),F8-D10)+IF(AND(J8=1,J11=1),G8-D11)+IF(AND(J8=2,J7=2),C8-D7)+IF(AND(J8=2,J9=2),E8-D9)+IF(AND(J8=2,J10=2),F8-D10)+IF(AND(J8=2,J11=2),G8-D11)+IF(AND(J8=3,J7=3),C8-D7)+IF(AND(J8=3,J9=3),E8-D9)+IF(AND(J8=3,J10=3),F8-D10)+IF(AND(J8=3,J11=3),G8-D11)</f>
        <v>-1</v>
      </c>
      <c r="M8" s="668">
        <f t="shared" ref="M8:M11" si="5">10000*J8+K8*100+L8</f>
        <v>10099</v>
      </c>
      <c r="N8" s="569"/>
      <c r="O8" s="310"/>
      <c r="P8" s="139"/>
      <c r="Q8" s="140"/>
      <c r="R8" s="512">
        <f t="shared" ref="R8:R18" si="6">SUM(T8:Z8)</f>
        <v>118</v>
      </c>
      <c r="S8" s="514" t="str">
        <f t="shared" si="0"/>
        <v>Karla Purgats</v>
      </c>
      <c r="T8" s="515">
        <f>IFERROR(INDEX(V!$O:$O,MATCH(S8,V!$J:$J,0)),"")</f>
        <v>66</v>
      </c>
      <c r="U8" s="514" t="str">
        <f t="shared" si="1"/>
        <v>Lemmit Toomra</v>
      </c>
      <c r="V8" s="515">
        <f>IFERROR(INDEX(V!$O:$O,MATCH(U8,V!$J:$J,0)),"")</f>
        <v>52</v>
      </c>
      <c r="W8" s="516" t="str">
        <f t="shared" si="2"/>
        <v/>
      </c>
      <c r="X8" s="515" t="str">
        <f>IFERROR(INDEX(V!$O:$O,MATCH(W8,V!$J:$J,0)),"")</f>
        <v/>
      </c>
      <c r="Y8" s="516" t="str">
        <f t="shared" si="3"/>
        <v/>
      </c>
      <c r="Z8" s="515" t="str">
        <f>IFERROR(INDEX(V!$O:$O,MATCH(Y8,V!$J:$J,0)),"")</f>
        <v/>
      </c>
    </row>
    <row r="9" spans="1:27" s="188" customFormat="1" x14ac:dyDescent="0.2">
      <c r="A9" s="126">
        <v>3</v>
      </c>
      <c r="B9" s="581" t="s">
        <v>417</v>
      </c>
      <c r="C9" s="93">
        <v>13</v>
      </c>
      <c r="D9" s="548">
        <v>9</v>
      </c>
      <c r="E9" s="127"/>
      <c r="F9" s="93"/>
      <c r="G9" s="93"/>
      <c r="H9" s="576" t="str">
        <f>(IF(C9-E7&gt;0,1)+IF(D9-E8&gt;0,1)+IF(F9-E10&gt;0,1)+IF(G9-E11&gt;0,1))&amp;"-"&amp;(IF(C9-E7&lt;0,1)+IF(D9-E8&lt;0,1)+IF(F9-E10&lt;0,1)+IF(G9-E11&lt;0,1))</f>
        <v>1-1</v>
      </c>
      <c r="I9" s="93" t="str">
        <f>IF(AND(B9&lt;&gt;"",M$6=TRUE),A$6&amp;RANK(M9,M$7:M$11,0),"")</f>
        <v>A1</v>
      </c>
      <c r="J9" s="584">
        <f t="shared" si="4"/>
        <v>1</v>
      </c>
      <c r="K9" s="653">
        <f>IF(AND(J9=1,J7=1,C9&gt;E7),1)+IF(AND(J9=1,J8=1,D9&gt;E8),1)+IF(AND(J9=1,J10=1,F9&gt;E10),1)+IF(AND(J9=1,J11=1,G9&gt;E11),1)+IF(AND(J9=2,J7=2,C9&gt;E7),1)+IF(AND(J9=2,J8=2,D9&gt;E8),1)+IF(AND(J9=2,J10=2,F9&gt;E10),1)+IF(AND(J9=2,J11=2,G9&gt;E11),1)+IF(AND(J9=3,J7=3,C9&gt;E7),1)+IF(AND(J9=3,J8=3,D9&gt;E8),1)+IF(AND(J9=3,J10=3,F9&gt;E10),1)+IF(AND(J9=3,J11=3,G9&gt;E11),1)</f>
        <v>1</v>
      </c>
      <c r="L9" s="652">
        <f>IF(AND(J9=1,J7=1),C9-E7)+IF(AND(J9=1,J8=1),D9-E8)+IF(AND(J9=1,J10=1),F9-E10)+IF(AND(J9=1,J11=1),G9-E11)+IF(AND(J9=2,J7=2),C9-E7)+IF(AND(J9=2,J8=2),D9-E8)+IF(AND(J9=2,J10=2),F9-E10)+IF(AND(J9=2,J11=2),G9-E11)+IF(AND(J9=3,J7=3),C9-E7)+IF(AND(J9=3,J8=3),D9-E8)+IF(AND(J9=3,J10=3),F9-E10)+IF(AND(J9=3,J11=3),G9-E11)</f>
        <v>1</v>
      </c>
      <c r="M9" s="668">
        <f t="shared" si="5"/>
        <v>10101</v>
      </c>
      <c r="N9" s="569"/>
      <c r="O9" s="310"/>
      <c r="P9" s="139"/>
      <c r="Q9" s="140"/>
      <c r="R9" s="512">
        <f t="shared" si="6"/>
        <v>103</v>
      </c>
      <c r="S9" s="514" t="str">
        <f t="shared" si="0"/>
        <v>Andres Viisitam</v>
      </c>
      <c r="T9" s="515">
        <f>IFERROR(INDEX(V!$O:$O,MATCH(S9,V!$J:$J,0)),"")</f>
        <v>30</v>
      </c>
      <c r="U9" s="514" t="str">
        <f t="shared" si="1"/>
        <v>Tõnu Piik</v>
      </c>
      <c r="V9" s="515">
        <f>IFERROR(INDEX(V!$O:$O,MATCH(U9,V!$J:$J,0)),"")</f>
        <v>73</v>
      </c>
      <c r="W9" s="516" t="str">
        <f t="shared" si="2"/>
        <v/>
      </c>
      <c r="X9" s="515" t="str">
        <f>IFERROR(INDEX(V!$O:$O,MATCH(W9,V!$J:$J,0)),"")</f>
        <v/>
      </c>
      <c r="Y9" s="516" t="str">
        <f t="shared" si="3"/>
        <v/>
      </c>
      <c r="Z9" s="515" t="str">
        <f>IFERROR(INDEX(V!$O:$O,MATCH(Y9,V!$J:$J,0)),"")</f>
        <v/>
      </c>
    </row>
    <row r="10" spans="1:27" s="188" customFormat="1" hidden="1" x14ac:dyDescent="0.2">
      <c r="A10" s="126">
        <v>4</v>
      </c>
      <c r="B10" s="582"/>
      <c r="C10" s="93"/>
      <c r="D10" s="548"/>
      <c r="E10" s="93"/>
      <c r="F10" s="127"/>
      <c r="G10" s="128"/>
      <c r="H10" s="576" t="str">
        <f>(IF(C10-F7&gt;0,1)+IF(D10-F8&gt;0,1)+IF(E10-F9&gt;0,1)+IF(G10-F11&gt;0,1))&amp;"-"&amp;(IF(C10-F7&lt;0,1)+IF(D10-F8&lt;0,1)+IF(E10-F9&lt;0,1)+IF(G10-F11&lt;0,1))</f>
        <v>0-0</v>
      </c>
      <c r="I10" s="93" t="str">
        <f t="shared" ref="I10:I11" si="7">IF(AND(B10&lt;&gt;"",M$6=TRUE),A$6&amp;RANK(M10,M$7:M$11,0),"")</f>
        <v/>
      </c>
      <c r="J10" s="584">
        <f t="shared" si="4"/>
        <v>0</v>
      </c>
      <c r="K10" s="653">
        <f>IF(AND(J10=1,J7=1,C10&gt;F7),1)+IF(AND(J10=1,J8=1,D10&gt;F8),1)+IF(AND(J10=1,J9=1,E10&gt;F9),1)+IF(AND(J10=1,J11=1,G10&gt;F11),1)+IF(AND(J10=2,J7=2,C10&gt;F7),1)+IF(AND(J10=2,J8=2,D10&gt;F8),1)+IF(AND(J10=2,J9=2,E10&gt;F9),1)+IF(AND(J10=2,J11=2,G10&gt;F11),1)+IF(AND(J10=3,J7=3,C10&gt;F7),1)+IF(AND(J10=3,J8=3,D10&gt;F8),1)+IF(AND(J10=3,J9=3,E10&gt;F9),1)+IF(AND(J10=3,J11=3,G10&gt;F11),1)</f>
        <v>0</v>
      </c>
      <c r="L10" s="652">
        <f>IF(AND(J10=1,J7=1),C10-F7)+IF(AND(J10=1,J8=1),D10-F8)+IF(AND(J10=1,J9=1),E10-F9)+IF(AND(J10=1,J11=1),G10-F11)+IF(AND(J10=2,J7=2),C10-F7)+IF(AND(J10=2,J8=2),D10-F8)+IF(AND(J10=2,J9=2),E10-F9)+IF(AND(J10=2,J11=2),G10-F11)+IF(AND(J10=3,J7=3),C10-F7)+IF(AND(J10=3,J8=3),D10-F8)+IF(AND(J10=3,J9=3),E10-F9)+IF(AND(J10=3,J11=3),G10-F11)</f>
        <v>0</v>
      </c>
      <c r="M10" s="668">
        <f t="shared" si="5"/>
        <v>0</v>
      </c>
      <c r="N10" s="569"/>
      <c r="O10" s="310"/>
      <c r="P10" s="139"/>
      <c r="Q10" s="140"/>
      <c r="R10" s="512">
        <f t="shared" si="6"/>
        <v>0</v>
      </c>
      <c r="S10" s="514" t="str">
        <f t="shared" si="0"/>
        <v/>
      </c>
      <c r="T10" s="515" t="str">
        <f>IFERROR(INDEX(V!$O:$O,MATCH(S10,V!$J:$J,0)),"")</f>
        <v/>
      </c>
      <c r="U10" s="514" t="str">
        <f t="shared" si="1"/>
        <v/>
      </c>
      <c r="V10" s="515" t="str">
        <f>IFERROR(INDEX(V!$O:$O,MATCH(U10,V!$J:$J,0)),"")</f>
        <v/>
      </c>
      <c r="W10" s="516" t="str">
        <f t="shared" si="2"/>
        <v/>
      </c>
      <c r="X10" s="515" t="str">
        <f>IFERROR(INDEX(V!$O:$O,MATCH(W10,V!$J:$J,0)),"")</f>
        <v/>
      </c>
      <c r="Y10" s="516" t="str">
        <f t="shared" si="3"/>
        <v/>
      </c>
      <c r="Z10" s="515" t="str">
        <f>IFERROR(INDEX(V!$O:$O,MATCH(Y10,V!$J:$J,0)),"")</f>
        <v/>
      </c>
    </row>
    <row r="11" spans="1:27" s="188" customFormat="1" hidden="1" x14ac:dyDescent="0.2">
      <c r="A11" s="126">
        <v>5</v>
      </c>
      <c r="B11" s="582"/>
      <c r="C11" s="93"/>
      <c r="D11" s="93"/>
      <c r="E11" s="93"/>
      <c r="F11" s="93"/>
      <c r="G11" s="127"/>
      <c r="H11" s="576" t="str">
        <f>(IF(C11-G7&gt;0,1)+IF(D11-G8&gt;0,1)+IF(E11-G9&gt;0,1)+IF(F11-G10&gt;0,1))&amp;"-"&amp;(IF(C11-G7&lt;0,1)+IF(D11-G8&lt;0,1)+IF(E11-G9&lt;0,1)+IF(F11-G10&lt;0,1))</f>
        <v>0-0</v>
      </c>
      <c r="I11" s="93" t="str">
        <f t="shared" si="7"/>
        <v/>
      </c>
      <c r="J11" s="584">
        <f t="shared" si="4"/>
        <v>0</v>
      </c>
      <c r="K11" s="653">
        <f>IF(AND(J11=1,J7=1,C11&gt;G7),1)+IF(AND(J11=1,J8=1,D11&gt;G8),1)+IF(AND(J11=1,J9=1,E11&gt;G9),1)+IF(AND(J11=1,J10=1,F11&gt;G10),1)+IF(AND(J11=2,J7=2,C11&gt;G7),1)+IF(AND(J11=2,J8=2,D11&gt;G8),1)+IF(AND(J11=2,J9=2,E11&gt;G9),1)+IF(AND(J11=2,J10=2,F11&gt;G10),1)+IF(AND(J11=3,J7=3,C11&gt;G7),1)+IF(AND(J11=3,J8=3,D11&gt;G8),1)+IF(AND(J11=3,J9=3,E11&gt;G9),1)+IF(AND(J11=3,J10=3,F11&gt;G10),1)</f>
        <v>0</v>
      </c>
      <c r="L11" s="652">
        <f>IF(AND(J11=1,J7=1),C11-G7)+IF(AND(J11=1,J8=1),D11-G8)+IF(AND(J11=1,J9=1),E11-G9)+IF(AND(J11=1,J10=1),F11-G10)+IF(AND(J11=2,J7=2),C11-G7)+IF(AND(J11=2,J8=2),D11-G8)+IF(AND(J11=2,J9=2),E11-G9)+IF(AND(J11=2,J10=2),F11-G10)+IF(AND(J11=3,J7=3),C11-G7)+IF(AND(J11=3,J8=3),D11-G8)+IF(AND(J11=3,J9=3),E11-G9)+IF(AND(J11=3,J10=3),F11-G10)</f>
        <v>0</v>
      </c>
      <c r="M11" s="668">
        <f t="shared" si="5"/>
        <v>0</v>
      </c>
      <c r="N11" s="569"/>
      <c r="O11" s="310"/>
      <c r="P11" s="139"/>
      <c r="Q11" s="140"/>
      <c r="R11" s="512">
        <f t="shared" si="6"/>
        <v>0</v>
      </c>
      <c r="S11" s="514" t="str">
        <f t="shared" si="0"/>
        <v/>
      </c>
      <c r="T11" s="515" t="str">
        <f>IFERROR(INDEX(V!$O:$O,MATCH(S11,V!$J:$J,0)),"")</f>
        <v/>
      </c>
      <c r="U11" s="514" t="str">
        <f t="shared" si="1"/>
        <v/>
      </c>
      <c r="V11" s="515" t="str">
        <f>IFERROR(INDEX(V!$O:$O,MATCH(U11,V!$J:$J,0)),"")</f>
        <v/>
      </c>
      <c r="W11" s="516" t="str">
        <f t="shared" si="2"/>
        <v/>
      </c>
      <c r="X11" s="515" t="str">
        <f>IFERROR(INDEX(V!$O:$O,MATCH(W11,V!$J:$J,0)),"")</f>
        <v/>
      </c>
      <c r="Y11" s="516" t="str">
        <f t="shared" si="3"/>
        <v/>
      </c>
      <c r="Z11" s="515" t="str">
        <f>IFERROR(INDEX(V!$O:$O,MATCH(Y11,V!$J:$J,0)),"")</f>
        <v/>
      </c>
    </row>
    <row r="12" spans="1:27" s="188" customFormat="1" x14ac:dyDescent="0.2">
      <c r="A12" s="121"/>
      <c r="B12" s="677"/>
      <c r="C12" s="96"/>
      <c r="D12" s="312"/>
      <c r="E12" s="96"/>
      <c r="F12" s="97"/>
      <c r="H12" s="402"/>
      <c r="I12" s="580"/>
      <c r="J12" s="585"/>
      <c r="K12" s="654"/>
      <c r="L12" s="655"/>
      <c r="M12" s="585"/>
      <c r="N12" s="569"/>
      <c r="O12" s="310"/>
      <c r="P12" s="139"/>
      <c r="Q12" s="139"/>
      <c r="R12" s="186"/>
      <c r="S12" s="186"/>
      <c r="T12" s="186"/>
      <c r="U12" s="186"/>
      <c r="V12" s="186"/>
      <c r="W12" s="186"/>
      <c r="X12" s="186"/>
      <c r="Y12" s="186"/>
      <c r="Z12" s="186"/>
      <c r="AA12" s="88"/>
    </row>
    <row r="13" spans="1:27" s="186" customFormat="1" x14ac:dyDescent="0.2">
      <c r="A13" s="126" t="s">
        <v>90</v>
      </c>
      <c r="B13" s="438"/>
      <c r="C13" s="91">
        <v>1</v>
      </c>
      <c r="D13" s="91">
        <v>2</v>
      </c>
      <c r="E13" s="91">
        <v>3</v>
      </c>
      <c r="F13" s="91">
        <v>4</v>
      </c>
      <c r="G13" s="91"/>
      <c r="H13" s="438" t="s">
        <v>73</v>
      </c>
      <c r="I13" s="438" t="s">
        <v>46</v>
      </c>
      <c r="J13" s="586" t="s">
        <v>273</v>
      </c>
      <c r="K13" s="649" t="s">
        <v>273</v>
      </c>
      <c r="L13" s="656" t="s">
        <v>430</v>
      </c>
      <c r="M13" s="588" t="b">
        <f>OR(AND(COUNTA(B14:B18)=3,COUNTA(C14:G18)=6),AND(COUNTA(B14:B18)=4,COUNTA(C14:G18)=12),AND(COUNTA(B14:B18)=5,COUNTA(C14:G18)=20))</f>
        <v>1</v>
      </c>
      <c r="Q13" s="139"/>
      <c r="AA13" s="88"/>
    </row>
    <row r="14" spans="1:27" s="186" customFormat="1" x14ac:dyDescent="0.2">
      <c r="A14" s="126">
        <v>1</v>
      </c>
      <c r="B14" s="582" t="s">
        <v>475</v>
      </c>
      <c r="C14" s="127"/>
      <c r="D14" s="93">
        <v>13</v>
      </c>
      <c r="E14" s="93">
        <v>13</v>
      </c>
      <c r="F14" s="93">
        <v>2</v>
      </c>
      <c r="G14" s="93"/>
      <c r="H14" s="576" t="str">
        <f>(IF(D14-C15&gt;0,1)+IF(E14-C16&gt;0,1)+IF(F14-C17&gt;0,1)+IF(G14-C18&gt;0,1))&amp;"-"&amp;(IF(D14-C15&lt;0,1)+IF(E14-C16&lt;0,1)+IF(F14-C17&lt;0,1)+IF(G14-C18&lt;0,1))</f>
        <v>2-1</v>
      </c>
      <c r="I14" s="93" t="str">
        <f>IF(AND(B14&lt;&gt;"",M$13=TRUE),A$13&amp;RANK(M14,M$14:M$18,0),"")</f>
        <v>B2</v>
      </c>
      <c r="J14" s="584">
        <f>VALUE(LEFT(H14,1))</f>
        <v>2</v>
      </c>
      <c r="K14" s="651">
        <f>IF(AND(J14=1,J15=1,D14&gt;C15),1)+IF(AND(J14=1,J16=1,E14&gt;C16),1)+IF(AND(J14=1,J17=1,F14&gt;C17),1)+IF(AND(J14=1,J18=1,G14&gt;C18),1)+IF(AND(J14=2,J15=2,D14&gt;C15),1)+IF(AND(J14=2,J16=2,E14&gt;C16),1)+IF(AND(J14=2,J17=2,F14&gt;C17),1)+IF(AND(J14=2,J18=2,G14&gt;C18),1)+IF(AND(J14=3,J15=3,D14&gt;C15),1)+IF(AND(J14=3,J16=3,E14&gt;C16),1)+IF(AND(J14=3,J17=3,F14&gt;C17),1)+IF(AND(J14=3,J18=3,G14&gt;C18),1)</f>
        <v>0</v>
      </c>
      <c r="L14" s="652"/>
      <c r="M14" s="668">
        <f>10000*J14+K14*100+L14</f>
        <v>20000</v>
      </c>
      <c r="Q14" s="139"/>
      <c r="R14" s="512">
        <f t="shared" si="6"/>
        <v>123.5</v>
      </c>
      <c r="S14" s="514" t="str">
        <f t="shared" si="0"/>
        <v>Illar Tõnurist</v>
      </c>
      <c r="T14" s="515">
        <f>IFERROR(INDEX(V!$O:$O,MATCH(S14,V!$J:$J,0)),"")</f>
        <v>41</v>
      </c>
      <c r="U14" s="514" t="str">
        <f t="shared" si="1"/>
        <v>Jaan Sepp</v>
      </c>
      <c r="V14" s="515">
        <f>IFERROR(INDEX(V!$O:$O,MATCH(U14,V!$J:$J,0)),"")</f>
        <v>82.5</v>
      </c>
      <c r="W14" s="516" t="str">
        <f t="shared" si="2"/>
        <v/>
      </c>
      <c r="X14" s="515" t="str">
        <f>IFERROR(INDEX(V!$O:$O,MATCH(W14,V!$J:$J,0)),"")</f>
        <v/>
      </c>
      <c r="Y14" s="516" t="str">
        <f t="shared" si="3"/>
        <v/>
      </c>
      <c r="Z14" s="515" t="str">
        <f>IFERROR(INDEX(V!$O:$O,MATCH(Y14,V!$J:$J,0)),"")</f>
        <v/>
      </c>
    </row>
    <row r="15" spans="1:27" s="186" customFormat="1" x14ac:dyDescent="0.2">
      <c r="A15" s="126">
        <v>2</v>
      </c>
      <c r="B15" s="581" t="s">
        <v>611</v>
      </c>
      <c r="C15" s="93">
        <v>11</v>
      </c>
      <c r="D15" s="127"/>
      <c r="E15" s="93">
        <v>13</v>
      </c>
      <c r="F15" s="93">
        <v>3</v>
      </c>
      <c r="G15" s="93"/>
      <c r="H15" s="576" t="str">
        <f>(IF(C15-D14&gt;0,1)+IF(E15-D16&gt;0,1)+IF(F15-D17&gt;0,1)+IF(G15-D18&gt;0,1))&amp;"-"&amp;(IF(C15-D14&lt;0,1)+IF(E15-D16&lt;0,1)+IF(F15-D17&lt;0,1)+IF(G15-D18&lt;0,1))</f>
        <v>1-2</v>
      </c>
      <c r="I15" s="93" t="str">
        <f t="shared" ref="I15:I18" si="8">IF(AND(B15&lt;&gt;"",M$13=TRUE),A$13&amp;RANK(M15,M$14:M$18,0),"")</f>
        <v>B3</v>
      </c>
      <c r="J15" s="584">
        <f t="shared" ref="J15:J18" si="9">VALUE(LEFT(H15,1))</f>
        <v>1</v>
      </c>
      <c r="K15" s="653">
        <f>IF(AND(J15=1,J14=1,C15&gt;D14),1)+IF(AND(J15=1,J16=1,E15&gt;D16),1)+IF(AND(J15=1,J17=1,F15&gt;D17),1)+IF(AND(J15=1,J18=1,G15&gt;D18),1)+IF(AND(J15=2,J14=2,C15&gt;D14),1)+IF(AND(J15=2,J16=2,E15&gt;D16),1)+IF(AND(J15=2,J17=2,F15&gt;D17),1)+IF(AND(J15=2,J18=2,G15&gt;D18),1)+IF(AND(J15=3,J14=3,C15&gt;D14),1)+IF(AND(J15=3,J16=3,E15&gt;D16),1)+IF(AND(J15=3,J17=3,F15&gt;D17),1)+IF(AND(J15=3,J18=3,G15&gt;D18),1)</f>
        <v>0</v>
      </c>
      <c r="L15" s="652">
        <f>IF(AND(J15=1,J14=1),C15-D14)+IF(AND(J15=1,J16=1),E15-D16)+IF(AND(J15=1,J17=1),F15-D17)+IF(AND(J15=1,J18=1),G15-D18)+IF(AND(J15=2,J14=2),C15-D14)+IF(AND(J15=2,J16=2),E15-D16)+IF(AND(J15=2,J17=2),F15-D17)+IF(AND(J15=2,J18=2),G15-D18)+IF(AND(J15=3,J14=3),C15-D14)+IF(AND(J15=3,J16=3),E15-D16)+IF(AND(J15=3,J17=3),F15-D17)+IF(AND(J15=3,J18=3),G15-D18)</f>
        <v>0</v>
      </c>
      <c r="M15" s="668">
        <f t="shared" ref="M15:M18" si="10">10000*J15+K15*100+L15</f>
        <v>10000</v>
      </c>
      <c r="Q15" s="139"/>
      <c r="R15" s="512">
        <f t="shared" si="6"/>
        <v>134</v>
      </c>
      <c r="S15" s="514" t="str">
        <f t="shared" si="0"/>
        <v>Kenneth Muusikus</v>
      </c>
      <c r="T15" s="515">
        <f>IFERROR(INDEX(V!$O:$O,MATCH(S15,V!$J:$J,0)),"")</f>
        <v>80</v>
      </c>
      <c r="U15" s="514" t="str">
        <f t="shared" si="1"/>
        <v>Peep Peenema</v>
      </c>
      <c r="V15" s="515">
        <f>IFERROR(INDEX(V!$O:$O,MATCH(U15,V!$J:$J,0)),"")</f>
        <v>54</v>
      </c>
      <c r="W15" s="516" t="str">
        <f t="shared" si="2"/>
        <v/>
      </c>
      <c r="X15" s="515" t="str">
        <f>IFERROR(INDEX(V!$O:$O,MATCH(W15,V!$J:$J,0)),"")</f>
        <v/>
      </c>
      <c r="Y15" s="516" t="str">
        <f t="shared" si="3"/>
        <v/>
      </c>
      <c r="Z15" s="515" t="str">
        <f>IFERROR(INDEX(V!$O:$O,MATCH(Y15,V!$J:$J,0)),"")</f>
        <v/>
      </c>
    </row>
    <row r="16" spans="1:27" s="186" customFormat="1" x14ac:dyDescent="0.2">
      <c r="A16" s="126">
        <v>3</v>
      </c>
      <c r="B16" s="582" t="s">
        <v>476</v>
      </c>
      <c r="C16" s="93">
        <v>4</v>
      </c>
      <c r="D16" s="548">
        <v>9</v>
      </c>
      <c r="E16" s="127"/>
      <c r="F16" s="93">
        <v>7</v>
      </c>
      <c r="G16" s="93"/>
      <c r="H16" s="576" t="str">
        <f>(IF(C16-E14&gt;0,1)+IF(D16-E15&gt;0,1)+IF(F16-E17&gt;0,1)+IF(G16-E18&gt;0,1))&amp;"-"&amp;(IF(C16-E14&lt;0,1)+IF(D16-E15&lt;0,1)+IF(F16-E17&lt;0,1)+IF(G16-E18&lt;0,1))</f>
        <v>0-3</v>
      </c>
      <c r="I16" s="93" t="str">
        <f t="shared" si="8"/>
        <v>B4</v>
      </c>
      <c r="J16" s="584">
        <f t="shared" si="9"/>
        <v>0</v>
      </c>
      <c r="K16" s="653">
        <f>IF(AND(J16=1,J14=1,C16&gt;E14),1)+IF(AND(J16=1,J15=1,D16&gt;E15),1)+IF(AND(J16=1,J17=1,F16&gt;E17),1)+IF(AND(J16=1,J18=1,G16&gt;E18),1)+IF(AND(J16=2,J14=2,C16&gt;E14),1)+IF(AND(J16=2,J15=2,D16&gt;E15),1)+IF(AND(J16=2,J17=2,F16&gt;E17),1)+IF(AND(J16=2,J18=2,G16&gt;E18),1)+IF(AND(J16=3,J14=3,C16&gt;E14),1)+IF(AND(J16=3,J15=3,D16&gt;E15),1)+IF(AND(J16=3,J17=3,F16&gt;E17),1)+IF(AND(J16=3,J18=3,G16&gt;E18),1)</f>
        <v>0</v>
      </c>
      <c r="L16" s="652">
        <f>IF(AND(J16=1,J14=1),C16-E14)+IF(AND(J16=1,J15=1),D16-E15)+IF(AND(J16=1,J17=1),F16-E17)+IF(AND(J16=1,J18=1),G16-E18)+IF(AND(J16=2,J14=2),C16-E14)+IF(AND(J16=2,J15=2),D16-E15)+IF(AND(J16=2,J17=2),F16-E17)+IF(AND(J16=2,J18=2),G16-E18)+IF(AND(J16=3,J14=3),C16-E14)+IF(AND(J16=3,J15=3),D16-E15)+IF(AND(J16=3,J17=3),F16-E17)+IF(AND(J16=3,J18=3),G16-E18)</f>
        <v>0</v>
      </c>
      <c r="M16" s="668">
        <f t="shared" si="10"/>
        <v>0</v>
      </c>
      <c r="Q16" s="139"/>
      <c r="R16" s="512">
        <f t="shared" si="6"/>
        <v>74</v>
      </c>
      <c r="S16" s="514" t="str">
        <f t="shared" si="0"/>
        <v>Klavdia Piik</v>
      </c>
      <c r="T16" s="515">
        <f>IFERROR(INDEX(V!$O:$O,MATCH(S16,V!$J:$J,0)),"")</f>
        <v>72</v>
      </c>
      <c r="U16" s="514" t="str">
        <f t="shared" si="1"/>
        <v>Melika Lehtla</v>
      </c>
      <c r="V16" s="515">
        <f>IFERROR(INDEX(V!$O:$O,MATCH(U16,V!$J:$J,0)),"")</f>
        <v>2</v>
      </c>
      <c r="W16" s="516" t="str">
        <f t="shared" si="2"/>
        <v/>
      </c>
      <c r="X16" s="515" t="str">
        <f>IFERROR(INDEX(V!$O:$O,MATCH(W16,V!$J:$J,0)),"")</f>
        <v/>
      </c>
      <c r="Y16" s="516" t="str">
        <f t="shared" si="3"/>
        <v/>
      </c>
      <c r="Z16" s="515" t="str">
        <f>IFERROR(INDEX(V!$O:$O,MATCH(Y16,V!$J:$J,0)),"")</f>
        <v/>
      </c>
    </row>
    <row r="17" spans="1:28" s="186" customFormat="1" x14ac:dyDescent="0.2">
      <c r="A17" s="126">
        <v>4</v>
      </c>
      <c r="B17" s="582" t="s">
        <v>477</v>
      </c>
      <c r="C17" s="93">
        <v>13</v>
      </c>
      <c r="D17" s="548">
        <v>13</v>
      </c>
      <c r="E17" s="93">
        <v>13</v>
      </c>
      <c r="F17" s="127"/>
      <c r="G17" s="128"/>
      <c r="H17" s="576" t="str">
        <f>(IF(C17-F14&gt;0,1)+IF(D17-F15&gt;0,1)+IF(E17-F16&gt;0,1)+IF(G17-F18&gt;0,1))&amp;"-"&amp;(IF(C17-F14&lt;0,1)+IF(D17-F15&lt;0,1)+IF(E17-F16&lt;0,1)+IF(G17-F18&lt;0,1))</f>
        <v>3-0</v>
      </c>
      <c r="I17" s="93" t="str">
        <f t="shared" si="8"/>
        <v>B1</v>
      </c>
      <c r="J17" s="584">
        <f t="shared" si="9"/>
        <v>3</v>
      </c>
      <c r="K17" s="653">
        <f>IF(AND(J17=1,J14=1,C17&gt;F14),1)+IF(AND(J17=1,J15=1,D17&gt;F15),1)+IF(AND(J17=1,J16=1,E17&gt;F16),1)+IF(AND(J17=1,J18=1,G17&gt;F18),1)+IF(AND(J17=2,J14=2,C17&gt;F14),1)+IF(AND(J17=2,J15=2,D17&gt;F15),1)+IF(AND(J17=2,J16=2,E17&gt;F16),1)+IF(AND(J17=2,J18=2,G17&gt;F18),1)+IF(AND(J17=3,J14=3,C17&gt;F14),1)+IF(AND(J17=3,J15=3,D17&gt;F15),1)+IF(AND(J17=3,J16=3,E17&gt;F16),1)+IF(AND(J17=3,J18=3,G17&gt;F18),1)</f>
        <v>0</v>
      </c>
      <c r="L17" s="652">
        <f>IF(AND(J17=1,J14=1),C17-F14)+IF(AND(J17=1,J15=1),D17-F15)+IF(AND(J17=1,J16=1),E17-F16)+IF(AND(J17=1,J18=1),G17-F18)+IF(AND(J17=2,J14=2),C17-F14)+IF(AND(J17=2,J15=2),D17-F15)+IF(AND(J17=2,J16=2),E17-F16)+IF(AND(J17=2,J18=2),G17-F18)+IF(AND(J17=3,J14=3),C17-F14)+IF(AND(J17=3,J15=3),D17-F15)+IF(AND(J17=3,J16=3),E17-F16)+IF(AND(J17=3,J18=3),G17-F18)</f>
        <v>0</v>
      </c>
      <c r="M17" s="668">
        <f t="shared" si="10"/>
        <v>30000</v>
      </c>
      <c r="Q17" s="139"/>
      <c r="R17" s="512">
        <f t="shared" si="6"/>
        <v>129</v>
      </c>
      <c r="S17" s="514" t="str">
        <f t="shared" si="0"/>
        <v>Aigi Orro</v>
      </c>
      <c r="T17" s="515">
        <f>IFERROR(INDEX(V!$O:$O,MATCH(S17,V!$J:$J,0)),"")</f>
        <v>43</v>
      </c>
      <c r="U17" s="514" t="str">
        <f t="shared" si="1"/>
        <v>Svetlana Veski</v>
      </c>
      <c r="V17" s="515">
        <f>IFERROR(INDEX(V!$O:$O,MATCH(U17,V!$J:$J,0)),"")</f>
        <v>86</v>
      </c>
      <c r="W17" s="516" t="str">
        <f t="shared" si="2"/>
        <v/>
      </c>
      <c r="X17" s="515" t="str">
        <f>IFERROR(INDEX(V!$O:$O,MATCH(W17,V!$J:$J,0)),"")</f>
        <v/>
      </c>
      <c r="Y17" s="516" t="str">
        <f t="shared" si="3"/>
        <v/>
      </c>
      <c r="Z17" s="515" t="str">
        <f>IFERROR(INDEX(V!$O:$O,MATCH(Y17,V!$J:$J,0)),"")</f>
        <v/>
      </c>
    </row>
    <row r="18" spans="1:28" s="186" customFormat="1" hidden="1" x14ac:dyDescent="0.2">
      <c r="A18" s="126">
        <v>5</v>
      </c>
      <c r="B18" s="582"/>
      <c r="C18" s="93"/>
      <c r="D18" s="93"/>
      <c r="E18" s="93"/>
      <c r="F18" s="93"/>
      <c r="G18" s="127"/>
      <c r="H18" s="576" t="str">
        <f>(IF(C18-G14&gt;0,1)+IF(D18-G15&gt;0,1)+IF(E18-G16&gt;0,1)+IF(F18-G17&gt;0,1))&amp;"-"&amp;(IF(C18-G14&lt;0,1)+IF(D18-G15&lt;0,1)+IF(E18-G16&lt;0,1)+IF(F18-G17&lt;0,1))</f>
        <v>0-0</v>
      </c>
      <c r="I18" s="93" t="str">
        <f t="shared" si="8"/>
        <v/>
      </c>
      <c r="J18" s="584">
        <f t="shared" si="9"/>
        <v>0</v>
      </c>
      <c r="K18" s="653">
        <f>IF(AND(J18=1,J14=1,C18&gt;G14),1)+IF(AND(J18=1,J15=1,D18&gt;G15),1)+IF(AND(J18=1,J16=1,E18&gt;G16),1)+IF(AND(J18=1,J17=1,F18&gt;G17),1)+IF(AND(J18=2,J14=2,C18&gt;G14),1)+IF(AND(J18=2,J15=2,D18&gt;G15),1)+IF(AND(J18=2,J16=2,E18&gt;G16),1)+IF(AND(J18=2,J17=2,F18&gt;G17),1)+IF(AND(J18=3,J14=3,C18&gt;G14),1)+IF(AND(J18=3,J15=3,D18&gt;G15),1)+IF(AND(J18=3,J16=3,E18&gt;G16),1)+IF(AND(J18=3,J17=3,F18&gt;G17),1)</f>
        <v>0</v>
      </c>
      <c r="L18" s="652">
        <f>IF(AND(J18=1,J14=1),C18-G14)+IF(AND(J18=1,J15=1),D18-G15)+IF(AND(J18=1,J16=1),E18-G16)+IF(AND(J18=1,J17=1),F18-G17)+IF(AND(J18=2,J14=2),C18-G14)+IF(AND(J18=2,J15=2),D18-G15)+IF(AND(J18=2,J16=2),E18-G16)+IF(AND(J18=2,J17=2),F18-G17)+IF(AND(J18=3,J14=3),C18-G14)+IF(AND(J18=3,J15=3),D18-G15)+IF(AND(J18=3,J16=3),E18-G16)+IF(AND(J18=3,J17=3),F18-G17)</f>
        <v>0</v>
      </c>
      <c r="M18" s="668">
        <f t="shared" si="10"/>
        <v>0</v>
      </c>
      <c r="Q18" s="139"/>
      <c r="R18" s="512">
        <f t="shared" si="6"/>
        <v>0</v>
      </c>
      <c r="S18" s="514" t="str">
        <f t="shared" si="0"/>
        <v/>
      </c>
      <c r="T18" s="515" t="str">
        <f>IFERROR(INDEX(V!$O:$O,MATCH(S18,V!$J:$J,0)),"")</f>
        <v/>
      </c>
      <c r="U18" s="514" t="str">
        <f t="shared" si="1"/>
        <v/>
      </c>
      <c r="V18" s="515" t="str">
        <f>IFERROR(INDEX(V!$O:$O,MATCH(U18,V!$J:$J,0)),"")</f>
        <v/>
      </c>
      <c r="W18" s="516" t="str">
        <f t="shared" si="2"/>
        <v/>
      </c>
      <c r="X18" s="515" t="str">
        <f>IFERROR(INDEX(V!$O:$O,MATCH(W18,V!$J:$J,0)),"")</f>
        <v/>
      </c>
      <c r="Y18" s="516" t="str">
        <f t="shared" si="3"/>
        <v/>
      </c>
      <c r="Z18" s="515" t="str">
        <f>IFERROR(INDEX(V!$O:$O,MATCH(Y18,V!$J:$J,0)),"")</f>
        <v/>
      </c>
    </row>
    <row r="19" spans="1:28" s="188" customFormat="1" x14ac:dyDescent="0.2">
      <c r="A19" s="121"/>
      <c r="B19" s="677"/>
      <c r="C19" s="96"/>
      <c r="D19" s="312"/>
      <c r="E19" s="96"/>
      <c r="F19" s="97"/>
      <c r="H19" s="402"/>
      <c r="I19" s="580"/>
      <c r="J19" s="585"/>
      <c r="K19" s="657"/>
      <c r="L19" s="655"/>
      <c r="M19" s="585"/>
      <c r="N19" s="186"/>
      <c r="O19" s="186"/>
      <c r="P19" s="186"/>
      <c r="Q19" s="139"/>
      <c r="R19" s="186"/>
      <c r="S19" s="186"/>
      <c r="T19" s="186"/>
      <c r="U19" s="186"/>
      <c r="V19" s="186"/>
      <c r="W19" s="186"/>
      <c r="X19" s="186"/>
      <c r="Y19" s="186"/>
      <c r="Z19" s="186"/>
      <c r="AA19" s="88"/>
    </row>
    <row r="20" spans="1:28" s="186" customFormat="1" x14ac:dyDescent="0.2">
      <c r="A20" s="126" t="s">
        <v>166</v>
      </c>
      <c r="B20" s="438"/>
      <c r="C20" s="91">
        <v>1</v>
      </c>
      <c r="D20" s="91">
        <v>2</v>
      </c>
      <c r="E20" s="91">
        <v>3</v>
      </c>
      <c r="F20" s="91">
        <v>4</v>
      </c>
      <c r="G20" s="91"/>
      <c r="H20" s="438" t="s">
        <v>73</v>
      </c>
      <c r="I20" s="438" t="s">
        <v>46</v>
      </c>
      <c r="J20" s="586" t="s">
        <v>273</v>
      </c>
      <c r="K20" s="649" t="s">
        <v>273</v>
      </c>
      <c r="L20" s="656" t="s">
        <v>430</v>
      </c>
      <c r="M20" s="588" t="b">
        <f>OR(AND(COUNTA(B21:B25)=3,COUNTA(C21:G25)=6),AND(COUNTA(B21:B25)=4,COUNTA(C21:G25)=12),AND(COUNTA(B21:B25)=5,COUNTA(C21:G25)=20))</f>
        <v>1</v>
      </c>
      <c r="Q20" s="139"/>
      <c r="AA20" s="88"/>
    </row>
    <row r="21" spans="1:28" s="186" customFormat="1" x14ac:dyDescent="0.2">
      <c r="A21" s="126">
        <v>1</v>
      </c>
      <c r="B21" s="582" t="s">
        <v>478</v>
      </c>
      <c r="C21" s="127"/>
      <c r="D21" s="316">
        <v>11</v>
      </c>
      <c r="E21" s="316">
        <v>13</v>
      </c>
      <c r="F21" s="93">
        <v>13</v>
      </c>
      <c r="G21" s="93"/>
      <c r="H21" s="576" t="str">
        <f>(IF(D21-C22&gt;0,1)+IF(E21-C23&gt;0,1)+IF(F21-C24&gt;0,1)+IF(G21-C25&gt;0,1))&amp;"-"&amp;(IF(D21-C22&lt;0,1)+IF(E21-C23&lt;0,1)+IF(F21-C24&lt;0,1)+IF(G21-C25&lt;0,1))</f>
        <v>2-1</v>
      </c>
      <c r="I21" s="93" t="str">
        <f>IF(AND(B21&lt;&gt;"",M$20=TRUE),A$20&amp;RANK(M21,M$21:M$25,0),"")</f>
        <v>C1</v>
      </c>
      <c r="J21" s="584">
        <f>VALUE(LEFT(H21,1))</f>
        <v>2</v>
      </c>
      <c r="K21" s="651">
        <f>IF(AND(J21=1,J22=1,D21&gt;C22),1)+IF(AND(J21=1,J23=1,E21&gt;C23),1)+IF(AND(J21=1,J24=1,F21&gt;C24),1)+IF(AND(J21=1,J25=1,G21&gt;C25),1)+IF(AND(J21=2,J22=2,D21&gt;C22),1)+IF(AND(J21=2,J23=2,E21&gt;C23),1)+IF(AND(J21=2,J24=2,F21&gt;C24),1)+IF(AND(J21=2,J25=2,G21&gt;C25),1)+IF(AND(J21=3,J22=3,D21&gt;C22),1)+IF(AND(J21=3,J23=3,E21&gt;C23),1)+IF(AND(J21=3,J24=3,F21&gt;C24),1)+IF(AND(J21=3,J25=3,G21&gt;C25),1)</f>
        <v>1</v>
      </c>
      <c r="L21" s="652">
        <f>IF(AND(J21=1,J22=1),D21-C22)+IF(AND(J21=1,J23=1),E21-C23)+IF(AND(J21=1,J24=1),F21-C24)+IF(AND(J21=1,J25=1),G21-C25)+IF(AND(J21=2,J22=2),D21-C22)+IF(AND(J21=2,J23=2),E21-C23)+IF(AND(J21=2,J24=2),F21-C24)+IF(AND(J21=2,J25=2),G21-C25)+IF(AND(J21=3,J22=3),D21-C22)+IF(AND(J21=3,J23=3),E21-C23)+IF(AND(J21=3,J24=3),F21-C24)+IF(AND(J21=3,J25=3),G21-C25)</f>
        <v>5</v>
      </c>
      <c r="M21" s="668">
        <f>10000*J21+K21*100+L21</f>
        <v>20105</v>
      </c>
      <c r="Q21" s="139"/>
      <c r="R21" s="512">
        <f t="shared" ref="R21:R25" si="11">SUM(T21:Z21)</f>
        <v>147</v>
      </c>
      <c r="S21" s="514" t="str">
        <f t="shared" si="0"/>
        <v>Einar Juhkam</v>
      </c>
      <c r="T21" s="515">
        <f>IFERROR(INDEX(V!$O:$O,MATCH(S21,V!$J:$J,0)),"")</f>
        <v>53</v>
      </c>
      <c r="U21" s="514" t="str">
        <f t="shared" si="1"/>
        <v>Johannes Neiland</v>
      </c>
      <c r="V21" s="515">
        <f>IFERROR(INDEX(V!$O:$O,MATCH(U21,V!$J:$J,0)),"")</f>
        <v>94</v>
      </c>
      <c r="W21" s="516" t="str">
        <f t="shared" si="2"/>
        <v/>
      </c>
      <c r="X21" s="515" t="str">
        <f>IFERROR(INDEX(V!$O:$O,MATCH(W21,V!$J:$J,0)),"")</f>
        <v/>
      </c>
      <c r="Y21" s="516" t="str">
        <f t="shared" si="3"/>
        <v/>
      </c>
      <c r="Z21" s="515" t="str">
        <f>IFERROR(INDEX(V!$O:$O,MATCH(Y21,V!$J:$J,0)),"")</f>
        <v/>
      </c>
    </row>
    <row r="22" spans="1:28" s="186" customFormat="1" x14ac:dyDescent="0.2">
      <c r="A22" s="126">
        <v>2</v>
      </c>
      <c r="B22" s="581" t="s">
        <v>418</v>
      </c>
      <c r="C22" s="316">
        <v>13</v>
      </c>
      <c r="D22" s="127"/>
      <c r="E22" s="316">
        <v>11</v>
      </c>
      <c r="F22" s="93">
        <v>13</v>
      </c>
      <c r="G22" s="93"/>
      <c r="H22" s="576" t="str">
        <f>(IF(C22-D21&gt;0,1)+IF(E22-D23&gt;0,1)+IF(F22-D24&gt;0,1)+IF(G22-D25&gt;0,1))&amp;"-"&amp;(IF(C22-D21&lt;0,1)+IF(E22-D23&lt;0,1)+IF(F22-D24&lt;0,1)+IF(G22-D25&lt;0,1))</f>
        <v>2-1</v>
      </c>
      <c r="I22" s="93" t="str">
        <f>IF(AND(B22&lt;&gt;"",M$20=TRUE),A$20&amp;RANK(M22,M$21:M$25,0),"")</f>
        <v>C2</v>
      </c>
      <c r="J22" s="584">
        <f t="shared" ref="J22:J25" si="12">VALUE(LEFT(H22,1))</f>
        <v>2</v>
      </c>
      <c r="K22" s="653">
        <f>IF(AND(J22=1,J21=1,C22&gt;D21),1)+IF(AND(J22=1,J23=1,E22&gt;D23),1)+IF(AND(J22=1,J24=1,F22&gt;D24),1)+IF(AND(J22=1,J25=1,G22&gt;D25),1)+IF(AND(J22=2,J21=2,C22&gt;D21),1)+IF(AND(J22=2,J23=2,E22&gt;D23),1)+IF(AND(J22=2,J24=2,F22&gt;D24),1)+IF(AND(J22=2,J25=2,G22&gt;D25),1)+IF(AND(J22=3,J21=3,C22&gt;D21),1)+IF(AND(J22=3,J23=3,E22&gt;D23),1)+IF(AND(J22=3,J24=3,F22&gt;D24),1)+IF(AND(J22=3,J25=3,G22&gt;D25),1)</f>
        <v>1</v>
      </c>
      <c r="L22" s="652">
        <f>IF(AND(J22=1,J21=1),C22-D21)+IF(AND(J22=1,J23=1),E22-D23)+IF(AND(J22=1,J24=1),F22-D24)+IF(AND(J22=1,J25=1),G22-D25)+IF(AND(J22=2,J21=2),C22-D21)+IF(AND(J22=2,J23=2),E22-D23)+IF(AND(J22=2,J24=2),F22-D24)+IF(AND(J22=2,J25=2),G22-D25)+IF(AND(J22=3,J21=3),C22-D21)+IF(AND(J22=3,J23=3),E22-D23)+IF(AND(J22=3,J24=3),F22-D24)+IF(AND(J22=3,J25=3),G22-D25)</f>
        <v>0</v>
      </c>
      <c r="M22" s="668">
        <f t="shared" ref="M22:M25" si="13">10000*J22+K22*100+L22</f>
        <v>20100</v>
      </c>
      <c r="Q22" s="139"/>
      <c r="R22" s="512">
        <f t="shared" si="11"/>
        <v>99</v>
      </c>
      <c r="S22" s="514" t="str">
        <f t="shared" si="0"/>
        <v>Henri Mitt</v>
      </c>
      <c r="T22" s="515">
        <f>IFERROR(INDEX(V!$O:$O,MATCH(S22,V!$J:$J,0)),"")</f>
        <v>55</v>
      </c>
      <c r="U22" s="514" t="str">
        <f t="shared" si="1"/>
        <v>Taavi Press</v>
      </c>
      <c r="V22" s="515">
        <f>IFERROR(INDEX(V!$O:$O,MATCH(U22,V!$J:$J,0)),"")</f>
        <v>44</v>
      </c>
      <c r="W22" s="516" t="str">
        <f t="shared" si="2"/>
        <v/>
      </c>
      <c r="X22" s="515" t="str">
        <f>IFERROR(INDEX(V!$O:$O,MATCH(W22,V!$J:$J,0)),"")</f>
        <v/>
      </c>
      <c r="Y22" s="516" t="str">
        <f t="shared" si="3"/>
        <v/>
      </c>
      <c r="Z22" s="515" t="str">
        <f>IFERROR(INDEX(V!$O:$O,MATCH(Y22,V!$J:$J,0)),"")</f>
        <v/>
      </c>
    </row>
    <row r="23" spans="1:28" s="186" customFormat="1" x14ac:dyDescent="0.2">
      <c r="A23" s="126">
        <v>3</v>
      </c>
      <c r="B23" s="581" t="s">
        <v>117</v>
      </c>
      <c r="C23" s="316">
        <v>6</v>
      </c>
      <c r="D23" s="403">
        <v>13</v>
      </c>
      <c r="E23" s="127"/>
      <c r="F23" s="93">
        <v>13</v>
      </c>
      <c r="G23" s="93"/>
      <c r="H23" s="576" t="str">
        <f>(IF(C23-E21&gt;0,1)+IF(D23-E22&gt;0,1)+IF(F23-E24&gt;0,1)+IF(G23-E25&gt;0,1))&amp;"-"&amp;(IF(C23-E21&lt;0,1)+IF(D23-E22&lt;0,1)+IF(F23-E24&lt;0,1)+IF(G23-E25&lt;0,1))</f>
        <v>2-1</v>
      </c>
      <c r="I23" s="93" t="str">
        <f>IF(AND(B23&lt;&gt;"",M$20=TRUE),A$20&amp;RANK(M23,M$21:M$25,0),"")</f>
        <v>C3</v>
      </c>
      <c r="J23" s="584">
        <f t="shared" si="12"/>
        <v>2</v>
      </c>
      <c r="K23" s="653">
        <f>IF(AND(J23=1,J21=1,C23&gt;E21),1)+IF(AND(J23=1,J22=1,D23&gt;E22),1)+IF(AND(J23=1,J24=1,F23&gt;E24),1)+IF(AND(J23=1,J25=1,G23&gt;E25),1)+IF(AND(J23=2,J21=2,C23&gt;E21),1)+IF(AND(J23=2,J22=2,D23&gt;E22),1)+IF(AND(J23=2,J24=2,F23&gt;E24),1)+IF(AND(J23=2,J25=2,G23&gt;E25),1)+IF(AND(J23=3,J21=3,C23&gt;E21),1)+IF(AND(J23=3,J22=3,D23&gt;E22),1)+IF(AND(J23=3,J24=3,F23&gt;E24),1)+IF(AND(J23=3,J25=3,G23&gt;E25),1)</f>
        <v>1</v>
      </c>
      <c r="L23" s="652">
        <f>IF(AND(J23=1,J21=1),C23-E21)+IF(AND(J23=1,J22=1),D23-E22)+IF(AND(J23=1,J24=1),F23-E24)+IF(AND(J23=1,J25=1),G23-E25)+IF(AND(J23=2,J21=2),C23-E21)+IF(AND(J23=2,J22=2),D23-E22)+IF(AND(J23=2,J24=2),F23-E24)+IF(AND(J23=2,J25=2),G23-E25)+IF(AND(J23=3,J21=3),C23-E21)+IF(AND(J23=3,J22=3),D23-E22)+IF(AND(J23=3,J24=3),F23-E24)+IF(AND(J23=3,J25=3),G23-E25)</f>
        <v>-5</v>
      </c>
      <c r="M23" s="668">
        <f t="shared" si="13"/>
        <v>20095</v>
      </c>
      <c r="Q23" s="139"/>
      <c r="R23" s="512">
        <f t="shared" si="11"/>
        <v>102</v>
      </c>
      <c r="S23" s="514" t="str">
        <f t="shared" si="0"/>
        <v>Ljudmila Varendi</v>
      </c>
      <c r="T23" s="515">
        <f>IFERROR(INDEX(V!$O:$O,MATCH(S23,V!$J:$J,0)),"")</f>
        <v>51</v>
      </c>
      <c r="U23" s="514" t="str">
        <f t="shared" si="1"/>
        <v>Viktor Švarõgin</v>
      </c>
      <c r="V23" s="515">
        <f>IFERROR(INDEX(V!$O:$O,MATCH(U23,V!$J:$J,0)),"")</f>
        <v>51</v>
      </c>
      <c r="W23" s="516" t="str">
        <f t="shared" si="2"/>
        <v/>
      </c>
      <c r="X23" s="515" t="str">
        <f>IFERROR(INDEX(V!$O:$O,MATCH(W23,V!$J:$J,0)),"")</f>
        <v/>
      </c>
      <c r="Y23" s="516" t="str">
        <f t="shared" si="3"/>
        <v/>
      </c>
      <c r="Z23" s="515" t="str">
        <f>IFERROR(INDEX(V!$O:$O,MATCH(Y23,V!$J:$J,0)),"")</f>
        <v/>
      </c>
    </row>
    <row r="24" spans="1:28" s="186" customFormat="1" x14ac:dyDescent="0.2">
      <c r="A24" s="126">
        <v>4</v>
      </c>
      <c r="B24" s="581" t="s">
        <v>130</v>
      </c>
      <c r="C24" s="93">
        <v>2</v>
      </c>
      <c r="D24" s="548">
        <v>2</v>
      </c>
      <c r="E24" s="93">
        <v>2</v>
      </c>
      <c r="F24" s="127"/>
      <c r="G24" s="128"/>
      <c r="H24" s="576" t="str">
        <f>(IF(C24-F21&gt;0,1)+IF(D24-F22&gt;0,1)+IF(E24-F23&gt;0,1)+IF(G24-F25&gt;0,1))&amp;"-"&amp;(IF(C24-F21&lt;0,1)+IF(D24-F22&lt;0,1)+IF(E24-F23&lt;0,1)+IF(G24-F25&lt;0,1))</f>
        <v>0-3</v>
      </c>
      <c r="I24" s="93" t="str">
        <f>IF(AND(B24&lt;&gt;"",M$20=TRUE),A$20&amp;RANK(M24,M$21:M$25,0),"")</f>
        <v>C4</v>
      </c>
      <c r="J24" s="584">
        <f t="shared" si="12"/>
        <v>0</v>
      </c>
      <c r="K24" s="653">
        <f>IF(AND(J24=1,J21=1,C24&gt;F21),1)+IF(AND(J24=1,J22=1,D24&gt;F22),1)+IF(AND(J24=1,J23=1,E24&gt;F23),1)+IF(AND(J24=1,J25=1,G24&gt;F25),1)+IF(AND(J24=2,J21=2,C24&gt;F21),1)+IF(AND(J24=2,J22=2,D24&gt;F22),1)+IF(AND(J24=2,J23=2,E24&gt;F23),1)+IF(AND(J24=2,J25=2,G24&gt;F25),1)+IF(AND(J24=3,J21=3,C24&gt;F21),1)+IF(AND(J24=3,J22=3,D24&gt;F22),1)+IF(AND(J24=3,J23=3,E24&gt;F23),1)+IF(AND(J24=3,J25=3,G24&gt;F25),1)</f>
        <v>0</v>
      </c>
      <c r="L24" s="652">
        <f>IF(AND(J24=1,J21=1),C24-F21)+IF(AND(J24=1,J22=1),D24-F22)+IF(AND(J24=1,J23=1),E24-F23)+IF(AND(J24=1,J25=1),G24-F25)+IF(AND(J24=2,J21=2),C24-F21)+IF(AND(J24=2,J22=2),D24-F22)+IF(AND(J24=2,J23=2),E24-F23)+IF(AND(J24=2,J25=2),G24-F25)+IF(AND(J24=3,J21=3),C24-F21)+IF(AND(J24=3,J22=3),D24-F22)+IF(AND(J24=3,J23=3),E24-F23)+IF(AND(J24=3,J25=3),G24-F25)</f>
        <v>0</v>
      </c>
      <c r="M24" s="668">
        <f t="shared" si="13"/>
        <v>0</v>
      </c>
      <c r="Q24" s="139"/>
      <c r="R24" s="512">
        <f t="shared" si="11"/>
        <v>73</v>
      </c>
      <c r="S24" s="514" t="str">
        <f t="shared" si="0"/>
        <v>Enn Tokman</v>
      </c>
      <c r="T24" s="515">
        <f>IFERROR(INDEX(V!$O:$O,MATCH(S24,V!$J:$J,0)),"")</f>
        <v>41</v>
      </c>
      <c r="U24" s="514" t="str">
        <f t="shared" si="1"/>
        <v>Tarmo Bombe</v>
      </c>
      <c r="V24" s="515">
        <f>IFERROR(INDEX(V!$O:$O,MATCH(U24,V!$J:$J,0)),"")</f>
        <v>32</v>
      </c>
      <c r="W24" s="516" t="str">
        <f t="shared" si="2"/>
        <v/>
      </c>
      <c r="X24" s="515" t="str">
        <f>IFERROR(INDEX(V!$O:$O,MATCH(W24,V!$J:$J,0)),"")</f>
        <v/>
      </c>
      <c r="Y24" s="516" t="str">
        <f t="shared" si="3"/>
        <v/>
      </c>
      <c r="Z24" s="515" t="str">
        <f>IFERROR(INDEX(V!$O:$O,MATCH(Y24,V!$J:$J,0)),"")</f>
        <v/>
      </c>
    </row>
    <row r="25" spans="1:28" s="186" customFormat="1" hidden="1" x14ac:dyDescent="0.2">
      <c r="A25" s="126">
        <v>5</v>
      </c>
      <c r="B25" s="582"/>
      <c r="C25" s="93"/>
      <c r="D25" s="93"/>
      <c r="E25" s="93"/>
      <c r="F25" s="93"/>
      <c r="G25" s="93"/>
      <c r="H25" s="576" t="str">
        <f>(IF(C25-G21&gt;0,1)+IF(D25-G22&gt;0,1)+IF(E25-G23&gt;0,1)+IF(F25-G24&gt;0,1))&amp;"-"&amp;(IF(C25-G21&lt;0,1)+IF(D25-G22&lt;0,1)+IF(E25-G23&lt;0,1)+IF(F25-G24&lt;0,1))</f>
        <v>0-0</v>
      </c>
      <c r="I25" s="93" t="str">
        <f>IF(AND(B25&lt;&gt;"",M$20=TRUE),A$20&amp;RANK(M25,M$21:M$25,0),"")</f>
        <v/>
      </c>
      <c r="J25" s="584">
        <f t="shared" si="12"/>
        <v>0</v>
      </c>
      <c r="K25" s="653">
        <f>IF(AND(J25=1,J21=1,C25&gt;G21),1)+IF(AND(J25=1,J22=1,D25&gt;G22),1)+IF(AND(J25=1,J23=1,E25&gt;G23),1)+IF(AND(J25=1,J24=1,F25&gt;G24),1)+IF(AND(J25=2,J21=2,C25&gt;G21),1)+IF(AND(J25=2,J22=2,D25&gt;G22),1)+IF(AND(J25=2,J23=2,E25&gt;G23),1)+IF(AND(J25=2,J24=2,F25&gt;G24),1)+IF(AND(J25=3,J21=3,C25&gt;G21),1)+IF(AND(J25=3,J22=3,D25&gt;G22),1)+IF(AND(J25=3,J23=3,E25&gt;G23),1)+IF(AND(J25=3,J24=3,F25&gt;G24),1)</f>
        <v>0</v>
      </c>
      <c r="L25" s="652">
        <f>IF(AND(J25=1,J21=1),C25-G21)+IF(AND(J25=1,J22=1),D25-G22)+IF(AND(J25=1,J23=1),E25-G23)+IF(AND(J25=1,J24=1),F25-G24)+IF(AND(J25=2,J21=2),C25-G21)+IF(AND(J25=2,J22=2),D25-G22)+IF(AND(J25=2,J23=2),E25-G23)+IF(AND(J25=2,J24=2),F25-G24)+IF(AND(J25=3,J21=3),C25-G21)+IF(AND(J25=3,J22=3),D25-G22)+IF(AND(J25=3,J23=3),E25-G23)+IF(AND(J25=3,J24=3),F25-G24)</f>
        <v>0</v>
      </c>
      <c r="M25" s="668">
        <f t="shared" si="13"/>
        <v>0</v>
      </c>
      <c r="Q25" s="139"/>
      <c r="R25" s="512">
        <f t="shared" si="11"/>
        <v>0</v>
      </c>
      <c r="S25" s="514" t="str">
        <f t="shared" si="0"/>
        <v/>
      </c>
      <c r="T25" s="515" t="str">
        <f>IFERROR(INDEX(V!$O:$O,MATCH(S25,V!$J:$J,0)),"")</f>
        <v/>
      </c>
      <c r="U25" s="514" t="str">
        <f t="shared" si="1"/>
        <v/>
      </c>
      <c r="V25" s="515" t="str">
        <f>IFERROR(INDEX(V!$O:$O,MATCH(U25,V!$J:$J,0)),"")</f>
        <v/>
      </c>
      <c r="W25" s="516" t="str">
        <f t="shared" si="2"/>
        <v/>
      </c>
      <c r="X25" s="515" t="str">
        <f>IFERROR(INDEX(V!$O:$O,MATCH(W25,V!$J:$J,0)),"")</f>
        <v/>
      </c>
      <c r="Y25" s="516" t="str">
        <f t="shared" si="3"/>
        <v/>
      </c>
      <c r="Z25" s="515" t="str">
        <f>IFERROR(INDEX(V!$O:$O,MATCH(Y25,V!$J:$J,0)),"")</f>
        <v/>
      </c>
    </row>
    <row r="26" spans="1:28" s="186" customFormat="1" x14ac:dyDescent="0.2">
      <c r="A26" s="87"/>
      <c r="B26" s="407"/>
      <c r="C26" s="309"/>
      <c r="D26" s="309"/>
      <c r="E26" s="309"/>
      <c r="H26" s="589"/>
      <c r="I26" s="590"/>
      <c r="J26" s="591"/>
      <c r="K26" s="654"/>
      <c r="L26" s="658"/>
      <c r="M26" s="591"/>
      <c r="Q26" s="139"/>
      <c r="AA26" s="88"/>
    </row>
    <row r="27" spans="1:28" s="188" customFormat="1" x14ac:dyDescent="0.2">
      <c r="B27" s="213" t="s">
        <v>98</v>
      </c>
      <c r="C27" s="98" t="s">
        <v>99</v>
      </c>
      <c r="D27" s="98" t="s">
        <v>100</v>
      </c>
      <c r="N27" s="186"/>
      <c r="O27" s="186"/>
      <c r="P27" s="186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</row>
    <row r="28" spans="1:28" s="188" customFormat="1" x14ac:dyDescent="0.2">
      <c r="B28" s="213" t="s">
        <v>101</v>
      </c>
      <c r="C28" s="98" t="s">
        <v>102</v>
      </c>
      <c r="D28" s="98" t="s">
        <v>103</v>
      </c>
      <c r="N28" s="186"/>
      <c r="O28" s="186"/>
      <c r="P28" s="186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</row>
    <row r="29" spans="1:28" s="188" customFormat="1" x14ac:dyDescent="0.2">
      <c r="B29" s="213" t="s">
        <v>104</v>
      </c>
      <c r="C29" s="98" t="s">
        <v>92</v>
      </c>
      <c r="D29" s="98" t="s">
        <v>105</v>
      </c>
      <c r="N29" s="186"/>
      <c r="O29" s="186"/>
      <c r="P29" s="186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</row>
    <row r="30" spans="1:28" s="188" customFormat="1" hidden="1" x14ac:dyDescent="0.2">
      <c r="N30" s="186"/>
      <c r="O30" s="186"/>
      <c r="P30" s="186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</row>
    <row r="31" spans="1:28" s="188" customFormat="1" hidden="1" x14ac:dyDescent="0.2">
      <c r="N31" s="186"/>
      <c r="O31" s="186"/>
      <c r="P31" s="186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</row>
    <row r="32" spans="1:28" s="188" customFormat="1" hidden="1" x14ac:dyDescent="0.2">
      <c r="N32" s="186"/>
      <c r="O32" s="186"/>
      <c r="P32" s="186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</row>
    <row r="33" spans="1:28" s="188" customFormat="1" hidden="1" x14ac:dyDescent="0.2">
      <c r="A33" s="121"/>
      <c r="B33" s="449"/>
      <c r="C33" s="96"/>
      <c r="D33" s="501"/>
      <c r="F33" s="94"/>
      <c r="H33" s="592"/>
      <c r="I33" s="593" t="str">
        <f t="shared" ref="I33" si="14">IF(AND(B33&lt;&gt;"",M$27=TRUE),A$27&amp;RANK(M33,M$28:M$32,0),"")</f>
        <v/>
      </c>
      <c r="J33" s="588"/>
      <c r="K33" s="590"/>
      <c r="L33" s="660"/>
      <c r="M33" s="588"/>
      <c r="N33" s="186"/>
      <c r="O33" s="186"/>
      <c r="P33" s="186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</row>
    <row r="34" spans="1:28" s="188" customFormat="1" hidden="1" x14ac:dyDescent="0.2">
      <c r="O34" s="186"/>
      <c r="P34" s="186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</row>
    <row r="35" spans="1:28" s="188" customFormat="1" hidden="1" x14ac:dyDescent="0.2">
      <c r="O35" s="186"/>
      <c r="P35" s="186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</row>
    <row r="36" spans="1:28" s="188" customFormat="1" hidden="1" x14ac:dyDescent="0.2">
      <c r="O36" s="186"/>
      <c r="P36" s="186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</row>
    <row r="37" spans="1:28" s="188" customFormat="1" hidden="1" x14ac:dyDescent="0.2">
      <c r="O37" s="186"/>
      <c r="P37" s="186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</row>
    <row r="38" spans="1:28" s="188" customFormat="1" hidden="1" x14ac:dyDescent="0.2">
      <c r="O38" s="186"/>
      <c r="P38" s="186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</row>
    <row r="39" spans="1:28" s="188" customFormat="1" hidden="1" x14ac:dyDescent="0.2">
      <c r="O39" s="186"/>
      <c r="P39" s="186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</row>
    <row r="40" spans="1:28" s="188" customFormat="1" hidden="1" x14ac:dyDescent="0.2">
      <c r="A40" s="121"/>
      <c r="B40" s="217"/>
      <c r="C40" s="97"/>
      <c r="D40" s="97"/>
      <c r="E40" s="97"/>
      <c r="F40" s="97"/>
      <c r="G40" s="97"/>
      <c r="H40" s="639"/>
      <c r="I40" s="97"/>
      <c r="J40" s="584"/>
      <c r="K40" s="663"/>
      <c r="L40" s="584"/>
      <c r="M40" s="584"/>
      <c r="N40" s="569"/>
      <c r="O40" s="310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</row>
    <row r="41" spans="1:28" s="188" customFormat="1" hidden="1" x14ac:dyDescent="0.2">
      <c r="B41" s="213"/>
      <c r="C41" s="98"/>
      <c r="D41" s="98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</row>
    <row r="42" spans="1:28" s="188" customFormat="1" hidden="1" x14ac:dyDescent="0.2"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</row>
    <row r="43" spans="1:28" s="188" customFormat="1" hidden="1" x14ac:dyDescent="0.2"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</row>
    <row r="44" spans="1:28" s="188" customFormat="1" hidden="1" x14ac:dyDescent="0.2"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</row>
    <row r="45" spans="1:28" s="188" customFormat="1" hidden="1" x14ac:dyDescent="0.2"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</row>
    <row r="46" spans="1:28" s="188" customFormat="1" hidden="1" x14ac:dyDescent="0.2"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</row>
    <row r="47" spans="1:28" s="188" customFormat="1" hidden="1" x14ac:dyDescent="0.2"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</row>
    <row r="48" spans="1:28" s="188" customFormat="1" hidden="1" x14ac:dyDescent="0.2">
      <c r="A48" s="121"/>
      <c r="G48" s="97"/>
      <c r="H48" s="639"/>
      <c r="I48" s="97"/>
      <c r="J48" s="584"/>
      <c r="K48" s="663"/>
      <c r="L48" s="584"/>
      <c r="M48" s="584"/>
      <c r="N48" s="569"/>
      <c r="O48" s="310"/>
      <c r="P48" s="57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</row>
    <row r="49" spans="1:28" s="188" customFormat="1" hidden="1" x14ac:dyDescent="0.2">
      <c r="A49" s="121"/>
      <c r="G49" s="97"/>
      <c r="H49" s="639"/>
      <c r="I49" s="97"/>
      <c r="J49" s="584"/>
      <c r="K49" s="579"/>
      <c r="L49" s="584"/>
      <c r="M49" s="584"/>
      <c r="N49" s="569"/>
      <c r="O49" s="310"/>
      <c r="P49" s="57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</row>
    <row r="50" spans="1:28" s="188" customFormat="1" hidden="1" x14ac:dyDescent="0.2">
      <c r="A50" s="121"/>
      <c r="G50" s="97"/>
      <c r="H50" s="639"/>
      <c r="I50" s="97"/>
      <c r="J50" s="584"/>
      <c r="K50" s="579"/>
      <c r="L50" s="584"/>
      <c r="M50" s="584"/>
      <c r="N50" s="569"/>
      <c r="O50" s="310"/>
      <c r="P50" s="57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</row>
    <row r="51" spans="1:28" s="188" customFormat="1" hidden="1" x14ac:dyDescent="0.2">
      <c r="A51" s="121"/>
      <c r="G51" s="97"/>
      <c r="H51" s="639"/>
      <c r="I51" s="97"/>
      <c r="J51" s="584"/>
      <c r="K51" s="579"/>
      <c r="L51" s="584"/>
      <c r="M51" s="584"/>
      <c r="N51" s="569"/>
      <c r="O51" s="310"/>
      <c r="P51" s="57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</row>
    <row r="52" spans="1:28" s="188" customFormat="1" hidden="1" x14ac:dyDescent="0.2">
      <c r="A52" s="121"/>
      <c r="G52" s="97"/>
      <c r="H52" s="639"/>
      <c r="I52" s="97"/>
      <c r="J52" s="584"/>
      <c r="K52" s="579"/>
      <c r="L52" s="584"/>
      <c r="M52" s="584"/>
      <c r="N52" s="569"/>
      <c r="O52" s="310"/>
      <c r="P52" s="57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</row>
    <row r="53" spans="1:28" s="188" customFormat="1" hidden="1" x14ac:dyDescent="0.2">
      <c r="A53" s="121"/>
      <c r="G53" s="97"/>
      <c r="H53" s="639"/>
      <c r="I53" s="97"/>
      <c r="J53" s="584"/>
      <c r="K53" s="579"/>
      <c r="L53" s="584"/>
      <c r="M53" s="584"/>
      <c r="N53" s="569"/>
      <c r="O53" s="310"/>
      <c r="P53" s="57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</row>
    <row r="54" spans="1:28" s="188" customFormat="1" hidden="1" x14ac:dyDescent="0.2">
      <c r="A54" s="314"/>
      <c r="G54" s="314"/>
      <c r="K54" s="579"/>
      <c r="N54" s="88"/>
      <c r="O54" s="88"/>
      <c r="P54" s="57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</row>
    <row r="55" spans="1:28" s="188" customFormat="1" hidden="1" x14ac:dyDescent="0.2">
      <c r="A55" s="314"/>
      <c r="G55" s="314"/>
      <c r="K55" s="579"/>
      <c r="N55" s="88"/>
      <c r="O55" s="88"/>
      <c r="P55" s="57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</row>
    <row r="56" spans="1:28" s="188" customFormat="1" hidden="1" x14ac:dyDescent="0.2">
      <c r="A56" s="88"/>
      <c r="G56" s="88"/>
      <c r="H56" s="88"/>
      <c r="I56" s="88"/>
      <c r="J56" s="88"/>
      <c r="K56" s="88"/>
      <c r="L56" s="88"/>
      <c r="M56" s="88"/>
      <c r="N56" s="88"/>
      <c r="O56" s="88"/>
      <c r="P56" s="57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</row>
    <row r="57" spans="1:28" s="188" customFormat="1" hidden="1" x14ac:dyDescent="0.2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</row>
    <row r="58" spans="1:28" s="88" customFormat="1" hidden="1" x14ac:dyDescent="0.2"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</row>
    <row r="59" spans="1:28" s="88" customFormat="1" hidden="1" x14ac:dyDescent="0.2"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</row>
    <row r="60" spans="1:28" s="88" customFormat="1" hidden="1" x14ac:dyDescent="0.2"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</row>
    <row r="61" spans="1:28" s="88" customFormat="1" hidden="1" x14ac:dyDescent="0.2"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</row>
    <row r="62" spans="1:28" s="88" customFormat="1" hidden="1" x14ac:dyDescent="0.2"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</row>
    <row r="63" spans="1:28" s="88" customFormat="1" hidden="1" x14ac:dyDescent="0.2"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</row>
    <row r="64" spans="1:28" s="88" customFormat="1" hidden="1" x14ac:dyDescent="0.2"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</row>
    <row r="65" spans="17:28" s="88" customFormat="1" hidden="1" x14ac:dyDescent="0.2"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</row>
    <row r="66" spans="17:28" s="88" customFormat="1" hidden="1" x14ac:dyDescent="0.2"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</row>
    <row r="67" spans="17:28" s="88" customFormat="1" hidden="1" x14ac:dyDescent="0.2"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</row>
    <row r="68" spans="17:28" s="88" customFormat="1" hidden="1" x14ac:dyDescent="0.2"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</row>
    <row r="69" spans="17:28" s="88" customFormat="1" hidden="1" x14ac:dyDescent="0.2"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</row>
    <row r="70" spans="17:28" s="88" customFormat="1" hidden="1" x14ac:dyDescent="0.2"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</row>
    <row r="71" spans="17:28" s="88" customFormat="1" hidden="1" x14ac:dyDescent="0.2"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</row>
    <row r="72" spans="17:28" s="88" customFormat="1" hidden="1" x14ac:dyDescent="0.2"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</row>
    <row r="73" spans="17:28" s="88" customFormat="1" hidden="1" x14ac:dyDescent="0.2"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</row>
    <row r="74" spans="17:28" s="88" customFormat="1" hidden="1" x14ac:dyDescent="0.2"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</row>
    <row r="75" spans="17:28" s="88" customFormat="1" hidden="1" x14ac:dyDescent="0.2"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</row>
    <row r="76" spans="17:28" s="88" customFormat="1" hidden="1" x14ac:dyDescent="0.2"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</row>
    <row r="77" spans="17:28" s="88" customFormat="1" hidden="1" x14ac:dyDescent="0.2"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</row>
    <row r="78" spans="17:28" s="88" customFormat="1" hidden="1" x14ac:dyDescent="0.2"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</row>
    <row r="79" spans="17:28" s="88" customFormat="1" hidden="1" x14ac:dyDescent="0.2"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</row>
    <row r="80" spans="17:28" s="88" customFormat="1" hidden="1" x14ac:dyDescent="0.2"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39"/>
      <c r="AB80" s="139"/>
    </row>
    <row r="81" spans="1:28" s="88" customFormat="1" hidden="1" x14ac:dyDescent="0.2"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</row>
    <row r="82" spans="1:28" s="88" customFormat="1" hidden="1" x14ac:dyDescent="0.2"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</row>
    <row r="83" spans="1:28" s="88" customFormat="1" hidden="1" x14ac:dyDescent="0.2">
      <c r="Q83" s="139"/>
      <c r="R83" s="139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</row>
    <row r="84" spans="1:28" s="88" customFormat="1" hidden="1" x14ac:dyDescent="0.2">
      <c r="Q84" s="139"/>
      <c r="R84" s="139"/>
      <c r="S84" s="139"/>
      <c r="T84" s="139"/>
      <c r="U84" s="139"/>
      <c r="V84" s="139"/>
      <c r="W84" s="139"/>
      <c r="X84" s="139"/>
      <c r="Y84" s="139"/>
      <c r="Z84" s="139"/>
      <c r="AA84" s="139"/>
      <c r="AB84" s="139"/>
    </row>
    <row r="85" spans="1:28" s="88" customFormat="1" hidden="1" x14ac:dyDescent="0.2"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</row>
    <row r="86" spans="1:28" s="88" customFormat="1" hidden="1" x14ac:dyDescent="0.2">
      <c r="Q86" s="139"/>
      <c r="R86" s="139"/>
      <c r="S86" s="139"/>
      <c r="T86" s="139"/>
      <c r="U86" s="139"/>
      <c r="V86" s="139"/>
      <c r="W86" s="139"/>
      <c r="X86" s="139"/>
      <c r="Y86" s="139"/>
      <c r="Z86" s="139"/>
      <c r="AA86" s="139"/>
      <c r="AB86" s="139"/>
    </row>
    <row r="87" spans="1:28" s="88" customFormat="1" hidden="1" x14ac:dyDescent="0.2"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</row>
    <row r="88" spans="1:28" s="88" customFormat="1" hidden="1" x14ac:dyDescent="0.2"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39"/>
      <c r="AB88" s="139"/>
    </row>
    <row r="89" spans="1:28" s="88" customFormat="1" hidden="1" x14ac:dyDescent="0.2"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</row>
    <row r="90" spans="1:28" s="88" customFormat="1" hidden="1" x14ac:dyDescent="0.2"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</row>
    <row r="91" spans="1:28" s="88" customFormat="1" hidden="1" x14ac:dyDescent="0.2"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</row>
    <row r="92" spans="1:28" s="88" customFormat="1" hidden="1" x14ac:dyDescent="0.2">
      <c r="Q92" s="139"/>
      <c r="R92" s="139"/>
      <c r="S92" s="139"/>
      <c r="T92" s="139"/>
      <c r="U92" s="139"/>
      <c r="V92" s="139"/>
      <c r="W92" s="139"/>
      <c r="X92" s="139"/>
      <c r="Y92" s="139"/>
      <c r="Z92" s="139"/>
      <c r="AA92" s="139"/>
      <c r="AB92" s="139"/>
    </row>
    <row r="93" spans="1:28" s="88" customFormat="1" hidden="1" x14ac:dyDescent="0.2"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</row>
    <row r="94" spans="1:28" s="88" customFormat="1" hidden="1" x14ac:dyDescent="0.2"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</row>
    <row r="95" spans="1:28" s="349" customFormat="1" hidden="1" x14ac:dyDescent="0.2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</row>
    <row r="96" spans="1:28" hidden="1" x14ac:dyDescent="0.2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</row>
    <row r="97" spans="1:15" hidden="1" x14ac:dyDescent="0.2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</row>
    <row r="98" spans="1:15" hidden="1" x14ac:dyDescent="0.2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</row>
    <row r="99" spans="1:15" x14ac:dyDescent="0.2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</row>
    <row r="100" spans="1:15" x14ac:dyDescent="0.2">
      <c r="A100" s="214" t="s">
        <v>72</v>
      </c>
      <c r="B100" s="99"/>
      <c r="C100" s="96"/>
      <c r="D100" s="96"/>
      <c r="E100" s="96"/>
      <c r="F100" s="97"/>
      <c r="G100" s="98"/>
      <c r="H100" s="88"/>
      <c r="I100" s="88"/>
      <c r="J100" s="88"/>
      <c r="K100" s="88"/>
      <c r="L100" s="88"/>
      <c r="M100" s="88"/>
      <c r="N100" s="88"/>
      <c r="O100" s="88"/>
    </row>
    <row r="101" spans="1:15" x14ac:dyDescent="0.2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</row>
    <row r="102" spans="1:15" x14ac:dyDescent="0.2">
      <c r="A102" s="106" t="s">
        <v>70</v>
      </c>
      <c r="B102" s="404" t="s">
        <v>70</v>
      </c>
      <c r="C102" s="120">
        <f>IF(B102="-",0,IF(B104="-",13,""))</f>
        <v>0</v>
      </c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</row>
    <row r="103" spans="1:15" x14ac:dyDescent="0.2">
      <c r="A103" s="107"/>
      <c r="B103" s="405"/>
      <c r="C103" s="524" t="str">
        <f>IF(COUNT(C102,C104)=2,IF(C102&gt;C104,B102,B104),"")</f>
        <v>Andres Viisitam, Tõnu Piik</v>
      </c>
      <c r="D103" s="88"/>
      <c r="E103" s="120">
        <v>8</v>
      </c>
      <c r="F103" s="88"/>
      <c r="G103" s="88"/>
      <c r="H103" s="88"/>
      <c r="I103" s="88"/>
      <c r="J103" s="88"/>
      <c r="K103" s="88"/>
      <c r="L103" s="88"/>
      <c r="M103" s="88"/>
      <c r="N103" s="88"/>
      <c r="O103" s="88"/>
    </row>
    <row r="104" spans="1:15" x14ac:dyDescent="0.2">
      <c r="A104" s="107" t="s">
        <v>84</v>
      </c>
      <c r="B104" s="525" t="str">
        <f>IFERROR(INDEX(B$1:B$100,MATCH(A104,I$1:I$100,0)),"")</f>
        <v>Andres Viisitam, Tõnu Piik</v>
      </c>
      <c r="C104" s="110">
        <f>IF(B104="-",0,IF(B102="-",13,""))</f>
        <v>13</v>
      </c>
      <c r="D104" s="671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</row>
    <row r="105" spans="1:15" x14ac:dyDescent="0.2">
      <c r="A105" s="107"/>
      <c r="B105" s="407"/>
      <c r="C105" s="88"/>
      <c r="D105" s="112"/>
      <c r="E105" s="524" t="str">
        <f>IF(COUNT(E103,E107)=2,IF(E103&gt;E107,C103,C107),"")</f>
        <v>Aigi Orro, Svetlana Veski</v>
      </c>
      <c r="F105" s="88"/>
      <c r="G105" s="120">
        <v>4</v>
      </c>
      <c r="H105" s="88"/>
      <c r="I105" s="88"/>
      <c r="J105" s="88"/>
      <c r="K105" s="88"/>
      <c r="L105" s="88"/>
      <c r="M105" s="88"/>
      <c r="N105" s="88"/>
      <c r="O105" s="88"/>
    </row>
    <row r="106" spans="1:15" x14ac:dyDescent="0.2">
      <c r="A106" s="107" t="s">
        <v>75</v>
      </c>
      <c r="B106" s="404" t="str">
        <f>IFERROR(INDEX(B$1:B$100,MATCH(A106,I$1:I$100,0)),"")</f>
        <v>Henri Mitt, Taavi Press</v>
      </c>
      <c r="C106" s="120">
        <v>10</v>
      </c>
      <c r="D106" s="112"/>
      <c r="E106" s="664"/>
      <c r="F106" s="671"/>
      <c r="G106" s="88"/>
      <c r="H106" s="88"/>
      <c r="I106" s="88"/>
      <c r="J106" s="88"/>
      <c r="K106" s="88"/>
      <c r="L106" s="88"/>
      <c r="M106" s="88"/>
      <c r="N106" s="88"/>
      <c r="O106" s="88"/>
    </row>
    <row r="107" spans="1:15" x14ac:dyDescent="0.2">
      <c r="A107" s="107"/>
      <c r="B107" s="672"/>
      <c r="C107" s="524" t="str">
        <f>IF(COUNT(C106,C108)=2,IF(C106&gt;C108,B106,B108),"")</f>
        <v>Aigi Orro, Svetlana Veski</v>
      </c>
      <c r="D107" s="234"/>
      <c r="E107" s="110">
        <v>13</v>
      </c>
      <c r="F107" s="112"/>
      <c r="G107" s="88"/>
      <c r="H107" s="88"/>
      <c r="I107" s="88"/>
      <c r="J107" s="88"/>
      <c r="K107" s="88"/>
      <c r="L107" s="88"/>
      <c r="M107" s="88"/>
      <c r="N107" s="88"/>
      <c r="O107" s="88"/>
    </row>
    <row r="108" spans="1:15" x14ac:dyDescent="0.2">
      <c r="A108" s="107" t="s">
        <v>86</v>
      </c>
      <c r="B108" s="525" t="str">
        <f>IFERROR(INDEX(B$1:B$100,MATCH(A108,I$1:I$100,0)),"")</f>
        <v>Aigi Orro, Svetlana Veski</v>
      </c>
      <c r="C108" s="110">
        <v>13</v>
      </c>
      <c r="D108" s="88"/>
      <c r="E108" s="99"/>
      <c r="F108" s="112"/>
      <c r="G108" s="88"/>
      <c r="H108" s="88"/>
      <c r="I108" s="88"/>
      <c r="J108" s="88"/>
      <c r="K108" s="88"/>
      <c r="L108" s="88"/>
      <c r="M108" s="88"/>
      <c r="N108" s="88"/>
      <c r="O108" s="88"/>
    </row>
    <row r="109" spans="1:15" ht="13.5" thickBot="1" x14ac:dyDescent="0.25">
      <c r="A109" s="87"/>
      <c r="B109" s="407"/>
      <c r="C109" s="88"/>
      <c r="D109" s="88"/>
      <c r="E109" s="99"/>
      <c r="F109" s="112"/>
      <c r="G109" s="88"/>
      <c r="H109" s="184" t="str">
        <f>IF(COUNT(G105,G113)=2,IF(G105&gt;G113,E105,E113),"")</f>
        <v>Boriss Klubov, Elmo Lageda</v>
      </c>
      <c r="I109" s="88"/>
      <c r="J109" s="88"/>
      <c r="K109" s="88"/>
      <c r="L109" s="88"/>
      <c r="M109" s="88"/>
      <c r="N109" s="88"/>
      <c r="O109" s="88"/>
    </row>
    <row r="110" spans="1:15" x14ac:dyDescent="0.2">
      <c r="A110" s="106" t="s">
        <v>76</v>
      </c>
      <c r="B110" s="404" t="str">
        <f>IFERROR(INDEX(B$1:B$100,MATCH(A110,I$1:I$100,0)),"")</f>
        <v>Boriss Klubov, Elmo Lageda</v>
      </c>
      <c r="C110" s="120">
        <v>13</v>
      </c>
      <c r="D110" s="88"/>
      <c r="E110" s="88"/>
      <c r="F110" s="112"/>
      <c r="G110" s="673"/>
      <c r="H110" s="379" t="s">
        <v>275</v>
      </c>
      <c r="I110" s="378"/>
      <c r="J110" s="88"/>
      <c r="K110" s="88"/>
      <c r="L110" s="88"/>
      <c r="M110" s="88"/>
      <c r="N110" s="88"/>
      <c r="O110" s="88"/>
    </row>
    <row r="111" spans="1:15" x14ac:dyDescent="0.2">
      <c r="A111" s="107"/>
      <c r="B111" s="672"/>
      <c r="C111" s="524" t="str">
        <f>IF(COUNT(C110,C112)=2,IF(C110&gt;C112,B110,B112),"")</f>
        <v>Boriss Klubov, Elmo Lageda</v>
      </c>
      <c r="D111" s="88"/>
      <c r="E111" s="120">
        <v>13</v>
      </c>
      <c r="F111" s="112"/>
      <c r="G111" s="99"/>
      <c r="H111" s="88"/>
      <c r="I111" s="88"/>
      <c r="J111" s="88"/>
      <c r="K111" s="88"/>
      <c r="L111" s="88"/>
      <c r="M111" s="88"/>
      <c r="N111" s="88"/>
      <c r="O111" s="88"/>
    </row>
    <row r="112" spans="1:15" x14ac:dyDescent="0.2">
      <c r="A112" s="107" t="s">
        <v>71</v>
      </c>
      <c r="B112" s="525" t="str">
        <f>IFERROR(INDEX(B$1:B$100,MATCH(A112,I$1:I$100,0)),"")</f>
        <v>Illar Tõnurist, Jaan Sepp</v>
      </c>
      <c r="C112" s="110">
        <v>8</v>
      </c>
      <c r="D112" s="671"/>
      <c r="E112" s="88"/>
      <c r="F112" s="112"/>
      <c r="G112" s="99"/>
      <c r="H112" s="88"/>
      <c r="I112" s="88"/>
      <c r="J112" s="88"/>
      <c r="K112" s="88"/>
      <c r="L112" s="88"/>
      <c r="M112" s="88"/>
      <c r="N112" s="88"/>
      <c r="O112" s="88"/>
    </row>
    <row r="113" spans="1:15" x14ac:dyDescent="0.2">
      <c r="A113" s="107"/>
      <c r="B113" s="407"/>
      <c r="C113" s="88"/>
      <c r="D113" s="112"/>
      <c r="E113" s="524" t="str">
        <f>IF(COUNT(E111,E115)=2,IF(E111&gt;E115,C111,C115),"")</f>
        <v>Boriss Klubov, Elmo Lageda</v>
      </c>
      <c r="F113" s="234"/>
      <c r="G113" s="110">
        <v>13</v>
      </c>
      <c r="H113" s="88"/>
      <c r="I113" s="88"/>
      <c r="J113" s="88"/>
      <c r="K113" s="88"/>
      <c r="L113" s="88"/>
      <c r="M113" s="88"/>
      <c r="N113" s="88"/>
      <c r="O113" s="88"/>
    </row>
    <row r="114" spans="1:15" ht="13.5" thickBot="1" x14ac:dyDescent="0.25">
      <c r="A114" s="107" t="s">
        <v>70</v>
      </c>
      <c r="B114" s="404" t="s">
        <v>70</v>
      </c>
      <c r="C114" s="120">
        <f>IF(B114="-",0,IF(B116="-",13,""))</f>
        <v>0</v>
      </c>
      <c r="D114" s="112"/>
      <c r="E114" s="664"/>
      <c r="F114" s="99"/>
      <c r="G114" s="99"/>
      <c r="H114" s="184" t="str">
        <f>IF(COUNT(G105,G113)=2,IF(G105&lt;G113,E105,E113),"")</f>
        <v>Aigi Orro, Svetlana Veski</v>
      </c>
      <c r="I114" s="119"/>
      <c r="J114" s="88"/>
      <c r="K114" s="88"/>
      <c r="L114" s="88"/>
      <c r="M114" s="88"/>
      <c r="N114" s="88"/>
      <c r="O114" s="88"/>
    </row>
    <row r="115" spans="1:15" x14ac:dyDescent="0.2">
      <c r="A115" s="107"/>
      <c r="B115" s="672"/>
      <c r="C115" s="524" t="str">
        <f>IF(COUNT(C114,C116)=2,IF(C114&gt;C116,B114,B116),"")</f>
        <v>Einar Juhkam, Johannes Neiland</v>
      </c>
      <c r="D115" s="234"/>
      <c r="E115" s="110">
        <v>10</v>
      </c>
      <c r="F115" s="88"/>
      <c r="G115" s="99"/>
      <c r="H115" s="379" t="s">
        <v>276</v>
      </c>
      <c r="I115" s="99"/>
      <c r="J115" s="88"/>
      <c r="K115" s="88"/>
      <c r="L115" s="88"/>
      <c r="M115" s="88"/>
      <c r="N115" s="88"/>
      <c r="O115" s="88"/>
    </row>
    <row r="116" spans="1:15" x14ac:dyDescent="0.2">
      <c r="A116" s="107" t="s">
        <v>85</v>
      </c>
      <c r="B116" s="525" t="str">
        <f>IFERROR(INDEX(B$1:B$100,MATCH(A116,I$1:I$100,0)),"")</f>
        <v>Einar Juhkam, Johannes Neiland</v>
      </c>
      <c r="C116" s="110">
        <f>IF(B116="-",0,IF(B114="-",13,""))</f>
        <v>13</v>
      </c>
      <c r="D116" s="88"/>
      <c r="E116" s="99"/>
      <c r="F116" s="99"/>
      <c r="G116" s="99"/>
      <c r="H116" s="88"/>
      <c r="I116" s="88"/>
      <c r="J116" s="88"/>
      <c r="K116" s="88"/>
      <c r="L116" s="88"/>
      <c r="M116" s="88"/>
      <c r="N116" s="88"/>
      <c r="O116" s="88"/>
    </row>
    <row r="117" spans="1:15" x14ac:dyDescent="0.2">
      <c r="A117" s="87"/>
      <c r="B117" s="407"/>
      <c r="C117" s="88"/>
      <c r="D117" s="88"/>
      <c r="E117" s="217" t="str">
        <f>IF(COUNT(E103,E107)=2,IF(E103&lt;E107,C103,C107),"")</f>
        <v>Andres Viisitam, Tõnu Piik</v>
      </c>
      <c r="F117" s="88"/>
      <c r="G117" s="120">
        <v>13</v>
      </c>
      <c r="H117" s="88"/>
      <c r="I117" s="88"/>
      <c r="J117" s="88"/>
      <c r="K117" s="88"/>
      <c r="L117" s="88"/>
      <c r="M117" s="88"/>
      <c r="N117" s="88"/>
      <c r="O117" s="88"/>
    </row>
    <row r="118" spans="1:15" ht="13.5" thickBot="1" x14ac:dyDescent="0.25">
      <c r="A118" s="88"/>
      <c r="B118" s="88"/>
      <c r="C118" s="88"/>
      <c r="D118" s="88"/>
      <c r="E118" s="674"/>
      <c r="F118" s="671"/>
      <c r="G118" s="119"/>
      <c r="H118" s="184" t="str">
        <f>IF(COUNT(G117,G119)=2,IF(G117&gt;G119,E117,E119),"")</f>
        <v>Andres Viisitam, Tõnu Piik</v>
      </c>
      <c r="I118" s="119"/>
      <c r="J118" s="88"/>
      <c r="K118" s="88"/>
      <c r="L118" s="88"/>
      <c r="M118" s="88"/>
      <c r="N118" s="88"/>
      <c r="O118" s="88"/>
    </row>
    <row r="119" spans="1:15" x14ac:dyDescent="0.2">
      <c r="A119" s="88"/>
      <c r="B119" s="88"/>
      <c r="C119" s="88"/>
      <c r="D119" s="88"/>
      <c r="E119" s="528" t="str">
        <f>IF(COUNT(E111,E115)=2,IF(E111&lt;E115,C111,C115),"")</f>
        <v>Einar Juhkam, Johannes Neiland</v>
      </c>
      <c r="F119" s="234"/>
      <c r="G119" s="110">
        <v>6</v>
      </c>
      <c r="H119" s="121" t="s">
        <v>277</v>
      </c>
      <c r="I119" s="99"/>
      <c r="J119" s="88"/>
      <c r="K119" s="88"/>
      <c r="L119" s="88"/>
      <c r="M119" s="88"/>
      <c r="N119" s="88"/>
      <c r="O119" s="88"/>
    </row>
    <row r="120" spans="1:15" x14ac:dyDescent="0.2">
      <c r="A120" s="88"/>
      <c r="B120" s="88"/>
      <c r="C120" s="88"/>
      <c r="D120" s="88"/>
      <c r="E120" s="88"/>
      <c r="F120" s="88"/>
      <c r="G120" s="88"/>
      <c r="H120" s="99"/>
      <c r="I120" s="99"/>
      <c r="J120" s="88"/>
      <c r="K120" s="88"/>
      <c r="L120" s="88"/>
      <c r="M120" s="88"/>
      <c r="N120" s="88"/>
      <c r="O120" s="88"/>
    </row>
    <row r="121" spans="1:15" ht="13.5" thickBot="1" x14ac:dyDescent="0.25">
      <c r="A121" s="88"/>
      <c r="B121" s="88"/>
      <c r="C121" s="88"/>
      <c r="D121" s="88"/>
      <c r="E121" s="99"/>
      <c r="F121" s="99"/>
      <c r="G121" s="88"/>
      <c r="H121" s="184" t="str">
        <f>IF(COUNT(G117,G119)=2,IF(G117&lt;G119,E117,E119),"")</f>
        <v>Einar Juhkam, Johannes Neiland</v>
      </c>
      <c r="I121" s="119"/>
      <c r="J121" s="88"/>
      <c r="K121" s="88"/>
      <c r="L121" s="88"/>
      <c r="M121" s="88"/>
      <c r="N121" s="88"/>
      <c r="O121" s="88"/>
    </row>
    <row r="122" spans="1:15" x14ac:dyDescent="0.2">
      <c r="A122" s="88"/>
      <c r="B122" s="88"/>
      <c r="C122" s="88"/>
      <c r="D122" s="88"/>
      <c r="E122" s="88"/>
      <c r="F122" s="88"/>
      <c r="G122" s="88"/>
      <c r="H122" s="87" t="s">
        <v>50</v>
      </c>
      <c r="I122" s="88"/>
      <c r="J122" s="88"/>
      <c r="K122" s="88"/>
      <c r="L122" s="88"/>
      <c r="M122" s="88"/>
      <c r="N122" s="88"/>
      <c r="O122" s="88"/>
    </row>
    <row r="123" spans="1:15" x14ac:dyDescent="0.2">
      <c r="A123" s="88"/>
      <c r="B123" s="88"/>
      <c r="C123" s="528" t="str">
        <f>IF(COUNT(C102,C104)=2,IF(C102&lt;C104,B102,B104),"")</f>
        <v>-</v>
      </c>
      <c r="D123" s="88"/>
      <c r="E123" s="120">
        <f>IF(C123="-",0,IF(C125="-",13,""))</f>
        <v>0</v>
      </c>
      <c r="F123" s="120"/>
      <c r="G123" s="120"/>
      <c r="H123" s="88"/>
      <c r="I123" s="88"/>
      <c r="J123" s="88"/>
      <c r="K123" s="88"/>
      <c r="L123" s="88"/>
      <c r="M123" s="88"/>
      <c r="N123" s="88"/>
      <c r="O123" s="88"/>
    </row>
    <row r="124" spans="1:15" x14ac:dyDescent="0.2">
      <c r="A124" s="88"/>
      <c r="B124" s="88"/>
      <c r="C124" s="675"/>
      <c r="D124" s="676"/>
      <c r="E124" s="524" t="str">
        <f>IF(COUNT(E123,E125)=2,IF(E123&gt;E125,C123,C125),"")</f>
        <v>Henri Mitt, Taavi Press</v>
      </c>
      <c r="F124" s="88"/>
      <c r="G124" s="120">
        <v>5</v>
      </c>
      <c r="H124" s="88"/>
      <c r="I124" s="88"/>
      <c r="J124" s="88"/>
      <c r="K124" s="88"/>
      <c r="L124" s="88"/>
      <c r="M124" s="88"/>
      <c r="N124" s="88"/>
      <c r="O124" s="88"/>
    </row>
    <row r="125" spans="1:15" x14ac:dyDescent="0.2">
      <c r="A125" s="88"/>
      <c r="B125" s="88"/>
      <c r="C125" s="528" t="str">
        <f>IF(COUNT(C106,C108)=2,IF(C106&lt;C108,B106,B108),"")</f>
        <v>Henri Mitt, Taavi Press</v>
      </c>
      <c r="D125" s="529"/>
      <c r="E125" s="110">
        <f>IF(C125="-",0,IF(C123="-",13,""))</f>
        <v>13</v>
      </c>
      <c r="F125" s="676"/>
      <c r="G125" s="120"/>
      <c r="H125" s="88"/>
      <c r="I125" s="88"/>
      <c r="J125" s="88"/>
      <c r="K125" s="88"/>
      <c r="L125" s="88"/>
      <c r="M125" s="88"/>
      <c r="N125" s="88"/>
      <c r="O125" s="88"/>
    </row>
    <row r="126" spans="1:15" ht="13.5" thickBot="1" x14ac:dyDescent="0.25">
      <c r="A126" s="88"/>
      <c r="B126" s="88"/>
      <c r="C126" s="120"/>
      <c r="D126" s="120"/>
      <c r="E126" s="113"/>
      <c r="F126" s="221"/>
      <c r="G126" s="120"/>
      <c r="H126" s="184" t="str">
        <f>IF(COUNT(G124,G128)=2,IF(G124&gt;G128,E124,E128),"")</f>
        <v>Illar Tõnurist, Jaan Sepp</v>
      </c>
      <c r="I126" s="88"/>
      <c r="J126" s="88"/>
      <c r="K126" s="88"/>
      <c r="L126" s="88"/>
      <c r="M126" s="88"/>
      <c r="N126" s="88"/>
      <c r="O126" s="88"/>
    </row>
    <row r="127" spans="1:15" x14ac:dyDescent="0.2">
      <c r="A127" s="88"/>
      <c r="B127" s="88"/>
      <c r="C127" s="528" t="str">
        <f>IF(COUNT(C110,C112)=2,IF(C110&lt;C112,B110,B112),"")</f>
        <v>Illar Tõnurist, Jaan Sepp</v>
      </c>
      <c r="D127" s="120"/>
      <c r="E127" s="120">
        <f>IF(C127="-",0,IF(C129="-",13,""))</f>
        <v>13</v>
      </c>
      <c r="F127" s="221"/>
      <c r="G127" s="549"/>
      <c r="H127" s="379" t="s">
        <v>51</v>
      </c>
      <c r="I127" s="378"/>
      <c r="J127" s="88"/>
      <c r="K127" s="88"/>
      <c r="L127" s="88"/>
      <c r="M127" s="88"/>
      <c r="N127" s="88"/>
      <c r="O127" s="88"/>
    </row>
    <row r="128" spans="1:15" x14ac:dyDescent="0.2">
      <c r="A128" s="88"/>
      <c r="B128" s="88"/>
      <c r="C128" s="675"/>
      <c r="D128" s="676"/>
      <c r="E128" s="524" t="str">
        <f>IF(COUNT(E127,E129)=2,IF(E127&gt;E129,C127,C129),"")</f>
        <v>Illar Tõnurist, Jaan Sepp</v>
      </c>
      <c r="F128" s="234"/>
      <c r="G128" s="110">
        <v>13</v>
      </c>
      <c r="H128" s="88"/>
      <c r="I128" s="88"/>
      <c r="J128" s="88"/>
      <c r="K128" s="88"/>
      <c r="L128" s="88"/>
      <c r="M128" s="88"/>
      <c r="N128" s="88"/>
      <c r="O128" s="88"/>
    </row>
    <row r="129" spans="1:15" ht="13.5" thickBot="1" x14ac:dyDescent="0.25">
      <c r="A129" s="88"/>
      <c r="B129" s="88"/>
      <c r="C129" s="528" t="str">
        <f>IF(COUNT(C114,C116)=2,IF(C114&lt;C116,B114,B116),"")</f>
        <v>-</v>
      </c>
      <c r="D129" s="529"/>
      <c r="E129" s="110">
        <f>IF(C129="-",0,IF(C127="-",13,""))</f>
        <v>0</v>
      </c>
      <c r="F129" s="120"/>
      <c r="G129" s="113"/>
      <c r="H129" s="184" t="str">
        <f>IF(COUNT(G124,G128)=2,IF(G124&lt;G128,E124,E128),"")</f>
        <v>Henri Mitt, Taavi Press</v>
      </c>
      <c r="I129" s="119"/>
      <c r="J129" s="88"/>
      <c r="K129" s="88"/>
      <c r="L129" s="88"/>
      <c r="M129" s="88"/>
      <c r="N129" s="88"/>
      <c r="O129" s="88"/>
    </row>
    <row r="130" spans="1:15" x14ac:dyDescent="0.2">
      <c r="A130" s="88"/>
      <c r="B130" s="88"/>
      <c r="C130" s="120"/>
      <c r="D130" s="120"/>
      <c r="E130" s="120"/>
      <c r="F130" s="120"/>
      <c r="G130" s="113"/>
      <c r="H130" s="379" t="s">
        <v>52</v>
      </c>
      <c r="I130" s="99"/>
      <c r="J130" s="88"/>
      <c r="K130" s="88"/>
      <c r="L130" s="88"/>
      <c r="M130" s="88"/>
      <c r="N130" s="88"/>
      <c r="O130" s="88"/>
    </row>
    <row r="131" spans="1:15" x14ac:dyDescent="0.2">
      <c r="A131" s="88"/>
      <c r="B131" s="88"/>
      <c r="C131" s="120"/>
      <c r="D131" s="113"/>
      <c r="E131" s="217" t="str">
        <f>IF(COUNT(E123,E125)=2,IF(E123&lt;E125,C123,C125),"")</f>
        <v>-</v>
      </c>
      <c r="F131" s="88"/>
      <c r="G131" s="120">
        <f>IF(E131="-",0,IF(E133="-",13,""))</f>
        <v>0</v>
      </c>
      <c r="H131" s="99"/>
      <c r="I131" s="99"/>
    </row>
    <row r="132" spans="1:15" ht="13.5" thickBot="1" x14ac:dyDescent="0.25">
      <c r="A132" s="88"/>
      <c r="B132" s="88"/>
      <c r="C132" s="120"/>
      <c r="D132" s="113"/>
      <c r="E132" s="674"/>
      <c r="F132" s="671"/>
      <c r="G132" s="119"/>
      <c r="H132" s="184" t="str">
        <f>IF(COUNT(G131,G133)=2,IF(G131&gt;G133,E131,E133),"")</f>
        <v>-</v>
      </c>
      <c r="I132" s="119"/>
    </row>
    <row r="133" spans="1:15" x14ac:dyDescent="0.2">
      <c r="A133" s="88"/>
      <c r="B133" s="88"/>
      <c r="C133" s="120"/>
      <c r="D133" s="113"/>
      <c r="E133" s="528" t="str">
        <f>IF(COUNT(E127,E129)=2,IF(E127&lt;E129,C127,C129),"")</f>
        <v>-</v>
      </c>
      <c r="F133" s="234"/>
      <c r="G133" s="110">
        <f>IF(E133="-",0,IF(E131="-",13,""))</f>
        <v>0</v>
      </c>
      <c r="H133" s="121"/>
      <c r="I133" s="99"/>
    </row>
    <row r="134" spans="1:15" x14ac:dyDescent="0.2">
      <c r="A134" s="88"/>
      <c r="B134" s="88"/>
      <c r="C134" s="88"/>
      <c r="D134" s="99"/>
      <c r="E134" s="88"/>
      <c r="F134" s="88"/>
      <c r="G134" s="88"/>
      <c r="H134" s="99"/>
      <c r="I134" s="99"/>
    </row>
    <row r="135" spans="1:15" ht="13.5" thickBot="1" x14ac:dyDescent="0.25">
      <c r="A135" s="88"/>
      <c r="B135" s="88"/>
      <c r="C135" s="88"/>
      <c r="D135" s="88"/>
      <c r="E135" s="99"/>
      <c r="F135" s="99"/>
      <c r="G135" s="88"/>
      <c r="H135" s="119" t="str">
        <f>IF(COUNT(G131,G133)=2,IF(G131&lt;G133,E131,E133),"")</f>
        <v>-</v>
      </c>
      <c r="I135" s="119"/>
    </row>
    <row r="136" spans="1:15" x14ac:dyDescent="0.2">
      <c r="A136" s="95"/>
      <c r="B136" s="410"/>
      <c r="C136" s="97"/>
      <c r="D136" s="97"/>
      <c r="E136" s="97"/>
      <c r="F136" s="97"/>
      <c r="G136" s="402"/>
      <c r="H136" s="227"/>
      <c r="I136" s="188"/>
    </row>
    <row r="138" spans="1:15" x14ac:dyDescent="0.2">
      <c r="A138" s="214" t="s">
        <v>278</v>
      </c>
      <c r="B138" s="99"/>
      <c r="C138" s="96"/>
      <c r="D138" s="96"/>
      <c r="E138" s="96"/>
      <c r="F138" s="97"/>
      <c r="G138" s="98"/>
      <c r="H138" s="88"/>
      <c r="I138" s="88"/>
    </row>
    <row r="139" spans="1:15" x14ac:dyDescent="0.2">
      <c r="A139" s="88"/>
      <c r="B139" s="88"/>
      <c r="C139" s="88"/>
      <c r="D139" s="88"/>
      <c r="E139" s="88"/>
      <c r="F139" s="88"/>
      <c r="G139" s="88"/>
      <c r="H139" s="88"/>
      <c r="I139" s="88"/>
    </row>
    <row r="140" spans="1:15" x14ac:dyDescent="0.2">
      <c r="A140" s="106" t="s">
        <v>93</v>
      </c>
      <c r="B140" s="404" t="str">
        <f>IFERROR(INDEX(B$1:B$100,MATCH(A140,I$1:I$100,0)),"")</f>
        <v>Karla Purgats, Lemmit Toomra</v>
      </c>
      <c r="C140" s="120">
        <f>IF(B140="-",0,IF(B142="-",13,""))</f>
        <v>13</v>
      </c>
      <c r="D140" s="88"/>
      <c r="E140" s="88"/>
      <c r="F140" s="88"/>
      <c r="G140" s="88"/>
      <c r="H140" s="88"/>
      <c r="I140" s="88"/>
    </row>
    <row r="141" spans="1:15" x14ac:dyDescent="0.2">
      <c r="A141" s="107"/>
      <c r="B141" s="405"/>
      <c r="C141" s="524" t="str">
        <f>IF(COUNT(C140,C142)=2,IF(C140&gt;C142,B140,B142),"")</f>
        <v>Karla Purgats, Lemmit Toomra</v>
      </c>
      <c r="D141" s="88"/>
      <c r="E141" s="120">
        <v>13</v>
      </c>
      <c r="F141" s="88"/>
      <c r="G141" s="88"/>
      <c r="H141" s="88"/>
      <c r="I141" s="88"/>
    </row>
    <row r="142" spans="1:15" x14ac:dyDescent="0.2">
      <c r="A142" s="107" t="s">
        <v>70</v>
      </c>
      <c r="B142" s="525" t="s">
        <v>70</v>
      </c>
      <c r="C142" s="110">
        <f>IF(B142="-",0,IF(B140="-",13,""))</f>
        <v>0</v>
      </c>
      <c r="D142" s="671"/>
      <c r="E142" s="88"/>
      <c r="F142" s="88"/>
      <c r="G142" s="88"/>
      <c r="H142" s="88"/>
      <c r="I142" s="88"/>
    </row>
    <row r="143" spans="1:15" x14ac:dyDescent="0.2">
      <c r="A143" s="107"/>
      <c r="B143" s="407"/>
      <c r="C143" s="88"/>
      <c r="D143" s="112"/>
      <c r="E143" s="524" t="str">
        <f>IF(COUNT(E141,E145)=2,IF(E141&gt;E145,C141,C145),"")</f>
        <v>Karla Purgats, Lemmit Toomra</v>
      </c>
      <c r="F143" s="88"/>
      <c r="G143" s="120">
        <v>11</v>
      </c>
      <c r="H143" s="88"/>
      <c r="I143" s="88"/>
    </row>
    <row r="144" spans="1:15" x14ac:dyDescent="0.2">
      <c r="A144" s="107" t="s">
        <v>122</v>
      </c>
      <c r="B144" s="404" t="str">
        <f>IFERROR(INDEX(B$1:B$100,MATCH(A144,I$1:I$100,0)),"")</f>
        <v>Enn Tokman, Tarmo Bombe</v>
      </c>
      <c r="C144" s="120">
        <v>13</v>
      </c>
      <c r="D144" s="112"/>
      <c r="E144" s="664"/>
      <c r="F144" s="671"/>
      <c r="G144" s="88"/>
      <c r="H144" s="88"/>
      <c r="I144" s="88"/>
    </row>
    <row r="145" spans="1:9" x14ac:dyDescent="0.2">
      <c r="A145" s="107"/>
      <c r="B145" s="672"/>
      <c r="C145" s="524" t="str">
        <f>IF(COUNT(C144,C146)=2,IF(C144&gt;C146,B144,B146),"")</f>
        <v>Enn Tokman, Tarmo Bombe</v>
      </c>
      <c r="D145" s="234"/>
      <c r="E145" s="110">
        <v>8</v>
      </c>
      <c r="F145" s="112"/>
      <c r="G145" s="88"/>
      <c r="H145" s="88"/>
      <c r="I145" s="88"/>
    </row>
    <row r="146" spans="1:9" x14ac:dyDescent="0.2">
      <c r="A146" s="107" t="s">
        <v>94</v>
      </c>
      <c r="B146" s="525" t="str">
        <f>IFERROR(INDEX(B$1:B$100,MATCH(A146,I$1:I$100,0)),"")</f>
        <v>Kenneth Muusikus, Peep Peenema</v>
      </c>
      <c r="C146" s="110">
        <v>5</v>
      </c>
      <c r="D146" s="88"/>
      <c r="E146" s="99"/>
      <c r="F146" s="112"/>
      <c r="G146" s="88"/>
      <c r="H146" s="88"/>
      <c r="I146" s="88"/>
    </row>
    <row r="147" spans="1:9" ht="13.5" thickBot="1" x14ac:dyDescent="0.25">
      <c r="A147" s="87"/>
      <c r="B147" s="407"/>
      <c r="C147" s="88"/>
      <c r="D147" s="88"/>
      <c r="E147" s="99"/>
      <c r="F147" s="112"/>
      <c r="G147" s="88"/>
      <c r="H147" s="184" t="str">
        <f>IF(COUNT(G143,G151)=2,IF(G143&gt;G151,E143,E151),"")</f>
        <v>Ljudmila Varendi, Viktor Švarõgin</v>
      </c>
      <c r="I147" s="88"/>
    </row>
    <row r="148" spans="1:9" x14ac:dyDescent="0.2">
      <c r="A148" s="106" t="s">
        <v>70</v>
      </c>
      <c r="B148" s="404" t="s">
        <v>70</v>
      </c>
      <c r="C148" s="120">
        <f>IF(B148="-",0,IF(B150="-",13,""))</f>
        <v>0</v>
      </c>
      <c r="D148" s="88"/>
      <c r="E148" s="88"/>
      <c r="F148" s="112"/>
      <c r="G148" s="673"/>
      <c r="H148" s="379" t="s">
        <v>53</v>
      </c>
      <c r="I148" s="378"/>
    </row>
    <row r="149" spans="1:9" x14ac:dyDescent="0.2">
      <c r="A149" s="107"/>
      <c r="B149" s="672"/>
      <c r="C149" s="524" t="str">
        <f>IF(COUNT(C148,C150)=2,IF(C148&gt;C150,B148,B150),"")</f>
        <v>Klavdia Piik, Melika Lehtla</v>
      </c>
      <c r="D149" s="88"/>
      <c r="E149" s="120">
        <v>5</v>
      </c>
      <c r="F149" s="112"/>
      <c r="G149" s="99"/>
      <c r="H149" s="88"/>
      <c r="I149" s="88"/>
    </row>
    <row r="150" spans="1:9" x14ac:dyDescent="0.2">
      <c r="A150" s="107" t="s">
        <v>189</v>
      </c>
      <c r="B150" s="525" t="str">
        <f>IFERROR(INDEX(B$1:B$100,MATCH(A150,I$1:I$100,0)),"")</f>
        <v>Klavdia Piik, Melika Lehtla</v>
      </c>
      <c r="C150" s="110">
        <f>IF(B150="-",0,IF(B148="-",13,""))</f>
        <v>13</v>
      </c>
      <c r="D150" s="671"/>
      <c r="E150" s="88"/>
      <c r="F150" s="112"/>
      <c r="G150" s="99"/>
      <c r="H150" s="88"/>
      <c r="I150" s="88"/>
    </row>
    <row r="151" spans="1:9" x14ac:dyDescent="0.2">
      <c r="A151" s="107"/>
      <c r="B151" s="407"/>
      <c r="C151" s="88"/>
      <c r="D151" s="112"/>
      <c r="E151" s="524" t="str">
        <f>IF(COUNT(E149,E153)=2,IF(E149&gt;E153,C149,C153),"")</f>
        <v>Ljudmila Varendi, Viktor Švarõgin</v>
      </c>
      <c r="F151" s="234"/>
      <c r="G151" s="110">
        <v>13</v>
      </c>
      <c r="H151" s="88"/>
      <c r="I151" s="88"/>
    </row>
    <row r="152" spans="1:9" ht="13.5" thickBot="1" x14ac:dyDescent="0.25">
      <c r="A152" s="107" t="s">
        <v>70</v>
      </c>
      <c r="B152" s="404" t="s">
        <v>70</v>
      </c>
      <c r="C152" s="120">
        <f>IF(B152="-",0,IF(B154="-",13,""))</f>
        <v>0</v>
      </c>
      <c r="D152" s="112"/>
      <c r="E152" s="664"/>
      <c r="F152" s="99"/>
      <c r="G152" s="99"/>
      <c r="H152" s="184" t="str">
        <f>IF(COUNT(G143,G151)=2,IF(G143&lt;G151,E143,E151),"")</f>
        <v>Karla Purgats, Lemmit Toomra</v>
      </c>
      <c r="I152" s="119"/>
    </row>
    <row r="153" spans="1:9" x14ac:dyDescent="0.2">
      <c r="A153" s="107"/>
      <c r="B153" s="672"/>
      <c r="C153" s="524" t="str">
        <f>IF(COUNT(C152,C154)=2,IF(C152&gt;C154,B152,B154),"")</f>
        <v>Ljudmila Varendi, Viktor Švarõgin</v>
      </c>
      <c r="D153" s="234"/>
      <c r="E153" s="110">
        <v>13</v>
      </c>
      <c r="F153" s="88"/>
      <c r="G153" s="99"/>
      <c r="H153" s="379" t="s">
        <v>54</v>
      </c>
      <c r="I153" s="99"/>
    </row>
    <row r="154" spans="1:9" x14ac:dyDescent="0.2">
      <c r="A154" s="107" t="s">
        <v>118</v>
      </c>
      <c r="B154" s="525" t="str">
        <f>IFERROR(INDEX(B$1:B$100,MATCH(A154,I$1:I$100,0)),"")</f>
        <v>Ljudmila Varendi, Viktor Švarõgin</v>
      </c>
      <c r="C154" s="110">
        <f>IF(B154="-",0,IF(B152="-",13,""))</f>
        <v>13</v>
      </c>
      <c r="D154" s="88"/>
      <c r="E154" s="99"/>
      <c r="F154" s="99"/>
      <c r="G154" s="99"/>
      <c r="H154" s="88"/>
      <c r="I154" s="88"/>
    </row>
    <row r="155" spans="1:9" x14ac:dyDescent="0.2">
      <c r="A155" s="87"/>
      <c r="B155" s="407"/>
      <c r="C155" s="88"/>
      <c r="D155" s="88"/>
      <c r="E155" s="217" t="str">
        <f>IF(COUNT(E141,E145)=2,IF(E141&lt;E145,C141,C145),"")</f>
        <v>Enn Tokman, Tarmo Bombe</v>
      </c>
      <c r="F155" s="88"/>
      <c r="G155" s="120">
        <v>13</v>
      </c>
      <c r="H155" s="88"/>
      <c r="I155" s="88"/>
    </row>
    <row r="156" spans="1:9" ht="13.5" thickBot="1" x14ac:dyDescent="0.25">
      <c r="A156" s="88"/>
      <c r="B156" s="88"/>
      <c r="C156" s="88"/>
      <c r="D156" s="88"/>
      <c r="E156" s="674"/>
      <c r="F156" s="671"/>
      <c r="G156" s="119"/>
      <c r="H156" s="184" t="str">
        <f>IF(COUNT(G155,G157)=2,IF(G155&gt;G157,E155,E157),"")</f>
        <v>Enn Tokman, Tarmo Bombe</v>
      </c>
      <c r="I156" s="119"/>
    </row>
    <row r="157" spans="1:9" x14ac:dyDescent="0.2">
      <c r="A157" s="88"/>
      <c r="B157" s="88"/>
      <c r="C157" s="88"/>
      <c r="D157" s="88"/>
      <c r="E157" s="528" t="str">
        <f>IF(COUNT(E149,E153)=2,IF(E149&lt;E153,C149,C153),"")</f>
        <v>Klavdia Piik, Melika Lehtla</v>
      </c>
      <c r="F157" s="234"/>
      <c r="G157" s="110">
        <v>8</v>
      </c>
      <c r="H157" s="121" t="s">
        <v>55</v>
      </c>
      <c r="I157" s="99"/>
    </row>
    <row r="158" spans="1:9" x14ac:dyDescent="0.2">
      <c r="A158" s="88"/>
      <c r="B158" s="88"/>
      <c r="C158" s="88"/>
      <c r="D158" s="88"/>
      <c r="E158" s="88"/>
      <c r="F158" s="88"/>
      <c r="G158" s="88"/>
      <c r="H158" s="99"/>
      <c r="I158" s="99"/>
    </row>
    <row r="159" spans="1:9" ht="13.5" thickBot="1" x14ac:dyDescent="0.25">
      <c r="A159" s="88"/>
      <c r="B159" s="88"/>
      <c r="C159" s="88"/>
      <c r="D159" s="88"/>
      <c r="E159" s="99"/>
      <c r="F159" s="99"/>
      <c r="G159" s="88"/>
      <c r="H159" s="184" t="str">
        <f>IF(COUNT(G155,G157)=2,IF(G155&lt;G157,E155,E157),"")</f>
        <v>Klavdia Piik, Melika Lehtla</v>
      </c>
      <c r="I159" s="119"/>
    </row>
    <row r="160" spans="1:9" x14ac:dyDescent="0.2">
      <c r="A160" s="88"/>
      <c r="B160" s="88"/>
      <c r="C160" s="88"/>
      <c r="D160" s="88"/>
      <c r="E160" s="88"/>
      <c r="F160" s="88"/>
      <c r="G160" s="88"/>
      <c r="H160" s="87" t="s">
        <v>56</v>
      </c>
      <c r="I160" s="88"/>
    </row>
    <row r="161" spans="1:9" x14ac:dyDescent="0.2">
      <c r="A161" s="88"/>
      <c r="B161" s="88"/>
      <c r="C161" s="528" t="str">
        <f>IF(COUNT(C140,C142)=2,IF(C140&lt;C142,B140,B142),"")</f>
        <v>-</v>
      </c>
      <c r="D161" s="88"/>
      <c r="E161" s="120">
        <f>IF(C161="-",0,IF(C163="-",13,""))</f>
        <v>0</v>
      </c>
      <c r="F161" s="120"/>
      <c r="G161" s="120"/>
      <c r="H161" s="88"/>
      <c r="I161" s="88"/>
    </row>
    <row r="162" spans="1:9" x14ac:dyDescent="0.2">
      <c r="A162" s="88"/>
      <c r="B162" s="88"/>
      <c r="C162" s="675"/>
      <c r="D162" s="676"/>
      <c r="E162" s="524" t="str">
        <f>IF(COUNT(E161,E163)=2,IF(E161&gt;E163,C161,C163),"")</f>
        <v>Kenneth Muusikus, Peep Peenema</v>
      </c>
      <c r="F162" s="88"/>
      <c r="G162" s="120">
        <f>IF(E162="-",0,IF(E166="-",13,""))</f>
        <v>13</v>
      </c>
      <c r="H162" s="88"/>
      <c r="I162" s="88"/>
    </row>
    <row r="163" spans="1:9" x14ac:dyDescent="0.2">
      <c r="A163" s="88"/>
      <c r="B163" s="88"/>
      <c r="C163" s="528" t="str">
        <f>IF(COUNT(C144,C146)=2,IF(C144&lt;C146,B144,B146),"")</f>
        <v>Kenneth Muusikus, Peep Peenema</v>
      </c>
      <c r="D163" s="529"/>
      <c r="E163" s="110">
        <f>IF(C163="-",0,IF(C161="-",13,""))</f>
        <v>13</v>
      </c>
      <c r="F163" s="676"/>
      <c r="G163" s="120"/>
      <c r="H163" s="88"/>
      <c r="I163" s="88"/>
    </row>
    <row r="164" spans="1:9" ht="13.5" thickBot="1" x14ac:dyDescent="0.25">
      <c r="A164" s="88"/>
      <c r="B164" s="88"/>
      <c r="C164" s="120"/>
      <c r="D164" s="120"/>
      <c r="E164" s="113"/>
      <c r="F164" s="221"/>
      <c r="G164" s="120"/>
      <c r="H164" s="184" t="str">
        <f>IF(COUNT(G162,G166)=2,IF(G162&gt;G166,E162,E166),"")</f>
        <v>Kenneth Muusikus, Peep Peenema</v>
      </c>
      <c r="I164" s="88"/>
    </row>
    <row r="165" spans="1:9" x14ac:dyDescent="0.2">
      <c r="A165" s="88"/>
      <c r="B165" s="88"/>
      <c r="C165" s="528" t="str">
        <f>IF(COUNT(C148,C150)=2,IF(C148&lt;C150,B148,B150),"")</f>
        <v>-</v>
      </c>
      <c r="D165" s="120"/>
      <c r="E165" s="120">
        <f>IF(C165="-",0,IF(C167="-",13,""))</f>
        <v>0</v>
      </c>
      <c r="F165" s="221"/>
      <c r="G165" s="549"/>
      <c r="H165" s="379" t="s">
        <v>57</v>
      </c>
      <c r="I165" s="378"/>
    </row>
    <row r="166" spans="1:9" x14ac:dyDescent="0.2">
      <c r="A166" s="88"/>
      <c r="B166" s="88"/>
      <c r="C166" s="675"/>
      <c r="D166" s="676"/>
      <c r="E166" s="524" t="str">
        <f>IF(COUNT(E165,E167)=2,IF(E165&gt;E167,C165,C167),"")</f>
        <v>-</v>
      </c>
      <c r="F166" s="234"/>
      <c r="G166" s="110">
        <f>IF(E166="-",0,IF(E162="-",13,""))</f>
        <v>0</v>
      </c>
      <c r="H166" s="88"/>
      <c r="I166" s="88"/>
    </row>
    <row r="167" spans="1:9" ht="13.5" thickBot="1" x14ac:dyDescent="0.25">
      <c r="A167" s="88"/>
      <c r="B167" s="88"/>
      <c r="C167" s="528" t="str">
        <f>IF(COUNT(C152,C154)=2,IF(C152&lt;C154,B152,B154),"")</f>
        <v>-</v>
      </c>
      <c r="D167" s="529"/>
      <c r="E167" s="110">
        <f>IF(C167="-",0,IF(C165="-",13,""))</f>
        <v>0</v>
      </c>
      <c r="F167" s="120"/>
      <c r="G167" s="113"/>
      <c r="H167" s="184" t="str">
        <f>IF(COUNT(G162,G166)=2,IF(G162&lt;G166,E162,E166),"")</f>
        <v>-</v>
      </c>
      <c r="I167" s="119"/>
    </row>
    <row r="168" spans="1:9" x14ac:dyDescent="0.2">
      <c r="A168" s="88"/>
      <c r="B168" s="88"/>
      <c r="C168" s="120"/>
      <c r="D168" s="120"/>
      <c r="E168" s="120"/>
      <c r="F168" s="120"/>
      <c r="G168" s="113"/>
      <c r="H168" s="379"/>
      <c r="I168" s="99"/>
    </row>
    <row r="169" spans="1:9" x14ac:dyDescent="0.2">
      <c r="A169" s="88"/>
      <c r="B169" s="88"/>
      <c r="C169" s="120"/>
      <c r="D169" s="113"/>
      <c r="E169" s="217" t="str">
        <f>IF(COUNT(E161,E163)=2,IF(E161&lt;E163,C161,C163),"")</f>
        <v>-</v>
      </c>
      <c r="F169" s="88"/>
      <c r="G169" s="120">
        <f>IF(E169="-",0,IF(E171="-",13,""))</f>
        <v>0</v>
      </c>
      <c r="H169" s="99"/>
      <c r="I169" s="99"/>
    </row>
    <row r="170" spans="1:9" ht="13.5" thickBot="1" x14ac:dyDescent="0.25">
      <c r="A170" s="88"/>
      <c r="B170" s="88"/>
      <c r="C170" s="120"/>
      <c r="D170" s="113"/>
      <c r="E170" s="674"/>
      <c r="F170" s="671"/>
      <c r="G170" s="119"/>
      <c r="H170" s="184" t="str">
        <f>IF(COUNT(G169,G171)=2,IF(G169&gt;G171,E169,E171),"")</f>
        <v>-</v>
      </c>
      <c r="I170" s="119"/>
    </row>
    <row r="171" spans="1:9" x14ac:dyDescent="0.2">
      <c r="A171" s="88"/>
      <c r="B171" s="88"/>
      <c r="C171" s="120"/>
      <c r="D171" s="113"/>
      <c r="E171" s="528" t="str">
        <f>IF(COUNT(E165,E167)=2,IF(E165&lt;E167,C165,C167),"")</f>
        <v>-</v>
      </c>
      <c r="F171" s="234"/>
      <c r="G171" s="110">
        <f>IF(E171="-",0,IF(E169="-",13,""))</f>
        <v>0</v>
      </c>
      <c r="H171" s="121"/>
      <c r="I171" s="99"/>
    </row>
    <row r="172" spans="1:9" x14ac:dyDescent="0.2">
      <c r="A172" s="88"/>
      <c r="B172" s="88"/>
      <c r="C172" s="88"/>
      <c r="D172" s="99"/>
      <c r="E172" s="88"/>
      <c r="F172" s="88"/>
      <c r="G172" s="88"/>
      <c r="H172" s="99"/>
      <c r="I172" s="99"/>
    </row>
    <row r="173" spans="1:9" ht="13.5" thickBot="1" x14ac:dyDescent="0.25">
      <c r="A173" s="88"/>
      <c r="B173" s="88"/>
      <c r="C173" s="88"/>
      <c r="D173" s="88"/>
      <c r="E173" s="99"/>
      <c r="F173" s="99"/>
      <c r="G173" s="88"/>
      <c r="H173" s="119" t="str">
        <f>IF(COUNT(G169,G171)=2,IF(G169&lt;G171,E169,E171),"")</f>
        <v>-</v>
      </c>
      <c r="I173" s="119"/>
    </row>
    <row r="174" spans="1:9" x14ac:dyDescent="0.2">
      <c r="A174" s="95"/>
      <c r="B174" s="410"/>
      <c r="C174" s="97"/>
      <c r="D174" s="97"/>
      <c r="E174" s="97"/>
      <c r="F174" s="97"/>
      <c r="G174" s="402"/>
      <c r="H174" s="227"/>
      <c r="I174" s="188"/>
    </row>
    <row r="176" spans="1:9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spans="1:3" hidden="1" x14ac:dyDescent="0.2"/>
    <row r="290" spans="1:3" hidden="1" x14ac:dyDescent="0.2"/>
    <row r="291" spans="1:3" hidden="1" x14ac:dyDescent="0.2"/>
    <row r="292" spans="1:3" hidden="1" x14ac:dyDescent="0.2"/>
    <row r="293" spans="1:3" hidden="1" x14ac:dyDescent="0.2"/>
    <row r="294" spans="1:3" hidden="1" x14ac:dyDescent="0.2"/>
    <row r="295" spans="1:3" hidden="1" x14ac:dyDescent="0.2"/>
    <row r="296" spans="1:3" hidden="1" x14ac:dyDescent="0.2"/>
    <row r="297" spans="1:3" hidden="1" x14ac:dyDescent="0.2"/>
    <row r="298" spans="1:3" hidden="1" x14ac:dyDescent="0.2"/>
    <row r="299" spans="1:3" x14ac:dyDescent="0.2">
      <c r="C299" s="264" t="s">
        <v>263</v>
      </c>
    </row>
    <row r="300" spans="1:3" x14ac:dyDescent="0.2">
      <c r="A300" s="424">
        <v>1</v>
      </c>
      <c r="B300" s="124" t="str">
        <f t="shared" ref="B300:B310" si="15">IFERROR(INDEX(H$100:H$300,MATCH(A300&amp;". koht",H$101:H$301,0)),"")</f>
        <v>Boriss Klubov, Elmo Lageda</v>
      </c>
      <c r="C300" s="88">
        <f>MAX(A300:A390)</f>
        <v>11</v>
      </c>
    </row>
    <row r="301" spans="1:3" x14ac:dyDescent="0.2">
      <c r="A301" s="424">
        <v>2</v>
      </c>
      <c r="B301" s="615" t="str">
        <f t="shared" si="15"/>
        <v>Aigi Orro, Svetlana Veski</v>
      </c>
      <c r="C301" s="88">
        <f t="shared" ref="C301:C310" si="16">C300-1</f>
        <v>10</v>
      </c>
    </row>
    <row r="302" spans="1:3" x14ac:dyDescent="0.2">
      <c r="A302" s="424">
        <v>3</v>
      </c>
      <c r="B302" s="616" t="str">
        <f t="shared" si="15"/>
        <v>Andres Viisitam, Tõnu Piik</v>
      </c>
      <c r="C302" s="88">
        <f t="shared" si="16"/>
        <v>9</v>
      </c>
    </row>
    <row r="303" spans="1:3" x14ac:dyDescent="0.2">
      <c r="A303" s="424">
        <v>4</v>
      </c>
      <c r="B303" s="665" t="str">
        <f t="shared" si="15"/>
        <v>Einar Juhkam, Johannes Neiland</v>
      </c>
      <c r="C303" s="88">
        <f t="shared" si="16"/>
        <v>8</v>
      </c>
    </row>
    <row r="304" spans="1:3" x14ac:dyDescent="0.2">
      <c r="A304" s="424">
        <v>5</v>
      </c>
      <c r="B304" s="665" t="str">
        <f t="shared" si="15"/>
        <v>Illar Tõnurist, Jaan Sepp</v>
      </c>
      <c r="C304" s="88">
        <f t="shared" si="16"/>
        <v>7</v>
      </c>
    </row>
    <row r="305" spans="1:6" x14ac:dyDescent="0.2">
      <c r="A305" s="424">
        <v>6</v>
      </c>
      <c r="B305" s="665" t="str">
        <f t="shared" si="15"/>
        <v>Henri Mitt, Taavi Press</v>
      </c>
      <c r="C305" s="88">
        <f t="shared" si="16"/>
        <v>6</v>
      </c>
    </row>
    <row r="306" spans="1:6" x14ac:dyDescent="0.2">
      <c r="A306" s="424">
        <v>7</v>
      </c>
      <c r="B306" s="665" t="str">
        <f t="shared" si="15"/>
        <v>Ljudmila Varendi, Viktor Švarõgin</v>
      </c>
      <c r="C306" s="88">
        <f t="shared" si="16"/>
        <v>5</v>
      </c>
    </row>
    <row r="307" spans="1:6" x14ac:dyDescent="0.2">
      <c r="A307" s="424">
        <v>8</v>
      </c>
      <c r="B307" s="665" t="str">
        <f t="shared" si="15"/>
        <v>Karla Purgats, Lemmit Toomra</v>
      </c>
      <c r="C307" s="88">
        <f t="shared" si="16"/>
        <v>4</v>
      </c>
      <c r="E307" s="188"/>
      <c r="F307" s="188"/>
    </row>
    <row r="308" spans="1:6" x14ac:dyDescent="0.2">
      <c r="A308" s="424">
        <v>9</v>
      </c>
      <c r="B308" s="665" t="str">
        <f t="shared" si="15"/>
        <v>Enn Tokman, Tarmo Bombe</v>
      </c>
      <c r="C308" s="88">
        <f t="shared" si="16"/>
        <v>3</v>
      </c>
      <c r="E308" s="188"/>
      <c r="F308" s="188"/>
    </row>
    <row r="309" spans="1:6" x14ac:dyDescent="0.2">
      <c r="A309" s="424">
        <v>10</v>
      </c>
      <c r="B309" s="665" t="str">
        <f t="shared" si="15"/>
        <v>Klavdia Piik, Melika Lehtla</v>
      </c>
      <c r="C309" s="88">
        <f t="shared" si="16"/>
        <v>2</v>
      </c>
      <c r="E309" s="188"/>
      <c r="F309" s="215"/>
    </row>
    <row r="310" spans="1:6" x14ac:dyDescent="0.2">
      <c r="A310" s="424">
        <v>11</v>
      </c>
      <c r="B310" s="665" t="str">
        <f t="shared" si="15"/>
        <v>Kenneth Muusikus, Peep Peenema</v>
      </c>
      <c r="C310" s="88">
        <f t="shared" si="16"/>
        <v>1</v>
      </c>
      <c r="E310" s="188"/>
      <c r="F310" s="212"/>
    </row>
  </sheetData>
  <conditionalFormatting sqref="S7:S11 W7:W11 Y7:Y11 Y14:Y18 W14:W18 S14:S18 S21:S25 W21:W25 Y21:Y25">
    <cfRule type="expression" dxfId="1211" priority="146">
      <formula>AND(T7="",COUNTIF(S7,"*,*")=0)</formula>
    </cfRule>
  </conditionalFormatting>
  <conditionalFormatting sqref="U7:U11 U14:U18 U21:U25">
    <cfRule type="expression" dxfId="1210" priority="144">
      <formula>AND(V7="",FIND(",",U7))</formula>
    </cfRule>
    <cfRule type="expression" dxfId="1209" priority="145">
      <formula>AND(V7="",COUNTIF(U7,"*,*")=0)</formula>
    </cfRule>
  </conditionalFormatting>
  <conditionalFormatting sqref="C40">
    <cfRule type="aboveAverage" dxfId="1208" priority="129"/>
  </conditionalFormatting>
  <conditionalFormatting sqref="D40">
    <cfRule type="aboveAverage" dxfId="1207" priority="127"/>
  </conditionalFormatting>
  <conditionalFormatting sqref="E40">
    <cfRule type="aboveAverage" dxfId="1206" priority="125"/>
  </conditionalFormatting>
  <conditionalFormatting sqref="F40">
    <cfRule type="aboveAverage" dxfId="1205" priority="124"/>
  </conditionalFormatting>
  <conditionalFormatting sqref="I10:I11">
    <cfRule type="expression" dxfId="1204" priority="122">
      <formula>FIND(2,I10,1)</formula>
    </cfRule>
    <cfRule type="expression" dxfId="1203" priority="123">
      <formula>FIND(1,I10,1)</formula>
    </cfRule>
  </conditionalFormatting>
  <conditionalFormatting sqref="I40 I48:I53">
    <cfRule type="expression" dxfId="1202" priority="120">
      <formula>FIND(2,I40,1)</formula>
    </cfRule>
    <cfRule type="expression" dxfId="1201" priority="121">
      <formula>FIND(1,I40,1)</formula>
    </cfRule>
  </conditionalFormatting>
  <conditionalFormatting sqref="I7:I9">
    <cfRule type="expression" dxfId="1200" priority="116">
      <formula>FIND(2,I7,1)</formula>
    </cfRule>
    <cfRule type="expression" dxfId="1199" priority="117">
      <formula>FIND(1,I7,1)</formula>
    </cfRule>
  </conditionalFormatting>
  <conditionalFormatting sqref="I14:I18">
    <cfRule type="expression" dxfId="1198" priority="114">
      <formula>FIND(2,I14,1)</formula>
    </cfRule>
    <cfRule type="expression" dxfId="1197" priority="115">
      <formula>FIND(1,I14,1)</formula>
    </cfRule>
  </conditionalFormatting>
  <conditionalFormatting sqref="G40 G48:G53">
    <cfRule type="expression" dxfId="1196" priority="110">
      <formula>FIND(2,G40,1)</formula>
    </cfRule>
    <cfRule type="expression" dxfId="1195" priority="111">
      <formula>FIND(1,G40,1)</formula>
    </cfRule>
  </conditionalFormatting>
  <conditionalFormatting sqref="D14 C15">
    <cfRule type="aboveAverage" dxfId="1194" priority="109"/>
  </conditionalFormatting>
  <conditionalFormatting sqref="E14 C16">
    <cfRule type="aboveAverage" dxfId="1193" priority="108"/>
  </conditionalFormatting>
  <conditionalFormatting sqref="F14 C17">
    <cfRule type="aboveAverage" dxfId="1192" priority="107"/>
  </conditionalFormatting>
  <conditionalFormatting sqref="E15 D16">
    <cfRule type="aboveAverage" dxfId="1191" priority="106"/>
  </conditionalFormatting>
  <conditionalFormatting sqref="G14 C18">
    <cfRule type="aboveAverage" dxfId="1190" priority="105"/>
  </conditionalFormatting>
  <conditionalFormatting sqref="F15 D17">
    <cfRule type="aboveAverage" dxfId="1189" priority="104"/>
  </conditionalFormatting>
  <conditionalFormatting sqref="G15 D18">
    <cfRule type="aboveAverage" dxfId="1188" priority="103"/>
  </conditionalFormatting>
  <conditionalFormatting sqref="F16 E17">
    <cfRule type="aboveAverage" dxfId="1187" priority="102"/>
  </conditionalFormatting>
  <conditionalFormatting sqref="G16 E18">
    <cfRule type="aboveAverage" dxfId="1186" priority="101"/>
  </conditionalFormatting>
  <conditionalFormatting sqref="F18 G17">
    <cfRule type="aboveAverage" dxfId="1185" priority="100"/>
  </conditionalFormatting>
  <conditionalFormatting sqref="D7 C8">
    <cfRule type="aboveAverage" dxfId="1184" priority="99"/>
  </conditionalFormatting>
  <conditionalFormatting sqref="E7 C9">
    <cfRule type="aboveAverage" dxfId="1183" priority="98"/>
  </conditionalFormatting>
  <conditionalFormatting sqref="F7 C10">
    <cfRule type="aboveAverage" dxfId="1182" priority="97"/>
  </conditionalFormatting>
  <conditionalFormatting sqref="E8 D9">
    <cfRule type="aboveAverage" dxfId="1181" priority="96"/>
  </conditionalFormatting>
  <conditionalFormatting sqref="G7 C11">
    <cfRule type="aboveAverage" dxfId="1180" priority="95"/>
  </conditionalFormatting>
  <conditionalFormatting sqref="F8 D10">
    <cfRule type="aboveAverage" dxfId="1179" priority="94"/>
  </conditionalFormatting>
  <conditionalFormatting sqref="G8 D11">
    <cfRule type="aboveAverage" dxfId="1178" priority="93"/>
  </conditionalFormatting>
  <conditionalFormatting sqref="F9 E10">
    <cfRule type="aboveAverage" dxfId="1177" priority="92"/>
  </conditionalFormatting>
  <conditionalFormatting sqref="G9 E11">
    <cfRule type="aboveAverage" dxfId="1176" priority="91"/>
  </conditionalFormatting>
  <conditionalFormatting sqref="F11 G10">
    <cfRule type="aboveAverage" dxfId="1175" priority="90"/>
  </conditionalFormatting>
  <conditionalFormatting sqref="I21:I25">
    <cfRule type="expression" dxfId="1174" priority="88">
      <formula>FIND(2,I21,1)</formula>
    </cfRule>
    <cfRule type="expression" dxfId="1173" priority="89">
      <formula>FIND(1,I21,1)</formula>
    </cfRule>
  </conditionalFormatting>
  <conditionalFormatting sqref="D21 C22">
    <cfRule type="aboveAverage" dxfId="1172" priority="87"/>
  </conditionalFormatting>
  <conditionalFormatting sqref="E21 C23">
    <cfRule type="aboveAverage" dxfId="1171" priority="86"/>
  </conditionalFormatting>
  <conditionalFormatting sqref="F21 C24">
    <cfRule type="aboveAverage" dxfId="1170" priority="85"/>
  </conditionalFormatting>
  <conditionalFormatting sqref="E22 D23">
    <cfRule type="aboveAverage" dxfId="1169" priority="84"/>
  </conditionalFormatting>
  <conditionalFormatting sqref="G21 C25">
    <cfRule type="aboveAverage" dxfId="1168" priority="83"/>
  </conditionalFormatting>
  <conditionalFormatting sqref="F22 D24">
    <cfRule type="aboveAverage" dxfId="1167" priority="82"/>
  </conditionalFormatting>
  <conditionalFormatting sqref="G22 D25">
    <cfRule type="aboveAverage" dxfId="1166" priority="81"/>
  </conditionalFormatting>
  <conditionalFormatting sqref="F23 E24">
    <cfRule type="aboveAverage" dxfId="1165" priority="80"/>
  </conditionalFormatting>
  <conditionalFormatting sqref="G23 E25">
    <cfRule type="aboveAverage" dxfId="1164" priority="79"/>
  </conditionalFormatting>
  <conditionalFormatting sqref="F25 G24">
    <cfRule type="aboveAverage" dxfId="1163" priority="78"/>
  </conditionalFormatting>
  <conditionalFormatting sqref="K14:K18">
    <cfRule type="expression" dxfId="1162" priority="66">
      <formula>AND(J14=3,IF(COUNTIF(J$14:J$18,"=3")&gt;=2,TRUE))</formula>
    </cfRule>
    <cfRule type="expression" dxfId="1161" priority="76">
      <formula>AND(J14=1,IF(COUNTIF(J$14:J$18,"=1")&gt;=2,TRUE))</formula>
    </cfRule>
    <cfRule type="expression" dxfId="1160" priority="77">
      <formula>AND(J14=2,IF(COUNTIF(J$14:J$18,"=2")&gt;=2,TRUE))</formula>
    </cfRule>
  </conditionalFormatting>
  <conditionalFormatting sqref="K21:K25">
    <cfRule type="expression" dxfId="1159" priority="65">
      <formula>AND(J21=3,IF(COUNTIF(J$21:J$25,"=3")&gt;=2,TRUE))</formula>
    </cfRule>
    <cfRule type="expression" dxfId="1158" priority="74">
      <formula>AND(J21=1,IF(COUNTIF(J$21:J$25,"=1")&gt;=2,TRUE))</formula>
    </cfRule>
    <cfRule type="expression" dxfId="1157" priority="75">
      <formula>AND(J21=2,IF(COUNTIF(J$21:J$25,"=2")&gt;=2,TRUE))</formula>
    </cfRule>
  </conditionalFormatting>
  <conditionalFormatting sqref="K7:K11">
    <cfRule type="expression" dxfId="1156" priority="67">
      <formula>AND(J7=3,IF(COUNTIF(J$7:J$11,"=3")&gt;=2,TRUE))</formula>
    </cfRule>
    <cfRule type="expression" dxfId="1155" priority="68">
      <formula>AND(J7=1,IF(COUNTIF(J$7:J$11,"=1")&gt;=2,TRUE))</formula>
    </cfRule>
    <cfRule type="expression" dxfId="1154" priority="69">
      <formula>AND(J7=2,IF(COUNTIF(J$7:J$11,"=2")&gt;=2,TRUE))</formula>
    </cfRule>
  </conditionalFormatting>
  <conditionalFormatting sqref="L14:L18">
    <cfRule type="expression" dxfId="1153" priority="57">
      <formula>OR(J14=0,J14=4)</formula>
    </cfRule>
    <cfRule type="expression" dxfId="1152" priority="61">
      <formula>AND(J14=1,IF(COUNTIF(J$14:J$18,"=1")=1,TRUE))</formula>
    </cfRule>
    <cfRule type="expression" dxfId="1151" priority="62">
      <formula>AND(J14=3,IF(COUNTIF(J$14:J$18,"=3")=1,TRUE))</formula>
    </cfRule>
  </conditionalFormatting>
  <conditionalFormatting sqref="L21:L25">
    <cfRule type="expression" dxfId="1150" priority="58">
      <formula>OR(J21=0,J21=4)</formula>
    </cfRule>
    <cfRule type="expression" dxfId="1149" priority="59">
      <formula>AND(J21=1,IF(COUNTIF(J$21:J$25,"=1")=1,TRUE))</formula>
    </cfRule>
    <cfRule type="expression" dxfId="1148" priority="60">
      <formula>AND(J21=3,IF(COUNTIF(J$21:J$25,"=3")=1,TRUE))</formula>
    </cfRule>
  </conditionalFormatting>
  <conditionalFormatting sqref="L7:L11">
    <cfRule type="expression" dxfId="1147" priority="54">
      <formula>OR(J7=0,J7=4)</formula>
    </cfRule>
    <cfRule type="expression" dxfId="1146" priority="55">
      <formula>AND(J7=1,IF(COUNTIF(J$7:J$11,"=1")=1,TRUE))</formula>
    </cfRule>
    <cfRule type="expression" dxfId="1145" priority="56">
      <formula>AND(J7=3,IF(COUNTIF(J$7:J$11,"=3")=1,TRUE))</formula>
    </cfRule>
  </conditionalFormatting>
  <conditionalFormatting sqref="H7:H11">
    <cfRule type="expression" dxfId="1144" priority="33">
      <formula>AND(J7=1,IF(COUNTIF(J$7:J$11,"=1")&gt;=2,TRUE))</formula>
    </cfRule>
    <cfRule type="expression" dxfId="1143" priority="46">
      <formula>AND(J7=3,IF(COUNTIF(J$7:J$11,"=3")&gt;=2,TRUE))</formula>
    </cfRule>
    <cfRule type="expression" dxfId="1142" priority="47">
      <formula>AND(J7=2,IF(COUNTIF(J$7:J$11,"=2")&gt;=2,TRUE))</formula>
    </cfRule>
  </conditionalFormatting>
  <conditionalFormatting sqref="H14:H18">
    <cfRule type="expression" dxfId="1141" priority="34">
      <formula>AND(J14=1,IF(COUNTIF(J$14:J$18,"=1")&gt;=2,TRUE))</formula>
    </cfRule>
    <cfRule type="expression" dxfId="1140" priority="44">
      <formula>AND(J14=3,IF(COUNTIF(J$14:J$18,"=3")&gt;=2,TRUE))</formula>
    </cfRule>
    <cfRule type="expression" dxfId="1139" priority="45">
      <formula>AND(J14=2,IF(COUNTIF(J$14:J$18,"=2")&gt;=2,TRUE))</formula>
    </cfRule>
  </conditionalFormatting>
  <conditionalFormatting sqref="H21:H25">
    <cfRule type="expression" dxfId="1138" priority="35">
      <formula>AND(J21=1,IF(COUNTIF(J$21:J$25,"=1")&gt;=2,TRUE))</formula>
    </cfRule>
    <cfRule type="expression" dxfId="1137" priority="42">
      <formula>AND(J21=3,IF(COUNTIF(J$21:J$25,"=3")&gt;=2,TRUE))</formula>
    </cfRule>
    <cfRule type="expression" dxfId="1136" priority="43">
      <formula>AND(J21=2,IF(COUNTIF(J$21:J$25,"=2")&gt;=2,TRUE))</formula>
    </cfRule>
  </conditionalFormatting>
  <conditionalFormatting sqref="A102:A116">
    <cfRule type="cellIs" dxfId="1135" priority="17" operator="equal">
      <formula>"-"</formula>
    </cfRule>
    <cfRule type="duplicateValues" dxfId="1134" priority="32"/>
  </conditionalFormatting>
  <conditionalFormatting sqref="E123 E125">
    <cfRule type="aboveAverage" dxfId="1133" priority="31"/>
  </conditionalFormatting>
  <conditionalFormatting sqref="E127 E129">
    <cfRule type="aboveAverage" dxfId="1132" priority="30"/>
  </conditionalFormatting>
  <conditionalFormatting sqref="G124 G128">
    <cfRule type="aboveAverage" dxfId="1131" priority="29"/>
  </conditionalFormatting>
  <conditionalFormatting sqref="G131 G133">
    <cfRule type="aboveAverage" dxfId="1130" priority="28"/>
  </conditionalFormatting>
  <conditionalFormatting sqref="E123 E125 E127 E129 G124 G128 G131 G133">
    <cfRule type="containsBlanks" dxfId="1129" priority="27">
      <formula>LEN(TRIM(E123))=0</formula>
    </cfRule>
  </conditionalFormatting>
  <conditionalFormatting sqref="C102 C104">
    <cfRule type="aboveAverage" dxfId="1128" priority="26"/>
  </conditionalFormatting>
  <conditionalFormatting sqref="C106 C108">
    <cfRule type="aboveAverage" dxfId="1127" priority="25"/>
  </conditionalFormatting>
  <conditionalFormatting sqref="E103 E107">
    <cfRule type="aboveAverage" dxfId="1126" priority="24"/>
  </conditionalFormatting>
  <conditionalFormatting sqref="C110 C112">
    <cfRule type="aboveAverage" dxfId="1125" priority="23"/>
  </conditionalFormatting>
  <conditionalFormatting sqref="C114 C116">
    <cfRule type="aboveAverage" dxfId="1124" priority="22"/>
  </conditionalFormatting>
  <conditionalFormatting sqref="E111 E115">
    <cfRule type="aboveAverage" dxfId="1123" priority="21"/>
  </conditionalFormatting>
  <conditionalFormatting sqref="G105 G113">
    <cfRule type="aboveAverage" dxfId="1122" priority="20"/>
  </conditionalFormatting>
  <conditionalFormatting sqref="G117 G119">
    <cfRule type="aboveAverage" dxfId="1121" priority="19"/>
  </conditionalFormatting>
  <conditionalFormatting sqref="C102 C104 C106 C108 C110 C112 C114 C116 E103 E107 E111 E115 G105 G113 G117 G119">
    <cfRule type="containsBlanks" dxfId="1120" priority="18">
      <formula>LEN(TRIM(C102))=0</formula>
    </cfRule>
  </conditionalFormatting>
  <conditionalFormatting sqref="A140:A154">
    <cfRule type="cellIs" dxfId="1119" priority="1" operator="equal">
      <formula>"-"</formula>
    </cfRule>
    <cfRule type="duplicateValues" dxfId="1118" priority="16"/>
  </conditionalFormatting>
  <conditionalFormatting sqref="E161 E163">
    <cfRule type="aboveAverage" dxfId="1117" priority="15"/>
  </conditionalFormatting>
  <conditionalFormatting sqref="E165 E167">
    <cfRule type="aboveAverage" dxfId="1116" priority="14"/>
  </conditionalFormatting>
  <conditionalFormatting sqref="G162 G166">
    <cfRule type="aboveAverage" dxfId="1115" priority="13"/>
  </conditionalFormatting>
  <conditionalFormatting sqref="G169 G171">
    <cfRule type="aboveAverage" dxfId="1114" priority="12"/>
  </conditionalFormatting>
  <conditionalFormatting sqref="E161 E163 E165 E167 G162 G166 G169 G171">
    <cfRule type="containsBlanks" dxfId="1113" priority="11">
      <formula>LEN(TRIM(E161))=0</formula>
    </cfRule>
  </conditionalFormatting>
  <conditionalFormatting sqref="C140 C142">
    <cfRule type="aboveAverage" dxfId="1112" priority="10"/>
  </conditionalFormatting>
  <conditionalFormatting sqref="C144 C146">
    <cfRule type="aboveAverage" dxfId="1111" priority="9"/>
  </conditionalFormatting>
  <conditionalFormatting sqref="E141 E145">
    <cfRule type="aboveAverage" dxfId="1110" priority="8"/>
  </conditionalFormatting>
  <conditionalFormatting sqref="C148 C150">
    <cfRule type="aboveAverage" dxfId="1109" priority="7"/>
  </conditionalFormatting>
  <conditionalFormatting sqref="C152 C154">
    <cfRule type="aboveAverage" dxfId="1108" priority="6"/>
  </conditionalFormatting>
  <conditionalFormatting sqref="E149 E153">
    <cfRule type="aboveAverage" dxfId="1107" priority="5"/>
  </conditionalFormatting>
  <conditionalFormatting sqref="G143 G151">
    <cfRule type="aboveAverage" dxfId="1106" priority="4"/>
  </conditionalFormatting>
  <conditionalFormatting sqref="G155 G157">
    <cfRule type="aboveAverage" dxfId="1105" priority="3"/>
  </conditionalFormatting>
  <conditionalFormatting sqref="C140 C142 C144 C146 C148 C150 C152 C154 E141 E145 E149 E153 G143 G151 G155 G157">
    <cfRule type="containsBlanks" dxfId="1104" priority="2">
      <formula>LEN(TRIM(C140))=0</formula>
    </cfRule>
  </conditionalFormatting>
  <conditionalFormatting sqref="B300:B310">
    <cfRule type="containsBlanks" dxfId="1103" priority="856">
      <formula>LEN(TRIM(B300))=0</formula>
    </cfRule>
    <cfRule type="duplicateValues" dxfId="1102" priority="857"/>
  </conditionalFormatting>
  <pageMargins left="0.78740157480314965" right="0.39370078740157483" top="0.78740157480314965" bottom="0.31496062992125984" header="0.59055118110236227" footer="0"/>
  <pageSetup paperSize="9" fitToHeight="0" orientation="landscape" horizontalDpi="1200" verticalDpi="1200" r:id="rId1"/>
  <headerFooter>
    <oddHeader>&amp;R&amp;"Arial,Regular"&amp;9Page &amp;P of &amp;N</oddHeader>
  </headerFooter>
  <rowBreaks count="2" manualBreakCount="2">
    <brk id="98" max="16383" man="1"/>
    <brk id="174" max="16383" man="1"/>
  </rowBreaks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A332"/>
  <sheetViews>
    <sheetView showGridLines="0" showRowColHeaders="0" zoomScaleNormal="100" workbookViewId="0">
      <pane ySplit="2" topLeftCell="A175" activePane="bottomLeft" state="frozen"/>
      <selection activeCell="G1" sqref="G1"/>
      <selection pane="bottomLeft" activeCell="O25" sqref="O25"/>
    </sheetView>
  </sheetViews>
  <sheetFormatPr defaultRowHeight="12.75" x14ac:dyDescent="0.2"/>
  <cols>
    <col min="1" max="1" width="5.5703125" style="139" customWidth="1"/>
    <col min="2" max="2" width="38.140625" style="139" bestFit="1" customWidth="1"/>
    <col min="3" max="9" width="8.28515625" style="139" customWidth="1"/>
    <col min="10" max="10" width="4.5703125" style="139" hidden="1" customWidth="1"/>
    <col min="11" max="11" width="3.5703125" style="139" hidden="1" customWidth="1"/>
    <col min="12" max="12" width="8.5703125" style="139" hidden="1" customWidth="1"/>
    <col min="13" max="13" width="4.28515625" style="139" customWidth="1"/>
    <col min="14" max="14" width="5.5703125" style="139" customWidth="1"/>
    <col min="15" max="15" width="31.7109375" style="139" bestFit="1" customWidth="1"/>
    <col min="16" max="16" width="9.140625" style="139"/>
    <col min="17" max="17" width="7.7109375" style="139" hidden="1" customWidth="1"/>
    <col min="18" max="18" width="17.140625" style="139" hidden="1" customWidth="1"/>
    <col min="19" max="19" width="6" style="139" hidden="1" customWidth="1"/>
    <col min="20" max="20" width="32.7109375" style="139" hidden="1" customWidth="1"/>
    <col min="21" max="21" width="6" style="139" hidden="1" customWidth="1"/>
    <col min="22" max="22" width="17.28515625" style="139" hidden="1" customWidth="1"/>
    <col min="23" max="23" width="6" style="139" hidden="1" customWidth="1"/>
    <col min="24" max="24" width="13.85546875" style="139" hidden="1" customWidth="1"/>
    <col min="25" max="25" width="6" style="139" hidden="1" customWidth="1"/>
    <col min="26" max="16384" width="9.140625" style="139"/>
  </cols>
  <sheetData>
    <row r="1" spans="1:26" x14ac:dyDescent="0.2">
      <c r="A1" s="86" t="str">
        <f>UPPER((Kalend!E32)&amp;" - "&amp;(Kalend!C32)&amp;" - "&amp;(Kalend!D32))</f>
        <v>EV100 - EESTI VABARIIGI 100. AASTAP. TURNIIR - DUO</v>
      </c>
      <c r="F1" s="51" t="str">
        <f>HYPERLINK("#'Kalend'!I1","Kalender")</f>
        <v>Kalender</v>
      </c>
      <c r="H1" s="51" t="str">
        <f>HYPERLINK("#'V'!AE1","Reiting")</f>
        <v>Reiting</v>
      </c>
      <c r="I1" s="88"/>
      <c r="J1" s="502" t="s">
        <v>380</v>
      </c>
      <c r="K1" s="504"/>
      <c r="L1" s="504"/>
      <c r="Q1" s="502" t="s">
        <v>380</v>
      </c>
      <c r="R1" s="504"/>
      <c r="S1" s="504"/>
      <c r="T1" s="503"/>
      <c r="U1" s="504"/>
      <c r="V1" s="504"/>
      <c r="W1" s="504"/>
      <c r="X1" s="504"/>
      <c r="Y1" s="504"/>
    </row>
    <row r="2" spans="1:26" x14ac:dyDescent="0.2">
      <c r="A2" s="186" t="str">
        <f>"Toimumisaeg: "&amp;(Kalend!A32)&amp;" kell "&amp;(Kalend!B32)</f>
        <v>Toimumisaeg: L, 24.02.2018 kell 11:00</v>
      </c>
      <c r="R2" s="314"/>
      <c r="T2" s="314"/>
    </row>
    <row r="3" spans="1:26" x14ac:dyDescent="0.2">
      <c r="A3" s="186" t="str">
        <f>"Toimumiskoht: "&amp;(Kalend!F32)</f>
        <v>Toimumiskoht: Voka petangihall</v>
      </c>
      <c r="R3" s="505" t="s">
        <v>381</v>
      </c>
      <c r="T3" s="314"/>
      <c r="V3" s="261"/>
    </row>
    <row r="4" spans="1:26" x14ac:dyDescent="0.2">
      <c r="A4" s="186" t="str">
        <f>"Korraldaja: "&amp;(Kalend!G32)</f>
        <v>Korraldaja: Johannes Neiland</v>
      </c>
      <c r="Q4" s="506" t="s">
        <v>36</v>
      </c>
      <c r="R4" s="507"/>
      <c r="S4" s="508"/>
      <c r="T4" s="509"/>
      <c r="U4" s="508"/>
      <c r="V4" s="508"/>
      <c r="W4" s="508"/>
      <c r="X4" s="508"/>
      <c r="Y4" s="508"/>
    </row>
    <row r="5" spans="1:26" x14ac:dyDescent="0.2">
      <c r="O5" s="188"/>
      <c r="Q5" s="506" t="s">
        <v>382</v>
      </c>
      <c r="R5" s="510" t="s">
        <v>383</v>
      </c>
      <c r="S5" s="510"/>
      <c r="T5" s="511" t="s">
        <v>384</v>
      </c>
      <c r="U5" s="510"/>
      <c r="V5" s="510" t="s">
        <v>385</v>
      </c>
      <c r="W5" s="510"/>
      <c r="X5" s="510" t="s">
        <v>386</v>
      </c>
      <c r="Y5" s="512"/>
    </row>
    <row r="6" spans="1:26" s="188" customFormat="1" x14ac:dyDescent="0.2">
      <c r="A6" s="126" t="s">
        <v>66</v>
      </c>
      <c r="B6" s="126"/>
      <c r="C6" s="91">
        <v>1</v>
      </c>
      <c r="D6" s="91">
        <v>2</v>
      </c>
      <c r="E6" s="91">
        <v>3</v>
      </c>
      <c r="F6" s="91"/>
      <c r="G6" s="91"/>
      <c r="H6" s="91" t="s">
        <v>73</v>
      </c>
      <c r="I6" s="91" t="s">
        <v>21</v>
      </c>
      <c r="J6" s="577" t="s">
        <v>273</v>
      </c>
      <c r="K6" s="578" t="s">
        <v>430</v>
      </c>
      <c r="L6" s="188" t="b">
        <f>OR(AND(COUNTA(B7:B11)=3,COUNTA(C7:G11)=6),AND(COUNTA(B7:B11)=4,COUNTA(C7:G11)=12),AND(COUNTA(B7:B11)=5,COUNTA(C7:G11)=20))</f>
        <v>0</v>
      </c>
      <c r="Q6" s="506" t="s">
        <v>387</v>
      </c>
      <c r="R6" s="507"/>
      <c r="S6" s="508"/>
      <c r="T6" s="507"/>
      <c r="U6" s="508"/>
      <c r="V6" s="513"/>
      <c r="W6" s="513"/>
      <c r="X6" s="513"/>
      <c r="Y6" s="513"/>
    </row>
    <row r="7" spans="1:26" s="188" customFormat="1" x14ac:dyDescent="0.2">
      <c r="A7" s="126">
        <v>1</v>
      </c>
      <c r="B7" s="708"/>
      <c r="C7" s="127"/>
      <c r="D7" s="93"/>
      <c r="E7" s="93"/>
      <c r="F7" s="93"/>
      <c r="G7" s="93"/>
      <c r="H7" s="576" t="str">
        <f>(IF(D7-C8&gt;0,1)+IF(E7-C9&gt;0,1)+IF(F7-C10&gt;0,1)+IF(G7-C11&gt;0,1))&amp;"-"&amp;(IF(D7-C8&lt;0,1)+IF(E7-C9&lt;0,1)+IF(F7-C10&lt;0,1)+IF(G7-C11&lt;0,1))</f>
        <v>0-0</v>
      </c>
      <c r="I7" s="93" t="str">
        <f>IF(AND(B7&lt;&gt;"",L$6=TRUE),A$6&amp;RANK(L7,L$7:L$11,0),"")</f>
        <v/>
      </c>
      <c r="J7" s="584">
        <f>VALUE(LEFT(H7,1))</f>
        <v>0</v>
      </c>
      <c r="K7" s="584">
        <f>IF(AND(J7=1,J8=1),D7-C8)+IF(AND(J7=1,J9=1),E7-C9)+IF(AND(J7=1,J10=1),F7-C10)+IF(AND(J7=1,J11=1),G7-C11)+IF(AND(J7=2,J8=2),D7-C8)+IF(AND(J7=2,J9=2),E7-C9)+IF(AND(J7=2,J10=2),F7-C10)+IF(AND(J7=2,J11=2),G7-C11)+IF(AND(J7=3,J8=3),D7-C8)+IF(AND(J7=3,J9=3),E7-C9)+IF(AND(J7=3,J10=3),F7-C10)+IF(AND(J7=3,J11=3),G7-C11)</f>
        <v>0</v>
      </c>
      <c r="L7" s="584">
        <f>1000*J7+K7</f>
        <v>0</v>
      </c>
      <c r="M7" s="632"/>
      <c r="N7" s="567"/>
      <c r="P7" s="319"/>
      <c r="Q7" s="512">
        <f>SUM(S7:Y7)</f>
        <v>0</v>
      </c>
      <c r="R7" s="514" t="str">
        <f t="shared" ref="R7:R32" si="0">IFERROR(LEFT($B7,(FIND(",",$B7,1)-1)),"")</f>
        <v/>
      </c>
      <c r="S7" s="515" t="str">
        <f>IFERROR(INDEX(V!$O:$O,MATCH(R7,V!$J:$J,0)),"")</f>
        <v/>
      </c>
      <c r="T7" s="514" t="str">
        <f t="shared" ref="T7:T32" si="1">IFERROR(MID($B7,FIND(", ",$B7)+2,256),"")</f>
        <v/>
      </c>
      <c r="U7" s="515" t="str">
        <f>IFERROR(INDEX(V!$O:$O,MATCH(T7,V!$J:$J,0)),"")</f>
        <v/>
      </c>
      <c r="V7" s="516" t="str">
        <f t="shared" ref="V7:V32" si="2">IFERROR(MID($B7,FIND("^",SUBSTITUTE($B7,", ","^",1))+2,FIND("^",SUBSTITUTE($B7,", ","^",2))-FIND("^",SUBSTITUTE($B7,", ","^",1))-2),"")</f>
        <v/>
      </c>
      <c r="W7" s="515" t="str">
        <f>IFERROR(INDEX(V!$O:$O,MATCH(V7,V!$J:$J,0)),"")</f>
        <v/>
      </c>
      <c r="X7" s="516" t="str">
        <f t="shared" ref="X7:X32" si="3">IFERROR(MID($B7,FIND(", ",$B7,FIND(", ",$B7,FIND(", ",$B7))+1)+2,30000),"")</f>
        <v/>
      </c>
      <c r="Y7" s="515" t="str">
        <f>IFERROR(INDEX(V!$O:$O,MATCH(X7,V!$J:$J,0)),"")</f>
        <v/>
      </c>
    </row>
    <row r="8" spans="1:26" s="188" customFormat="1" x14ac:dyDescent="0.2">
      <c r="A8" s="126">
        <v>2</v>
      </c>
      <c r="B8" s="581"/>
      <c r="C8" s="93"/>
      <c r="D8" s="127"/>
      <c r="E8" s="93"/>
      <c r="F8" s="93"/>
      <c r="G8" s="93"/>
      <c r="H8" s="576" t="str">
        <f>(IF(C8-D7&gt;0,1)+IF(E8-D9&gt;0,1)+IF(F8-D10&gt;0,1)+IF(G8-D11&gt;0,1))&amp;"-"&amp;(IF(C8-D7&lt;0,1)+IF(E8-D9&lt;0,1)+IF(F8-D10&lt;0,1)+IF(G8-D11&lt;0,1))</f>
        <v>0-0</v>
      </c>
      <c r="I8" s="93" t="str">
        <f>IF(AND(B8&lt;&gt;"",L$6=TRUE),A$6&amp;RANK(L8,L$7:L$11,0),"")</f>
        <v/>
      </c>
      <c r="J8" s="584">
        <f>VALUE(LEFT(H8,1))</f>
        <v>0</v>
      </c>
      <c r="K8" s="584">
        <f>IF(AND(J8=1,J7=1),C8-D7)+IF(AND(J8=1,J9=1),E8-D9)+IF(AND(J8=1,J10=1),F8-D10)+IF(AND(J8=1,J11=1),G8-D11)+IF(AND(J8=2,J7=2),C8-D7)+IF(AND(J8=2,J9=2),E8-D9)+IF(AND(J8=2,J10=2),F8-D10)+IF(AND(J8=2,J11=2),G8-D11)+IF(AND(J8=3,J7=3),C8-D7)+IF(AND(J8=3,J9=3),E8-D9)+IF(AND(J8=3,J10=3),F8-D10)+IF(AND(J8=3,J11=3),G8-D11)</f>
        <v>0</v>
      </c>
      <c r="L8" s="584">
        <f>1000*J8+K8</f>
        <v>0</v>
      </c>
      <c r="M8" s="632"/>
      <c r="N8" s="567"/>
      <c r="P8" s="319"/>
      <c r="Q8" s="512">
        <f t="shared" ref="Q8:Q32" si="4">SUM(S8:Y8)</f>
        <v>0</v>
      </c>
      <c r="R8" s="514" t="str">
        <f t="shared" si="0"/>
        <v/>
      </c>
      <c r="S8" s="515" t="str">
        <f>IFERROR(INDEX(V!$O:$O,MATCH(R8,V!$J:$J,0)),"")</f>
        <v/>
      </c>
      <c r="T8" s="514" t="str">
        <f t="shared" si="1"/>
        <v/>
      </c>
      <c r="U8" s="515" t="str">
        <f>IFERROR(INDEX(V!$O:$O,MATCH(T8,V!$J:$J,0)),"")</f>
        <v/>
      </c>
      <c r="V8" s="516" t="str">
        <f t="shared" si="2"/>
        <v/>
      </c>
      <c r="W8" s="515" t="str">
        <f>IFERROR(INDEX(V!$O:$O,MATCH(V8,V!$J:$J,0)),"")</f>
        <v/>
      </c>
      <c r="X8" s="516" t="str">
        <f t="shared" si="3"/>
        <v/>
      </c>
      <c r="Y8" s="515" t="str">
        <f>IFERROR(INDEX(V!$O:$O,MATCH(X8,V!$J:$J,0)),"")</f>
        <v/>
      </c>
    </row>
    <row r="9" spans="1:26" s="188" customFormat="1" x14ac:dyDescent="0.2">
      <c r="A9" s="126">
        <v>3</v>
      </c>
      <c r="B9" s="581"/>
      <c r="C9" s="93"/>
      <c r="D9" s="548"/>
      <c r="E9" s="127"/>
      <c r="F9" s="93"/>
      <c r="G9" s="128"/>
      <c r="H9" s="576" t="str">
        <f>(IF(C9-E7&gt;0,1)+IF(D9-E8&gt;0,1)+IF(F9-E10&gt;0,1)+IF(G9-E11&gt;0,1))&amp;"-"&amp;(IF(C9-E7&lt;0,1)+IF(D9-E8&lt;0,1)+IF(F9-E10&lt;0,1)+IF(G9-E11&lt;0,1))</f>
        <v>0-0</v>
      </c>
      <c r="I9" s="93" t="str">
        <f>IF(AND(B9&lt;&gt;"",L$6=TRUE),A$6&amp;RANK(L9,L$7:L$11,0),"")</f>
        <v/>
      </c>
      <c r="J9" s="584">
        <f>VALUE(LEFT(H9,1))</f>
        <v>0</v>
      </c>
      <c r="K9" s="584">
        <f>IF(AND(J9=1,J7=1),C9-E7)+IF(AND(J9=1,J8=1),D9-E8)+IF(AND(J9=1,J10=1),F9-E10)+IF(AND(J9=1,J11=1),G9-E11)+IF(AND(J9=2,J7=2),C9-E7)+IF(AND(J9=2,J8=2),D9-E8)+IF(AND(J9=2,J10=2),F9-E10)+IF(AND(J9=2,J11=2),G9-E11)+IF(AND(J9=3,J7=3),C9-E7)+IF(AND(J9=3,J8=3),D9-E8)+IF(AND(J9=3,J10=3),F9-E10)+IF(AND(J9=3,J11=3),G9-E11)</f>
        <v>0</v>
      </c>
      <c r="L9" s="584">
        <f>1000*J9+K9</f>
        <v>0</v>
      </c>
      <c r="M9" s="632"/>
      <c r="N9" s="567"/>
      <c r="P9" s="319"/>
      <c r="Q9" s="512">
        <f t="shared" si="4"/>
        <v>0</v>
      </c>
      <c r="R9" s="514" t="str">
        <f t="shared" si="0"/>
        <v/>
      </c>
      <c r="S9" s="515" t="str">
        <f>IFERROR(INDEX(V!$O:$O,MATCH(R9,V!$J:$J,0)),"")</f>
        <v/>
      </c>
      <c r="T9" s="514" t="str">
        <f t="shared" si="1"/>
        <v/>
      </c>
      <c r="U9" s="515" t="str">
        <f>IFERROR(INDEX(V!$O:$O,MATCH(T9,V!$J:$J,0)),"")</f>
        <v/>
      </c>
      <c r="V9" s="516" t="str">
        <f t="shared" si="2"/>
        <v/>
      </c>
      <c r="W9" s="515" t="str">
        <f>IFERROR(INDEX(V!$O:$O,MATCH(V9,V!$J:$J,0)),"")</f>
        <v/>
      </c>
      <c r="X9" s="516" t="str">
        <f t="shared" si="3"/>
        <v/>
      </c>
      <c r="Y9" s="515" t="str">
        <f>IFERROR(INDEX(V!$O:$O,MATCH(X9,V!$J:$J,0)),"")</f>
        <v/>
      </c>
    </row>
    <row r="10" spans="1:26" s="188" customFormat="1" x14ac:dyDescent="0.2">
      <c r="A10" s="126">
        <v>4</v>
      </c>
      <c r="B10" s="581"/>
      <c r="C10" s="93"/>
      <c r="D10" s="548"/>
      <c r="E10" s="93"/>
      <c r="F10" s="127"/>
      <c r="G10" s="128"/>
      <c r="H10" s="576" t="str">
        <f>(IF(C10-F7&gt;0,1)+IF(D10-F8&gt;0,1)+IF(E10-F9&gt;0,1)+IF(G10-F11&gt;0,1))&amp;"-"&amp;(IF(C10-F7&lt;0,1)+IF(D10-F8&lt;0,1)+IF(E10-F9&lt;0,1)+IF(G10-F11&lt;0,1))</f>
        <v>0-0</v>
      </c>
      <c r="I10" s="93" t="str">
        <f>IF(AND(B10&lt;&gt;"",L$6=TRUE),A$6&amp;RANK(L10,L$7:L$11,0),"")</f>
        <v/>
      </c>
      <c r="J10" s="584">
        <f>VALUE(LEFT(H10,1))</f>
        <v>0</v>
      </c>
      <c r="K10" s="584">
        <f>IF(AND(J10=1,J7=1),C10-F7)+IF(AND(J10=1,J8=1),D10-F8)+IF(AND(J10=1,J9=1),E10-F9)+IF(AND(J10=1,J11=1),G10-F11)+IF(AND(J10=2,J7=2),C10-F7)+IF(AND(J10=2,J8=2),D10-F8)+IF(AND(J10=2,J9=2),E10-F9)+IF(AND(J10=2,J11=2),G10-F11)+IF(AND(J10=3,J7=3),C10-F7)+IF(AND(J10=3,J8=3),D10-F8)+IF(AND(J10=3,J9=3),E10-F9)+IF(AND(J10=3,J11=3),G10-F11)</f>
        <v>0</v>
      </c>
      <c r="L10" s="584">
        <f>1000*J10+K10</f>
        <v>0</v>
      </c>
      <c r="M10" s="569"/>
      <c r="N10" s="310"/>
      <c r="P10" s="319"/>
      <c r="Q10" s="512">
        <f t="shared" si="4"/>
        <v>0</v>
      </c>
      <c r="R10" s="514" t="str">
        <f t="shared" si="0"/>
        <v/>
      </c>
      <c r="S10" s="515" t="str">
        <f>IFERROR(INDEX(V!$O:$O,MATCH(R10,V!$J:$J,0)),"")</f>
        <v/>
      </c>
      <c r="T10" s="514" t="str">
        <f t="shared" si="1"/>
        <v/>
      </c>
      <c r="U10" s="515" t="str">
        <f>IFERROR(INDEX(V!$O:$O,MATCH(T10,V!$J:$J,0)),"")</f>
        <v/>
      </c>
      <c r="V10" s="516" t="str">
        <f t="shared" si="2"/>
        <v/>
      </c>
      <c r="W10" s="515" t="str">
        <f>IFERROR(INDEX(V!$O:$O,MATCH(V10,V!$J:$J,0)),"")</f>
        <v/>
      </c>
      <c r="X10" s="516" t="str">
        <f t="shared" si="3"/>
        <v/>
      </c>
      <c r="Y10" s="515" t="str">
        <f>IFERROR(INDEX(V!$O:$O,MATCH(X10,V!$J:$J,0)),"")</f>
        <v/>
      </c>
    </row>
    <row r="11" spans="1:26" s="188" customFormat="1" hidden="1" x14ac:dyDescent="0.2">
      <c r="A11" s="126">
        <v>5</v>
      </c>
      <c r="B11" s="581"/>
      <c r="C11" s="93"/>
      <c r="D11" s="93"/>
      <c r="E11" s="93"/>
      <c r="F11" s="93"/>
      <c r="G11" s="127"/>
      <c r="H11" s="576" t="str">
        <f>(IF(C11-G7&gt;0,1)+IF(D11-G8&gt;0,1)+IF(E11-G9&gt;0,1)+IF(F11-G10&gt;0,1))&amp;"-"&amp;(IF(C11-G7&lt;0,1)+IF(D11-G8&lt;0,1)+IF(E11-G9&lt;0,1)+IF(F11-G10&lt;0,1))</f>
        <v>0-0</v>
      </c>
      <c r="I11" s="93" t="str">
        <f>IF(AND(B11&lt;&gt;"",L$6=TRUE),A$6&amp;RANK(L11,L$7:L$11,0),"")</f>
        <v/>
      </c>
      <c r="J11" s="584">
        <f>VALUE(LEFT(H11,1))</f>
        <v>0</v>
      </c>
      <c r="K11" s="584">
        <f>IF(AND(J11=1,J7=1),C11-G7)+IF(AND(J11=1,J8=1),D11-G8)+IF(AND(J11=1,J9=1),E11-G9)+IF(AND(J11=1,J10=1),F11-G10)+IF(AND(J11=2,J7=2),C11-G7)+IF(AND(J11=2,J8=2),D11-G8)+IF(AND(J11=2,J9=2),E11-G9)+IF(AND(J11=2,J10=2),F11-G10)+IF(AND(J11=3,J7=3),C11-G7)+IF(AND(J11=3,J8=3),D11-G8)+IF(AND(J11=3,J9=3),E11-G9)+IF(AND(J11=3,J10=3),F11-G10)</f>
        <v>0</v>
      </c>
      <c r="L11" s="584">
        <f>1000*J11+K11</f>
        <v>0</v>
      </c>
      <c r="M11" s="569"/>
      <c r="N11" s="310"/>
      <c r="P11" s="319"/>
      <c r="Q11" s="512">
        <f t="shared" si="4"/>
        <v>0</v>
      </c>
      <c r="R11" s="514" t="str">
        <f t="shared" si="0"/>
        <v/>
      </c>
      <c r="S11" s="515" t="str">
        <f>IFERROR(INDEX(V!$O:$O,MATCH(R11,V!$J:$J,0)),"")</f>
        <v/>
      </c>
      <c r="T11" s="514" t="str">
        <f t="shared" si="1"/>
        <v/>
      </c>
      <c r="U11" s="515" t="str">
        <f>IFERROR(INDEX(V!$O:$O,MATCH(T11,V!$J:$J,0)),"")</f>
        <v/>
      </c>
      <c r="V11" s="516" t="str">
        <f t="shared" si="2"/>
        <v/>
      </c>
      <c r="W11" s="515" t="str">
        <f>IFERROR(INDEX(V!$O:$O,MATCH(V11,V!$J:$J,0)),"")</f>
        <v/>
      </c>
      <c r="X11" s="516" t="str">
        <f t="shared" si="3"/>
        <v/>
      </c>
      <c r="Y11" s="515" t="str">
        <f>IFERROR(INDEX(V!$O:$O,MATCH(X11,V!$J:$J,0)),"")</f>
        <v/>
      </c>
    </row>
    <row r="12" spans="1:26" s="188" customFormat="1" x14ac:dyDescent="0.2">
      <c r="A12" s="121"/>
      <c r="B12" s="422"/>
      <c r="C12" s="96"/>
      <c r="D12" s="312"/>
      <c r="E12" s="96"/>
      <c r="F12" s="97"/>
      <c r="H12" s="402"/>
      <c r="I12" s="580"/>
      <c r="J12" s="585"/>
      <c r="K12" s="585"/>
      <c r="L12" s="585"/>
      <c r="M12" s="569"/>
      <c r="N12" s="310"/>
      <c r="P12" s="309"/>
      <c r="Q12" s="88"/>
      <c r="R12" s="514" t="str">
        <f t="shared" si="0"/>
        <v/>
      </c>
      <c r="S12" s="515" t="str">
        <f>IFERROR(INDEX(V!$O:$O,MATCH(R12,V!$J:$J,0)),"")</f>
        <v/>
      </c>
      <c r="T12" s="514" t="str">
        <f t="shared" si="1"/>
        <v/>
      </c>
      <c r="U12" s="515" t="str">
        <f>IFERROR(INDEX(V!$O:$O,MATCH(T12,V!$J:$J,0)),"")</f>
        <v/>
      </c>
      <c r="V12" s="516" t="str">
        <f t="shared" si="2"/>
        <v/>
      </c>
      <c r="W12" s="515" t="str">
        <f>IFERROR(INDEX(V!$O:$O,MATCH(V12,V!$J:$J,0)),"")</f>
        <v/>
      </c>
      <c r="X12" s="516" t="str">
        <f t="shared" si="3"/>
        <v/>
      </c>
      <c r="Y12" s="515" t="str">
        <f>IFERROR(INDEX(V!$O:$O,MATCH(X12,V!$J:$J,0)),"")</f>
        <v/>
      </c>
      <c r="Z12" s="88"/>
    </row>
    <row r="13" spans="1:26" s="186" customFormat="1" x14ac:dyDescent="0.2">
      <c r="A13" s="126" t="s">
        <v>90</v>
      </c>
      <c r="B13" s="126"/>
      <c r="C13" s="91"/>
      <c r="D13" s="91"/>
      <c r="E13" s="91"/>
      <c r="F13" s="91"/>
      <c r="G13" s="91"/>
      <c r="H13" s="438" t="s">
        <v>73</v>
      </c>
      <c r="I13" s="438" t="s">
        <v>21</v>
      </c>
      <c r="J13" s="586" t="s">
        <v>273</v>
      </c>
      <c r="K13" s="587" t="s">
        <v>430</v>
      </c>
      <c r="L13" s="588" t="b">
        <f>OR(AND(COUNTA(B14:B18)=3,COUNTA(C14:G18)=6),AND(COUNTA(B14:B18)=4,COUNTA(C14:G18)=12),AND(COUNTA(B14:B18)=5,COUNTA(C14:G18)=20))</f>
        <v>0</v>
      </c>
      <c r="M13" s="569"/>
      <c r="N13" s="310"/>
      <c r="P13" s="309"/>
      <c r="Q13" s="88"/>
      <c r="R13" s="514" t="str">
        <f t="shared" si="0"/>
        <v/>
      </c>
      <c r="S13" s="515" t="str">
        <f>IFERROR(INDEX(V!$O:$O,MATCH(R13,V!$J:$J,0)),"")</f>
        <v/>
      </c>
      <c r="T13" s="514" t="str">
        <f t="shared" si="1"/>
        <v/>
      </c>
      <c r="U13" s="515" t="str">
        <f>IFERROR(INDEX(V!$O:$O,MATCH(T13,V!$J:$J,0)),"")</f>
        <v/>
      </c>
      <c r="V13" s="516" t="str">
        <f t="shared" si="2"/>
        <v/>
      </c>
      <c r="W13" s="515" t="str">
        <f>IFERROR(INDEX(V!$O:$O,MATCH(V13,V!$J:$J,0)),"")</f>
        <v/>
      </c>
      <c r="X13" s="516" t="str">
        <f t="shared" si="3"/>
        <v/>
      </c>
      <c r="Y13" s="515" t="str">
        <f>IFERROR(INDEX(V!$O:$O,MATCH(X13,V!$J:$J,0)),"")</f>
        <v/>
      </c>
      <c r="Z13" s="88"/>
    </row>
    <row r="14" spans="1:26" s="186" customFormat="1" x14ac:dyDescent="0.2">
      <c r="A14" s="126">
        <v>1</v>
      </c>
      <c r="B14" s="581"/>
      <c r="C14" s="127"/>
      <c r="D14" s="93"/>
      <c r="E14" s="93"/>
      <c r="F14" s="93"/>
      <c r="G14" s="128"/>
      <c r="H14" s="576" t="str">
        <f>(IF(D14-C15&gt;0,1)+IF(E14-C16&gt;0,1)+IF(F14-C17&gt;0,1)+IF(G14-C18&gt;0,1))&amp;"-"&amp;(IF(D14-C15&lt;0,1)+IF(E14-C16&lt;0,1)+IF(F14-C17&lt;0,1)+IF(G14-C18&lt;0,1))</f>
        <v>0-0</v>
      </c>
      <c r="I14" s="93" t="str">
        <f>IF(AND(B14&lt;&gt;"",L$13=TRUE),A$13&amp;RANK(L14,L$14:L$18,0),"")</f>
        <v/>
      </c>
      <c r="J14" s="584">
        <f>VALUE(LEFT(H14,1))</f>
        <v>0</v>
      </c>
      <c r="K14" s="584">
        <f>IF(AND(J14=1,J15=1),D14-C15)+IF(AND(J14=1,J16=1),E14-C16)+IF(AND(J14=1,J17=1),F14-C17)+IF(AND(J14=1,J18=1),G14-C18)+IF(AND(J14=2,J15=2),D14-C15)+IF(AND(J14=2,J16=2),E14-C16)+IF(AND(J14=2,J17=2),F14-C17)+IF(AND(J14=2,J18=2),G14-C18)+IF(AND(J14=3,J15=3),D14-C15)+IF(AND(J14=3,J16=3),E14-C16)+IF(AND(J14=3,J17=3),F14-C17)+IF(AND(J14=3,J18=3),G14-C18)</f>
        <v>0</v>
      </c>
      <c r="L14" s="584">
        <f>1000*J14+K14</f>
        <v>0</v>
      </c>
      <c r="M14" s="574"/>
      <c r="N14" s="575"/>
      <c r="P14" s="567"/>
      <c r="Q14" s="512">
        <f t="shared" si="4"/>
        <v>0</v>
      </c>
      <c r="R14" s="514" t="str">
        <f t="shared" si="0"/>
        <v/>
      </c>
      <c r="S14" s="515" t="str">
        <f>IFERROR(INDEX(V!$O:$O,MATCH(R14,V!$J:$J,0)),"")</f>
        <v/>
      </c>
      <c r="T14" s="514" t="str">
        <f t="shared" si="1"/>
        <v/>
      </c>
      <c r="U14" s="515" t="str">
        <f>IFERROR(INDEX(V!$O:$O,MATCH(T14,V!$J:$J,0)),"")</f>
        <v/>
      </c>
      <c r="V14" s="516" t="str">
        <f t="shared" si="2"/>
        <v/>
      </c>
      <c r="W14" s="515" t="str">
        <f>IFERROR(INDEX(V!$O:$O,MATCH(V14,V!$J:$J,0)),"")</f>
        <v/>
      </c>
      <c r="X14" s="516" t="str">
        <f t="shared" si="3"/>
        <v/>
      </c>
      <c r="Y14" s="515" t="str">
        <f>IFERROR(INDEX(V!$O:$O,MATCH(X14,V!$J:$J,0)),"")</f>
        <v/>
      </c>
    </row>
    <row r="15" spans="1:26" s="186" customFormat="1" x14ac:dyDescent="0.2">
      <c r="A15" s="126">
        <v>2</v>
      </c>
      <c r="B15" s="581"/>
      <c r="C15" s="128"/>
      <c r="D15" s="127"/>
      <c r="E15" s="93"/>
      <c r="F15" s="93"/>
      <c r="G15" s="128"/>
      <c r="H15" s="576" t="str">
        <f>(IF(C15-D14&gt;0,1)+IF(E15-D16&gt;0,1)+IF(F15-D17&gt;0,1)+IF(G15-D18&gt;0,1))&amp;"-"&amp;(IF(C15-D14&lt;0,1)+IF(E15-D16&lt;0,1)+IF(F15-D17&lt;0,1)+IF(G15-D18&lt;0,1))</f>
        <v>0-0</v>
      </c>
      <c r="I15" s="93" t="str">
        <f>IF(AND(B15&lt;&gt;"",L$13=TRUE),A$13&amp;RANK(L15,L$14:L$18,0),"")</f>
        <v/>
      </c>
      <c r="J15" s="584">
        <f>VALUE(LEFT(H15,1))</f>
        <v>0</v>
      </c>
      <c r="K15" s="584">
        <f>IF(AND(J15=1,J14=1),C15-D14)+IF(AND(J15=1,J16=1),E15-D16)+IF(AND(J15=1,J17=1),F15-D17)+IF(AND(J15=1,J18=1),G15-D18)+IF(AND(J15=2,J14=2),C15-D14)+IF(AND(J15=2,J16=2),E15-D16)+IF(AND(J15=2,J17=2),F15-D17)+IF(AND(J15=2,J18=2),G15-D18)+IF(AND(J15=3,J14=3),C15-D14)+IF(AND(J15=3,J16=3),E15-D16)+IF(AND(J15=3,J17=3),F15-D17)+IF(AND(J15=3,J18=3),G15-D18)</f>
        <v>0</v>
      </c>
      <c r="L15" s="584">
        <f>1000*J15+K15</f>
        <v>0</v>
      </c>
      <c r="M15" s="574"/>
      <c r="N15" s="575"/>
      <c r="P15" s="568"/>
      <c r="Q15" s="512">
        <f t="shared" si="4"/>
        <v>0</v>
      </c>
      <c r="R15" s="514" t="str">
        <f t="shared" si="0"/>
        <v/>
      </c>
      <c r="S15" s="515" t="str">
        <f>IFERROR(INDEX(V!$O:$O,MATCH(R15,V!$J:$J,0)),"")</f>
        <v/>
      </c>
      <c r="T15" s="514" t="str">
        <f t="shared" si="1"/>
        <v/>
      </c>
      <c r="U15" s="515" t="str">
        <f>IFERROR(INDEX(V!$O:$O,MATCH(T15,V!$J:$J,0)),"")</f>
        <v/>
      </c>
      <c r="V15" s="516" t="str">
        <f t="shared" si="2"/>
        <v/>
      </c>
      <c r="W15" s="515" t="str">
        <f>IFERROR(INDEX(V!$O:$O,MATCH(V15,V!$J:$J,0)),"")</f>
        <v/>
      </c>
      <c r="X15" s="516" t="str">
        <f t="shared" si="3"/>
        <v/>
      </c>
      <c r="Y15" s="515" t="str">
        <f>IFERROR(INDEX(V!$O:$O,MATCH(X15,V!$J:$J,0)),"")</f>
        <v/>
      </c>
    </row>
    <row r="16" spans="1:26" s="186" customFormat="1" x14ac:dyDescent="0.2">
      <c r="A16" s="126">
        <v>3</v>
      </c>
      <c r="B16" s="581"/>
      <c r="C16" s="93"/>
      <c r="D16" s="311"/>
      <c r="E16" s="127"/>
      <c r="F16" s="93"/>
      <c r="G16" s="128"/>
      <c r="H16" s="576" t="str">
        <f>(IF(C16-E14&gt;0,1)+IF(D16-E15&gt;0,1)+IF(F16-E17&gt;0,1)+IF(G16-E18&gt;0,1))&amp;"-"&amp;(IF(C16-E14&lt;0,1)+IF(D16-E15&lt;0,1)+IF(F16-E17&lt;0,1)+IF(G16-E18&lt;0,1))</f>
        <v>0-0</v>
      </c>
      <c r="I16" s="93" t="str">
        <f>IF(AND(B16&lt;&gt;"",L$13=TRUE),A$13&amp;RANK(L16,L$14:L$18,0),"")</f>
        <v/>
      </c>
      <c r="J16" s="584">
        <f>VALUE(LEFT(H16,1))</f>
        <v>0</v>
      </c>
      <c r="K16" s="584">
        <f>IF(AND(J16=1,J14=1),C16-E14)+IF(AND(J16=1,J15=1),D16-E15)+IF(AND(J16=1,J17=1),F16-E17)+IF(AND(J16=1,J18=1),G16-E18)+IF(AND(J16=2,J14=2),C16-E14)+IF(AND(J16=2,J15=2),D16-E15)+IF(AND(J16=2,J17=2),F16-E17)+IF(AND(J16=2,J18=2),G16-E18)+IF(AND(J16=3,J14=3),C16-E14)+IF(AND(J16=3,J15=3),D16-E15)+IF(AND(J16=3,J17=3),F16-E17)+IF(AND(J16=3,J18=3),G16-E18)</f>
        <v>0</v>
      </c>
      <c r="L16" s="584">
        <f>1000*J16+K16</f>
        <v>0</v>
      </c>
      <c r="M16" s="574"/>
      <c r="N16" s="575"/>
      <c r="P16" s="568"/>
      <c r="Q16" s="512">
        <f t="shared" si="4"/>
        <v>0</v>
      </c>
      <c r="R16" s="514" t="str">
        <f t="shared" si="0"/>
        <v/>
      </c>
      <c r="S16" s="515" t="str">
        <f>IFERROR(INDEX(V!$O:$O,MATCH(R16,V!$J:$J,0)),"")</f>
        <v/>
      </c>
      <c r="T16" s="514" t="str">
        <f t="shared" si="1"/>
        <v/>
      </c>
      <c r="U16" s="515" t="str">
        <f>IFERROR(INDEX(V!$O:$O,MATCH(T16,V!$J:$J,0)),"")</f>
        <v/>
      </c>
      <c r="V16" s="516" t="str">
        <f t="shared" si="2"/>
        <v/>
      </c>
      <c r="W16" s="515" t="str">
        <f>IFERROR(INDEX(V!$O:$O,MATCH(V16,V!$J:$J,0)),"")</f>
        <v/>
      </c>
      <c r="X16" s="516" t="str">
        <f t="shared" si="3"/>
        <v/>
      </c>
      <c r="Y16" s="515" t="str">
        <f>IFERROR(INDEX(V!$O:$O,MATCH(X16,V!$J:$J,0)),"")</f>
        <v/>
      </c>
    </row>
    <row r="17" spans="1:27" s="186" customFormat="1" x14ac:dyDescent="0.2">
      <c r="A17" s="126">
        <v>4</v>
      </c>
      <c r="B17" s="582"/>
      <c r="C17" s="93"/>
      <c r="D17" s="311"/>
      <c r="E17" s="93"/>
      <c r="F17" s="127"/>
      <c r="G17" s="128"/>
      <c r="H17" s="576" t="str">
        <f>(IF(C17-F14&gt;0,1)+IF(D17-F15&gt;0,1)+IF(E17-F16&gt;0,1)+IF(G17-F18&gt;0,1))&amp;"-"&amp;(IF(C17-F14&lt;0,1)+IF(D17-F15&lt;0,1)+IF(E17-F16&lt;0,1)+IF(G17-F18&lt;0,1))</f>
        <v>0-0</v>
      </c>
      <c r="I17" s="93" t="str">
        <f>IF(AND(B17&lt;&gt;"",L$13=TRUE),A$13&amp;RANK(L17,L$14:L$18,0),"")</f>
        <v/>
      </c>
      <c r="J17" s="584">
        <f>VALUE(LEFT(H17,1))</f>
        <v>0</v>
      </c>
      <c r="K17" s="584">
        <f>IF(AND(J17=1,J14=1),C17-F14)+IF(AND(J17=1,J15=1),D17-F15)+IF(AND(J17=1,J16=1),E17-F16)+IF(AND(J17=1,J18=1),G17-F18)+IF(AND(J17=2,J14=2),C17-F14)+IF(AND(J17=2,J15=2),D17-F15)+IF(AND(J17=2,J16=2),E17-F16)+IF(AND(J17=2,J18=2),G17-F18)+IF(AND(J17=3,J14=3),C17-F14)+IF(AND(J17=3,J15=3),D17-F15)+IF(AND(J17=3,J16=3),E17-F16)+IF(AND(J17=3,J18=3),G17-F18)</f>
        <v>0</v>
      </c>
      <c r="L17" s="584">
        <f>1000*J17+K17</f>
        <v>0</v>
      </c>
      <c r="M17" s="574"/>
      <c r="N17" s="575"/>
      <c r="P17" s="568"/>
      <c r="Q17" s="512">
        <f t="shared" si="4"/>
        <v>0</v>
      </c>
      <c r="R17" s="514" t="str">
        <f t="shared" si="0"/>
        <v/>
      </c>
      <c r="S17" s="515" t="str">
        <f>IFERROR(INDEX(V!$O:$O,MATCH(R17,V!$J:$J,0)),"")</f>
        <v/>
      </c>
      <c r="T17" s="514" t="str">
        <f t="shared" si="1"/>
        <v/>
      </c>
      <c r="U17" s="515" t="str">
        <f>IFERROR(INDEX(V!$O:$O,MATCH(T17,V!$J:$J,0)),"")</f>
        <v/>
      </c>
      <c r="V17" s="516" t="str">
        <f t="shared" si="2"/>
        <v/>
      </c>
      <c r="W17" s="515" t="str">
        <f>IFERROR(INDEX(V!$O:$O,MATCH(V17,V!$J:$J,0)),"")</f>
        <v/>
      </c>
      <c r="X17" s="516" t="str">
        <f t="shared" si="3"/>
        <v/>
      </c>
      <c r="Y17" s="515" t="str">
        <f>IFERROR(INDEX(V!$O:$O,MATCH(X17,V!$J:$J,0)),"")</f>
        <v/>
      </c>
    </row>
    <row r="18" spans="1:27" s="186" customFormat="1" hidden="1" x14ac:dyDescent="0.2">
      <c r="A18" s="126">
        <v>5</v>
      </c>
      <c r="B18" s="583"/>
      <c r="C18" s="93"/>
      <c r="D18" s="93"/>
      <c r="E18" s="93"/>
      <c r="F18" s="93"/>
      <c r="G18" s="127"/>
      <c r="H18" s="576" t="str">
        <f>(IF(C18-G14&gt;0,1)+IF(D18-G15&gt;0,1)+IF(E18-G16&gt;0,1)+IF(F18-G17&gt;0,1))&amp;"-"&amp;(IF(C18-G14&lt;0,1)+IF(D18-G15&lt;0,1)+IF(E18-G16&lt;0,1)+IF(F18-G17&lt;0,1))</f>
        <v>0-0</v>
      </c>
      <c r="I18" s="93" t="str">
        <f>IF(AND(B18&lt;&gt;"",L$13=TRUE),A$13&amp;RANK(L18,L$14:L$18,0),"")</f>
        <v/>
      </c>
      <c r="J18" s="584">
        <f>VALUE(LEFT(H18,1))</f>
        <v>0</v>
      </c>
      <c r="K18" s="584">
        <f>IF(AND(J18=1,J14=1),C18-G14)+IF(AND(J18=1,J15=1),D18-G15)+IF(AND(J18=1,J16=1),E18-G16)+IF(AND(J18=1,J17=1),F18-G17)+IF(AND(J18=2,J14=2),C18-G14)+IF(AND(J18=2,J15=2),D18-G15)+IF(AND(J18=2,J16=2),E18-G16)+IF(AND(J18=2,J17=2),F18-G17)+IF(AND(J18=3,J14=3),C18-G14)+IF(AND(J18=3,J15=3),D18-G15)+IF(AND(J18=3,J16=3),E18-G16)+IF(AND(J18=3,J17=3),F18-G17)</f>
        <v>0</v>
      </c>
      <c r="L18" s="584">
        <f>1000*J18+K18</f>
        <v>0</v>
      </c>
      <c r="M18" s="574"/>
      <c r="N18" s="575"/>
      <c r="P18" s="568"/>
      <c r="Q18" s="512">
        <f t="shared" si="4"/>
        <v>0</v>
      </c>
      <c r="R18" s="514" t="str">
        <f t="shared" si="0"/>
        <v/>
      </c>
      <c r="S18" s="515" t="str">
        <f>IFERROR(INDEX(V!$O:$O,MATCH(R18,V!$J:$J,0)),"")</f>
        <v/>
      </c>
      <c r="T18" s="514" t="str">
        <f t="shared" si="1"/>
        <v/>
      </c>
      <c r="U18" s="515" t="str">
        <f>IFERROR(INDEX(V!$O:$O,MATCH(T18,V!$J:$J,0)),"")</f>
        <v/>
      </c>
      <c r="V18" s="516" t="str">
        <f t="shared" si="2"/>
        <v/>
      </c>
      <c r="W18" s="515" t="str">
        <f>IFERROR(INDEX(V!$O:$O,MATCH(V18,V!$J:$J,0)),"")</f>
        <v/>
      </c>
      <c r="X18" s="516" t="str">
        <f t="shared" si="3"/>
        <v/>
      </c>
      <c r="Y18" s="515" t="str">
        <f>IFERROR(INDEX(V!$O:$O,MATCH(X18,V!$J:$J,0)),"")</f>
        <v/>
      </c>
    </row>
    <row r="19" spans="1:27" s="186" customFormat="1" x14ac:dyDescent="0.2">
      <c r="A19" s="87"/>
      <c r="B19" s="88"/>
      <c r="C19" s="309"/>
      <c r="D19" s="309"/>
      <c r="E19" s="309"/>
      <c r="H19" s="589"/>
      <c r="I19" s="590"/>
      <c r="J19" s="591"/>
      <c r="K19" s="591"/>
      <c r="L19" s="591"/>
      <c r="M19" s="569"/>
      <c r="N19" s="310"/>
      <c r="P19" s="309"/>
      <c r="Q19" s="88"/>
      <c r="R19" s="514" t="str">
        <f t="shared" si="0"/>
        <v/>
      </c>
      <c r="S19" s="515" t="str">
        <f>IFERROR(INDEX(V!$O:$O,MATCH(R19,V!$J:$J,0)),"")</f>
        <v/>
      </c>
      <c r="T19" s="514" t="str">
        <f t="shared" si="1"/>
        <v/>
      </c>
      <c r="U19" s="515" t="str">
        <f>IFERROR(INDEX(V!$O:$O,MATCH(T19,V!$J:$J,0)),"")</f>
        <v/>
      </c>
      <c r="V19" s="516" t="str">
        <f t="shared" si="2"/>
        <v/>
      </c>
      <c r="W19" s="515" t="str">
        <f>IFERROR(INDEX(V!$O:$O,MATCH(V19,V!$J:$J,0)),"")</f>
        <v/>
      </c>
      <c r="X19" s="516" t="str">
        <f t="shared" si="3"/>
        <v/>
      </c>
      <c r="Y19" s="515" t="str">
        <f>IFERROR(INDEX(V!$O:$O,MATCH(X19,V!$J:$J,0)),"")</f>
        <v/>
      </c>
      <c r="Z19" s="88"/>
    </row>
    <row r="20" spans="1:27" s="188" customFormat="1" x14ac:dyDescent="0.2">
      <c r="A20" s="126" t="s">
        <v>166</v>
      </c>
      <c r="B20" s="126"/>
      <c r="C20" s="91"/>
      <c r="D20" s="91"/>
      <c r="E20" s="91"/>
      <c r="F20" s="91"/>
      <c r="G20" s="91"/>
      <c r="H20" s="438" t="s">
        <v>73</v>
      </c>
      <c r="I20" s="438" t="s">
        <v>21</v>
      </c>
      <c r="J20" s="586" t="s">
        <v>273</v>
      </c>
      <c r="K20" s="587" t="s">
        <v>430</v>
      </c>
      <c r="L20" s="588" t="b">
        <f>OR(AND(COUNTA(B21:B25)=3,COUNTA(C21:G25)=6),AND(COUNTA(B21:B25)=4,COUNTA(C21:G25)=12),AND(COUNTA(B21:B25)=5,COUNTA(C21:G25)=20))</f>
        <v>0</v>
      </c>
      <c r="M20" s="569"/>
      <c r="N20" s="310"/>
      <c r="P20" s="309"/>
      <c r="Q20" s="88"/>
      <c r="R20" s="514" t="str">
        <f t="shared" si="0"/>
        <v/>
      </c>
      <c r="S20" s="515" t="str">
        <f>IFERROR(INDEX(V!$O:$O,MATCH(R20,V!$J:$J,0)),"")</f>
        <v/>
      </c>
      <c r="T20" s="514" t="str">
        <f t="shared" si="1"/>
        <v/>
      </c>
      <c r="U20" s="515" t="str">
        <f>IFERROR(INDEX(V!$O:$O,MATCH(T20,V!$J:$J,0)),"")</f>
        <v/>
      </c>
      <c r="V20" s="516" t="str">
        <f t="shared" si="2"/>
        <v/>
      </c>
      <c r="W20" s="515" t="str">
        <f>IFERROR(INDEX(V!$O:$O,MATCH(V20,V!$J:$J,0)),"")</f>
        <v/>
      </c>
      <c r="X20" s="516" t="str">
        <f t="shared" si="3"/>
        <v/>
      </c>
      <c r="Y20" s="515" t="str">
        <f>IFERROR(INDEX(V!$O:$O,MATCH(X20,V!$J:$J,0)),"")</f>
        <v/>
      </c>
      <c r="Z20" s="88"/>
    </row>
    <row r="21" spans="1:27" s="188" customFormat="1" x14ac:dyDescent="0.2">
      <c r="A21" s="126">
        <v>1</v>
      </c>
      <c r="B21" s="581"/>
      <c r="C21" s="127"/>
      <c r="D21" s="93"/>
      <c r="E21" s="93"/>
      <c r="F21" s="93"/>
      <c r="G21" s="128"/>
      <c r="H21" s="576" t="str">
        <f>(IF(D21-C22&gt;0,1)+IF(E21-C23&gt;0,1)+IF(F21-C24&gt;0,1)+IF(G21-C25&gt;0,1))&amp;"-"&amp;(IF(D21-C22&lt;0,1)+IF(E21-C23&lt;0,1)+IF(F21-C24&lt;0,1)+IF(G21-C25&lt;0,1))</f>
        <v>0-0</v>
      </c>
      <c r="I21" s="93" t="str">
        <f t="shared" ref="I21:I26" si="5">IF(AND(B21&lt;&gt;"",L$20=TRUE),A$20&amp;RANK(L21,L$21:L$25,0),"")</f>
        <v/>
      </c>
      <c r="J21" s="584">
        <f>VALUE(LEFT(H21,1))</f>
        <v>0</v>
      </c>
      <c r="K21" s="584">
        <f>IF(AND(J21=1,J22=1),D21-C22)+IF(AND(J21=1,J23=1),E21-C23)+IF(AND(J21=1,J24=1),F21-C24)+IF(AND(J21=1,J25=1),G21-C25)+IF(AND(J21=2,J22=2),D21-C22)+IF(AND(J21=2,J23=2),E21-C23)+IF(AND(J21=2,J24=2),F21-C24)+IF(AND(J21=2,J25=2),G21-C25)+IF(AND(J21=3,J22=3),D21-C22)+IF(AND(J21=3,J23=3),E21-C23)+IF(AND(J21=3,J24=3),F21-C24)+IF(AND(J21=3,J25=3),G21-C25)</f>
        <v>0</v>
      </c>
      <c r="L21" s="584">
        <f>1000*J21+K21</f>
        <v>0</v>
      </c>
      <c r="M21" s="569"/>
      <c r="N21" s="310"/>
      <c r="P21" s="309"/>
      <c r="Q21" s="512">
        <f t="shared" si="4"/>
        <v>0</v>
      </c>
      <c r="R21" s="514" t="str">
        <f t="shared" si="0"/>
        <v/>
      </c>
      <c r="S21" s="515" t="str">
        <f>IFERROR(INDEX(V!$O:$O,MATCH(R21,V!$J:$J,0)),"")</f>
        <v/>
      </c>
      <c r="T21" s="514" t="str">
        <f t="shared" si="1"/>
        <v/>
      </c>
      <c r="U21" s="515" t="str">
        <f>IFERROR(INDEX(V!$O:$O,MATCH(T21,V!$J:$J,0)),"")</f>
        <v/>
      </c>
      <c r="V21" s="516" t="str">
        <f t="shared" si="2"/>
        <v/>
      </c>
      <c r="W21" s="515" t="str">
        <f>IFERROR(INDEX(V!$O:$O,MATCH(V21,V!$J:$J,0)),"")</f>
        <v/>
      </c>
      <c r="X21" s="516" t="str">
        <f t="shared" si="3"/>
        <v/>
      </c>
      <c r="Y21" s="515" t="str">
        <f>IFERROR(INDEX(V!$O:$O,MATCH(X21,V!$J:$J,0)),"")</f>
        <v/>
      </c>
    </row>
    <row r="22" spans="1:27" s="188" customFormat="1" x14ac:dyDescent="0.2">
      <c r="A22" s="126">
        <v>2</v>
      </c>
      <c r="B22" s="581"/>
      <c r="C22" s="131"/>
      <c r="D22" s="127"/>
      <c r="E22" s="93"/>
      <c r="F22" s="93"/>
      <c r="G22" s="128"/>
      <c r="H22" s="576" t="str">
        <f>(IF(C22-D21&gt;0,1)+IF(E22-D23&gt;0,1)+IF(F22-D24&gt;0,1)+IF(G22-D25&gt;0,1))&amp;"-"&amp;(IF(C22-D21&lt;0,1)+IF(E22-D23&lt;0,1)+IF(F22-D24&lt;0,1)+IF(G22-D25&lt;0,1))</f>
        <v>0-0</v>
      </c>
      <c r="I22" s="93" t="str">
        <f t="shared" si="5"/>
        <v/>
      </c>
      <c r="J22" s="584">
        <f>VALUE(LEFT(H22,1))</f>
        <v>0</v>
      </c>
      <c r="K22" s="584">
        <f>IF(AND(J22=1,J21=1),C22-D21)+IF(AND(J22=1,J23=1),E22-D23)+IF(AND(J22=1,J24=1),F22-D24)+IF(AND(J22=1,J25=1),G22-D25)+IF(AND(J22=2,J21=2),C22-D21)+IF(AND(J22=2,J23=2),E22-D23)+IF(AND(J22=2,J24=2),F22-D24)+IF(AND(J22=2,J25=2),G22-D25)+IF(AND(J22=3,J21=3),C22-D21)+IF(AND(J22=3,J23=3),E22-D23)+IF(AND(J22=3,J24=3),F22-D24)+IF(AND(J22=3,J25=3),G22-D25)</f>
        <v>0</v>
      </c>
      <c r="L22" s="584">
        <f>1000*J22+K22</f>
        <v>0</v>
      </c>
      <c r="M22" s="569"/>
      <c r="N22" s="310"/>
      <c r="P22" s="309"/>
      <c r="Q22" s="512">
        <f t="shared" si="4"/>
        <v>0</v>
      </c>
      <c r="R22" s="514" t="str">
        <f t="shared" si="0"/>
        <v/>
      </c>
      <c r="S22" s="515" t="str">
        <f>IFERROR(INDEX(V!$O:$O,MATCH(R22,V!$J:$J,0)),"")</f>
        <v/>
      </c>
      <c r="T22" s="514" t="str">
        <f t="shared" si="1"/>
        <v/>
      </c>
      <c r="U22" s="515" t="str">
        <f>IFERROR(INDEX(V!$O:$O,MATCH(T22,V!$J:$J,0)),"")</f>
        <v/>
      </c>
      <c r="V22" s="516" t="str">
        <f t="shared" si="2"/>
        <v/>
      </c>
      <c r="W22" s="515" t="str">
        <f>IFERROR(INDEX(V!$O:$O,MATCH(V22,V!$J:$J,0)),"")</f>
        <v/>
      </c>
      <c r="X22" s="516" t="str">
        <f t="shared" si="3"/>
        <v/>
      </c>
      <c r="Y22" s="515" t="str">
        <f>IFERROR(INDEX(V!$O:$O,MATCH(X22,V!$J:$J,0)),"")</f>
        <v/>
      </c>
    </row>
    <row r="23" spans="1:27" s="188" customFormat="1" x14ac:dyDescent="0.2">
      <c r="A23" s="126">
        <v>3</v>
      </c>
      <c r="B23" s="581"/>
      <c r="C23" s="93"/>
      <c r="D23" s="311"/>
      <c r="E23" s="127"/>
      <c r="F23" s="93"/>
      <c r="G23" s="128"/>
      <c r="H23" s="576" t="str">
        <f>(IF(C23-E21&gt;0,1)+IF(D23-E22&gt;0,1)+IF(F23-E24&gt;0,1)+IF(G23-E25&gt;0,1))&amp;"-"&amp;(IF(C23-E21&lt;0,1)+IF(D23-E22&lt;0,1)+IF(F23-E24&lt;0,1)+IF(G23-E25&lt;0,1))</f>
        <v>0-0</v>
      </c>
      <c r="I23" s="93" t="str">
        <f t="shared" si="5"/>
        <v/>
      </c>
      <c r="J23" s="584">
        <f>VALUE(LEFT(H23,1))</f>
        <v>0</v>
      </c>
      <c r="K23" s="584">
        <f>IF(AND(J23=1,J21=1),C23-E21)+IF(AND(J23=1,J22=1),D23-E22)+IF(AND(J23=1,J24=1),F23-E24)+IF(AND(J23=1,J25=1),G23-E25)+IF(AND(J23=2,J21=2),C23-E21)+IF(AND(J23=2,J22=2),D23-E22)+IF(AND(J23=2,J24=2),F23-E24)+IF(AND(J23=2,J25=2),G23-E25)+IF(AND(J23=3,J21=3),C23-E21)+IF(AND(J23=3,J22=3),D23-E22)+IF(AND(J23=3,J24=3),F23-E24)+IF(AND(J23=3,J25=3),G23-E25)</f>
        <v>0</v>
      </c>
      <c r="L23" s="584">
        <f>1000*J23+K23</f>
        <v>0</v>
      </c>
      <c r="M23" s="569"/>
      <c r="N23" s="310"/>
      <c r="P23" s="309"/>
      <c r="Q23" s="512">
        <f t="shared" si="4"/>
        <v>0</v>
      </c>
      <c r="R23" s="514" t="str">
        <f t="shared" si="0"/>
        <v/>
      </c>
      <c r="S23" s="515" t="str">
        <f>IFERROR(INDEX(V!$O:$O,MATCH(R23,V!$J:$J,0)),"")</f>
        <v/>
      </c>
      <c r="T23" s="514" t="str">
        <f t="shared" si="1"/>
        <v/>
      </c>
      <c r="U23" s="515" t="str">
        <f>IFERROR(INDEX(V!$O:$O,MATCH(T23,V!$J:$J,0)),"")</f>
        <v/>
      </c>
      <c r="V23" s="516" t="str">
        <f t="shared" si="2"/>
        <v/>
      </c>
      <c r="W23" s="515" t="str">
        <f>IFERROR(INDEX(V!$O:$O,MATCH(V23,V!$J:$J,0)),"")</f>
        <v/>
      </c>
      <c r="X23" s="516" t="str">
        <f t="shared" si="3"/>
        <v/>
      </c>
      <c r="Y23" s="515" t="str">
        <f>IFERROR(INDEX(V!$O:$O,MATCH(X23,V!$J:$J,0)),"")</f>
        <v/>
      </c>
    </row>
    <row r="24" spans="1:27" s="188" customFormat="1" x14ac:dyDescent="0.2">
      <c r="A24" s="126">
        <v>4</v>
      </c>
      <c r="B24" s="582"/>
      <c r="C24" s="93"/>
      <c r="D24" s="311"/>
      <c r="E24" s="93"/>
      <c r="F24" s="127"/>
      <c r="G24" s="128"/>
      <c r="H24" s="576" t="str">
        <f>(IF(C24-F21&gt;0,1)+IF(D24-F22&gt;0,1)+IF(E24-F23&gt;0,1)+IF(G24-F25&gt;0,1))&amp;"-"&amp;(IF(C24-F21&lt;0,1)+IF(D24-F22&lt;0,1)+IF(E24-F23&lt;0,1)+IF(G24-F25&lt;0,1))</f>
        <v>0-0</v>
      </c>
      <c r="I24" s="93" t="str">
        <f t="shared" si="5"/>
        <v/>
      </c>
      <c r="J24" s="584">
        <f>VALUE(LEFT(H24,1))</f>
        <v>0</v>
      </c>
      <c r="K24" s="584">
        <f>IF(AND(J24=1,J21=1),C24-F21)+IF(AND(J24=1,J22=1),D24-F22)+IF(AND(J24=1,J23=1),E24-F23)+IF(AND(J24=1,J25=1),G24-F25)+IF(AND(J24=2,J21=2),C24-F21)+IF(AND(J24=2,J22=2),D24-F22)+IF(AND(J24=2,J23=2),E24-F23)+IF(AND(J24=2,J25=2),G24-F25)+IF(AND(J24=3,J21=3),C24-F21)+IF(AND(J24=3,J22=3),D24-F22)+IF(AND(J24=3,J23=3),E24-F23)+IF(AND(J24=3,J25=3),G24-F25)</f>
        <v>0</v>
      </c>
      <c r="L24" s="584">
        <f>1000*J24+K24</f>
        <v>0</v>
      </c>
      <c r="M24" s="569"/>
      <c r="N24" s="310"/>
      <c r="P24" s="309"/>
      <c r="Q24" s="512">
        <f t="shared" si="4"/>
        <v>0</v>
      </c>
      <c r="R24" s="514" t="str">
        <f t="shared" si="0"/>
        <v/>
      </c>
      <c r="S24" s="515" t="str">
        <f>IFERROR(INDEX(V!$O:$O,MATCH(R24,V!$J:$J,0)),"")</f>
        <v/>
      </c>
      <c r="T24" s="514" t="str">
        <f t="shared" si="1"/>
        <v/>
      </c>
      <c r="U24" s="515" t="str">
        <f>IFERROR(INDEX(V!$O:$O,MATCH(T24,V!$J:$J,0)),"")</f>
        <v/>
      </c>
      <c r="V24" s="516" t="str">
        <f t="shared" si="2"/>
        <v/>
      </c>
      <c r="W24" s="515" t="str">
        <f>IFERROR(INDEX(V!$O:$O,MATCH(V24,V!$J:$J,0)),"")</f>
        <v/>
      </c>
      <c r="X24" s="516" t="str">
        <f t="shared" si="3"/>
        <v/>
      </c>
      <c r="Y24" s="515" t="str">
        <f>IFERROR(INDEX(V!$O:$O,MATCH(X24,V!$J:$J,0)),"")</f>
        <v/>
      </c>
    </row>
    <row r="25" spans="1:27" s="188" customFormat="1" hidden="1" x14ac:dyDescent="0.2">
      <c r="A25" s="126">
        <v>5</v>
      </c>
      <c r="B25" s="164"/>
      <c r="C25" s="93"/>
      <c r="D25" s="93"/>
      <c r="E25" s="93"/>
      <c r="F25" s="93"/>
      <c r="G25" s="127"/>
      <c r="H25" s="576" t="str">
        <f>(IF(C25-G21&gt;0,1)+IF(D25-G22&gt;0,1)+IF(E25-G23&gt;0,1)+IF(F25-G24&gt;0,1))&amp;"-"&amp;(IF(C25-G21&lt;0,1)+IF(D25-G22&lt;0,1)+IF(E25-G23&lt;0,1)+IF(F25-G24&lt;0,1))</f>
        <v>0-0</v>
      </c>
      <c r="I25" s="93" t="str">
        <f t="shared" si="5"/>
        <v/>
      </c>
      <c r="J25" s="584">
        <f>VALUE(LEFT(H25,1))</f>
        <v>0</v>
      </c>
      <c r="K25" s="584">
        <f>IF(AND(J25=1,J21=1),C25-G21)+IF(AND(J25=1,J22=1),D25-G22)+IF(AND(J25=1,J23=1),E25-G23)+IF(AND(J25=1,J24=1),F25-G24)+IF(AND(J25=2,J21=2),C25-G21)+IF(AND(J25=2,J22=2),D25-G22)+IF(AND(J25=2,J23=2),E25-G23)+IF(AND(J25=2,J24=2),F25-G24)+IF(AND(J25=3,J21=3),C25-G21)+IF(AND(J25=3,J22=3),D25-G22)+IF(AND(J25=3,J23=3),E25-G23)+IF(AND(J25=3,J24=3),F25-G24)</f>
        <v>0</v>
      </c>
      <c r="L25" s="584">
        <f>1000*J25+K25</f>
        <v>0</v>
      </c>
      <c r="M25" s="569"/>
      <c r="N25" s="310"/>
      <c r="O25" s="581" t="s">
        <v>611</v>
      </c>
      <c r="P25" s="309"/>
      <c r="Q25" s="512">
        <f t="shared" si="4"/>
        <v>0</v>
      </c>
      <c r="R25" s="514" t="str">
        <f t="shared" si="0"/>
        <v/>
      </c>
      <c r="S25" s="515" t="str">
        <f>IFERROR(INDEX(V!$O:$O,MATCH(R25,V!$J:$J,0)),"")</f>
        <v/>
      </c>
      <c r="T25" s="514" t="str">
        <f t="shared" si="1"/>
        <v/>
      </c>
      <c r="U25" s="515" t="str">
        <f>IFERROR(INDEX(V!$O:$O,MATCH(T25,V!$J:$J,0)),"")</f>
        <v/>
      </c>
      <c r="V25" s="516" t="str">
        <f t="shared" si="2"/>
        <v/>
      </c>
      <c r="W25" s="515" t="str">
        <f>IFERROR(INDEX(V!$O:$O,MATCH(V25,V!$J:$J,0)),"")</f>
        <v/>
      </c>
      <c r="X25" s="516" t="str">
        <f t="shared" si="3"/>
        <v/>
      </c>
      <c r="Y25" s="515" t="str">
        <f>IFERROR(INDEX(V!$O:$O,MATCH(X25,V!$J:$J,0)),"")</f>
        <v/>
      </c>
    </row>
    <row r="26" spans="1:27" s="188" customFormat="1" x14ac:dyDescent="0.2">
      <c r="A26" s="121"/>
      <c r="B26" s="217"/>
      <c r="C26" s="96"/>
      <c r="D26" s="501"/>
      <c r="F26" s="94"/>
      <c r="H26" s="592"/>
      <c r="I26" s="593" t="str">
        <f t="shared" si="5"/>
        <v/>
      </c>
      <c r="J26" s="588"/>
      <c r="K26" s="588"/>
      <c r="L26" s="588"/>
      <c r="M26" s="569"/>
      <c r="N26" s="310"/>
      <c r="O26" s="88"/>
      <c r="P26" s="309"/>
      <c r="Q26" s="88"/>
      <c r="R26" s="514" t="str">
        <f t="shared" si="0"/>
        <v/>
      </c>
      <c r="S26" s="515" t="str">
        <f>IFERROR(INDEX(V!$O:$O,MATCH(R26,V!$J:$J,0)),"")</f>
        <v/>
      </c>
      <c r="T26" s="514" t="str">
        <f t="shared" si="1"/>
        <v/>
      </c>
      <c r="U26" s="515" t="str">
        <f>IFERROR(INDEX(V!$O:$O,MATCH(T26,V!$J:$J,0)),"")</f>
        <v/>
      </c>
      <c r="V26" s="516" t="str">
        <f t="shared" si="2"/>
        <v/>
      </c>
      <c r="W26" s="515" t="str">
        <f>IFERROR(INDEX(V!$O:$O,MATCH(V26,V!$J:$J,0)),"")</f>
        <v/>
      </c>
      <c r="X26" s="516" t="str">
        <f t="shared" si="3"/>
        <v/>
      </c>
      <c r="Y26" s="515" t="str">
        <f>IFERROR(INDEX(V!$O:$O,MATCH(X26,V!$J:$J,0)),"")</f>
        <v/>
      </c>
      <c r="Z26" s="88"/>
      <c r="AA26" s="88"/>
    </row>
    <row r="27" spans="1:27" s="188" customFormat="1" x14ac:dyDescent="0.2">
      <c r="A27" s="126" t="s">
        <v>323</v>
      </c>
      <c r="B27" s="126"/>
      <c r="C27" s="91"/>
      <c r="D27" s="91"/>
      <c r="E27" s="91"/>
      <c r="F27" s="91"/>
      <c r="G27" s="91"/>
      <c r="H27" s="438" t="s">
        <v>73</v>
      </c>
      <c r="I27" s="438" t="s">
        <v>21</v>
      </c>
      <c r="J27" s="586" t="s">
        <v>273</v>
      </c>
      <c r="K27" s="587" t="s">
        <v>430</v>
      </c>
      <c r="L27" s="588" t="b">
        <f>OR(AND(COUNTA(B28:B32)=3,COUNTA(C28:G32)=6),AND(COUNTA(B28:B32)=4,COUNTA(C28:G32)=12),AND(COUNTA(B28:B32)=5,COUNTA(C28:G32)=20))</f>
        <v>0</v>
      </c>
      <c r="M27" s="569"/>
      <c r="N27" s="310"/>
      <c r="O27" s="88"/>
      <c r="P27" s="309"/>
      <c r="Q27" s="88"/>
      <c r="R27" s="514" t="str">
        <f t="shared" si="0"/>
        <v/>
      </c>
      <c r="S27" s="515" t="str">
        <f>IFERROR(INDEX(V!$O:$O,MATCH(R27,V!$J:$J,0)),"")</f>
        <v/>
      </c>
      <c r="T27" s="514" t="str">
        <f t="shared" si="1"/>
        <v/>
      </c>
      <c r="U27" s="515" t="str">
        <f>IFERROR(INDEX(V!$O:$O,MATCH(T27,V!$J:$J,0)),"")</f>
        <v/>
      </c>
      <c r="V27" s="516" t="str">
        <f t="shared" si="2"/>
        <v/>
      </c>
      <c r="W27" s="515" t="str">
        <f>IFERROR(INDEX(V!$O:$O,MATCH(V27,V!$J:$J,0)),"")</f>
        <v/>
      </c>
      <c r="X27" s="516" t="str">
        <f t="shared" si="3"/>
        <v/>
      </c>
      <c r="Y27" s="515" t="str">
        <f>IFERROR(INDEX(V!$O:$O,MATCH(X27,V!$J:$J,0)),"")</f>
        <v/>
      </c>
      <c r="Z27" s="88"/>
      <c r="AA27" s="88"/>
    </row>
    <row r="28" spans="1:27" s="188" customFormat="1" x14ac:dyDescent="0.2">
      <c r="A28" s="126">
        <v>1</v>
      </c>
      <c r="B28" s="581"/>
      <c r="C28" s="127"/>
      <c r="D28" s="93"/>
      <c r="E28" s="93"/>
      <c r="F28" s="93"/>
      <c r="G28" s="128"/>
      <c r="H28" s="576" t="str">
        <f>(IF(D28-C29&gt;0,1)+IF(E28-C30&gt;0,1)+IF(F28-C31&gt;0,1)+IF(G28-C32&gt;0,1))&amp;"-"&amp;(IF(D28-C29&lt;0,1)+IF(E28-C30&lt;0,1)+IF(F28-C31&lt;0,1)+IF(G28-C32&lt;0,1))</f>
        <v>0-0</v>
      </c>
      <c r="I28" s="93" t="str">
        <f>IF(AND(B28&lt;&gt;"",L$27=TRUE),A$27&amp;RANK(L28,L$28:L$32,0),"")</f>
        <v/>
      </c>
      <c r="J28" s="584">
        <f>VALUE(LEFT(H28,1))</f>
        <v>0</v>
      </c>
      <c r="K28" s="584">
        <f>IF(AND(J28=1,J29=1),D28-C29)+IF(AND(J28=1,J30=1),E28-C30)+IF(AND(J28=1,J31=1),F28-C31)+IF(AND(J28=1,J32=1),G28-C32)+IF(AND(J28=2,J29=2),D28-C29)+IF(AND(J28=2,J30=2),E28-C30)+IF(AND(J28=2,J31=2),F28-C31)+IF(AND(J28=2,J32=2),G28-C32)+IF(AND(J28=3,J29=3),D28-C29)+IF(AND(J28=3,J30=3),E28-C30)+IF(AND(J28=3,J31=3),F28-C31)+IF(AND(J28=3,J32=3),G28-C32)</f>
        <v>0</v>
      </c>
      <c r="L28" s="584">
        <f>1000*J28+K28</f>
        <v>0</v>
      </c>
      <c r="M28" s="632"/>
      <c r="N28" s="567"/>
      <c r="O28" s="88"/>
      <c r="P28" s="309"/>
      <c r="Q28" s="512">
        <f t="shared" si="4"/>
        <v>0</v>
      </c>
      <c r="R28" s="514" t="str">
        <f t="shared" si="0"/>
        <v/>
      </c>
      <c r="S28" s="515" t="str">
        <f>IFERROR(INDEX(V!$O:$O,MATCH(R28,V!$J:$J,0)),"")</f>
        <v/>
      </c>
      <c r="T28" s="514" t="str">
        <f t="shared" si="1"/>
        <v/>
      </c>
      <c r="U28" s="515" t="str">
        <f>IFERROR(INDEX(V!$O:$O,MATCH(T28,V!$J:$J,0)),"")</f>
        <v/>
      </c>
      <c r="V28" s="516" t="str">
        <f t="shared" si="2"/>
        <v/>
      </c>
      <c r="W28" s="515" t="str">
        <f>IFERROR(INDEX(V!$O:$O,MATCH(V28,V!$J:$J,0)),"")</f>
        <v/>
      </c>
      <c r="X28" s="516" t="str">
        <f t="shared" si="3"/>
        <v/>
      </c>
      <c r="Y28" s="515" t="str">
        <f>IFERROR(INDEX(V!$O:$O,MATCH(X28,V!$J:$J,0)),"")</f>
        <v/>
      </c>
    </row>
    <row r="29" spans="1:27" s="188" customFormat="1" x14ac:dyDescent="0.2">
      <c r="A29" s="126">
        <v>2</v>
      </c>
      <c r="B29" s="581"/>
      <c r="C29" s="93"/>
      <c r="D29" s="127"/>
      <c r="E29" s="93"/>
      <c r="F29" s="93"/>
      <c r="G29" s="128"/>
      <c r="H29" s="576" t="str">
        <f>(IF(C29-D28&gt;0,1)+IF(E29-D30&gt;0,1)+IF(F29-D31&gt;0,1)+IF(G29-D32&gt;0,1))&amp;"-"&amp;(IF(C29-D28&lt;0,1)+IF(E29-D30&lt;0,1)+IF(F29-D31&lt;0,1)+IF(G29-D32&lt;0,1))</f>
        <v>0-0</v>
      </c>
      <c r="I29" s="93" t="str">
        <f>IF(AND(B29&lt;&gt;"",L$27=TRUE),A$27&amp;RANK(L29,L$28:L$32,0),"")</f>
        <v/>
      </c>
      <c r="J29" s="584">
        <f>VALUE(LEFT(H29,1))</f>
        <v>0</v>
      </c>
      <c r="K29" s="584">
        <f>IF(AND(J29=1,J28=1),C29-D28)+IF(AND(J29=1,J30=1),E29-D30)+IF(AND(J29=1,J31=1),F29-D31)+IF(AND(J29=1,J32=1),G29-D32)+IF(AND(J29=2,J28=2),C29-D28)+IF(AND(J29=2,J30=2),E29-D30)+IF(AND(J29=2,J31=2),F29-D31)+IF(AND(J29=2,J32=2),G29-D32)+IF(AND(J29=3,J28=3),C29-D28)+IF(AND(J29=3,J30=3),E29-D30)+IF(AND(J29=3,J31=3),F29-D31)+IF(AND(J29=3,J32=3),G29-D32)</f>
        <v>0</v>
      </c>
      <c r="L29" s="584">
        <f>1000*J29+K29</f>
        <v>0</v>
      </c>
      <c r="M29" s="632"/>
      <c r="N29" s="567"/>
      <c r="O29" s="88"/>
      <c r="P29" s="309"/>
      <c r="Q29" s="512">
        <f t="shared" si="4"/>
        <v>0</v>
      </c>
      <c r="R29" s="514" t="str">
        <f t="shared" si="0"/>
        <v/>
      </c>
      <c r="S29" s="515" t="str">
        <f>IFERROR(INDEX(V!$O:$O,MATCH(R29,V!$J:$J,0)),"")</f>
        <v/>
      </c>
      <c r="T29" s="514" t="str">
        <f t="shared" si="1"/>
        <v/>
      </c>
      <c r="U29" s="515" t="str">
        <f>IFERROR(INDEX(V!$O:$O,MATCH(T29,V!$J:$J,0)),"")</f>
        <v/>
      </c>
      <c r="V29" s="516" t="str">
        <f t="shared" si="2"/>
        <v/>
      </c>
      <c r="W29" s="515" t="str">
        <f>IFERROR(INDEX(V!$O:$O,MATCH(V29,V!$J:$J,0)),"")</f>
        <v/>
      </c>
      <c r="X29" s="516" t="str">
        <f t="shared" si="3"/>
        <v/>
      </c>
      <c r="Y29" s="515" t="str">
        <f>IFERROR(INDEX(V!$O:$O,MATCH(X29,V!$J:$J,0)),"")</f>
        <v/>
      </c>
    </row>
    <row r="30" spans="1:27" s="188" customFormat="1" x14ac:dyDescent="0.2">
      <c r="A30" s="126">
        <v>3</v>
      </c>
      <c r="B30" s="581"/>
      <c r="C30" s="93"/>
      <c r="D30" s="93"/>
      <c r="E30" s="127"/>
      <c r="F30" s="93"/>
      <c r="G30" s="128"/>
      <c r="H30" s="576" t="str">
        <f>(IF(C30-E28&gt;0,1)+IF(D30-E29&gt;0,1)+IF(F30-E31&gt;0,1)+IF(G30-E32&gt;0,1))&amp;"-"&amp;(IF(C30-E28&lt;0,1)+IF(D30-E29&lt;0,1)+IF(F30-E31&lt;0,1)+IF(G30-E32&lt;0,1))</f>
        <v>0-0</v>
      </c>
      <c r="I30" s="93" t="str">
        <f>IF(AND(B30&lt;&gt;"",L$27=TRUE),A$27&amp;RANK(L30,L$28:L$32,0),"")</f>
        <v/>
      </c>
      <c r="J30" s="584">
        <f>VALUE(LEFT(H30,1))</f>
        <v>0</v>
      </c>
      <c r="K30" s="584">
        <f>IF(AND(J30=1,J28=1),C30-E28)+IF(AND(J30=1,J29=1),D30-E29)+IF(AND(J30=1,J31=1),F30-E31)+IF(AND(J30=1,J32=1),G30-E32)+IF(AND(J30=2,J28=2),C30-E28)+IF(AND(J30=2,J29=2),D30-E29)+IF(AND(J30=2,J31=2),F30-E31)+IF(AND(J30=2,J32=2),G30-E32)+IF(AND(J30=3,J28=3),C30-E28)+IF(AND(J30=3,J29=3),D30-E29)+IF(AND(J30=3,J31=3),F30-E31)+IF(AND(J30=3,J32=3),G30-E32)</f>
        <v>0</v>
      </c>
      <c r="L30" s="584">
        <f>1000*J30+K30</f>
        <v>0</v>
      </c>
      <c r="M30" s="632"/>
      <c r="N30" s="567"/>
      <c r="O30" s="88"/>
      <c r="P30" s="309"/>
      <c r="Q30" s="512">
        <f t="shared" si="4"/>
        <v>0</v>
      </c>
      <c r="R30" s="514" t="str">
        <f t="shared" si="0"/>
        <v/>
      </c>
      <c r="S30" s="515" t="str">
        <f>IFERROR(INDEX(V!$O:$O,MATCH(R30,V!$J:$J,0)),"")</f>
        <v/>
      </c>
      <c r="T30" s="514" t="str">
        <f t="shared" si="1"/>
        <v/>
      </c>
      <c r="U30" s="515" t="str">
        <f>IFERROR(INDEX(V!$O:$O,MATCH(T30,V!$J:$J,0)),"")</f>
        <v/>
      </c>
      <c r="V30" s="516" t="str">
        <f t="shared" si="2"/>
        <v/>
      </c>
      <c r="W30" s="515" t="str">
        <f>IFERROR(INDEX(V!$O:$O,MATCH(V30,V!$J:$J,0)),"")</f>
        <v/>
      </c>
      <c r="X30" s="516" t="str">
        <f t="shared" si="3"/>
        <v/>
      </c>
      <c r="Y30" s="515" t="str">
        <f>IFERROR(INDEX(V!$O:$O,MATCH(X30,V!$J:$J,0)),"")</f>
        <v/>
      </c>
    </row>
    <row r="31" spans="1:27" s="188" customFormat="1" x14ac:dyDescent="0.2">
      <c r="A31" s="126">
        <v>4</v>
      </c>
      <c r="B31" s="581"/>
      <c r="C31" s="93"/>
      <c r="D31" s="128"/>
      <c r="E31" s="93"/>
      <c r="F31" s="127"/>
      <c r="G31" s="128"/>
      <c r="H31" s="576" t="str">
        <f>(IF(C31-F28&gt;0,1)+IF(D31-F29&gt;0,1)+IF(E31-F30&gt;0,1)+IF(G31-F32&gt;0,1))&amp;"-"&amp;(IF(C31-F28&lt;0,1)+IF(D31-F29&lt;0,1)+IF(E31-F30&lt;0,1)+IF(G31-F32&lt;0,1))</f>
        <v>0-0</v>
      </c>
      <c r="I31" s="93" t="str">
        <f>IF(AND(B31&lt;&gt;"",L$27=TRUE),A$27&amp;RANK(L31,L$28:L$32,0),"")</f>
        <v/>
      </c>
      <c r="J31" s="584">
        <f>VALUE(LEFT(H31,1))</f>
        <v>0</v>
      </c>
      <c r="K31" s="584">
        <f>IF(AND(J31=1,J28=1),C31-F28)+IF(AND(J31=1,J29=1),D31-F29)+IF(AND(J31=1,J30=1),E31-F30)+IF(AND(J31=1,J32=1),G31-F32)+IF(AND(J31=2,J28=2),C31-F28)+IF(AND(J31=2,J29=2),D31-F29)+IF(AND(J31=2,J30=2),E31-F30)+IF(AND(J31=2,J32=2),G31-F32)+IF(AND(J31=3,J28=3),C31-F28)+IF(AND(J31=3,J29=3),D31-F29)+IF(AND(J31=3,J30=3),E31-F30)+IF(AND(J31=3,J32=3),G31-F32)</f>
        <v>0</v>
      </c>
      <c r="L31" s="584">
        <f>1000*J31+K31</f>
        <v>0</v>
      </c>
      <c r="M31" s="569"/>
      <c r="N31" s="310"/>
      <c r="O31" s="88"/>
      <c r="P31" s="309"/>
      <c r="Q31" s="512">
        <f t="shared" si="4"/>
        <v>0</v>
      </c>
      <c r="R31" s="514" t="str">
        <f t="shared" si="0"/>
        <v/>
      </c>
      <c r="S31" s="515" t="str">
        <f>IFERROR(INDEX(V!$O:$O,MATCH(R31,V!$J:$J,0)),"")</f>
        <v/>
      </c>
      <c r="T31" s="514" t="str">
        <f t="shared" si="1"/>
        <v/>
      </c>
      <c r="U31" s="515" t="str">
        <f>IFERROR(INDEX(V!$O:$O,MATCH(T31,V!$J:$J,0)),"")</f>
        <v/>
      </c>
      <c r="V31" s="516" t="str">
        <f t="shared" si="2"/>
        <v/>
      </c>
      <c r="W31" s="515" t="str">
        <f>IFERROR(INDEX(V!$O:$O,MATCH(V31,V!$J:$J,0)),"")</f>
        <v/>
      </c>
      <c r="X31" s="516" t="str">
        <f t="shared" si="3"/>
        <v/>
      </c>
      <c r="Y31" s="515" t="str">
        <f>IFERROR(INDEX(V!$O:$O,MATCH(X31,V!$J:$J,0)),"")</f>
        <v/>
      </c>
    </row>
    <row r="32" spans="1:27" s="188" customFormat="1" hidden="1" x14ac:dyDescent="0.2">
      <c r="A32" s="126">
        <v>5</v>
      </c>
      <c r="B32" s="164"/>
      <c r="C32" s="93"/>
      <c r="D32" s="93"/>
      <c r="E32" s="93"/>
      <c r="F32" s="93"/>
      <c r="G32" s="127"/>
      <c r="H32" s="576" t="str">
        <f>(IF(C32-G28&gt;0,1)+IF(D32-G29&gt;0,1)+IF(E32-G30&gt;0,1)+IF(F32-G31&gt;0,1))&amp;"-"&amp;(IF(C32-G28&lt;0,1)+IF(D32-G29&lt;0,1)+IF(E32-G30&lt;0,1)+IF(F32-G31&lt;0,1))</f>
        <v>0-0</v>
      </c>
      <c r="I32" s="93" t="str">
        <f>IF(AND(B32&lt;&gt;"",L$27=TRUE),A$27&amp;RANK(L32,L$28:L$32,0),"")</f>
        <v/>
      </c>
      <c r="J32" s="584">
        <f t="shared" ref="J32" si="6">VALUE(LEFT(H32,1))</f>
        <v>0</v>
      </c>
      <c r="K32" s="584">
        <f>IF(AND(J32=1,J28=1),C32-G28)+IF(AND(J32=1,J29=1),D32-G29)+IF(AND(J32=1,J30=1),E32-G30)+IF(AND(J32=1,J31=1),F32-G31)+IF(AND(J32=2,J28=2),C32-G28)+IF(AND(J32=2,J29=2),D32-G29)+IF(AND(J32=2,J30=2),E32-G30)+IF(AND(J32=2,J31=2),F32-G31)+IF(AND(J32=3,J28=3),C32-G28)+IF(AND(J32=3,J29=3),D32-G29)+IF(AND(J32=3,J30=3),E32-G30)+IF(AND(J32=3,J31=3),F32-G31)</f>
        <v>0</v>
      </c>
      <c r="L32" s="584">
        <f>1000*J32+K32</f>
        <v>0</v>
      </c>
      <c r="M32" s="569"/>
      <c r="N32" s="310"/>
      <c r="O32" s="88"/>
      <c r="P32" s="88"/>
      <c r="Q32" s="512">
        <f t="shared" si="4"/>
        <v>0</v>
      </c>
      <c r="R32" s="514" t="str">
        <f t="shared" si="0"/>
        <v/>
      </c>
      <c r="S32" s="515" t="str">
        <f>IFERROR(INDEX(V!$O:$O,MATCH(R32,V!$J:$J,0)),"")</f>
        <v/>
      </c>
      <c r="T32" s="514" t="str">
        <f t="shared" si="1"/>
        <v/>
      </c>
      <c r="U32" s="515" t="str">
        <f>IFERROR(INDEX(V!$O:$O,MATCH(T32,V!$J:$J,0)),"")</f>
        <v/>
      </c>
      <c r="V32" s="516" t="str">
        <f t="shared" si="2"/>
        <v/>
      </c>
      <c r="W32" s="515" t="str">
        <f>IFERROR(INDEX(V!$O:$O,MATCH(V32,V!$J:$J,0)),"")</f>
        <v/>
      </c>
      <c r="X32" s="516" t="str">
        <f t="shared" si="3"/>
        <v/>
      </c>
      <c r="Y32" s="515" t="str">
        <f>IFERROR(INDEX(V!$O:$O,MATCH(X32,V!$J:$J,0)),"")</f>
        <v/>
      </c>
      <c r="Z32" s="88"/>
      <c r="AA32" s="88"/>
    </row>
    <row r="33" spans="1:27" s="188" customFormat="1" x14ac:dyDescent="0.2">
      <c r="A33" s="314"/>
      <c r="E33" s="314"/>
      <c r="F33" s="314"/>
      <c r="G33" s="314"/>
      <c r="M33" s="88"/>
      <c r="N33" s="88"/>
      <c r="O33" s="88"/>
      <c r="P33" s="88"/>
      <c r="S33" s="88"/>
      <c r="T33" s="88"/>
      <c r="U33" s="88"/>
      <c r="V33" s="88"/>
      <c r="W33" s="88"/>
      <c r="X33" s="88"/>
      <c r="Y33" s="88"/>
      <c r="Z33" s="88"/>
      <c r="AA33" s="88"/>
    </row>
    <row r="34" spans="1:27" s="188" customFormat="1" x14ac:dyDescent="0.2">
      <c r="A34" s="314"/>
      <c r="B34" s="213" t="s">
        <v>98</v>
      </c>
      <c r="C34" s="98" t="s">
        <v>99</v>
      </c>
      <c r="D34" s="98" t="s">
        <v>100</v>
      </c>
      <c r="E34" s="314"/>
      <c r="F34" s="314"/>
      <c r="G34" s="314"/>
      <c r="M34" s="88"/>
      <c r="N34" s="88"/>
      <c r="P34" s="88"/>
      <c r="S34" s="88"/>
      <c r="T34" s="88"/>
      <c r="U34" s="88"/>
      <c r="V34" s="88"/>
      <c r="W34" s="88"/>
      <c r="X34" s="88"/>
      <c r="Y34" s="88"/>
      <c r="Z34" s="88"/>
      <c r="AA34" s="88"/>
    </row>
    <row r="35" spans="1:27" s="188" customFormat="1" x14ac:dyDescent="0.2">
      <c r="A35" s="314"/>
      <c r="B35" s="213" t="s">
        <v>101</v>
      </c>
      <c r="C35" s="98" t="s">
        <v>102</v>
      </c>
      <c r="D35" s="98" t="s">
        <v>103</v>
      </c>
      <c r="E35" s="314"/>
      <c r="F35" s="314"/>
      <c r="G35" s="314"/>
      <c r="M35" s="88"/>
      <c r="N35" s="88"/>
      <c r="O35" s="579"/>
      <c r="P35" s="88"/>
      <c r="S35" s="88"/>
      <c r="T35" s="88"/>
      <c r="U35" s="88"/>
      <c r="V35" s="88"/>
      <c r="W35" s="88"/>
      <c r="X35" s="88"/>
      <c r="Y35" s="88"/>
      <c r="Z35" s="88"/>
      <c r="AA35" s="88"/>
    </row>
    <row r="36" spans="1:27" s="188" customFormat="1" x14ac:dyDescent="0.2">
      <c r="A36" s="95"/>
      <c r="B36" s="213" t="s">
        <v>104</v>
      </c>
      <c r="C36" s="98" t="s">
        <v>92</v>
      </c>
      <c r="D36" s="98" t="s">
        <v>105</v>
      </c>
      <c r="E36" s="97"/>
      <c r="F36" s="97"/>
      <c r="G36" s="402"/>
      <c r="M36" s="88"/>
      <c r="N36" s="88"/>
      <c r="P36" s="88"/>
      <c r="R36" s="212"/>
      <c r="S36" s="88"/>
      <c r="T36" s="88"/>
      <c r="U36" s="88"/>
      <c r="V36" s="88"/>
      <c r="W36" s="88"/>
      <c r="X36" s="88"/>
      <c r="Y36" s="88"/>
      <c r="Z36" s="88"/>
      <c r="AA36" s="88"/>
    </row>
    <row r="37" spans="1:27" s="88" customFormat="1" x14ac:dyDescent="0.2">
      <c r="Q37" s="188"/>
      <c r="R37" s="188"/>
    </row>
    <row r="38" spans="1:27" s="88" customFormat="1" hidden="1" x14ac:dyDescent="0.2">
      <c r="Q38" s="188"/>
      <c r="R38" s="212"/>
    </row>
    <row r="39" spans="1:27" s="88" customFormat="1" hidden="1" x14ac:dyDescent="0.2">
      <c r="Q39" s="188"/>
      <c r="R39" s="215"/>
    </row>
    <row r="40" spans="1:27" s="88" customFormat="1" hidden="1" x14ac:dyDescent="0.2">
      <c r="Q40" s="188"/>
      <c r="R40" s="215"/>
    </row>
    <row r="41" spans="1:27" s="88" customFormat="1" hidden="1" x14ac:dyDescent="0.2">
      <c r="Q41" s="188"/>
      <c r="R41" s="188"/>
    </row>
    <row r="42" spans="1:27" s="88" customFormat="1" hidden="1" x14ac:dyDescent="0.2">
      <c r="Q42" s="188"/>
      <c r="R42" s="215"/>
    </row>
    <row r="43" spans="1:27" s="88" customFormat="1" hidden="1" x14ac:dyDescent="0.2">
      <c r="Q43" s="188"/>
      <c r="R43" s="215"/>
    </row>
    <row r="44" spans="1:27" s="88" customFormat="1" hidden="1" x14ac:dyDescent="0.2">
      <c r="Q44" s="188"/>
      <c r="R44" s="188"/>
    </row>
    <row r="45" spans="1:27" s="88" customFormat="1" hidden="1" x14ac:dyDescent="0.2">
      <c r="Q45" s="188"/>
      <c r="R45" s="517"/>
    </row>
    <row r="46" spans="1:27" s="88" customFormat="1" hidden="1" x14ac:dyDescent="0.2">
      <c r="R46" s="215"/>
    </row>
    <row r="47" spans="1:27" s="88" customFormat="1" hidden="1" x14ac:dyDescent="0.2"/>
    <row r="48" spans="1:27" s="88" customFormat="1" hidden="1" x14ac:dyDescent="0.2"/>
    <row r="49" spans="17:17" s="88" customFormat="1" hidden="1" x14ac:dyDescent="0.2"/>
    <row r="50" spans="17:17" s="88" customFormat="1" hidden="1" x14ac:dyDescent="0.2"/>
    <row r="51" spans="17:17" s="88" customFormat="1" hidden="1" x14ac:dyDescent="0.2"/>
    <row r="52" spans="17:17" s="88" customFormat="1" hidden="1" x14ac:dyDescent="0.2"/>
    <row r="53" spans="17:17" s="88" customFormat="1" hidden="1" x14ac:dyDescent="0.2"/>
    <row r="54" spans="17:17" s="88" customFormat="1" hidden="1" x14ac:dyDescent="0.2"/>
    <row r="55" spans="17:17" s="88" customFormat="1" hidden="1" x14ac:dyDescent="0.2"/>
    <row r="56" spans="17:17" s="88" customFormat="1" hidden="1" x14ac:dyDescent="0.2"/>
    <row r="57" spans="17:17" s="88" customFormat="1" hidden="1" x14ac:dyDescent="0.2"/>
    <row r="58" spans="17:17" s="88" customFormat="1" hidden="1" x14ac:dyDescent="0.2"/>
    <row r="59" spans="17:17" s="88" customFormat="1" hidden="1" x14ac:dyDescent="0.2"/>
    <row r="60" spans="17:17" s="88" customFormat="1" hidden="1" x14ac:dyDescent="0.2"/>
    <row r="61" spans="17:17" s="88" customFormat="1" hidden="1" x14ac:dyDescent="0.2">
      <c r="Q61" s="188"/>
    </row>
    <row r="62" spans="17:17" s="88" customFormat="1" hidden="1" x14ac:dyDescent="0.2">
      <c r="Q62" s="188"/>
    </row>
    <row r="63" spans="17:17" s="88" customFormat="1" hidden="1" x14ac:dyDescent="0.2">
      <c r="Q63" s="215"/>
    </row>
    <row r="64" spans="17:17" s="88" customFormat="1" hidden="1" x14ac:dyDescent="0.2"/>
    <row r="65" s="88" customFormat="1" hidden="1" x14ac:dyDescent="0.2"/>
    <row r="66" s="88" customFormat="1" hidden="1" x14ac:dyDescent="0.2"/>
    <row r="67" s="88" customFormat="1" hidden="1" x14ac:dyDescent="0.2"/>
    <row r="68" s="88" customFormat="1" hidden="1" x14ac:dyDescent="0.2"/>
    <row r="69" s="88" customFormat="1" hidden="1" x14ac:dyDescent="0.2"/>
    <row r="70" s="88" customFormat="1" hidden="1" x14ac:dyDescent="0.2"/>
    <row r="71" s="88" customFormat="1" hidden="1" x14ac:dyDescent="0.2"/>
    <row r="72" s="88" customFormat="1" hidden="1" x14ac:dyDescent="0.2"/>
    <row r="73" s="88" customFormat="1" hidden="1" x14ac:dyDescent="0.2"/>
    <row r="74" s="349" customFormat="1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spans="1:13" hidden="1" x14ac:dyDescent="0.2"/>
    <row r="98" spans="1:13" hidden="1" x14ac:dyDescent="0.2"/>
    <row r="99" spans="1:13" hidden="1" x14ac:dyDescent="0.2"/>
    <row r="100" spans="1:13" x14ac:dyDescent="0.2">
      <c r="A100" s="214" t="s">
        <v>411</v>
      </c>
      <c r="B100" s="99"/>
      <c r="C100" s="96"/>
      <c r="D100" s="96"/>
      <c r="E100" s="96"/>
      <c r="F100" s="97"/>
      <c r="G100" s="98"/>
      <c r="H100" s="88"/>
      <c r="I100" s="88"/>
      <c r="J100" s="88"/>
      <c r="K100" s="88"/>
      <c r="L100" s="88"/>
      <c r="M100" s="88"/>
    </row>
    <row r="101" spans="1:13" x14ac:dyDescent="0.2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</row>
    <row r="102" spans="1:13" x14ac:dyDescent="0.2">
      <c r="A102" s="106" t="s">
        <v>84</v>
      </c>
      <c r="B102" s="404" t="str">
        <f>IFERROR(INDEX(B$7:B$32,MATCH(A102,I$7:I$32,0)),"")</f>
        <v/>
      </c>
      <c r="C102" s="120" t="str">
        <f>IF(B102="-",0,IF(B104="-",13,""))</f>
        <v/>
      </c>
      <c r="D102" s="88"/>
      <c r="E102" s="88"/>
      <c r="F102" s="88"/>
      <c r="G102" s="88"/>
      <c r="H102" s="88"/>
      <c r="I102" s="88"/>
      <c r="J102" s="88"/>
      <c r="K102" s="88"/>
      <c r="L102" s="88"/>
      <c r="M102" s="88"/>
    </row>
    <row r="103" spans="1:13" x14ac:dyDescent="0.2">
      <c r="A103" s="107"/>
      <c r="B103" s="423"/>
      <c r="C103" s="524" t="str">
        <f>IF(COUNT(C102,C104)=2,IF(C102&gt;C104,B102,B104),"")</f>
        <v/>
      </c>
      <c r="D103" s="88"/>
      <c r="E103" s="120" t="str">
        <f>IF(C103="-",0,IF(C107="-",13,""))</f>
        <v/>
      </c>
      <c r="F103" s="88"/>
      <c r="G103" s="88"/>
      <c r="H103" s="88"/>
      <c r="I103" s="88"/>
      <c r="J103" s="88"/>
      <c r="K103" s="88"/>
      <c r="L103" s="88"/>
      <c r="M103" s="88"/>
    </row>
    <row r="104" spans="1:13" x14ac:dyDescent="0.2">
      <c r="A104" s="107" t="s">
        <v>406</v>
      </c>
      <c r="B104" s="406" t="str">
        <f>IFERROR(INDEX(B$7:B$32,MATCH(A104,I$7:I$32,0)),"")</f>
        <v/>
      </c>
      <c r="C104" s="110" t="str">
        <f>IF(B104="-",0,IF(B102="-",13,""))</f>
        <v/>
      </c>
      <c r="D104" s="111"/>
      <c r="E104" s="88"/>
      <c r="F104" s="88"/>
      <c r="G104" s="88"/>
      <c r="H104" s="88"/>
      <c r="I104" s="88"/>
      <c r="J104" s="88"/>
      <c r="K104" s="88"/>
      <c r="L104" s="88"/>
      <c r="M104" s="88"/>
    </row>
    <row r="105" spans="1:13" x14ac:dyDescent="0.2">
      <c r="A105" s="107"/>
      <c r="B105" s="407"/>
      <c r="C105" s="88"/>
      <c r="D105" s="112"/>
      <c r="E105" s="524" t="str">
        <f>IF(COUNT(E103,E107)=2,IF(E103&gt;E107,C103,C107),"")</f>
        <v/>
      </c>
      <c r="F105" s="88"/>
      <c r="G105" s="120" t="str">
        <f>IF(E105="-",0,IF(E113="-",13,""))</f>
        <v/>
      </c>
      <c r="H105" s="88"/>
      <c r="I105" s="88"/>
      <c r="J105" s="88"/>
      <c r="K105" s="88"/>
      <c r="L105" s="88"/>
      <c r="M105" s="88"/>
    </row>
    <row r="106" spans="1:13" x14ac:dyDescent="0.2">
      <c r="A106" s="107" t="s">
        <v>85</v>
      </c>
      <c r="B106" s="404" t="str">
        <f>IFERROR(INDEX(B$7:B$32,MATCH(A106,I$7:I$32,0)),"")</f>
        <v/>
      </c>
      <c r="C106" s="120"/>
      <c r="D106" s="112"/>
      <c r="E106" s="216"/>
      <c r="F106" s="111"/>
      <c r="G106" s="88"/>
      <c r="H106" s="88"/>
      <c r="I106" s="88"/>
      <c r="J106" s="88"/>
      <c r="K106" s="88"/>
      <c r="L106" s="88"/>
      <c r="M106" s="88"/>
    </row>
    <row r="107" spans="1:13" x14ac:dyDescent="0.2">
      <c r="A107" s="107"/>
      <c r="B107" s="423"/>
      <c r="C107" s="524"/>
      <c r="D107" s="234"/>
      <c r="E107" s="110" t="str">
        <f>IF(C107="-",0,IF(C103="-",13,""))</f>
        <v/>
      </c>
      <c r="F107" s="112"/>
      <c r="G107" s="88"/>
      <c r="H107" s="88"/>
      <c r="I107" s="88"/>
      <c r="J107" s="88"/>
      <c r="K107" s="88"/>
      <c r="L107" s="88"/>
      <c r="M107" s="88"/>
    </row>
    <row r="108" spans="1:13" x14ac:dyDescent="0.2">
      <c r="A108" s="107" t="s">
        <v>71</v>
      </c>
      <c r="B108" s="406" t="str">
        <f>IFERROR(INDEX(B$7:B$32,MATCH(A108,I$7:I$32,0)),"")</f>
        <v/>
      </c>
      <c r="C108" s="110"/>
      <c r="D108" s="88"/>
      <c r="E108" s="99"/>
      <c r="F108" s="112"/>
      <c r="G108" s="88"/>
      <c r="I108" s="88"/>
      <c r="J108" s="88"/>
      <c r="K108" s="88"/>
      <c r="L108" s="88"/>
      <c r="M108" s="88"/>
    </row>
    <row r="109" spans="1:13" ht="13.5" thickBot="1" x14ac:dyDescent="0.25">
      <c r="A109" s="87"/>
      <c r="B109" s="407"/>
      <c r="C109" s="88"/>
      <c r="D109" s="88"/>
      <c r="E109" s="99"/>
      <c r="F109" s="112"/>
      <c r="G109" s="88"/>
      <c r="H109" s="184" t="str">
        <f>IF(COUNT(G105,G113)=2,IF(G105&gt;G113,E105,E113),"")</f>
        <v/>
      </c>
      <c r="I109" s="88"/>
      <c r="J109" s="88"/>
      <c r="K109" s="88"/>
      <c r="L109" s="88"/>
      <c r="M109" s="88"/>
    </row>
    <row r="110" spans="1:13" x14ac:dyDescent="0.2">
      <c r="A110" s="106" t="s">
        <v>86</v>
      </c>
      <c r="B110" s="404" t="str">
        <f>IFERROR(INDEX(B$7:B$32,MATCH(A110,I$7:I$32,0)),"")</f>
        <v/>
      </c>
      <c r="C110" s="120"/>
      <c r="D110" s="88"/>
      <c r="E110" s="88"/>
      <c r="F110" s="112"/>
      <c r="G110" s="114"/>
      <c r="H110" s="379" t="s">
        <v>275</v>
      </c>
      <c r="I110" s="378"/>
      <c r="J110" s="88"/>
      <c r="K110" s="88"/>
      <c r="L110" s="88"/>
      <c r="M110" s="88"/>
    </row>
    <row r="111" spans="1:13" x14ac:dyDescent="0.2">
      <c r="A111" s="107"/>
      <c r="B111" s="423"/>
      <c r="C111" s="524"/>
      <c r="D111" s="88"/>
      <c r="E111" s="120" t="str">
        <f>IF(C111="-",0,IF(C115="-",13,""))</f>
        <v/>
      </c>
      <c r="F111" s="112"/>
      <c r="G111" s="99"/>
      <c r="H111" s="88"/>
      <c r="I111" s="88"/>
      <c r="J111" s="88"/>
      <c r="K111" s="88"/>
      <c r="L111" s="88"/>
      <c r="M111" s="88"/>
    </row>
    <row r="112" spans="1:13" x14ac:dyDescent="0.2">
      <c r="A112" s="107" t="s">
        <v>75</v>
      </c>
      <c r="B112" s="406" t="str">
        <f>IFERROR(INDEX(B$7:B$32,MATCH(A112,I$7:I$32,0)),"")</f>
        <v/>
      </c>
      <c r="C112" s="110"/>
      <c r="D112" s="111"/>
      <c r="E112" s="88"/>
      <c r="F112" s="112"/>
      <c r="G112" s="99"/>
      <c r="H112" s="88"/>
      <c r="I112" s="88"/>
      <c r="J112" s="88"/>
      <c r="K112" s="88"/>
      <c r="L112" s="88"/>
      <c r="M112" s="88"/>
    </row>
    <row r="113" spans="1:13" x14ac:dyDescent="0.2">
      <c r="A113" s="107"/>
      <c r="B113" s="407"/>
      <c r="C113" s="88"/>
      <c r="D113" s="112"/>
      <c r="E113" s="524" t="str">
        <f>IF(COUNT(E111,E115)=2,IF(E111&gt;E115,C111,C115),"")</f>
        <v/>
      </c>
      <c r="F113" s="234"/>
      <c r="G113" s="110" t="str">
        <f>IF(E113="-",0,IF(E105="-",13,""))</f>
        <v/>
      </c>
      <c r="H113" s="88"/>
      <c r="I113" s="88"/>
      <c r="J113" s="88"/>
      <c r="K113" s="88"/>
      <c r="L113" s="88"/>
      <c r="M113" s="88"/>
    </row>
    <row r="114" spans="1:13" ht="13.5" thickBot="1" x14ac:dyDescent="0.25">
      <c r="A114" s="107" t="s">
        <v>407</v>
      </c>
      <c r="B114" s="404" t="str">
        <f>IFERROR(INDEX(B$7:B$32,MATCH(A114,I$7:I$32,0)),"")</f>
        <v/>
      </c>
      <c r="C114" s="120"/>
      <c r="D114" s="112"/>
      <c r="E114" s="216"/>
      <c r="F114" s="99"/>
      <c r="G114" s="99"/>
      <c r="H114" s="184" t="str">
        <f>IF(COUNT(G105,G113)=2,IF(G105&lt;G113,E105,E113),"")</f>
        <v/>
      </c>
      <c r="I114" s="119"/>
      <c r="J114" s="88"/>
      <c r="K114" s="88"/>
      <c r="L114" s="88"/>
      <c r="M114" s="88"/>
    </row>
    <row r="115" spans="1:13" x14ac:dyDescent="0.2">
      <c r="A115" s="107"/>
      <c r="B115" s="423"/>
      <c r="C115" s="524"/>
      <c r="D115" s="234"/>
      <c r="E115" s="110" t="str">
        <f>IF(C115="-",0,IF(C111="-",13,""))</f>
        <v/>
      </c>
      <c r="F115" s="88"/>
      <c r="G115" s="99"/>
      <c r="H115" s="379" t="s">
        <v>276</v>
      </c>
      <c r="I115" s="99"/>
      <c r="J115" s="88"/>
      <c r="K115" s="88"/>
      <c r="L115" s="88"/>
      <c r="M115" s="88"/>
    </row>
    <row r="116" spans="1:13" x14ac:dyDescent="0.2">
      <c r="A116" s="107" t="s">
        <v>76</v>
      </c>
      <c r="B116" s="406" t="str">
        <f>IFERROR(INDEX(B$7:B$32,MATCH(A116,I$7:I$32,0)),"")</f>
        <v/>
      </c>
      <c r="C116" s="110"/>
      <c r="D116" s="88"/>
      <c r="E116" s="99"/>
      <c r="F116" s="99"/>
      <c r="G116" s="99"/>
      <c r="H116" s="88"/>
      <c r="I116" s="88"/>
      <c r="J116" s="88"/>
      <c r="K116" s="88"/>
      <c r="L116" s="88"/>
      <c r="M116" s="88"/>
    </row>
    <row r="117" spans="1:13" x14ac:dyDescent="0.2">
      <c r="A117" s="87"/>
      <c r="B117" s="407"/>
      <c r="C117" s="88"/>
      <c r="D117" s="88"/>
      <c r="E117" s="217" t="str">
        <f>IF(COUNT(E103,E107)=2,IF(E103&lt;E107,C103,C107),"")</f>
        <v/>
      </c>
      <c r="F117" s="88"/>
      <c r="G117" s="120" t="str">
        <f>IF(E117="-",0,IF(E119="-",13,""))</f>
        <v/>
      </c>
      <c r="H117" s="88"/>
      <c r="I117" s="88"/>
      <c r="J117" s="88"/>
      <c r="K117" s="88"/>
      <c r="L117" s="88"/>
      <c r="M117" s="88"/>
    </row>
    <row r="118" spans="1:13" ht="13.5" thickBot="1" x14ac:dyDescent="0.25">
      <c r="A118" s="88"/>
      <c r="B118" s="88"/>
      <c r="C118" s="88"/>
      <c r="D118" s="88"/>
      <c r="E118" s="108"/>
      <c r="F118" s="111"/>
      <c r="G118" s="119"/>
      <c r="H118" s="184" t="str">
        <f>IF(COUNT(G117,G119)=2,IF(G117&gt;G119,E117,E119),"")</f>
        <v/>
      </c>
      <c r="I118" s="119"/>
      <c r="J118" s="88"/>
      <c r="K118" s="88"/>
      <c r="L118" s="88"/>
      <c r="M118" s="88"/>
    </row>
    <row r="119" spans="1:13" x14ac:dyDescent="0.2">
      <c r="A119" s="88"/>
      <c r="B119" s="88"/>
      <c r="C119" s="88"/>
      <c r="D119" s="88"/>
      <c r="E119" s="528" t="str">
        <f>IF(COUNT(E111,E115)=2,IF(E111&lt;E115,C111,C115),"")</f>
        <v/>
      </c>
      <c r="F119" s="234"/>
      <c r="G119" s="110" t="str">
        <f>IF(E119="-",0,IF(E117="-",13,""))</f>
        <v/>
      </c>
      <c r="H119" s="121" t="s">
        <v>277</v>
      </c>
      <c r="I119" s="99"/>
      <c r="J119" s="88"/>
      <c r="K119" s="88"/>
      <c r="L119" s="88"/>
      <c r="M119" s="88"/>
    </row>
    <row r="120" spans="1:13" x14ac:dyDescent="0.2">
      <c r="A120" s="88"/>
      <c r="B120" s="88"/>
      <c r="C120" s="88"/>
      <c r="D120" s="88"/>
      <c r="E120" s="88"/>
      <c r="F120" s="88"/>
      <c r="G120" s="88"/>
      <c r="H120" s="99"/>
      <c r="I120" s="99"/>
      <c r="J120" s="88"/>
      <c r="K120" s="88"/>
      <c r="L120" s="88"/>
      <c r="M120" s="88"/>
    </row>
    <row r="121" spans="1:13" ht="13.5" thickBot="1" x14ac:dyDescent="0.25">
      <c r="A121" s="88"/>
      <c r="B121" s="88"/>
      <c r="C121" s="88"/>
      <c r="D121" s="88"/>
      <c r="E121" s="99"/>
      <c r="F121" s="99"/>
      <c r="G121" s="88"/>
      <c r="H121" s="184" t="str">
        <f>IF(COUNT(G117,G119)=2,IF(G117&lt;G119,E117,E119),"")</f>
        <v/>
      </c>
      <c r="I121" s="119"/>
      <c r="J121" s="88"/>
      <c r="K121" s="88"/>
      <c r="L121" s="88"/>
      <c r="M121" s="88"/>
    </row>
    <row r="122" spans="1:13" x14ac:dyDescent="0.2">
      <c r="A122" s="88"/>
      <c r="B122" s="88"/>
      <c r="C122" s="88"/>
      <c r="D122" s="88"/>
      <c r="E122" s="88"/>
      <c r="F122" s="88"/>
      <c r="G122" s="88"/>
      <c r="H122" s="87" t="s">
        <v>50</v>
      </c>
      <c r="I122" s="88"/>
      <c r="J122" s="88"/>
      <c r="K122" s="88"/>
      <c r="L122" s="88"/>
      <c r="M122" s="88"/>
    </row>
    <row r="123" spans="1:13" x14ac:dyDescent="0.2">
      <c r="A123" s="88"/>
      <c r="B123" s="88"/>
      <c r="C123" s="528" t="str">
        <f>IF(COUNT(C102,C104)=2,IF(C102&lt;C104,B102,B104),"")</f>
        <v/>
      </c>
      <c r="D123" s="88"/>
      <c r="E123" s="120" t="str">
        <f>IF(C123="-",0,IF(C125="-",13,""))</f>
        <v/>
      </c>
      <c r="F123" s="120"/>
      <c r="G123" s="120"/>
      <c r="H123" s="88"/>
      <c r="I123" s="88"/>
      <c r="J123" s="88"/>
      <c r="K123" s="88"/>
      <c r="L123" s="88"/>
      <c r="M123" s="88"/>
    </row>
    <row r="124" spans="1:13" x14ac:dyDescent="0.2">
      <c r="A124" s="88"/>
      <c r="B124" s="88"/>
      <c r="C124" s="219"/>
      <c r="D124" s="220"/>
      <c r="E124" s="524" t="str">
        <f>IF(COUNT(E123,E125)=2,IF(E123&gt;E125,D123,D125),"")</f>
        <v/>
      </c>
      <c r="F124" s="88"/>
      <c r="G124" s="120" t="str">
        <f>IF(E124="-",0,IF(E128="-",13,""))</f>
        <v/>
      </c>
      <c r="H124" s="88"/>
      <c r="I124" s="88"/>
      <c r="J124" s="88"/>
      <c r="K124" s="88"/>
      <c r="L124" s="88"/>
      <c r="M124" s="88"/>
    </row>
    <row r="125" spans="1:13" x14ac:dyDescent="0.2">
      <c r="A125" s="88"/>
      <c r="B125" s="88"/>
      <c r="C125" s="528" t="str">
        <f>IF(COUNT(C106,C108)=2,IF(C106&lt;C108,B106,B108),"")</f>
        <v/>
      </c>
      <c r="D125" s="529"/>
      <c r="E125" s="110" t="str">
        <f>IF(C125="-",0,IF(C123="-",13,""))</f>
        <v/>
      </c>
      <c r="F125" s="220"/>
      <c r="G125" s="120"/>
      <c r="H125" s="88"/>
      <c r="I125" s="88"/>
      <c r="J125" s="88"/>
      <c r="K125" s="88"/>
      <c r="L125" s="88"/>
      <c r="M125" s="88"/>
    </row>
    <row r="126" spans="1:13" ht="13.5" thickBot="1" x14ac:dyDescent="0.25">
      <c r="A126" s="88"/>
      <c r="B126" s="88"/>
      <c r="C126" s="120"/>
      <c r="D126" s="120"/>
      <c r="E126" s="88"/>
      <c r="F126" s="221"/>
      <c r="G126" s="120"/>
      <c r="H126" s="184" t="str">
        <f>IF(COUNT(G124,G128)=2,IF(G124&gt;G128,E124,E128),"")</f>
        <v/>
      </c>
      <c r="I126" s="88"/>
      <c r="J126" s="88"/>
      <c r="K126" s="88"/>
      <c r="L126" s="88"/>
      <c r="M126" s="88"/>
    </row>
    <row r="127" spans="1:13" x14ac:dyDescent="0.2">
      <c r="A127" s="88"/>
      <c r="B127" s="88"/>
      <c r="C127" s="528" t="str">
        <f>IF(COUNT(C110,C112)=2,IF(C110&lt;C112,B110,B112),"")</f>
        <v/>
      </c>
      <c r="D127" s="120"/>
      <c r="E127" s="120" t="str">
        <f>IF(C127="-",0,IF(C129="-",13,""))</f>
        <v/>
      </c>
      <c r="F127" s="221"/>
      <c r="G127" s="222"/>
      <c r="H127" s="379" t="s">
        <v>51</v>
      </c>
      <c r="I127" s="378"/>
      <c r="J127" s="88"/>
      <c r="K127" s="88"/>
      <c r="L127" s="88"/>
      <c r="M127" s="88"/>
    </row>
    <row r="128" spans="1:13" x14ac:dyDescent="0.2">
      <c r="A128" s="88"/>
      <c r="B128" s="88"/>
      <c r="C128" s="219"/>
      <c r="D128" s="220"/>
      <c r="E128" s="524" t="str">
        <f>IF(COUNT(E127,E129)=2,IF(E127&gt;E129,D127,D129),"")</f>
        <v/>
      </c>
      <c r="F128" s="234"/>
      <c r="G128" s="110" t="str">
        <f>IF(E128="-",0,IF(E124="-",13,""))</f>
        <v/>
      </c>
      <c r="H128" s="88"/>
      <c r="I128" s="88"/>
      <c r="J128" s="88"/>
      <c r="K128" s="88"/>
      <c r="L128" s="88"/>
      <c r="M128" s="88"/>
    </row>
    <row r="129" spans="1:13" ht="13.5" thickBot="1" x14ac:dyDescent="0.25">
      <c r="A129" s="88"/>
      <c r="B129" s="88"/>
      <c r="C129" s="528" t="str">
        <f>IF(COUNT(C114,C116)=2,IF(C114&lt;C116,B114,B116),"")</f>
        <v/>
      </c>
      <c r="D129" s="529"/>
      <c r="E129" s="110" t="str">
        <f>IF(C129="-",0,IF(C127="-",13,""))</f>
        <v/>
      </c>
      <c r="F129" s="120"/>
      <c r="G129" s="113"/>
      <c r="H129" s="184" t="str">
        <f>IF(COUNT(G124,G128)=2,IF(G124&lt;G128,E124,E128),"")</f>
        <v/>
      </c>
      <c r="I129" s="119"/>
      <c r="J129" s="88"/>
      <c r="K129" s="88"/>
      <c r="L129" s="88"/>
      <c r="M129" s="88"/>
    </row>
    <row r="130" spans="1:13" x14ac:dyDescent="0.2">
      <c r="A130" s="88"/>
      <c r="B130" s="88"/>
      <c r="C130" s="120"/>
      <c r="D130" s="120"/>
      <c r="E130" s="120"/>
      <c r="F130" s="120"/>
      <c r="G130" s="113"/>
      <c r="H130" s="379" t="s">
        <v>52</v>
      </c>
      <c r="I130" s="99"/>
      <c r="J130" s="88"/>
      <c r="K130" s="88"/>
      <c r="L130" s="88"/>
      <c r="M130" s="88"/>
    </row>
    <row r="131" spans="1:13" x14ac:dyDescent="0.2">
      <c r="A131" s="88"/>
      <c r="B131" s="88"/>
      <c r="C131" s="120"/>
      <c r="D131" s="113"/>
      <c r="E131" s="217" t="str">
        <f>IF(COUNT(E123,E125)=2,IF(E123&lt;E125,C123,C125),"")</f>
        <v/>
      </c>
      <c r="F131" s="88"/>
      <c r="G131" s="120" t="str">
        <f>IF(E131="-",0,IF(E133="-",13,""))</f>
        <v/>
      </c>
      <c r="H131" s="99"/>
      <c r="I131" s="99"/>
      <c r="J131" s="88"/>
      <c r="K131" s="88"/>
      <c r="L131" s="88"/>
      <c r="M131" s="88"/>
    </row>
    <row r="132" spans="1:13" ht="13.5" thickBot="1" x14ac:dyDescent="0.25">
      <c r="A132" s="88"/>
      <c r="B132" s="88"/>
      <c r="C132" s="120"/>
      <c r="D132" s="113"/>
      <c r="E132" s="108"/>
      <c r="F132" s="111"/>
      <c r="G132" s="119"/>
      <c r="H132" s="184" t="str">
        <f>IF(COUNT(G131,G133)=2,IF(G131&gt;G133,E131,E133),"")</f>
        <v/>
      </c>
      <c r="I132" s="119"/>
      <c r="J132" s="88"/>
      <c r="K132" s="88"/>
      <c r="L132" s="88"/>
      <c r="M132" s="88"/>
    </row>
    <row r="133" spans="1:13" x14ac:dyDescent="0.2">
      <c r="A133" s="88"/>
      <c r="B133" s="88"/>
      <c r="C133" s="120"/>
      <c r="D133" s="113"/>
      <c r="E133" s="528" t="str">
        <f>IF(COUNT(E127,E129)=2,IF(E127&lt;E129,C127,C129),"")</f>
        <v/>
      </c>
      <c r="F133" s="234"/>
      <c r="G133" s="110" t="str">
        <f>IF(E133="-",0,IF(E131="-",13,""))</f>
        <v/>
      </c>
      <c r="H133" s="121" t="s">
        <v>53</v>
      </c>
      <c r="I133" s="99"/>
      <c r="J133" s="88"/>
      <c r="K133" s="88"/>
      <c r="L133" s="88"/>
      <c r="M133" s="88"/>
    </row>
    <row r="134" spans="1:13" x14ac:dyDescent="0.2">
      <c r="A134" s="88"/>
      <c r="B134" s="88"/>
      <c r="C134" s="88"/>
      <c r="D134" s="99"/>
      <c r="E134" s="88"/>
      <c r="F134" s="88"/>
      <c r="G134" s="88"/>
      <c r="H134" s="99"/>
      <c r="I134" s="99"/>
      <c r="J134" s="88"/>
      <c r="K134" s="88"/>
      <c r="L134" s="88"/>
      <c r="M134" s="88"/>
    </row>
    <row r="135" spans="1:13" ht="13.5" thickBot="1" x14ac:dyDescent="0.25">
      <c r="A135" s="88"/>
      <c r="B135" s="88"/>
      <c r="C135" s="88"/>
      <c r="D135" s="88"/>
      <c r="E135" s="99"/>
      <c r="F135" s="99"/>
      <c r="G135" s="88"/>
      <c r="H135" s="119" t="str">
        <f>IF(COUNT(G131,G133)=2,IF(G131&lt;G133,E131,E133),"")</f>
        <v/>
      </c>
      <c r="I135" s="119"/>
      <c r="J135" s="88"/>
      <c r="K135" s="88"/>
      <c r="L135" s="88"/>
      <c r="M135" s="88"/>
    </row>
    <row r="136" spans="1:13" x14ac:dyDescent="0.2">
      <c r="A136" s="88"/>
      <c r="B136" s="88"/>
      <c r="C136" s="88"/>
      <c r="D136" s="88"/>
      <c r="E136" s="99"/>
      <c r="F136" s="99"/>
      <c r="G136" s="88"/>
      <c r="H136" s="121" t="s">
        <v>54</v>
      </c>
      <c r="I136" s="88"/>
      <c r="J136" s="88"/>
      <c r="K136" s="88"/>
      <c r="L136" s="88"/>
      <c r="M136" s="88"/>
    </row>
    <row r="137" spans="1:13" x14ac:dyDescent="0.2">
      <c r="A137" s="349"/>
      <c r="B137" s="349"/>
      <c r="C137" s="349"/>
      <c r="D137" s="349"/>
      <c r="E137" s="349"/>
      <c r="F137" s="349"/>
      <c r="G137" s="349"/>
      <c r="H137" s="349"/>
      <c r="I137" s="349"/>
      <c r="J137" s="349"/>
      <c r="K137" s="349"/>
      <c r="L137" s="349"/>
      <c r="M137" s="349"/>
    </row>
    <row r="138" spans="1:13" x14ac:dyDescent="0.2">
      <c r="A138" s="218" t="s">
        <v>410</v>
      </c>
    </row>
    <row r="139" spans="1:13" x14ac:dyDescent="0.2">
      <c r="A139" s="88"/>
      <c r="B139" s="88"/>
      <c r="C139" s="88"/>
      <c r="D139" s="88"/>
      <c r="E139" s="88"/>
      <c r="F139" s="88"/>
      <c r="G139" s="88"/>
      <c r="H139" s="88"/>
      <c r="I139" s="88"/>
    </row>
    <row r="140" spans="1:13" x14ac:dyDescent="0.2">
      <c r="A140" s="106" t="s">
        <v>93</v>
      </c>
      <c r="B140" s="404" t="str">
        <f>IFERROR(INDEX(B$7:B$32,MATCH(A140,I$7:I$32,0)),"")</f>
        <v/>
      </c>
      <c r="C140" s="120" t="str">
        <f>IF(B140="-",0,IF(B142="-",13,""))</f>
        <v/>
      </c>
      <c r="D140" s="88"/>
      <c r="E140" s="88"/>
      <c r="F140" s="88"/>
      <c r="G140" s="88"/>
      <c r="H140" s="88"/>
      <c r="I140" s="88"/>
    </row>
    <row r="141" spans="1:13" x14ac:dyDescent="0.2">
      <c r="A141" s="107"/>
      <c r="B141" s="423"/>
      <c r="C141" s="524" t="str">
        <f>IF(COUNT(C140,C142)=2,IF(C140&gt;C142,B140,B142),"")</f>
        <v/>
      </c>
      <c r="D141" s="88"/>
      <c r="E141" s="120" t="str">
        <f>IF(C141="-",0,IF(C145="-",13,""))</f>
        <v/>
      </c>
      <c r="F141" s="88"/>
      <c r="G141" s="88"/>
      <c r="H141" s="88"/>
      <c r="I141" s="88"/>
    </row>
    <row r="142" spans="1:13" x14ac:dyDescent="0.2">
      <c r="A142" s="107" t="s">
        <v>409</v>
      </c>
      <c r="B142" s="406" t="str">
        <f>IFERROR(INDEX(B$7:B$32,MATCH(A142,I$7:I$32,0)),"")</f>
        <v/>
      </c>
      <c r="C142" s="110" t="str">
        <f>IF(B142="-",0,IF(B140="-",13,""))</f>
        <v/>
      </c>
      <c r="D142" s="111"/>
      <c r="E142" s="88"/>
      <c r="F142" s="88"/>
      <c r="G142" s="88"/>
      <c r="H142" s="88"/>
      <c r="I142" s="88"/>
    </row>
    <row r="143" spans="1:13" x14ac:dyDescent="0.2">
      <c r="A143" s="107"/>
      <c r="B143" s="407"/>
      <c r="C143" s="88"/>
      <c r="D143" s="112"/>
      <c r="E143" s="524" t="str">
        <f>IF(COUNT(E141,E145)=2,IF(E141&gt;E145,C141,C145),"")</f>
        <v/>
      </c>
      <c r="F143" s="88"/>
      <c r="G143" s="120" t="str">
        <f>IF(E143="-",0,IF(E151="-",13,""))</f>
        <v/>
      </c>
      <c r="H143" s="88"/>
      <c r="I143" s="88"/>
    </row>
    <row r="144" spans="1:13" x14ac:dyDescent="0.2">
      <c r="A144" s="107" t="s">
        <v>118</v>
      </c>
      <c r="B144" s="404" t="str">
        <f>IFERROR(INDEX(B$7:B$32,MATCH(A144,I$7:I$32,0)),"")</f>
        <v/>
      </c>
      <c r="C144" s="120"/>
      <c r="D144" s="112"/>
      <c r="E144" s="216"/>
      <c r="F144" s="111"/>
      <c r="G144" s="88"/>
      <c r="H144" s="88"/>
      <c r="I144" s="88"/>
    </row>
    <row r="145" spans="1:9" x14ac:dyDescent="0.2">
      <c r="A145" s="107"/>
      <c r="B145" s="423"/>
      <c r="C145" s="524"/>
      <c r="D145" s="234"/>
      <c r="E145" s="110" t="str">
        <f>IF(C145="-",0,IF(C141="-",13,""))</f>
        <v/>
      </c>
      <c r="F145" s="112"/>
      <c r="G145" s="88"/>
      <c r="H145" s="88"/>
      <c r="I145" s="88"/>
    </row>
    <row r="146" spans="1:9" x14ac:dyDescent="0.2">
      <c r="A146" s="107" t="s">
        <v>189</v>
      </c>
      <c r="B146" s="406" t="s">
        <v>70</v>
      </c>
      <c r="C146" s="110"/>
      <c r="D146" s="88"/>
      <c r="E146" s="99"/>
      <c r="F146" s="112"/>
      <c r="G146" s="88"/>
      <c r="H146" s="88"/>
      <c r="I146" s="88"/>
    </row>
    <row r="147" spans="1:9" ht="13.5" thickBot="1" x14ac:dyDescent="0.25">
      <c r="A147" s="87"/>
      <c r="B147" s="407"/>
      <c r="C147" s="88"/>
      <c r="D147" s="88"/>
      <c r="E147" s="99"/>
      <c r="F147" s="112"/>
      <c r="G147" s="88"/>
      <c r="H147" s="526" t="str">
        <f>IF(COUNT(G143,G151)=2,IF(G143&gt;G151,E143,E151),"")</f>
        <v/>
      </c>
      <c r="I147" s="88"/>
    </row>
    <row r="148" spans="1:9" x14ac:dyDescent="0.2">
      <c r="A148" s="106" t="s">
        <v>94</v>
      </c>
      <c r="B148" s="404" t="str">
        <f>IFERROR(INDEX(B$7:B$32,MATCH(A148,I$7:I$32,0)),"")</f>
        <v/>
      </c>
      <c r="C148" s="120"/>
      <c r="D148" s="88"/>
      <c r="E148" s="88"/>
      <c r="F148" s="112"/>
      <c r="G148" s="114"/>
      <c r="H148" s="379" t="s">
        <v>55</v>
      </c>
      <c r="I148" s="378"/>
    </row>
    <row r="149" spans="1:9" x14ac:dyDescent="0.2">
      <c r="A149" s="107"/>
      <c r="B149" s="423"/>
      <c r="C149" s="524"/>
      <c r="D149" s="88"/>
      <c r="E149" s="120" t="str">
        <f>IF(C149="-",0,IF(C153="-",13,""))</f>
        <v/>
      </c>
      <c r="F149" s="112"/>
      <c r="G149" s="99"/>
      <c r="H149" s="88"/>
      <c r="I149" s="88"/>
    </row>
    <row r="150" spans="1:9" x14ac:dyDescent="0.2">
      <c r="A150" s="107" t="s">
        <v>122</v>
      </c>
      <c r="B150" s="406" t="s">
        <v>70</v>
      </c>
      <c r="C150" s="110"/>
      <c r="D150" s="111"/>
      <c r="E150" s="88"/>
      <c r="F150" s="112"/>
      <c r="G150" s="99"/>
      <c r="H150" s="88"/>
      <c r="I150" s="88"/>
    </row>
    <row r="151" spans="1:9" x14ac:dyDescent="0.2">
      <c r="A151" s="107"/>
      <c r="B151" s="407"/>
      <c r="C151" s="88"/>
      <c r="D151" s="112"/>
      <c r="E151" s="524" t="str">
        <f>IF(COUNT(E149,E153)=2,IF(E149&gt;E153,C149,C153),"")</f>
        <v/>
      </c>
      <c r="F151" s="234"/>
      <c r="G151" s="110" t="str">
        <f>IF(E151="-",0,IF(E143="-",13,""))</f>
        <v/>
      </c>
      <c r="H151" s="88"/>
      <c r="I151" s="88"/>
    </row>
    <row r="152" spans="1:9" ht="13.5" thickBot="1" x14ac:dyDescent="0.25">
      <c r="A152" s="107" t="s">
        <v>408</v>
      </c>
      <c r="B152" s="447" t="str">
        <f>IFERROR(INDEX(B$7:B$32,MATCH(A152,I$7:I$32,0)),"")</f>
        <v/>
      </c>
      <c r="C152" s="120"/>
      <c r="D152" s="112"/>
      <c r="E152" s="216"/>
      <c r="F152" s="99"/>
      <c r="G152" s="99"/>
      <c r="H152" s="526" t="str">
        <f>IF(COUNT(G143,G151)=2,IF(G143&lt;G151,E143,E151),"")</f>
        <v/>
      </c>
      <c r="I152" s="527"/>
    </row>
    <row r="153" spans="1:9" x14ac:dyDescent="0.2">
      <c r="A153" s="107"/>
      <c r="B153" s="423"/>
      <c r="C153" s="524"/>
      <c r="D153" s="234"/>
      <c r="E153" s="110" t="str">
        <f>IF(C153="-",0,IF(C149="-",13,""))</f>
        <v/>
      </c>
      <c r="F153" s="88"/>
      <c r="G153" s="99"/>
      <c r="H153" s="379" t="s">
        <v>56</v>
      </c>
      <c r="I153" s="99"/>
    </row>
    <row r="154" spans="1:9" x14ac:dyDescent="0.2">
      <c r="A154" s="107" t="s">
        <v>95</v>
      </c>
      <c r="B154" s="406" t="s">
        <v>70</v>
      </c>
      <c r="C154" s="110"/>
      <c r="D154" s="88"/>
      <c r="E154" s="99"/>
      <c r="F154" s="99"/>
      <c r="G154" s="99"/>
      <c r="H154" s="88"/>
      <c r="I154" s="88"/>
    </row>
    <row r="155" spans="1:9" x14ac:dyDescent="0.2">
      <c r="A155" s="87"/>
      <c r="B155" s="407"/>
      <c r="C155" s="88"/>
      <c r="D155" s="88"/>
      <c r="E155" s="217" t="str">
        <f>IF(COUNT(E141,E145)=2,IF(E141&lt;E145,C141,C145),"")</f>
        <v/>
      </c>
      <c r="F155" s="88"/>
      <c r="G155" s="120" t="str">
        <f>IF(E155="-",0,IF(E157="-",13,""))</f>
        <v/>
      </c>
      <c r="H155" s="88"/>
      <c r="I155" s="88"/>
    </row>
    <row r="156" spans="1:9" ht="13.5" thickBot="1" x14ac:dyDescent="0.25">
      <c r="A156" s="88"/>
      <c r="B156" s="88"/>
      <c r="C156" s="88"/>
      <c r="D156" s="88"/>
      <c r="E156" s="108"/>
      <c r="F156" s="111"/>
      <c r="G156" s="119"/>
      <c r="H156" s="526" t="str">
        <f>IF(COUNT(G155,G157)=2,IF(G155&gt;G157,E155,E157),"")</f>
        <v/>
      </c>
      <c r="I156" s="527"/>
    </row>
    <row r="157" spans="1:9" x14ac:dyDescent="0.2">
      <c r="A157" s="88"/>
      <c r="B157" s="88"/>
      <c r="C157" s="88"/>
      <c r="D157" s="88"/>
      <c r="E157" s="528" t="str">
        <f>IF(COUNT(E149,E153)=2,IF(E149&lt;E153,C149,C153),"")</f>
        <v/>
      </c>
      <c r="F157" s="234"/>
      <c r="G157" s="110" t="str">
        <f>IF(E157="-",0,IF(E155="-",13,""))</f>
        <v/>
      </c>
      <c r="H157" s="121" t="s">
        <v>57</v>
      </c>
      <c r="I157" s="99"/>
    </row>
    <row r="158" spans="1:9" x14ac:dyDescent="0.2">
      <c r="A158" s="88"/>
      <c r="B158" s="88"/>
      <c r="C158" s="88"/>
      <c r="D158" s="88"/>
      <c r="E158" s="88"/>
      <c r="F158" s="88"/>
      <c r="G158" s="88"/>
      <c r="H158" s="99"/>
      <c r="I158" s="99"/>
    </row>
    <row r="159" spans="1:9" ht="13.5" thickBot="1" x14ac:dyDescent="0.25">
      <c r="A159" s="88"/>
      <c r="B159" s="88"/>
      <c r="C159" s="88"/>
      <c r="D159" s="88"/>
      <c r="E159" s="99"/>
      <c r="F159" s="99"/>
      <c r="G159" s="88"/>
      <c r="H159" s="526" t="str">
        <f>IF(COUNT(G155,G157)=2,IF(G155&lt;G157,E155,E157),"")</f>
        <v/>
      </c>
      <c r="I159" s="527"/>
    </row>
    <row r="160" spans="1:9" x14ac:dyDescent="0.2">
      <c r="A160" s="88"/>
      <c r="B160" s="88"/>
      <c r="C160" s="88"/>
      <c r="D160" s="88"/>
      <c r="E160" s="88"/>
      <c r="F160" s="88"/>
      <c r="G160" s="88"/>
      <c r="H160" s="87" t="s">
        <v>58</v>
      </c>
      <c r="I160" s="88"/>
    </row>
    <row r="161" spans="1:9" x14ac:dyDescent="0.2">
      <c r="A161" s="88"/>
      <c r="B161" s="88"/>
      <c r="C161" s="528" t="str">
        <f>IF(COUNT(C140,C142)=2,IF(C140&lt;C142,B140,B142),"")</f>
        <v/>
      </c>
      <c r="D161" s="88"/>
      <c r="E161" s="120" t="str">
        <f>IF(C161="-",0,IF(C163="-",13,""))</f>
        <v/>
      </c>
      <c r="F161" s="120"/>
      <c r="G161" s="120"/>
      <c r="H161" s="88"/>
      <c r="I161" s="88"/>
    </row>
    <row r="162" spans="1:9" x14ac:dyDescent="0.2">
      <c r="A162" s="88"/>
      <c r="B162" s="88"/>
      <c r="C162" s="219"/>
      <c r="D162" s="220"/>
      <c r="E162" s="524" t="str">
        <f>IF(COUNT(E161,E163)=2,IF(E161&gt;E163,D161,D163),"")</f>
        <v/>
      </c>
      <c r="F162" s="88"/>
      <c r="G162" s="120" t="str">
        <f>IF(E162="-",0,IF(E166="-",13,""))</f>
        <v/>
      </c>
      <c r="H162" s="88"/>
      <c r="I162" s="88"/>
    </row>
    <row r="163" spans="1:9" x14ac:dyDescent="0.2">
      <c r="A163" s="88"/>
      <c r="B163" s="88"/>
      <c r="C163" s="528" t="str">
        <f>IF(COUNT(C144,C146)=2,IF(C144&lt;C146,B144,B146),"")</f>
        <v/>
      </c>
      <c r="D163" s="529"/>
      <c r="E163" s="110" t="str">
        <f>IF(C163="-",0,IF(C161="-",13,""))</f>
        <v/>
      </c>
      <c r="F163" s="220"/>
      <c r="G163" s="120"/>
      <c r="H163" s="88"/>
      <c r="I163" s="88"/>
    </row>
    <row r="164" spans="1:9" ht="13.5" thickBot="1" x14ac:dyDescent="0.25">
      <c r="A164" s="88"/>
      <c r="B164" s="88"/>
      <c r="C164" s="120"/>
      <c r="D164" s="120"/>
      <c r="E164" s="88"/>
      <c r="F164" s="221"/>
      <c r="G164" s="120"/>
      <c r="H164" s="526" t="str">
        <f>IF(COUNT(G162,G166)=2,IF(G162&gt;G166,E162,E166),"")</f>
        <v/>
      </c>
      <c r="I164" s="88"/>
    </row>
    <row r="165" spans="1:9" x14ac:dyDescent="0.2">
      <c r="A165" s="88"/>
      <c r="B165" s="88"/>
      <c r="C165" s="528" t="str">
        <f>IF(COUNT(C148,C150)=2,IF(C148&lt;C150,B148,B150),"")</f>
        <v/>
      </c>
      <c r="D165" s="120"/>
      <c r="E165" s="120" t="str">
        <f>IF(C165="-",0,IF(C167="-",13,""))</f>
        <v/>
      </c>
      <c r="F165" s="221"/>
      <c r="G165" s="222"/>
      <c r="H165" s="379" t="s">
        <v>59</v>
      </c>
      <c r="I165" s="378"/>
    </row>
    <row r="166" spans="1:9" x14ac:dyDescent="0.2">
      <c r="A166" s="88"/>
      <c r="B166" s="88"/>
      <c r="C166" s="219"/>
      <c r="D166" s="220"/>
      <c r="E166" s="524" t="str">
        <f>IF(COUNT(E165,E167)=2,IF(E165&gt;E167,D165,D167),"")</f>
        <v/>
      </c>
      <c r="F166" s="234"/>
      <c r="G166" s="110" t="str">
        <f>IF(E166="-",0,IF(E162="-",13,""))</f>
        <v/>
      </c>
      <c r="H166" s="88"/>
      <c r="I166" s="88"/>
    </row>
    <row r="167" spans="1:9" ht="13.5" thickBot="1" x14ac:dyDescent="0.25">
      <c r="A167" s="88"/>
      <c r="B167" s="88"/>
      <c r="C167" s="528" t="str">
        <f>IF(COUNT(C152,C154)=2,IF(C152&lt;C154,B152,B154),"")</f>
        <v/>
      </c>
      <c r="D167" s="529"/>
      <c r="E167" s="110" t="str">
        <f>IF(C167="-",0,IF(C165="-",13,""))</f>
        <v/>
      </c>
      <c r="F167" s="120"/>
      <c r="G167" s="113"/>
      <c r="H167" s="526" t="str">
        <f>IF(COUNT(G162,G166)=2,IF(G162&lt;G166,E162,E166),"")</f>
        <v/>
      </c>
      <c r="I167" s="527"/>
    </row>
    <row r="168" spans="1:9" x14ac:dyDescent="0.2">
      <c r="A168" s="88"/>
      <c r="B168" s="88"/>
      <c r="C168" s="120"/>
      <c r="D168" s="120"/>
      <c r="E168" s="120"/>
      <c r="F168" s="120"/>
      <c r="G168" s="113"/>
      <c r="H168" s="379" t="s">
        <v>496</v>
      </c>
      <c r="I168" s="99"/>
    </row>
    <row r="169" spans="1:9" x14ac:dyDescent="0.2">
      <c r="A169" s="88"/>
      <c r="B169" s="88"/>
      <c r="C169" s="120"/>
      <c r="D169" s="113"/>
      <c r="E169" s="217" t="str">
        <f>IF(COUNT(E161,E163)=2,IF(E161&lt;E163,C161,C163),"")</f>
        <v/>
      </c>
      <c r="F169" s="88"/>
      <c r="G169" s="120" t="str">
        <f>IF(E169="-",0,IF(E171="-",13,""))</f>
        <v/>
      </c>
      <c r="H169" s="99"/>
      <c r="I169" s="99"/>
    </row>
    <row r="170" spans="1:9" ht="13.5" thickBot="1" x14ac:dyDescent="0.25">
      <c r="A170" s="88"/>
      <c r="B170" s="88"/>
      <c r="C170" s="120"/>
      <c r="D170" s="113"/>
      <c r="E170" s="108"/>
      <c r="F170" s="111"/>
      <c r="G170" s="119"/>
      <c r="H170" s="526" t="str">
        <f>IF(COUNT(G169,G171)=2,IF(G169&gt;G171,E169,E171),"")</f>
        <v/>
      </c>
      <c r="I170" s="527"/>
    </row>
    <row r="171" spans="1:9" x14ac:dyDescent="0.2">
      <c r="A171" s="88"/>
      <c r="B171" s="88"/>
      <c r="C171" s="120"/>
      <c r="D171" s="113"/>
      <c r="E171" s="528" t="str">
        <f>IF(COUNT(E165,E167)=2,IF(E165&lt;E167,C165,C167),"")</f>
        <v/>
      </c>
      <c r="F171" s="234"/>
      <c r="G171" s="110" t="str">
        <f>IF(E171="-",0,IF(E169="-",13,""))</f>
        <v/>
      </c>
      <c r="H171" s="379" t="s">
        <v>497</v>
      </c>
      <c r="I171" s="99"/>
    </row>
    <row r="172" spans="1:9" x14ac:dyDescent="0.2">
      <c r="A172" s="88"/>
      <c r="B172" s="88"/>
      <c r="C172" s="88"/>
      <c r="D172" s="99"/>
      <c r="E172" s="88"/>
      <c r="F172" s="88"/>
      <c r="G172" s="88"/>
      <c r="H172" s="99"/>
      <c r="I172" s="99"/>
    </row>
    <row r="173" spans="1:9" ht="13.5" thickBot="1" x14ac:dyDescent="0.25">
      <c r="A173" s="88"/>
      <c r="B173" s="88"/>
      <c r="C173" s="88"/>
      <c r="D173" s="88"/>
      <c r="E173" s="99"/>
      <c r="F173" s="99"/>
      <c r="G173" s="88"/>
      <c r="H173" s="527" t="str">
        <f>IF(COUNT(G169,G171)=2,IF(G169&lt;G171,E169,E171),"")</f>
        <v/>
      </c>
      <c r="I173" s="527"/>
    </row>
    <row r="174" spans="1:9" x14ac:dyDescent="0.2">
      <c r="A174" s="88"/>
      <c r="B174" s="88"/>
      <c r="C174" s="88"/>
      <c r="D174" s="88"/>
      <c r="E174" s="99"/>
      <c r="F174" s="99"/>
      <c r="G174" s="88"/>
      <c r="H174" s="379" t="s">
        <v>498</v>
      </c>
      <c r="I174" s="88"/>
    </row>
    <row r="176" spans="1:9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spans="1:6" hidden="1" x14ac:dyDescent="0.2"/>
    <row r="290" spans="1:6" hidden="1" x14ac:dyDescent="0.2"/>
    <row r="291" spans="1:6" hidden="1" x14ac:dyDescent="0.2"/>
    <row r="292" spans="1:6" hidden="1" x14ac:dyDescent="0.2"/>
    <row r="293" spans="1:6" hidden="1" x14ac:dyDescent="0.2"/>
    <row r="294" spans="1:6" hidden="1" x14ac:dyDescent="0.2"/>
    <row r="295" spans="1:6" hidden="1" x14ac:dyDescent="0.2"/>
    <row r="296" spans="1:6" hidden="1" x14ac:dyDescent="0.2"/>
    <row r="297" spans="1:6" hidden="1" x14ac:dyDescent="0.2"/>
    <row r="298" spans="1:6" hidden="1" x14ac:dyDescent="0.2"/>
    <row r="299" spans="1:6" x14ac:dyDescent="0.2">
      <c r="C299" s="264"/>
    </row>
    <row r="300" spans="1:6" hidden="1" x14ac:dyDescent="0.2">
      <c r="A300" s="424">
        <v>1</v>
      </c>
      <c r="B300" s="124" t="str">
        <f>IFERROR(INDEX(H$100:H$300,MATCH(A300&amp;". koht",H$101:H$301,0)),"")</f>
        <v/>
      </c>
      <c r="C300" s="88"/>
    </row>
    <row r="301" spans="1:6" hidden="1" x14ac:dyDescent="0.2">
      <c r="A301" s="424">
        <v>2</v>
      </c>
      <c r="B301" s="615" t="str">
        <f t="shared" ref="B301:B315" si="7">IFERROR(INDEX(H$100:H$300,MATCH(A301&amp;". koht",H$101:H$301,0)),"")</f>
        <v/>
      </c>
      <c r="C301" s="88"/>
    </row>
    <row r="302" spans="1:6" hidden="1" x14ac:dyDescent="0.2">
      <c r="A302" s="424">
        <v>3</v>
      </c>
      <c r="B302" s="616" t="str">
        <f t="shared" si="7"/>
        <v/>
      </c>
      <c r="C302" s="88"/>
    </row>
    <row r="303" spans="1:6" hidden="1" x14ac:dyDescent="0.2">
      <c r="A303" s="424">
        <v>4</v>
      </c>
      <c r="B303" s="665" t="str">
        <f t="shared" si="7"/>
        <v/>
      </c>
      <c r="C303" s="88"/>
      <c r="E303" s="188"/>
      <c r="F303" s="188"/>
    </row>
    <row r="304" spans="1:6" hidden="1" x14ac:dyDescent="0.2">
      <c r="A304" s="424">
        <v>5</v>
      </c>
      <c r="B304" s="665" t="str">
        <f t="shared" si="7"/>
        <v/>
      </c>
      <c r="C304" s="88"/>
      <c r="E304" s="188"/>
      <c r="F304" s="188"/>
    </row>
    <row r="305" spans="1:15" hidden="1" x14ac:dyDescent="0.2">
      <c r="A305" s="424">
        <v>6</v>
      </c>
      <c r="B305" s="665" t="str">
        <f t="shared" si="7"/>
        <v/>
      </c>
      <c r="C305" s="88"/>
      <c r="E305" s="188"/>
      <c r="F305" s="215"/>
    </row>
    <row r="306" spans="1:15" hidden="1" x14ac:dyDescent="0.2">
      <c r="A306" s="424">
        <v>7</v>
      </c>
      <c r="B306" s="665" t="str">
        <f t="shared" si="7"/>
        <v/>
      </c>
      <c r="C306" s="88"/>
      <c r="E306" s="188"/>
      <c r="F306" s="212"/>
    </row>
    <row r="307" spans="1:15" hidden="1" x14ac:dyDescent="0.2">
      <c r="A307" s="424">
        <v>8</v>
      </c>
      <c r="B307" s="665" t="str">
        <f t="shared" si="7"/>
        <v/>
      </c>
      <c r="C307" s="88"/>
      <c r="E307" s="188"/>
      <c r="F307" s="188"/>
    </row>
    <row r="308" spans="1:15" hidden="1" x14ac:dyDescent="0.2">
      <c r="A308" s="424">
        <v>9</v>
      </c>
      <c r="B308" s="665" t="str">
        <f t="shared" si="7"/>
        <v/>
      </c>
      <c r="C308" s="88"/>
      <c r="E308" s="188"/>
      <c r="F308" s="212"/>
    </row>
    <row r="309" spans="1:15" hidden="1" x14ac:dyDescent="0.2">
      <c r="A309" s="424">
        <v>10</v>
      </c>
      <c r="B309" s="665" t="str">
        <f t="shared" si="7"/>
        <v/>
      </c>
      <c r="C309" s="88"/>
      <c r="E309" s="188"/>
      <c r="F309" s="188"/>
      <c r="G309" s="188"/>
      <c r="H309" s="188"/>
      <c r="I309" s="188"/>
      <c r="L309" s="188"/>
      <c r="M309" s="188"/>
      <c r="N309" s="188"/>
      <c r="O309" s="188"/>
    </row>
    <row r="310" spans="1:15" hidden="1" x14ac:dyDescent="0.2">
      <c r="A310" s="424">
        <v>11</v>
      </c>
      <c r="B310" s="665" t="str">
        <f t="shared" si="7"/>
        <v/>
      </c>
      <c r="C310" s="88"/>
      <c r="E310" s="188"/>
      <c r="F310" s="188"/>
      <c r="G310" s="188"/>
      <c r="H310" s="188"/>
      <c r="I310" s="188"/>
      <c r="L310" s="188"/>
      <c r="M310" s="188"/>
      <c r="N310" s="188"/>
      <c r="O310" s="188"/>
    </row>
    <row r="311" spans="1:15" hidden="1" x14ac:dyDescent="0.2">
      <c r="A311" s="424">
        <v>12</v>
      </c>
      <c r="B311" s="665" t="str">
        <f t="shared" si="7"/>
        <v/>
      </c>
      <c r="C311" s="88"/>
      <c r="E311" s="188"/>
      <c r="F311" s="188"/>
      <c r="G311" s="188"/>
      <c r="H311" s="188"/>
      <c r="I311" s="188"/>
      <c r="L311" s="188"/>
      <c r="M311" s="188"/>
      <c r="N311" s="188"/>
      <c r="O311" s="188"/>
    </row>
    <row r="312" spans="1:15" hidden="1" x14ac:dyDescent="0.2">
      <c r="A312" s="424">
        <v>13</v>
      </c>
      <c r="B312" s="665" t="str">
        <f t="shared" si="7"/>
        <v/>
      </c>
      <c r="C312" s="88"/>
      <c r="E312" s="188"/>
      <c r="F312" s="188"/>
      <c r="G312" s="188"/>
      <c r="H312" s="188"/>
      <c r="I312" s="188"/>
      <c r="L312" s="188"/>
      <c r="M312" s="188"/>
      <c r="N312" s="188"/>
      <c r="O312" s="188"/>
    </row>
    <row r="313" spans="1:15" hidden="1" x14ac:dyDescent="0.2">
      <c r="A313" s="424">
        <v>14</v>
      </c>
      <c r="B313" s="665" t="str">
        <f t="shared" si="7"/>
        <v/>
      </c>
      <c r="E313" s="188"/>
      <c r="F313" s="188"/>
      <c r="G313" s="188"/>
      <c r="H313" s="188"/>
      <c r="I313" s="188"/>
      <c r="L313" s="188"/>
      <c r="M313" s="188"/>
      <c r="N313" s="188"/>
      <c r="O313" s="188"/>
    </row>
    <row r="314" spans="1:15" hidden="1" x14ac:dyDescent="0.2">
      <c r="A314" s="424">
        <v>15</v>
      </c>
      <c r="B314" s="665" t="str">
        <f t="shared" si="7"/>
        <v/>
      </c>
    </row>
    <row r="315" spans="1:15" hidden="1" x14ac:dyDescent="0.2">
      <c r="A315" s="424">
        <v>16</v>
      </c>
      <c r="B315" s="665" t="str">
        <f t="shared" si="7"/>
        <v/>
      </c>
    </row>
    <row r="317" spans="1:15" x14ac:dyDescent="0.2">
      <c r="A317" s="424">
        <v>1</v>
      </c>
      <c r="B317" s="712" t="s">
        <v>499</v>
      </c>
    </row>
    <row r="318" spans="1:15" x14ac:dyDescent="0.2">
      <c r="A318" s="424">
        <v>2</v>
      </c>
      <c r="B318" s="713" t="s">
        <v>116</v>
      </c>
    </row>
    <row r="319" spans="1:15" x14ac:dyDescent="0.2">
      <c r="A319" s="424">
        <v>3</v>
      </c>
      <c r="B319" s="714" t="s">
        <v>167</v>
      </c>
    </row>
    <row r="320" spans="1:15" x14ac:dyDescent="0.2">
      <c r="A320" s="424">
        <v>4</v>
      </c>
      <c r="B320" s="709" t="s">
        <v>170</v>
      </c>
    </row>
    <row r="321" spans="1:3" x14ac:dyDescent="0.2">
      <c r="A321" s="424">
        <v>5</v>
      </c>
      <c r="B321" s="715" t="s">
        <v>500</v>
      </c>
      <c r="C321" s="264" t="s">
        <v>505</v>
      </c>
    </row>
    <row r="322" spans="1:3" x14ac:dyDescent="0.2">
      <c r="A322" s="424">
        <v>6</v>
      </c>
      <c r="B322" s="709" t="s">
        <v>611</v>
      </c>
    </row>
    <row r="323" spans="1:3" x14ac:dyDescent="0.2">
      <c r="A323" s="424">
        <v>7</v>
      </c>
      <c r="B323" s="709" t="s">
        <v>115</v>
      </c>
    </row>
    <row r="324" spans="1:3" x14ac:dyDescent="0.2">
      <c r="A324" s="424">
        <v>8</v>
      </c>
      <c r="B324" s="710" t="s">
        <v>177</v>
      </c>
    </row>
    <row r="325" spans="1:3" x14ac:dyDescent="0.2">
      <c r="A325" s="424">
        <v>9</v>
      </c>
      <c r="B325" s="716" t="s">
        <v>417</v>
      </c>
      <c r="C325" s="264" t="s">
        <v>504</v>
      </c>
    </row>
    <row r="326" spans="1:3" x14ac:dyDescent="0.2">
      <c r="A326" s="424">
        <v>10</v>
      </c>
      <c r="B326" s="708" t="s">
        <v>471</v>
      </c>
    </row>
    <row r="327" spans="1:3" x14ac:dyDescent="0.2">
      <c r="A327" s="424">
        <v>11</v>
      </c>
      <c r="B327" s="709" t="s">
        <v>117</v>
      </c>
    </row>
    <row r="328" spans="1:3" x14ac:dyDescent="0.2">
      <c r="A328" s="424">
        <v>12</v>
      </c>
      <c r="B328" s="709" t="s">
        <v>130</v>
      </c>
    </row>
    <row r="329" spans="1:3" x14ac:dyDescent="0.2">
      <c r="A329" s="424">
        <v>13</v>
      </c>
      <c r="B329" s="708" t="s">
        <v>501</v>
      </c>
    </row>
    <row r="330" spans="1:3" x14ac:dyDescent="0.2">
      <c r="A330" s="424">
        <v>14</v>
      </c>
      <c r="B330" s="709" t="s">
        <v>458</v>
      </c>
    </row>
    <row r="331" spans="1:3" x14ac:dyDescent="0.2">
      <c r="A331" s="424">
        <v>15</v>
      </c>
      <c r="B331" s="711" t="s">
        <v>502</v>
      </c>
    </row>
    <row r="332" spans="1:3" x14ac:dyDescent="0.2">
      <c r="A332" s="424">
        <v>16</v>
      </c>
      <c r="B332" s="708" t="s">
        <v>503</v>
      </c>
    </row>
  </sheetData>
  <conditionalFormatting sqref="A102:A116">
    <cfRule type="cellIs" dxfId="1101" priority="133" operator="equal">
      <formula>"-"</formula>
    </cfRule>
    <cfRule type="duplicateValues" dxfId="1100" priority="134"/>
  </conditionalFormatting>
  <conditionalFormatting sqref="A140:A154">
    <cfRule type="cellIs" dxfId="1099" priority="131" operator="equal">
      <formula>"-"</formula>
    </cfRule>
    <cfRule type="duplicateValues" dxfId="1098" priority="132"/>
  </conditionalFormatting>
  <conditionalFormatting sqref="G162 G166">
    <cfRule type="aboveAverage" dxfId="1097" priority="114"/>
  </conditionalFormatting>
  <conditionalFormatting sqref="G169 G171">
    <cfRule type="aboveAverage" dxfId="1096" priority="113"/>
  </conditionalFormatting>
  <conditionalFormatting sqref="G162 G166 G169 G171">
    <cfRule type="containsBlanks" dxfId="1095" priority="112">
      <formula>LEN(TRIM(G162))=0</formula>
    </cfRule>
  </conditionalFormatting>
  <conditionalFormatting sqref="C144 C146">
    <cfRule type="aboveAverage" dxfId="1094" priority="110"/>
  </conditionalFormatting>
  <conditionalFormatting sqref="C148 C150">
    <cfRule type="aboveAverage" dxfId="1093" priority="108"/>
  </conditionalFormatting>
  <conditionalFormatting sqref="C152 C154">
    <cfRule type="aboveAverage" dxfId="1092" priority="107"/>
  </conditionalFormatting>
  <conditionalFormatting sqref="C144 C146 C148 C150 C152 C154">
    <cfRule type="containsBlanks" dxfId="1091" priority="103">
      <formula>LEN(TRIM(C144))=0</formula>
    </cfRule>
  </conditionalFormatting>
  <conditionalFormatting sqref="R7:R32 V7:V32 X7:X32">
    <cfRule type="expression" dxfId="1090" priority="102">
      <formula>AND(S7="",COUNTIF(R7,"*,*")=0)</formula>
    </cfRule>
  </conditionalFormatting>
  <conditionalFormatting sqref="T7:T32">
    <cfRule type="expression" dxfId="1089" priority="100">
      <formula>AND(U7="",FIND(",",T7))</formula>
    </cfRule>
    <cfRule type="expression" dxfId="1088" priority="101">
      <formula>AND(U7="",COUNTIF(T7,"*,*")=0)</formula>
    </cfRule>
  </conditionalFormatting>
  <conditionalFormatting sqref="D7 C8">
    <cfRule type="aboveAverage" dxfId="1087" priority="99"/>
  </conditionalFormatting>
  <conditionalFormatting sqref="E7 C9">
    <cfRule type="aboveAverage" dxfId="1086" priority="98"/>
  </conditionalFormatting>
  <conditionalFormatting sqref="F7 C10">
    <cfRule type="aboveAverage" dxfId="1085" priority="97"/>
  </conditionalFormatting>
  <conditionalFormatting sqref="E8 D9">
    <cfRule type="aboveAverage" dxfId="1084" priority="96"/>
  </conditionalFormatting>
  <conditionalFormatting sqref="G7 C11">
    <cfRule type="aboveAverage" dxfId="1083" priority="95"/>
  </conditionalFormatting>
  <conditionalFormatting sqref="F8 D10">
    <cfRule type="aboveAverage" dxfId="1082" priority="94"/>
  </conditionalFormatting>
  <conditionalFormatting sqref="G8 D11">
    <cfRule type="aboveAverage" dxfId="1081" priority="93"/>
  </conditionalFormatting>
  <conditionalFormatting sqref="F9 E10">
    <cfRule type="aboveAverage" dxfId="1080" priority="92"/>
  </conditionalFormatting>
  <conditionalFormatting sqref="G9 E11">
    <cfRule type="aboveAverage" dxfId="1079" priority="91"/>
  </conditionalFormatting>
  <conditionalFormatting sqref="F11 G10">
    <cfRule type="aboveAverage" dxfId="1078" priority="90"/>
  </conditionalFormatting>
  <conditionalFormatting sqref="D14 C15">
    <cfRule type="aboveAverage" dxfId="1077" priority="89"/>
  </conditionalFormatting>
  <conditionalFormatting sqref="E14 C16">
    <cfRule type="aboveAverage" dxfId="1076" priority="88"/>
  </conditionalFormatting>
  <conditionalFormatting sqref="F14 C17">
    <cfRule type="aboveAverage" dxfId="1075" priority="87"/>
  </conditionalFormatting>
  <conditionalFormatting sqref="E15 D16">
    <cfRule type="aboveAverage" dxfId="1074" priority="86"/>
  </conditionalFormatting>
  <conditionalFormatting sqref="G14 C18">
    <cfRule type="aboveAverage" dxfId="1073" priority="85"/>
  </conditionalFormatting>
  <conditionalFormatting sqref="F15 D17">
    <cfRule type="aboveAverage" dxfId="1072" priority="84"/>
  </conditionalFormatting>
  <conditionalFormatting sqref="G15 D18">
    <cfRule type="aboveAverage" dxfId="1071" priority="83"/>
  </conditionalFormatting>
  <conditionalFormatting sqref="F16 E17">
    <cfRule type="aboveAverage" dxfId="1070" priority="82"/>
  </conditionalFormatting>
  <conditionalFormatting sqref="G16 E18">
    <cfRule type="aboveAverage" dxfId="1069" priority="81"/>
  </conditionalFormatting>
  <conditionalFormatting sqref="F18 G17">
    <cfRule type="aboveAverage" dxfId="1068" priority="80"/>
  </conditionalFormatting>
  <conditionalFormatting sqref="D21 C22">
    <cfRule type="aboveAverage" dxfId="1067" priority="79"/>
  </conditionalFormatting>
  <conditionalFormatting sqref="E21 C23">
    <cfRule type="aboveAverage" dxfId="1066" priority="78"/>
  </conditionalFormatting>
  <conditionalFormatting sqref="F21 C24">
    <cfRule type="aboveAverage" dxfId="1065" priority="77"/>
  </conditionalFormatting>
  <conditionalFormatting sqref="E22 D23">
    <cfRule type="aboveAverage" dxfId="1064" priority="76"/>
  </conditionalFormatting>
  <conditionalFormatting sqref="G21 C25">
    <cfRule type="aboveAverage" dxfId="1063" priority="75"/>
  </conditionalFormatting>
  <conditionalFormatting sqref="F22 D24">
    <cfRule type="aboveAverage" dxfId="1062" priority="74"/>
  </conditionalFormatting>
  <conditionalFormatting sqref="G22 D25">
    <cfRule type="aboveAverage" dxfId="1061" priority="73"/>
  </conditionalFormatting>
  <conditionalFormatting sqref="F23 E24">
    <cfRule type="aboveAverage" dxfId="1060" priority="72"/>
  </conditionalFormatting>
  <conditionalFormatting sqref="G23 E25">
    <cfRule type="aboveAverage" dxfId="1059" priority="71"/>
  </conditionalFormatting>
  <conditionalFormatting sqref="F25 G24">
    <cfRule type="aboveAverage" dxfId="1058" priority="70"/>
  </conditionalFormatting>
  <conditionalFormatting sqref="D28 C29">
    <cfRule type="aboveAverage" dxfId="1057" priority="69"/>
  </conditionalFormatting>
  <conditionalFormatting sqref="E28 C30">
    <cfRule type="aboveAverage" dxfId="1056" priority="68"/>
  </conditionalFormatting>
  <conditionalFormatting sqref="F28 C31">
    <cfRule type="aboveAverage" dxfId="1055" priority="67"/>
  </conditionalFormatting>
  <conditionalFormatting sqref="E29 D30">
    <cfRule type="aboveAverage" dxfId="1054" priority="66"/>
  </conditionalFormatting>
  <conditionalFormatting sqref="G28 C32">
    <cfRule type="aboveAverage" dxfId="1053" priority="65"/>
  </conditionalFormatting>
  <conditionalFormatting sqref="F29 D31">
    <cfRule type="aboveAverage" dxfId="1052" priority="64"/>
  </conditionalFormatting>
  <conditionalFormatting sqref="G29 D32">
    <cfRule type="aboveAverage" dxfId="1051" priority="63"/>
  </conditionalFormatting>
  <conditionalFormatting sqref="F30 E31">
    <cfRule type="aboveAverage" dxfId="1050" priority="62"/>
  </conditionalFormatting>
  <conditionalFormatting sqref="G30 E32">
    <cfRule type="aboveAverage" dxfId="1049" priority="61"/>
  </conditionalFormatting>
  <conditionalFormatting sqref="F32 G31">
    <cfRule type="aboveAverage" dxfId="1048" priority="60"/>
  </conditionalFormatting>
  <conditionalFormatting sqref="I7:I11">
    <cfRule type="expression" dxfId="1047" priority="58">
      <formula>FIND(2,I7,1)</formula>
    </cfRule>
    <cfRule type="expression" dxfId="1046" priority="59">
      <formula>FIND(1,I7,1)</formula>
    </cfRule>
  </conditionalFormatting>
  <conditionalFormatting sqref="I14:I18">
    <cfRule type="expression" dxfId="1045" priority="56">
      <formula>FIND(2,I14,1)</formula>
    </cfRule>
    <cfRule type="expression" dxfId="1044" priority="57">
      <formula>FIND(1,I14,1)</formula>
    </cfRule>
  </conditionalFormatting>
  <conditionalFormatting sqref="I21:I25">
    <cfRule type="expression" dxfId="1043" priority="54">
      <formula>FIND(2,I21,1)</formula>
    </cfRule>
    <cfRule type="expression" dxfId="1042" priority="55">
      <formula>FIND(1,I21,1)</formula>
    </cfRule>
  </conditionalFormatting>
  <conditionalFormatting sqref="I28:I32">
    <cfRule type="expression" dxfId="1041" priority="52">
      <formula>FIND(2,I28,1)</formula>
    </cfRule>
    <cfRule type="expression" dxfId="1040" priority="53">
      <formula>FIND(1,I28,1)</formula>
    </cfRule>
  </conditionalFormatting>
  <conditionalFormatting sqref="B300:B315">
    <cfRule type="containsBlanks" dxfId="1039" priority="50">
      <formula>LEN(TRIM(B300))=0</formula>
    </cfRule>
    <cfRule type="duplicateValues" dxfId="1038" priority="51"/>
  </conditionalFormatting>
  <conditionalFormatting sqref="H7:H11 H14:H18 H21:H25 H28:H32">
    <cfRule type="expression" dxfId="1037" priority="135">
      <formula>#REF!=""</formula>
    </cfRule>
  </conditionalFormatting>
  <conditionalFormatting sqref="C140 C142">
    <cfRule type="aboveAverage" dxfId="1036" priority="49"/>
  </conditionalFormatting>
  <conditionalFormatting sqref="C140 C142">
    <cfRule type="containsBlanks" dxfId="1035" priority="48">
      <formula>LEN(TRIM(C140))=0</formula>
    </cfRule>
  </conditionalFormatting>
  <conditionalFormatting sqref="E107">
    <cfRule type="containsBlanks" dxfId="1034" priority="3">
      <formula>LEN(TRIM(E107))=0</formula>
    </cfRule>
  </conditionalFormatting>
  <conditionalFormatting sqref="E161 E163">
    <cfRule type="aboveAverage" dxfId="1033" priority="45"/>
  </conditionalFormatting>
  <conditionalFormatting sqref="E161 E163">
    <cfRule type="containsBlanks" dxfId="1032" priority="44">
      <formula>LEN(TRIM(E161))=0</formula>
    </cfRule>
  </conditionalFormatting>
  <conditionalFormatting sqref="E165 E167">
    <cfRule type="aboveAverage" dxfId="1031" priority="43"/>
  </conditionalFormatting>
  <conditionalFormatting sqref="E165 E167">
    <cfRule type="containsBlanks" dxfId="1030" priority="42">
      <formula>LEN(TRIM(E165))=0</formula>
    </cfRule>
  </conditionalFormatting>
  <conditionalFormatting sqref="G155 G157">
    <cfRule type="aboveAverage" dxfId="1029" priority="41"/>
  </conditionalFormatting>
  <conditionalFormatting sqref="G155 G157">
    <cfRule type="containsBlanks" dxfId="1028" priority="40">
      <formula>LEN(TRIM(G155))=0</formula>
    </cfRule>
  </conditionalFormatting>
  <conditionalFormatting sqref="G143">
    <cfRule type="aboveAverage" dxfId="1027" priority="39"/>
  </conditionalFormatting>
  <conditionalFormatting sqref="G143">
    <cfRule type="containsBlanks" dxfId="1026" priority="38">
      <formula>LEN(TRIM(G143))=0</formula>
    </cfRule>
  </conditionalFormatting>
  <conditionalFormatting sqref="G151">
    <cfRule type="aboveAverage" dxfId="1025" priority="37"/>
  </conditionalFormatting>
  <conditionalFormatting sqref="G151">
    <cfRule type="containsBlanks" dxfId="1024" priority="36">
      <formula>LEN(TRIM(G151))=0</formula>
    </cfRule>
  </conditionalFormatting>
  <conditionalFormatting sqref="E141">
    <cfRule type="aboveAverage" dxfId="1023" priority="35"/>
  </conditionalFormatting>
  <conditionalFormatting sqref="E141">
    <cfRule type="containsBlanks" dxfId="1022" priority="34">
      <formula>LEN(TRIM(E141))=0</formula>
    </cfRule>
  </conditionalFormatting>
  <conditionalFormatting sqref="E149">
    <cfRule type="aboveAverage" dxfId="1021" priority="33"/>
  </conditionalFormatting>
  <conditionalFormatting sqref="E149">
    <cfRule type="containsBlanks" dxfId="1020" priority="32">
      <formula>LEN(TRIM(E149))=0</formula>
    </cfRule>
  </conditionalFormatting>
  <conditionalFormatting sqref="E145">
    <cfRule type="aboveAverage" dxfId="1019" priority="31"/>
  </conditionalFormatting>
  <conditionalFormatting sqref="E145">
    <cfRule type="containsBlanks" dxfId="1018" priority="30">
      <formula>LEN(TRIM(E145))=0</formula>
    </cfRule>
  </conditionalFormatting>
  <conditionalFormatting sqref="E153">
    <cfRule type="aboveAverage" dxfId="1017" priority="29"/>
  </conditionalFormatting>
  <conditionalFormatting sqref="E153">
    <cfRule type="containsBlanks" dxfId="1016" priority="28">
      <formula>LEN(TRIM(E153))=0</formula>
    </cfRule>
  </conditionalFormatting>
  <conditionalFormatting sqref="G124 G128">
    <cfRule type="aboveAverage" dxfId="1015" priority="27"/>
  </conditionalFormatting>
  <conditionalFormatting sqref="G131 G133">
    <cfRule type="aboveAverage" dxfId="1014" priority="26"/>
  </conditionalFormatting>
  <conditionalFormatting sqref="G124 G128 G131 G133">
    <cfRule type="containsBlanks" dxfId="1013" priority="25">
      <formula>LEN(TRIM(G124))=0</formula>
    </cfRule>
  </conditionalFormatting>
  <conditionalFormatting sqref="C106 C108">
    <cfRule type="aboveAverage" dxfId="1012" priority="24"/>
  </conditionalFormatting>
  <conditionalFormatting sqref="C110 C112">
    <cfRule type="aboveAverage" dxfId="1011" priority="23"/>
  </conditionalFormatting>
  <conditionalFormatting sqref="C114 C116">
    <cfRule type="aboveAverage" dxfId="1010" priority="22"/>
  </conditionalFormatting>
  <conditionalFormatting sqref="C106 C108 C110 C112 C114 C116">
    <cfRule type="containsBlanks" dxfId="1009" priority="21">
      <formula>LEN(TRIM(C106))=0</formula>
    </cfRule>
  </conditionalFormatting>
  <conditionalFormatting sqref="C102 C104">
    <cfRule type="aboveAverage" dxfId="1008" priority="20"/>
  </conditionalFormatting>
  <conditionalFormatting sqref="C102 C104">
    <cfRule type="containsBlanks" dxfId="1007" priority="19">
      <formula>LEN(TRIM(C102))=0</formula>
    </cfRule>
  </conditionalFormatting>
  <conditionalFormatting sqref="E123 E125">
    <cfRule type="aboveAverage" dxfId="1006" priority="18"/>
  </conditionalFormatting>
  <conditionalFormatting sqref="E123 E125">
    <cfRule type="containsBlanks" dxfId="1005" priority="17">
      <formula>LEN(TRIM(E123))=0</formula>
    </cfRule>
  </conditionalFormatting>
  <conditionalFormatting sqref="E127 E129">
    <cfRule type="aboveAverage" dxfId="1004" priority="16"/>
  </conditionalFormatting>
  <conditionalFormatting sqref="E127 E129">
    <cfRule type="containsBlanks" dxfId="1003" priority="15">
      <formula>LEN(TRIM(E127))=0</formula>
    </cfRule>
  </conditionalFormatting>
  <conditionalFormatting sqref="G117 G119">
    <cfRule type="aboveAverage" dxfId="1002" priority="14"/>
  </conditionalFormatting>
  <conditionalFormatting sqref="G117 G119">
    <cfRule type="containsBlanks" dxfId="1001" priority="13">
      <formula>LEN(TRIM(G117))=0</formula>
    </cfRule>
  </conditionalFormatting>
  <conditionalFormatting sqref="G105">
    <cfRule type="aboveAverage" dxfId="1000" priority="12"/>
  </conditionalFormatting>
  <conditionalFormatting sqref="G105">
    <cfRule type="containsBlanks" dxfId="999" priority="11">
      <formula>LEN(TRIM(G105))=0</formula>
    </cfRule>
  </conditionalFormatting>
  <conditionalFormatting sqref="G113">
    <cfRule type="aboveAverage" dxfId="998" priority="10"/>
  </conditionalFormatting>
  <conditionalFormatting sqref="G113">
    <cfRule type="containsBlanks" dxfId="997" priority="9">
      <formula>LEN(TRIM(G113))=0</formula>
    </cfRule>
  </conditionalFormatting>
  <conditionalFormatting sqref="E103">
    <cfRule type="aboveAverage" dxfId="996" priority="8"/>
  </conditionalFormatting>
  <conditionalFormatting sqref="E103">
    <cfRule type="containsBlanks" dxfId="995" priority="7">
      <formula>LEN(TRIM(E103))=0</formula>
    </cfRule>
  </conditionalFormatting>
  <conditionalFormatting sqref="E111">
    <cfRule type="aboveAverage" dxfId="994" priority="6"/>
  </conditionalFormatting>
  <conditionalFormatting sqref="E111">
    <cfRule type="containsBlanks" dxfId="993" priority="5">
      <formula>LEN(TRIM(E111))=0</formula>
    </cfRule>
  </conditionalFormatting>
  <conditionalFormatting sqref="E107">
    <cfRule type="aboveAverage" dxfId="992" priority="4"/>
  </conditionalFormatting>
  <conditionalFormatting sqref="E115">
    <cfRule type="aboveAverage" dxfId="991" priority="2"/>
  </conditionalFormatting>
  <conditionalFormatting sqref="E115">
    <cfRule type="containsBlanks" dxfId="990" priority="1">
      <formula>LEN(TRIM(E115))=0</formula>
    </cfRule>
  </conditionalFormatting>
  <pageMargins left="0.78740157480314965" right="0.39370078740157483" top="0.78740157480314965" bottom="0.31496062992125984" header="0.59055118110236227" footer="0"/>
  <pageSetup paperSize="9" fitToHeight="0" orientation="landscape" horizontalDpi="1200" verticalDpi="1200" r:id="rId1"/>
  <headerFooter>
    <oddHeader>&amp;R&amp;"Arial,Regular"&amp;9Page &amp;P of &amp;N</oddHeader>
  </headerFooter>
  <rowBreaks count="2" manualBreakCount="2">
    <brk id="35" max="16383" man="1"/>
    <brk id="73" max="16383" man="1"/>
  </rowBreaks>
  <drawing r:id="rId2"/>
  <legacyDrawing r:id="rId3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CFFCC"/>
    <pageSetUpPr fitToPage="1"/>
  </sheetPr>
  <dimension ref="A1:AB311"/>
  <sheetViews>
    <sheetView showGridLines="0" showRowColHeaders="0" zoomScaleNormal="100" workbookViewId="0">
      <pane ySplit="2" topLeftCell="A3" activePane="bottomLeft" state="frozen"/>
      <selection activeCell="G1" sqref="G1"/>
      <selection pane="bottomLeft" activeCell="N1" sqref="N1"/>
    </sheetView>
  </sheetViews>
  <sheetFormatPr defaultRowHeight="12.75" x14ac:dyDescent="0.2"/>
  <cols>
    <col min="1" max="1" width="5.5703125" style="139" customWidth="1"/>
    <col min="2" max="2" width="40.85546875" style="139" bestFit="1" customWidth="1"/>
    <col min="3" max="8" width="6.7109375" style="139" customWidth="1"/>
    <col min="9" max="9" width="5.140625" style="139" bestFit="1" customWidth="1"/>
    <col min="10" max="10" width="4.5703125" style="139" hidden="1" customWidth="1"/>
    <col min="11" max="11" width="2.28515625" style="139" hidden="1" customWidth="1"/>
    <col min="12" max="12" width="3.5703125" style="139" hidden="1" customWidth="1"/>
    <col min="13" max="13" width="6" style="139" hidden="1" customWidth="1"/>
    <col min="14" max="14" width="4.28515625" style="139" customWidth="1"/>
    <col min="15" max="15" width="5.5703125" style="139" customWidth="1"/>
    <col min="16" max="16" width="8.5703125" style="139" bestFit="1" customWidth="1"/>
    <col min="17" max="17" width="9.140625" style="139"/>
    <col min="18" max="18" width="7.7109375" style="139" hidden="1" customWidth="1"/>
    <col min="19" max="19" width="17.140625" style="139" hidden="1" customWidth="1"/>
    <col min="20" max="20" width="6" style="139" hidden="1" customWidth="1"/>
    <col min="21" max="21" width="32.7109375" style="139" hidden="1" customWidth="1"/>
    <col min="22" max="22" width="6" style="139" hidden="1" customWidth="1"/>
    <col min="23" max="23" width="17.28515625" style="139" hidden="1" customWidth="1"/>
    <col min="24" max="24" width="6" style="139" hidden="1" customWidth="1"/>
    <col min="25" max="25" width="13.85546875" style="139" hidden="1" customWidth="1"/>
    <col min="26" max="26" width="6" style="139" hidden="1" customWidth="1"/>
    <col min="27" max="16384" width="9.140625" style="139"/>
  </cols>
  <sheetData>
    <row r="1" spans="1:27" x14ac:dyDescent="0.2">
      <c r="A1" s="86" t="str">
        <f>UPPER((Kalend!E35)&amp;" - "&amp;(Kalend!C35)&amp;" - "&amp;(Kalend!D35))</f>
        <v>V11 - VOKA 1. SISE-KV 11. ETAPP - NAISTEPÄEVA - DUO</v>
      </c>
      <c r="F1" s="51" t="str">
        <f>HYPERLINK("#'Kalend'!I1","Kalender")</f>
        <v>Kalender</v>
      </c>
      <c r="H1" s="51" t="str">
        <f>HYPERLINK("#'V'!AE1","Reiting")</f>
        <v>Reiting</v>
      </c>
      <c r="I1" s="88"/>
      <c r="J1" s="502" t="s">
        <v>380</v>
      </c>
      <c r="L1" s="585"/>
      <c r="M1" s="504"/>
      <c r="R1" s="502" t="s">
        <v>380</v>
      </c>
      <c r="S1" s="504"/>
      <c r="T1" s="504"/>
      <c r="U1" s="503"/>
      <c r="V1" s="504"/>
      <c r="W1" s="504"/>
      <c r="X1" s="504"/>
      <c r="Y1" s="504"/>
      <c r="Z1" s="504"/>
    </row>
    <row r="2" spans="1:27" x14ac:dyDescent="0.2">
      <c r="A2" s="186" t="str">
        <f>"Toimumisaeg: "&amp;(Kalend!A35)&amp;" kell "&amp;(Kalend!B35)</f>
        <v>Toimumisaeg: L, 10.03.2018 kell 11:00</v>
      </c>
      <c r="S2" s="314"/>
      <c r="U2" s="314"/>
    </row>
    <row r="3" spans="1:27" x14ac:dyDescent="0.2">
      <c r="A3" s="186" t="str">
        <f>"Toimumiskoht: "&amp;(Kalend!F35)</f>
        <v>Toimumiskoht: Voka petangihall</v>
      </c>
      <c r="S3" s="505" t="s">
        <v>381</v>
      </c>
      <c r="U3" s="314"/>
      <c r="W3" s="261"/>
    </row>
    <row r="4" spans="1:27" x14ac:dyDescent="0.2">
      <c r="A4" s="186" t="str">
        <f>"Korraldaja: "&amp;(Kalend!G35)</f>
        <v>Korraldaja: Johannes Neiland</v>
      </c>
      <c r="R4" s="506" t="s">
        <v>36</v>
      </c>
      <c r="S4" s="507"/>
      <c r="T4" s="508"/>
      <c r="U4" s="509"/>
      <c r="V4" s="508"/>
      <c r="W4" s="508"/>
      <c r="X4" s="508"/>
      <c r="Y4" s="508"/>
      <c r="Z4" s="508"/>
    </row>
    <row r="5" spans="1:27" x14ac:dyDescent="0.2">
      <c r="R5" s="506" t="s">
        <v>382</v>
      </c>
      <c r="S5" s="510" t="s">
        <v>383</v>
      </c>
      <c r="T5" s="510"/>
      <c r="U5" s="511" t="s">
        <v>384</v>
      </c>
      <c r="V5" s="510"/>
      <c r="W5" s="510" t="s">
        <v>385</v>
      </c>
      <c r="X5" s="510"/>
      <c r="Y5" s="510" t="s">
        <v>386</v>
      </c>
      <c r="Z5" s="512"/>
    </row>
    <row r="6" spans="1:27" s="188" customFormat="1" x14ac:dyDescent="0.2">
      <c r="A6" s="126" t="s">
        <v>66</v>
      </c>
      <c r="B6" s="438"/>
      <c r="C6" s="91">
        <v>1</v>
      </c>
      <c r="D6" s="91">
        <v>2</v>
      </c>
      <c r="E6" s="91">
        <v>3</v>
      </c>
      <c r="F6" s="91"/>
      <c r="G6" s="91"/>
      <c r="H6" s="91" t="s">
        <v>73</v>
      </c>
      <c r="I6" s="438" t="s">
        <v>46</v>
      </c>
      <c r="J6" s="577" t="s">
        <v>273</v>
      </c>
      <c r="K6" s="649" t="s">
        <v>273</v>
      </c>
      <c r="L6" s="650" t="s">
        <v>430</v>
      </c>
      <c r="M6" s="188" t="b">
        <f>OR(AND(COUNTA(B7:B11)=3,COUNTA(C7:G11)=6),AND(COUNTA(B7:B11)=4,COUNTA(C7:G11)=12),AND(COUNTA(B7:B11)=5,COUNTA(C7:G11)=20))</f>
        <v>1</v>
      </c>
      <c r="O6" s="186"/>
      <c r="P6" s="186"/>
      <c r="Q6" s="139"/>
      <c r="R6" s="506" t="s">
        <v>387</v>
      </c>
      <c r="S6" s="507"/>
      <c r="T6" s="508"/>
      <c r="U6" s="507"/>
      <c r="V6" s="508"/>
      <c r="W6" s="513"/>
      <c r="X6" s="513"/>
      <c r="Y6" s="513"/>
      <c r="Z6" s="513"/>
    </row>
    <row r="7" spans="1:27" s="188" customFormat="1" x14ac:dyDescent="0.2">
      <c r="A7" s="126">
        <v>1</v>
      </c>
      <c r="B7" s="582" t="s">
        <v>507</v>
      </c>
      <c r="C7" s="127"/>
      <c r="D7" s="93">
        <v>7</v>
      </c>
      <c r="E7" s="93">
        <v>10</v>
      </c>
      <c r="F7" s="93"/>
      <c r="G7" s="93"/>
      <c r="H7" s="576" t="str">
        <f>(IF(D7-C8&gt;0,1)+IF(E7-C9&gt;0,1)+IF(F7-C10&gt;0,1)+IF(G7-C11&gt;0,1))&amp;"-"&amp;(IF(D7-C8&lt;0,1)+IF(E7-C9&lt;0,1)+IF(F7-C10&lt;0,1)+IF(G7-C11&lt;0,1))</f>
        <v>0-2</v>
      </c>
      <c r="I7" s="93" t="str">
        <f>IF(AND(B7&lt;&gt;"",M$6=TRUE),A$6&amp;RANK(M7,M$7:M$11,0),"")</f>
        <v>A3</v>
      </c>
      <c r="J7" s="584">
        <f>VALUE(LEFT(H7,1))</f>
        <v>0</v>
      </c>
      <c r="K7" s="651">
        <f>IF(AND(J7=1,J8=1,D7&gt;C8),1)+IF(AND(J7=1,J9=1,E7&gt;C9),1)+IF(AND(J7=1,J10=1,F7&gt;C10),1)+IF(AND(J7=1,J11=1,G7&gt;C11),1)+IF(AND(J7=2,J8=2,D7&gt;C8),1)+IF(AND(J7=2,J9=2,E7&gt;C9),1)+IF(AND(J7=2,J10=2,F7&gt;C10),1)+IF(AND(J7=2,J11=2,G7&gt;C11),1)+IF(AND(J7=3,J8=3,D7&gt;C8),1)+IF(AND(J7=3,J9=3,E7&gt;C9),1)+IF(AND(J7=3,J10=3,F7&gt;C10),1)+IF(AND(J7=3,J11=3,G7&gt;C11),1)</f>
        <v>0</v>
      </c>
      <c r="L7" s="652">
        <f>IF(AND(J7=1,J8=1),D7-C8)+IF(AND(J7=1,J9=1),E7-C9)+IF(AND(J7=1,J10=1),F7-C10)+IF(AND(J7=1,J11=1),G7-C11)+IF(AND(J7=2,J8=2),D7-C8)+IF(AND(J7=2,J9=2),E7-C9)+IF(AND(J7=2,J10=2),F7-C10)+IF(AND(J7=2,J11=2),G7-C11)+IF(AND(J7=3,J8=3),D7-C8)+IF(AND(J7=3,J9=3),E7-C9)+IF(AND(J7=3,J10=3),F7-C10)+IF(AND(J7=3,J11=3),G7-C11)</f>
        <v>0</v>
      </c>
      <c r="M7" s="668">
        <f>10000*J7+K7*100+L7</f>
        <v>0</v>
      </c>
      <c r="N7" s="569"/>
      <c r="O7" s="186"/>
      <c r="P7" s="186"/>
      <c r="Q7" s="140"/>
      <c r="R7" s="512">
        <f>SUM(T7:Z7)</f>
        <v>187</v>
      </c>
      <c r="S7" s="514" t="str">
        <f t="shared" ref="S7:S32" si="0">IFERROR(LEFT($B7,(FIND(",",$B7,1)-1)),"")</f>
        <v>Johannes Neiland</v>
      </c>
      <c r="T7" s="515">
        <f>IFERROR(INDEX(V!$O:$O,MATCH(S7,V!$J:$J,0)),"")</f>
        <v>94</v>
      </c>
      <c r="U7" s="514" t="str">
        <f t="shared" ref="U7:U32" si="1">IFERROR(MID($B7,FIND(", ",$B7)+2,256),"")</f>
        <v>Kati Tuzberg, Tarmo Bombe</v>
      </c>
      <c r="V7" s="515" t="str">
        <f>IFERROR(INDEX(V!$O:$O,MATCH(U7,V!$J:$J,0)),"")</f>
        <v/>
      </c>
      <c r="W7" s="516" t="str">
        <f t="shared" ref="W7:W32" si="2">IFERROR(MID($B7,FIND("^",SUBSTITUTE($B7,", ","^",1))+2,FIND("^",SUBSTITUTE($B7,", ","^",2))-FIND("^",SUBSTITUTE($B7,", ","^",1))-2),"")</f>
        <v>Kati Tuzberg</v>
      </c>
      <c r="X7" s="515">
        <f>IFERROR(INDEX(V!$O:$O,MATCH(W7,V!$J:$J,0)),"")</f>
        <v>61</v>
      </c>
      <c r="Y7" s="516" t="str">
        <f t="shared" ref="Y7:Y25" si="3">IFERROR(MID($B7,FIND(", ",$B7,FIND(", ",$B7,FIND(", ",$B7))+1)+2,30000),"")</f>
        <v>Tarmo Bombe</v>
      </c>
      <c r="Z7" s="515">
        <f>IFERROR(INDEX(V!$O:$O,MATCH(Y7,V!$J:$J,0)),"")</f>
        <v>32</v>
      </c>
    </row>
    <row r="8" spans="1:27" s="188" customFormat="1" x14ac:dyDescent="0.2">
      <c r="A8" s="126">
        <v>2</v>
      </c>
      <c r="B8" s="581" t="s">
        <v>499</v>
      </c>
      <c r="C8" s="93">
        <v>13</v>
      </c>
      <c r="D8" s="127"/>
      <c r="E8" s="93">
        <v>13</v>
      </c>
      <c r="F8" s="93"/>
      <c r="G8" s="93"/>
      <c r="H8" s="576" t="str">
        <f>(IF(C8-D7&gt;0,1)+IF(E8-D9&gt;0,1)+IF(F8-D10&gt;0,1)+IF(G8-D11&gt;0,1))&amp;"-"&amp;(IF(C8-D7&lt;0,1)+IF(E8-D9&lt;0,1)+IF(F8-D10&lt;0,1)+IF(G8-D11&lt;0,1))</f>
        <v>2-0</v>
      </c>
      <c r="I8" s="93" t="str">
        <f>IF(AND(B8&lt;&gt;"",M$6=TRUE),A$6&amp;RANK(M8,M$7:M$11,0),"")</f>
        <v>A1</v>
      </c>
      <c r="J8" s="584">
        <f t="shared" ref="J8:J11" si="4">VALUE(LEFT(H8,1))</f>
        <v>2</v>
      </c>
      <c r="K8" s="653">
        <f>IF(AND(J8=1,J7=1,C8&gt;D7),1)+IF(AND(J8=1,J9=1,E8&gt;D9),1)+IF(AND(J8=1,J10=1,F8&gt;D10),1)+IF(AND(J8=1,J11=1,G8&gt;D11),1)+IF(AND(J8=2,J7=2,C8&gt;D7),1)+IF(AND(J8=2,J9=2,E8&gt;D9),1)+IF(AND(J8=2,J10=2,F8&gt;D10),1)+IF(AND(J8=2,J11=2,G8&gt;D11),1)+IF(AND(J8=3,J7=3,C8&gt;D7),1)+IF(AND(J8=3,J9=3,E8&gt;D9),1)+IF(AND(J8=3,J10=3,F8&gt;D10),1)+IF(AND(J8=3,J11=3,G8&gt;D11),1)</f>
        <v>0</v>
      </c>
      <c r="L8" s="652">
        <f>IF(AND(J8=1,J7=1),C8-D7)+IF(AND(J8=1,J9=1),E8-D9)+IF(AND(J8=1,J10=1),F8-D10)+IF(AND(J8=1,J11=1),G8-D11)+IF(AND(J8=2,J7=2),C8-D7)+IF(AND(J8=2,J9=2),E8-D9)+IF(AND(J8=2,J10=2),F8-D10)+IF(AND(J8=2,J11=2),G8-D11)+IF(AND(J8=3,J7=3),C8-D7)+IF(AND(J8=3,J9=3),E8-D9)+IF(AND(J8=3,J10=3),F8-D10)+IF(AND(J8=3,J11=3),G8-D11)</f>
        <v>0</v>
      </c>
      <c r="M8" s="668">
        <f t="shared" ref="M8:M11" si="5">10000*J8+K8*100+L8</f>
        <v>20000</v>
      </c>
      <c r="N8" s="569"/>
      <c r="O8" s="186"/>
      <c r="P8" s="186"/>
      <c r="Q8" s="140"/>
      <c r="R8" s="512">
        <f t="shared" ref="R8:R11" si="6">SUM(T8:Z8)</f>
        <v>119</v>
      </c>
      <c r="S8" s="514" t="str">
        <f t="shared" si="0"/>
        <v>Aigi Orro</v>
      </c>
      <c r="T8" s="515">
        <f>IFERROR(INDEX(V!$O:$O,MATCH(S8,V!$J:$J,0)),"")</f>
        <v>43</v>
      </c>
      <c r="U8" s="514" t="str">
        <f t="shared" si="1"/>
        <v>Elmo Lageda</v>
      </c>
      <c r="V8" s="515">
        <f>IFERROR(INDEX(V!$O:$O,MATCH(U8,V!$J:$J,0)),"")</f>
        <v>76</v>
      </c>
      <c r="W8" s="516" t="str">
        <f t="shared" si="2"/>
        <v/>
      </c>
      <c r="X8" s="515" t="str">
        <f>IFERROR(INDEX(V!$O:$O,MATCH(W8,V!$J:$J,0)),"")</f>
        <v/>
      </c>
      <c r="Y8" s="516" t="str">
        <f t="shared" si="3"/>
        <v/>
      </c>
      <c r="Z8" s="515" t="str">
        <f>IFERROR(INDEX(V!$O:$O,MATCH(Y8,V!$J:$J,0)),"")</f>
        <v/>
      </c>
    </row>
    <row r="9" spans="1:27" s="188" customFormat="1" x14ac:dyDescent="0.2">
      <c r="A9" s="126">
        <v>3</v>
      </c>
      <c r="B9" s="581" t="s">
        <v>287</v>
      </c>
      <c r="C9" s="93">
        <v>13</v>
      </c>
      <c r="D9" s="548">
        <v>3</v>
      </c>
      <c r="E9" s="127"/>
      <c r="F9" s="93"/>
      <c r="G9" s="93"/>
      <c r="H9" s="576" t="str">
        <f>(IF(C9-E7&gt;0,1)+IF(D9-E8&gt;0,1)+IF(F9-E10&gt;0,1)+IF(G9-E11&gt;0,1))&amp;"-"&amp;(IF(C9-E7&lt;0,1)+IF(D9-E8&lt;0,1)+IF(F9-E10&lt;0,1)+IF(G9-E11&lt;0,1))</f>
        <v>1-1</v>
      </c>
      <c r="I9" s="93" t="str">
        <f>IF(AND(B9&lt;&gt;"",M$6=TRUE),A$6&amp;RANK(M9,M$7:M$11,0),"")</f>
        <v>A2</v>
      </c>
      <c r="J9" s="584">
        <f t="shared" si="4"/>
        <v>1</v>
      </c>
      <c r="K9" s="653">
        <f>IF(AND(J9=1,J7=1,C9&gt;E7),1)+IF(AND(J9=1,J8=1,D9&gt;E8),1)+IF(AND(J9=1,J10=1,F9&gt;E10),1)+IF(AND(J9=1,J11=1,G9&gt;E11),1)+IF(AND(J9=2,J7=2,C9&gt;E7),1)+IF(AND(J9=2,J8=2,D9&gt;E8),1)+IF(AND(J9=2,J10=2,F9&gt;E10),1)+IF(AND(J9=2,J11=2,G9&gt;E11),1)+IF(AND(J9=3,J7=3,C9&gt;E7),1)+IF(AND(J9=3,J8=3,D9&gt;E8),1)+IF(AND(J9=3,J10=3,F9&gt;E10),1)+IF(AND(J9=3,J11=3,G9&gt;E11),1)</f>
        <v>0</v>
      </c>
      <c r="L9" s="652">
        <f>IF(AND(J9=1,J7=1),C9-E7)+IF(AND(J9=1,J8=1),D9-E8)+IF(AND(J9=1,J10=1),F9-E10)+IF(AND(J9=1,J11=1),G9-E11)+IF(AND(J9=2,J7=2),C9-E7)+IF(AND(J9=2,J8=2),D9-E8)+IF(AND(J9=2,J10=2),F9-E10)+IF(AND(J9=2,J11=2),G9-E11)+IF(AND(J9=3,J7=3),C9-E7)+IF(AND(J9=3,J8=3),D9-E8)+IF(AND(J9=3,J10=3),F9-E10)+IF(AND(J9=3,J11=3),G9-E11)</f>
        <v>0</v>
      </c>
      <c r="M9" s="668">
        <f t="shared" si="5"/>
        <v>10000</v>
      </c>
      <c r="N9" s="569"/>
      <c r="O9" s="186"/>
      <c r="P9" s="186"/>
      <c r="Q9" s="140"/>
      <c r="R9" s="512">
        <f t="shared" si="6"/>
        <v>95.5</v>
      </c>
      <c r="S9" s="514" t="str">
        <f t="shared" si="0"/>
        <v>Margus Vasser</v>
      </c>
      <c r="T9" s="515">
        <f>IFERROR(INDEX(V!$O:$O,MATCH(S9,V!$J:$J,0)),"")</f>
        <v>25</v>
      </c>
      <c r="U9" s="514" t="str">
        <f t="shared" si="1"/>
        <v>Vello Vasser</v>
      </c>
      <c r="V9" s="515">
        <f>IFERROR(INDEX(V!$O:$O,MATCH(U9,V!$J:$J,0)),"")</f>
        <v>70.5</v>
      </c>
      <c r="W9" s="516" t="str">
        <f t="shared" si="2"/>
        <v/>
      </c>
      <c r="X9" s="515" t="str">
        <f>IFERROR(INDEX(V!$O:$O,MATCH(W9,V!$J:$J,0)),"")</f>
        <v/>
      </c>
      <c r="Y9" s="516" t="str">
        <f t="shared" si="3"/>
        <v/>
      </c>
      <c r="Z9" s="515" t="str">
        <f>IFERROR(INDEX(V!$O:$O,MATCH(Y9,V!$J:$J,0)),"")</f>
        <v/>
      </c>
    </row>
    <row r="10" spans="1:27" s="188" customFormat="1" hidden="1" x14ac:dyDescent="0.2">
      <c r="A10" s="126">
        <v>4</v>
      </c>
      <c r="B10" s="582"/>
      <c r="C10" s="93"/>
      <c r="D10" s="548"/>
      <c r="E10" s="93"/>
      <c r="F10" s="127"/>
      <c r="G10" s="128"/>
      <c r="H10" s="576" t="str">
        <f>(IF(C10-F7&gt;0,1)+IF(D10-F8&gt;0,1)+IF(E10-F9&gt;0,1)+IF(G10-F11&gt;0,1))&amp;"-"&amp;(IF(C10-F7&lt;0,1)+IF(D10-F8&lt;0,1)+IF(E10-F9&lt;0,1)+IF(G10-F11&lt;0,1))</f>
        <v>0-0</v>
      </c>
      <c r="I10" s="93" t="str">
        <f t="shared" ref="I10:I11" si="7">IF(AND(B10&lt;&gt;"",M$6=TRUE),A$6&amp;RANK(M10,M$7:M$11,0),"")</f>
        <v/>
      </c>
      <c r="J10" s="584">
        <f t="shared" si="4"/>
        <v>0</v>
      </c>
      <c r="K10" s="653">
        <f>IF(AND(J10=1,J7=1,C10&gt;F7),1)+IF(AND(J10=1,J8=1,D10&gt;F8),1)+IF(AND(J10=1,J9=1,E10&gt;F9),1)+IF(AND(J10=1,J11=1,G10&gt;F11),1)+IF(AND(J10=2,J7=2,C10&gt;F7),1)+IF(AND(J10=2,J8=2,D10&gt;F8),1)+IF(AND(J10=2,J9=2,E10&gt;F9),1)+IF(AND(J10=2,J11=2,G10&gt;F11),1)+IF(AND(J10=3,J7=3,C10&gt;F7),1)+IF(AND(J10=3,J8=3,D10&gt;F8),1)+IF(AND(J10=3,J9=3,E10&gt;F9),1)+IF(AND(J10=3,J11=3,G10&gt;F11),1)</f>
        <v>0</v>
      </c>
      <c r="L10" s="652">
        <f>IF(AND(J10=1,J7=1),C10-F7)+IF(AND(J10=1,J8=1),D10-F8)+IF(AND(J10=1,J9=1),E10-F9)+IF(AND(J10=1,J11=1),G10-F11)+IF(AND(J10=2,J7=2),C10-F7)+IF(AND(J10=2,J8=2),D10-F8)+IF(AND(J10=2,J9=2),E10-F9)+IF(AND(J10=2,J11=2),G10-F11)+IF(AND(J10=3,J7=3),C10-F7)+IF(AND(J10=3,J8=3),D10-F8)+IF(AND(J10=3,J9=3),E10-F9)+IF(AND(J10=3,J11=3),G10-F11)</f>
        <v>0</v>
      </c>
      <c r="M10" s="668">
        <f t="shared" si="5"/>
        <v>0</v>
      </c>
      <c r="N10" s="569"/>
      <c r="O10" s="186"/>
      <c r="P10" s="186"/>
      <c r="Q10" s="140"/>
      <c r="R10" s="512">
        <f t="shared" si="6"/>
        <v>0</v>
      </c>
      <c r="S10" s="514" t="str">
        <f t="shared" si="0"/>
        <v/>
      </c>
      <c r="T10" s="515" t="str">
        <f>IFERROR(INDEX(V!$O:$O,MATCH(S10,V!$J:$J,0)),"")</f>
        <v/>
      </c>
      <c r="U10" s="514" t="str">
        <f t="shared" si="1"/>
        <v/>
      </c>
      <c r="V10" s="515" t="str">
        <f>IFERROR(INDEX(V!$O:$O,MATCH(U10,V!$J:$J,0)),"")</f>
        <v/>
      </c>
      <c r="W10" s="516" t="str">
        <f t="shared" si="2"/>
        <v/>
      </c>
      <c r="X10" s="515" t="str">
        <f>IFERROR(INDEX(V!$O:$O,MATCH(W10,V!$J:$J,0)),"")</f>
        <v/>
      </c>
      <c r="Y10" s="516" t="str">
        <f t="shared" si="3"/>
        <v/>
      </c>
      <c r="Z10" s="515" t="str">
        <f>IFERROR(INDEX(V!$O:$O,MATCH(Y10,V!$J:$J,0)),"")</f>
        <v/>
      </c>
    </row>
    <row r="11" spans="1:27" s="188" customFormat="1" hidden="1" x14ac:dyDescent="0.2">
      <c r="A11" s="126">
        <v>5</v>
      </c>
      <c r="B11" s="582"/>
      <c r="C11" s="93"/>
      <c r="D11" s="93"/>
      <c r="E11" s="93"/>
      <c r="F11" s="93"/>
      <c r="G11" s="127"/>
      <c r="H11" s="576" t="str">
        <f>(IF(C11-G7&gt;0,1)+IF(D11-G8&gt;0,1)+IF(E11-G9&gt;0,1)+IF(F11-G10&gt;0,1))&amp;"-"&amp;(IF(C11-G7&lt;0,1)+IF(D11-G8&lt;0,1)+IF(E11-G9&lt;0,1)+IF(F11-G10&lt;0,1))</f>
        <v>0-0</v>
      </c>
      <c r="I11" s="93" t="str">
        <f t="shared" si="7"/>
        <v/>
      </c>
      <c r="J11" s="584">
        <f t="shared" si="4"/>
        <v>0</v>
      </c>
      <c r="K11" s="653">
        <f>IF(AND(J11=1,J7=1,C11&gt;G7),1)+IF(AND(J11=1,J8=1,D11&gt;G8),1)+IF(AND(J11=1,J9=1,E11&gt;G9),1)+IF(AND(J11=1,J10=1,F11&gt;G10),1)+IF(AND(J11=2,J7=2,C11&gt;G7),1)+IF(AND(J11=2,J8=2,D11&gt;G8),1)+IF(AND(J11=2,J9=2,E11&gt;G9),1)+IF(AND(J11=2,J10=2,F11&gt;G10),1)+IF(AND(J11=3,J7=3,C11&gt;G7),1)+IF(AND(J11=3,J8=3,D11&gt;G8),1)+IF(AND(J11=3,J9=3,E11&gt;G9),1)+IF(AND(J11=3,J10=3,F11&gt;G10),1)</f>
        <v>0</v>
      </c>
      <c r="L11" s="652">
        <f>IF(AND(J11=1,J7=1),C11-G7)+IF(AND(J11=1,J8=1),D11-G8)+IF(AND(J11=1,J9=1),E11-G9)+IF(AND(J11=1,J10=1),F11-G10)+IF(AND(J11=2,J7=2),C11-G7)+IF(AND(J11=2,J8=2),D11-G8)+IF(AND(J11=2,J9=2),E11-G9)+IF(AND(J11=2,J10=2),F11-G10)+IF(AND(J11=3,J7=3),C11-G7)+IF(AND(J11=3,J8=3),D11-G8)+IF(AND(J11=3,J9=3),E11-G9)+IF(AND(J11=3,J10=3),F11-G10)</f>
        <v>0</v>
      </c>
      <c r="M11" s="668">
        <f t="shared" si="5"/>
        <v>0</v>
      </c>
      <c r="N11" s="569"/>
      <c r="O11" s="186"/>
      <c r="P11" s="186"/>
      <c r="Q11" s="140"/>
      <c r="R11" s="512">
        <f t="shared" si="6"/>
        <v>0</v>
      </c>
      <c r="S11" s="514" t="str">
        <f t="shared" si="0"/>
        <v/>
      </c>
      <c r="T11" s="515" t="str">
        <f>IFERROR(INDEX(V!$O:$O,MATCH(S11,V!$J:$J,0)),"")</f>
        <v/>
      </c>
      <c r="U11" s="514" t="str">
        <f t="shared" si="1"/>
        <v/>
      </c>
      <c r="V11" s="515" t="str">
        <f>IFERROR(INDEX(V!$O:$O,MATCH(U11,V!$J:$J,0)),"")</f>
        <v/>
      </c>
      <c r="W11" s="516" t="str">
        <f t="shared" si="2"/>
        <v/>
      </c>
      <c r="X11" s="515" t="str">
        <f>IFERROR(INDEX(V!$O:$O,MATCH(W11,V!$J:$J,0)),"")</f>
        <v/>
      </c>
      <c r="Y11" s="516" t="str">
        <f t="shared" si="3"/>
        <v/>
      </c>
      <c r="Z11" s="515" t="str">
        <f>IFERROR(INDEX(V!$O:$O,MATCH(Y11,V!$J:$J,0)),"")</f>
        <v/>
      </c>
    </row>
    <row r="12" spans="1:27" s="188" customFormat="1" x14ac:dyDescent="0.2">
      <c r="A12" s="121"/>
      <c r="B12" s="677"/>
      <c r="C12" s="96"/>
      <c r="D12" s="312"/>
      <c r="E12" s="96"/>
      <c r="F12" s="97"/>
      <c r="H12" s="402"/>
      <c r="I12" s="580"/>
      <c r="J12" s="585"/>
      <c r="K12" s="654"/>
      <c r="L12" s="655"/>
      <c r="M12" s="585"/>
      <c r="N12" s="569"/>
      <c r="O12" s="186"/>
      <c r="P12" s="186"/>
      <c r="Q12" s="139"/>
      <c r="R12" s="186"/>
      <c r="S12" s="186"/>
      <c r="T12" s="186"/>
      <c r="U12" s="186"/>
      <c r="V12" s="186"/>
      <c r="W12" s="186"/>
      <c r="X12" s="186"/>
      <c r="Y12" s="186"/>
      <c r="Z12" s="186"/>
      <c r="AA12" s="88"/>
    </row>
    <row r="13" spans="1:27" s="186" customFormat="1" x14ac:dyDescent="0.2">
      <c r="A13" s="126" t="s">
        <v>90</v>
      </c>
      <c r="B13" s="438"/>
      <c r="C13" s="91">
        <v>1</v>
      </c>
      <c r="D13" s="91">
        <v>2</v>
      </c>
      <c r="E13" s="91">
        <v>3</v>
      </c>
      <c r="F13" s="91"/>
      <c r="G13" s="91"/>
      <c r="H13" s="438" t="s">
        <v>73</v>
      </c>
      <c r="I13" s="438" t="s">
        <v>46</v>
      </c>
      <c r="J13" s="586" t="s">
        <v>273</v>
      </c>
      <c r="K13" s="649" t="s">
        <v>273</v>
      </c>
      <c r="L13" s="656" t="s">
        <v>430</v>
      </c>
      <c r="M13" s="588" t="b">
        <f>OR(AND(COUNTA(B14:B18)=3,COUNTA(C14:G18)=6),AND(COUNTA(B14:B18)=4,COUNTA(C14:G18)=12),AND(COUNTA(B14:B18)=5,COUNTA(C14:G18)=20))</f>
        <v>1</v>
      </c>
      <c r="Q13" s="139"/>
      <c r="AA13" s="88"/>
    </row>
    <row r="14" spans="1:27" s="186" customFormat="1" x14ac:dyDescent="0.2">
      <c r="A14" s="126">
        <v>1</v>
      </c>
      <c r="B14" s="581" t="s">
        <v>471</v>
      </c>
      <c r="C14" s="127"/>
      <c r="D14" s="93">
        <v>13</v>
      </c>
      <c r="E14" s="93">
        <v>13</v>
      </c>
      <c r="F14" s="93"/>
      <c r="G14" s="93"/>
      <c r="H14" s="576" t="str">
        <f>(IF(D14-C15&gt;0,1)+IF(E14-C16&gt;0,1)+IF(F14-C17&gt;0,1)+IF(G14-C18&gt;0,1))&amp;"-"&amp;(IF(D14-C15&lt;0,1)+IF(E14-C16&lt;0,1)+IF(F14-C17&lt;0,1)+IF(G14-C18&lt;0,1))</f>
        <v>2-0</v>
      </c>
      <c r="I14" s="93" t="str">
        <f t="shared" ref="I14:I18" si="8">IF(AND(B14&lt;&gt;"",M$13=TRUE),A$13&amp;RANK(M14,M$14:M$18,0),"")</f>
        <v>B1</v>
      </c>
      <c r="J14" s="584">
        <f>VALUE(LEFT(H14,1))</f>
        <v>2</v>
      </c>
      <c r="K14" s="651">
        <f>IF(AND(J14=1,J15=1,D14&gt;C15),1)+IF(AND(J14=1,J16=1,E14&gt;C16),1)+IF(AND(J14=1,J17=1,F14&gt;C17),1)+IF(AND(J14=1,J18=1,G14&gt;C18),1)+IF(AND(J14=2,J15=2,D14&gt;C15),1)+IF(AND(J14=2,J16=2,E14&gt;C16),1)+IF(AND(J14=2,J17=2,F14&gt;C17),1)+IF(AND(J14=2,J18=2,G14&gt;C18),1)+IF(AND(J14=3,J15=3,D14&gt;C15),1)+IF(AND(J14=3,J16=3,E14&gt;C16),1)+IF(AND(J14=3,J17=3,F14&gt;C17),1)+IF(AND(J14=3,J18=3,G14&gt;C18),1)</f>
        <v>0</v>
      </c>
      <c r="L14" s="652"/>
      <c r="M14" s="668">
        <f>10000*J14+K14*100+L14</f>
        <v>20000</v>
      </c>
      <c r="Q14" s="139"/>
      <c r="R14" s="512">
        <f t="shared" ref="R14" si="9">SUM(T14:Z14)</f>
        <v>148</v>
      </c>
      <c r="S14" s="514" t="str">
        <f t="shared" si="0"/>
        <v>Boriss Klubov</v>
      </c>
      <c r="T14" s="515">
        <f>IFERROR(INDEX(V!$O:$O,MATCH(S14,V!$J:$J,0)),"")</f>
        <v>89</v>
      </c>
      <c r="U14" s="514" t="str">
        <f t="shared" si="1"/>
        <v>Mait Metsla</v>
      </c>
      <c r="V14" s="515">
        <f>IFERROR(INDEX(V!$O:$O,MATCH(U14,V!$J:$J,0)),"")</f>
        <v>59</v>
      </c>
      <c r="W14" s="516" t="str">
        <f t="shared" si="2"/>
        <v/>
      </c>
      <c r="X14" s="515" t="str">
        <f>IFERROR(INDEX(V!$O:$O,MATCH(W14,V!$J:$J,0)),"")</f>
        <v/>
      </c>
      <c r="Y14" s="516" t="str">
        <f t="shared" si="3"/>
        <v/>
      </c>
      <c r="Z14" s="515" t="str">
        <f>IFERROR(INDEX(V!$O:$O,MATCH(Y14,V!$J:$J,0)),"")</f>
        <v/>
      </c>
    </row>
    <row r="15" spans="1:27" s="186" customFormat="1" x14ac:dyDescent="0.2">
      <c r="A15" s="126">
        <v>2</v>
      </c>
      <c r="B15" s="581" t="s">
        <v>170</v>
      </c>
      <c r="C15" s="93">
        <v>11</v>
      </c>
      <c r="D15" s="127"/>
      <c r="E15" s="93">
        <v>13</v>
      </c>
      <c r="F15" s="93"/>
      <c r="G15" s="93"/>
      <c r="H15" s="576" t="str">
        <f>(IF(C15-D14&gt;0,1)+IF(E15-D16&gt;0,1)+IF(F15-D17&gt;0,1)+IF(G15-D18&gt;0,1))&amp;"-"&amp;(IF(C15-D14&lt;0,1)+IF(E15-D16&lt;0,1)+IF(F15-D17&lt;0,1)+IF(G15-D18&lt;0,1))</f>
        <v>1-1</v>
      </c>
      <c r="I15" s="93" t="str">
        <f t="shared" si="8"/>
        <v>B2</v>
      </c>
      <c r="J15" s="584">
        <f t="shared" ref="J15:J18" si="10">VALUE(LEFT(H15,1))</f>
        <v>1</v>
      </c>
      <c r="K15" s="653">
        <f>IF(AND(J15=1,J14=1,C15&gt;D14),1)+IF(AND(J15=1,J16=1,E15&gt;D16),1)+IF(AND(J15=1,J17=1,F15&gt;D17),1)+IF(AND(J15=1,J18=1,G15&gt;D18),1)+IF(AND(J15=2,J14=2,C15&gt;D14),1)+IF(AND(J15=2,J16=2,E15&gt;D16),1)+IF(AND(J15=2,J17=2,F15&gt;D17),1)+IF(AND(J15=2,J18=2,G15&gt;D18),1)+IF(AND(J15=3,J14=3,C15&gt;D14),1)+IF(AND(J15=3,J16=3,E15&gt;D16),1)+IF(AND(J15=3,J17=3,F15&gt;D17),1)+IF(AND(J15=3,J18=3,G15&gt;D18),1)</f>
        <v>0</v>
      </c>
      <c r="L15" s="652">
        <f>IF(AND(J15=1,J14=1),C15-D14)+IF(AND(J15=1,J16=1),E15-D16)+IF(AND(J15=1,J17=1),F15-D17)+IF(AND(J15=1,J18=1),G15-D18)+IF(AND(J15=2,J14=2),C15-D14)+IF(AND(J15=2,J16=2),E15-D16)+IF(AND(J15=2,J17=2),F15-D17)+IF(AND(J15=2,J18=2),G15-D18)+IF(AND(J15=3,J14=3),C15-D14)+IF(AND(J15=3,J16=3),E15-D16)+IF(AND(J15=3,J17=3),F15-D17)+IF(AND(J15=3,J18=3),G15-D18)</f>
        <v>0</v>
      </c>
      <c r="M15" s="668">
        <f t="shared" ref="M15:M18" si="11">10000*J15+K15*100+L15</f>
        <v>10000</v>
      </c>
      <c r="Q15" s="139"/>
      <c r="R15" s="512">
        <f t="shared" ref="R15:R18" si="12">SUM(T15:Z15)</f>
        <v>118</v>
      </c>
      <c r="S15" s="514" t="str">
        <f t="shared" si="0"/>
        <v>Karla Purgats</v>
      </c>
      <c r="T15" s="515">
        <f>IFERROR(INDEX(V!$O:$O,MATCH(S15,V!$J:$J,0)),"")</f>
        <v>66</v>
      </c>
      <c r="U15" s="514" t="str">
        <f t="shared" si="1"/>
        <v>Lemmit Toomra</v>
      </c>
      <c r="V15" s="515">
        <f>IFERROR(INDEX(V!$O:$O,MATCH(U15,V!$J:$J,0)),"")</f>
        <v>52</v>
      </c>
      <c r="W15" s="516" t="str">
        <f t="shared" si="2"/>
        <v/>
      </c>
      <c r="X15" s="515" t="str">
        <f>IFERROR(INDEX(V!$O:$O,MATCH(W15,V!$J:$J,0)),"")</f>
        <v/>
      </c>
      <c r="Y15" s="516" t="str">
        <f t="shared" si="3"/>
        <v/>
      </c>
      <c r="Z15" s="515" t="str">
        <f>IFERROR(INDEX(V!$O:$O,MATCH(Y15,V!$J:$J,0)),"")</f>
        <v/>
      </c>
    </row>
    <row r="16" spans="1:27" s="186" customFormat="1" x14ac:dyDescent="0.2">
      <c r="A16" s="126">
        <v>3</v>
      </c>
      <c r="B16" s="581" t="s">
        <v>167</v>
      </c>
      <c r="C16" s="93">
        <v>8</v>
      </c>
      <c r="D16" s="548">
        <v>9</v>
      </c>
      <c r="E16" s="127"/>
      <c r="F16" s="93"/>
      <c r="G16" s="93"/>
      <c r="H16" s="576" t="str">
        <f>(IF(C16-E14&gt;0,1)+IF(D16-E15&gt;0,1)+IF(F16-E17&gt;0,1)+IF(G16-E18&gt;0,1))&amp;"-"&amp;(IF(C16-E14&lt;0,1)+IF(D16-E15&lt;0,1)+IF(F16-E17&lt;0,1)+IF(G16-E18&lt;0,1))</f>
        <v>0-2</v>
      </c>
      <c r="I16" s="93" t="str">
        <f t="shared" si="8"/>
        <v>B3</v>
      </c>
      <c r="J16" s="584">
        <f t="shared" si="10"/>
        <v>0</v>
      </c>
      <c r="K16" s="653">
        <f>IF(AND(J16=1,J14=1,C16&gt;E14),1)+IF(AND(J16=1,J15=1,D16&gt;E15),1)+IF(AND(J16=1,J17=1,F16&gt;E17),1)+IF(AND(J16=1,J18=1,G16&gt;E18),1)+IF(AND(J16=2,J14=2,C16&gt;E14),1)+IF(AND(J16=2,J15=2,D16&gt;E15),1)+IF(AND(J16=2,J17=2,F16&gt;E17),1)+IF(AND(J16=2,J18=2,G16&gt;E18),1)+IF(AND(J16=3,J14=3,C16&gt;E14),1)+IF(AND(J16=3,J15=3,D16&gt;E15),1)+IF(AND(J16=3,J17=3,F16&gt;E17),1)+IF(AND(J16=3,J18=3,G16&gt;E18),1)</f>
        <v>0</v>
      </c>
      <c r="L16" s="652">
        <f>IF(AND(J16=1,J14=1),C16-E14)+IF(AND(J16=1,J15=1),D16-E15)+IF(AND(J16=1,J17=1),F16-E17)+IF(AND(J16=1,J18=1),G16-E18)+IF(AND(J16=2,J14=2),C16-E14)+IF(AND(J16=2,J15=2),D16-E15)+IF(AND(J16=2,J17=2),F16-E17)+IF(AND(J16=2,J18=2),G16-E18)+IF(AND(J16=3,J14=3),C16-E14)+IF(AND(J16=3,J15=3),D16-E15)+IF(AND(J16=3,J17=3),F16-E17)+IF(AND(J16=3,J18=3),G16-E18)</f>
        <v>0</v>
      </c>
      <c r="M16" s="668">
        <f t="shared" si="11"/>
        <v>0</v>
      </c>
      <c r="Q16" s="139"/>
      <c r="R16" s="512">
        <f t="shared" si="12"/>
        <v>66</v>
      </c>
      <c r="S16" s="514" t="str">
        <f t="shared" si="0"/>
        <v>Illar Tõnurist</v>
      </c>
      <c r="T16" s="515">
        <f>IFERROR(INDEX(V!$O:$O,MATCH(S16,V!$J:$J,0)),"")</f>
        <v>41</v>
      </c>
      <c r="U16" s="514" t="str">
        <f t="shared" si="1"/>
        <v>Jaan Saar</v>
      </c>
      <c r="V16" s="515">
        <f>IFERROR(INDEX(V!$O:$O,MATCH(U16,V!$J:$J,0)),"")</f>
        <v>25</v>
      </c>
      <c r="W16" s="516" t="str">
        <f t="shared" si="2"/>
        <v/>
      </c>
      <c r="X16" s="515" t="str">
        <f>IFERROR(INDEX(V!$O:$O,MATCH(W16,V!$J:$J,0)),"")</f>
        <v/>
      </c>
      <c r="Y16" s="516" t="str">
        <f t="shared" si="3"/>
        <v/>
      </c>
      <c r="Z16" s="515" t="str">
        <f>IFERROR(INDEX(V!$O:$O,MATCH(Y16,V!$J:$J,0)),"")</f>
        <v/>
      </c>
    </row>
    <row r="17" spans="1:28" s="186" customFormat="1" hidden="1" x14ac:dyDescent="0.2">
      <c r="A17" s="126">
        <v>4</v>
      </c>
      <c r="B17" s="582"/>
      <c r="C17" s="93"/>
      <c r="D17" s="548"/>
      <c r="E17" s="93"/>
      <c r="F17" s="127"/>
      <c r="G17" s="128"/>
      <c r="H17" s="576" t="str">
        <f>(IF(C17-F14&gt;0,1)+IF(D17-F15&gt;0,1)+IF(E17-F16&gt;0,1)+IF(G17-F18&gt;0,1))&amp;"-"&amp;(IF(C17-F14&lt;0,1)+IF(D17-F15&lt;0,1)+IF(E17-F16&lt;0,1)+IF(G17-F18&lt;0,1))</f>
        <v>0-0</v>
      </c>
      <c r="I17" s="93" t="str">
        <f t="shared" si="8"/>
        <v/>
      </c>
      <c r="J17" s="584">
        <f t="shared" si="10"/>
        <v>0</v>
      </c>
      <c r="K17" s="653">
        <f>IF(AND(J17=1,J14=1,C17&gt;F14),1)+IF(AND(J17=1,J15=1,D17&gt;F15),1)+IF(AND(J17=1,J16=1,E17&gt;F16),1)+IF(AND(J17=1,J18=1,G17&gt;F18),1)+IF(AND(J17=2,J14=2,C17&gt;F14),1)+IF(AND(J17=2,J15=2,D17&gt;F15),1)+IF(AND(J17=2,J16=2,E17&gt;F16),1)+IF(AND(J17=2,J18=2,G17&gt;F18),1)+IF(AND(J17=3,J14=3,C17&gt;F14),1)+IF(AND(J17=3,J15=3,D17&gt;F15),1)+IF(AND(J17=3,J16=3,E17&gt;F16),1)+IF(AND(J17=3,J18=3,G17&gt;F18),1)</f>
        <v>0</v>
      </c>
      <c r="L17" s="652">
        <f>IF(AND(J17=1,J14=1),C17-F14)+IF(AND(J17=1,J15=1),D17-F15)+IF(AND(J17=1,J16=1),E17-F16)+IF(AND(J17=1,J18=1),G17-F18)+IF(AND(J17=2,J14=2),C17-F14)+IF(AND(J17=2,J15=2),D17-F15)+IF(AND(J17=2,J16=2),E17-F16)+IF(AND(J17=2,J18=2),G17-F18)+IF(AND(J17=3,J14=3),C17-F14)+IF(AND(J17=3,J15=3),D17-F15)+IF(AND(J17=3,J16=3),E17-F16)+IF(AND(J17=3,J18=3),G17-F18)</f>
        <v>0</v>
      </c>
      <c r="M17" s="668">
        <f t="shared" si="11"/>
        <v>0</v>
      </c>
      <c r="Q17" s="139"/>
      <c r="R17" s="512">
        <f t="shared" si="12"/>
        <v>0</v>
      </c>
      <c r="S17" s="514" t="str">
        <f t="shared" si="0"/>
        <v/>
      </c>
      <c r="T17" s="515" t="str">
        <f>IFERROR(INDEX(V!$O:$O,MATCH(S17,V!$J:$J,0)),"")</f>
        <v/>
      </c>
      <c r="U17" s="514" t="str">
        <f t="shared" si="1"/>
        <v/>
      </c>
      <c r="V17" s="515" t="str">
        <f>IFERROR(INDEX(V!$O:$O,MATCH(U17,V!$J:$J,0)),"")</f>
        <v/>
      </c>
      <c r="W17" s="516" t="str">
        <f t="shared" si="2"/>
        <v/>
      </c>
      <c r="X17" s="515" t="str">
        <f>IFERROR(INDEX(V!$O:$O,MATCH(W17,V!$J:$J,0)),"")</f>
        <v/>
      </c>
      <c r="Y17" s="516" t="str">
        <f t="shared" si="3"/>
        <v/>
      </c>
      <c r="Z17" s="515" t="str">
        <f>IFERROR(INDEX(V!$O:$O,MATCH(Y17,V!$J:$J,0)),"")</f>
        <v/>
      </c>
    </row>
    <row r="18" spans="1:28" s="186" customFormat="1" hidden="1" x14ac:dyDescent="0.2">
      <c r="A18" s="126">
        <v>5</v>
      </c>
      <c r="B18" s="582"/>
      <c r="C18" s="93"/>
      <c r="D18" s="93"/>
      <c r="E18" s="93"/>
      <c r="F18" s="93"/>
      <c r="G18" s="127"/>
      <c r="H18" s="576" t="str">
        <f>(IF(C18-G14&gt;0,1)+IF(D18-G15&gt;0,1)+IF(E18-G16&gt;0,1)+IF(F18-G17&gt;0,1))&amp;"-"&amp;(IF(C18-G14&lt;0,1)+IF(D18-G15&lt;0,1)+IF(E18-G16&lt;0,1)+IF(F18-G17&lt;0,1))</f>
        <v>0-0</v>
      </c>
      <c r="I18" s="93" t="str">
        <f t="shared" si="8"/>
        <v/>
      </c>
      <c r="J18" s="584">
        <f t="shared" si="10"/>
        <v>0</v>
      </c>
      <c r="K18" s="653">
        <f>IF(AND(J18=1,J14=1,C18&gt;G14),1)+IF(AND(J18=1,J15=1,D18&gt;G15),1)+IF(AND(J18=1,J16=1,E18&gt;G16),1)+IF(AND(J18=1,J17=1,F18&gt;G17),1)+IF(AND(J18=2,J14=2,C18&gt;G14),1)+IF(AND(J18=2,J15=2,D18&gt;G15),1)+IF(AND(J18=2,J16=2,E18&gt;G16),1)+IF(AND(J18=2,J17=2,F18&gt;G17),1)+IF(AND(J18=3,J14=3,C18&gt;G14),1)+IF(AND(J18=3,J15=3,D18&gt;G15),1)+IF(AND(J18=3,J16=3,E18&gt;G16),1)+IF(AND(J18=3,J17=3,F18&gt;G17),1)</f>
        <v>0</v>
      </c>
      <c r="L18" s="652">
        <f>IF(AND(J18=1,J14=1),C18-G14)+IF(AND(J18=1,J15=1),D18-G15)+IF(AND(J18=1,J16=1),E18-G16)+IF(AND(J18=1,J17=1),F18-G17)+IF(AND(J18=2,J14=2),C18-G14)+IF(AND(J18=2,J15=2),D18-G15)+IF(AND(J18=2,J16=2),E18-G16)+IF(AND(J18=2,J17=2),F18-G17)+IF(AND(J18=3,J14=3),C18-G14)+IF(AND(J18=3,J15=3),D18-G15)+IF(AND(J18=3,J16=3),E18-G16)+IF(AND(J18=3,J17=3),F18-G17)</f>
        <v>0</v>
      </c>
      <c r="M18" s="668">
        <f t="shared" si="11"/>
        <v>0</v>
      </c>
      <c r="Q18" s="139"/>
      <c r="R18" s="512">
        <f t="shared" si="12"/>
        <v>0</v>
      </c>
      <c r="S18" s="514" t="str">
        <f t="shared" si="0"/>
        <v/>
      </c>
      <c r="T18" s="515" t="str">
        <f>IFERROR(INDEX(V!$O:$O,MATCH(S18,V!$J:$J,0)),"")</f>
        <v/>
      </c>
      <c r="U18" s="514" t="str">
        <f t="shared" si="1"/>
        <v/>
      </c>
      <c r="V18" s="515" t="str">
        <f>IFERROR(INDEX(V!$O:$O,MATCH(U18,V!$J:$J,0)),"")</f>
        <v/>
      </c>
      <c r="W18" s="516" t="str">
        <f t="shared" si="2"/>
        <v/>
      </c>
      <c r="X18" s="515" t="str">
        <f>IFERROR(INDEX(V!$O:$O,MATCH(W18,V!$J:$J,0)),"")</f>
        <v/>
      </c>
      <c r="Y18" s="516" t="str">
        <f t="shared" si="3"/>
        <v/>
      </c>
      <c r="Z18" s="515" t="str">
        <f>IFERROR(INDEX(V!$O:$O,MATCH(Y18,V!$J:$J,0)),"")</f>
        <v/>
      </c>
    </row>
    <row r="19" spans="1:28" s="188" customFormat="1" x14ac:dyDescent="0.2">
      <c r="A19" s="121"/>
      <c r="B19" s="677"/>
      <c r="C19" s="96"/>
      <c r="D19" s="312"/>
      <c r="E19" s="96"/>
      <c r="F19" s="97"/>
      <c r="H19" s="402"/>
      <c r="I19" s="580"/>
      <c r="J19" s="585"/>
      <c r="K19" s="657"/>
      <c r="L19" s="655"/>
      <c r="M19" s="585"/>
      <c r="N19" s="186"/>
      <c r="O19" s="186"/>
      <c r="P19" s="186"/>
      <c r="Q19" s="139"/>
      <c r="R19" s="186"/>
      <c r="S19" s="186"/>
      <c r="T19" s="186"/>
      <c r="U19" s="186"/>
      <c r="V19" s="186"/>
      <c r="W19" s="186"/>
      <c r="X19" s="186"/>
      <c r="Y19" s="186"/>
      <c r="Z19" s="186"/>
      <c r="AA19" s="88"/>
    </row>
    <row r="20" spans="1:28" s="186" customFormat="1" x14ac:dyDescent="0.2">
      <c r="A20" s="126" t="s">
        <v>166</v>
      </c>
      <c r="B20" s="438"/>
      <c r="C20" s="91">
        <v>1</v>
      </c>
      <c r="D20" s="91">
        <v>2</v>
      </c>
      <c r="E20" s="91">
        <v>3</v>
      </c>
      <c r="F20" s="91"/>
      <c r="G20" s="91"/>
      <c r="H20" s="438" t="s">
        <v>73</v>
      </c>
      <c r="I20" s="438" t="s">
        <v>46</v>
      </c>
      <c r="J20" s="586" t="s">
        <v>273</v>
      </c>
      <c r="K20" s="649" t="s">
        <v>273</v>
      </c>
      <c r="L20" s="656" t="s">
        <v>430</v>
      </c>
      <c r="M20" s="588" t="b">
        <f>OR(AND(COUNTA(B21:B25)=3,COUNTA(C21:G25)=6),AND(COUNTA(B21:B25)=4,COUNTA(C21:G25)=12),AND(COUNTA(B21:B25)=5,COUNTA(C21:G25)=20))</f>
        <v>1</v>
      </c>
      <c r="Q20" s="139"/>
      <c r="AA20" s="88"/>
    </row>
    <row r="21" spans="1:28" s="186" customFormat="1" x14ac:dyDescent="0.2">
      <c r="A21" s="126">
        <v>1</v>
      </c>
      <c r="B21" s="582" t="s">
        <v>171</v>
      </c>
      <c r="C21" s="127"/>
      <c r="D21" s="93">
        <v>9</v>
      </c>
      <c r="E21" s="93">
        <v>6</v>
      </c>
      <c r="F21" s="93"/>
      <c r="G21" s="93"/>
      <c r="H21" s="576" t="str">
        <f>(IF(D21-C22&gt;0,1)+IF(E21-C23&gt;0,1)+IF(F21-C24&gt;0,1)+IF(G21-C25&gt;0,1))&amp;"-"&amp;(IF(D21-C22&lt;0,1)+IF(E21-C23&lt;0,1)+IF(F21-C24&lt;0,1)+IF(G21-C25&lt;0,1))</f>
        <v>0-2</v>
      </c>
      <c r="I21" s="93" t="str">
        <f>IF(AND(B21&lt;&gt;"",M$20=TRUE),A$20&amp;RANK(M21,M$21:M$25,0),"")</f>
        <v>C3</v>
      </c>
      <c r="J21" s="584">
        <f>VALUE(LEFT(H21,1))</f>
        <v>0</v>
      </c>
      <c r="K21" s="651">
        <f>IF(AND(J21=1,J22=1,D21&gt;C22),1)+IF(AND(J21=1,J23=1,E21&gt;C23),1)+IF(AND(J21=1,J24=1,F21&gt;C24),1)+IF(AND(J21=1,J25=1,G21&gt;C25),1)+IF(AND(J21=2,J22=2,D21&gt;C22),1)+IF(AND(J21=2,J23=2,E21&gt;C23),1)+IF(AND(J21=2,J24=2,F21&gt;C24),1)+IF(AND(J21=2,J25=2,G21&gt;C25),1)+IF(AND(J21=3,J22=3,D21&gt;C22),1)+IF(AND(J21=3,J23=3,E21&gt;C23),1)+IF(AND(J21=3,J24=3,F21&gt;C24),1)+IF(AND(J21=3,J25=3,G21&gt;C25),1)</f>
        <v>0</v>
      </c>
      <c r="L21" s="652">
        <f>IF(AND(J21=1,J22=1),D21-C22)+IF(AND(J21=1,J23=1),E21-C23)+IF(AND(J21=1,J24=1),F21-C24)+IF(AND(J21=1,J25=1),G21-C25)+IF(AND(J21=2,J22=2),D21-C22)+IF(AND(J21=2,J23=2),E21-C23)+IF(AND(J21=2,J24=2),F21-C24)+IF(AND(J21=2,J25=2),G21-C25)+IF(AND(J21=3,J22=3),D21-C22)+IF(AND(J21=3,J23=3),E21-C23)+IF(AND(J21=3,J24=3),F21-C24)+IF(AND(J21=3,J25=3),G21-C25)</f>
        <v>0</v>
      </c>
      <c r="M21" s="668">
        <f>10000*J21+K21*100+L21</f>
        <v>0</v>
      </c>
      <c r="Q21" s="139"/>
      <c r="R21" s="512">
        <f t="shared" ref="R21" si="13">SUM(T21:Z21)</f>
        <v>133</v>
      </c>
      <c r="S21" s="514" t="str">
        <f t="shared" si="0"/>
        <v>Einar Juhkam</v>
      </c>
      <c r="T21" s="515">
        <f>IFERROR(INDEX(V!$O:$O,MATCH(S21,V!$J:$J,0)),"")</f>
        <v>53</v>
      </c>
      <c r="U21" s="514" t="str">
        <f t="shared" si="1"/>
        <v>Kenneth Muusikus</v>
      </c>
      <c r="V21" s="515">
        <f>IFERROR(INDEX(V!$O:$O,MATCH(U21,V!$J:$J,0)),"")</f>
        <v>80</v>
      </c>
      <c r="W21" s="516" t="str">
        <f t="shared" si="2"/>
        <v/>
      </c>
      <c r="X21" s="515" t="str">
        <f>IFERROR(INDEX(V!$O:$O,MATCH(W21,V!$J:$J,0)),"")</f>
        <v/>
      </c>
      <c r="Y21" s="516" t="str">
        <f t="shared" si="3"/>
        <v/>
      </c>
      <c r="Z21" s="515" t="str">
        <f>IFERROR(INDEX(V!$O:$O,MATCH(Y21,V!$J:$J,0)),"")</f>
        <v/>
      </c>
    </row>
    <row r="22" spans="1:28" s="186" customFormat="1" x14ac:dyDescent="0.2">
      <c r="A22" s="126">
        <v>2</v>
      </c>
      <c r="B22" s="582" t="s">
        <v>115</v>
      </c>
      <c r="C22" s="93">
        <v>13</v>
      </c>
      <c r="D22" s="127"/>
      <c r="E22" s="93">
        <v>9</v>
      </c>
      <c r="F22" s="93"/>
      <c r="G22" s="93"/>
      <c r="H22" s="576" t="str">
        <f>(IF(C22-D21&gt;0,1)+IF(E22-D23&gt;0,1)+IF(F22-D24&gt;0,1)+IF(G22-D25&gt;0,1))&amp;"-"&amp;(IF(C22-D21&lt;0,1)+IF(E22-D23&lt;0,1)+IF(F22-D24&lt;0,1)+IF(G22-D25&lt;0,1))</f>
        <v>1-1</v>
      </c>
      <c r="I22" s="93" t="str">
        <f>IF(AND(B22&lt;&gt;"",M$20=TRUE),A$20&amp;RANK(M22,M$21:M$25,0),"")</f>
        <v>C2</v>
      </c>
      <c r="J22" s="584">
        <f t="shared" ref="J22:J25" si="14">VALUE(LEFT(H22,1))</f>
        <v>1</v>
      </c>
      <c r="K22" s="653">
        <f>IF(AND(J22=1,J21=1,C22&gt;D21),1)+IF(AND(J22=1,J23=1,E22&gt;D23),1)+IF(AND(J22=1,J24=1,F22&gt;D24),1)+IF(AND(J22=1,J25=1,G22&gt;D25),1)+IF(AND(J22=2,J21=2,C22&gt;D21),1)+IF(AND(J22=2,J23=2,E22&gt;D23),1)+IF(AND(J22=2,J24=2,F22&gt;D24),1)+IF(AND(J22=2,J25=2,G22&gt;D25),1)+IF(AND(J22=3,J21=3,C22&gt;D21),1)+IF(AND(J22=3,J23=3,E22&gt;D23),1)+IF(AND(J22=3,J24=3,F22&gt;D24),1)+IF(AND(J22=3,J25=3,G22&gt;D25),1)</f>
        <v>0</v>
      </c>
      <c r="L22" s="652">
        <f>IF(AND(J22=1,J21=1),C22-D21)+IF(AND(J22=1,J23=1),E22-D23)+IF(AND(J22=1,J24=1),F22-D24)+IF(AND(J22=1,J25=1),G22-D25)+IF(AND(J22=2,J21=2),C22-D21)+IF(AND(J22=2,J23=2),E22-D23)+IF(AND(J22=2,J24=2),F22-D24)+IF(AND(J22=2,J25=2),G22-D25)+IF(AND(J22=3,J21=3),C22-D21)+IF(AND(J22=3,J23=3),E22-D23)+IF(AND(J22=3,J24=3),F22-D24)+IF(AND(J22=3,J25=3),G22-D25)</f>
        <v>0</v>
      </c>
      <c r="M22" s="668">
        <f t="shared" ref="M22:M25" si="15">10000*J22+K22*100+L22</f>
        <v>10000</v>
      </c>
      <c r="Q22" s="139"/>
      <c r="R22" s="512">
        <f t="shared" ref="R22:R25" si="16">SUM(T22:Z22)</f>
        <v>162</v>
      </c>
      <c r="S22" s="514" t="str">
        <f t="shared" si="0"/>
        <v>Andres Veski</v>
      </c>
      <c r="T22" s="515">
        <f>IFERROR(INDEX(V!$O:$O,MATCH(S22,V!$J:$J,0)),"")</f>
        <v>76</v>
      </c>
      <c r="U22" s="514" t="str">
        <f t="shared" si="1"/>
        <v>Svetlana Veski</v>
      </c>
      <c r="V22" s="515">
        <f>IFERROR(INDEX(V!$O:$O,MATCH(U22,V!$J:$J,0)),"")</f>
        <v>86</v>
      </c>
      <c r="W22" s="516" t="str">
        <f t="shared" si="2"/>
        <v/>
      </c>
      <c r="X22" s="515" t="str">
        <f>IFERROR(INDEX(V!$O:$O,MATCH(W22,V!$J:$J,0)),"")</f>
        <v/>
      </c>
      <c r="Y22" s="516" t="str">
        <f t="shared" si="3"/>
        <v/>
      </c>
      <c r="Z22" s="515" t="str">
        <f>IFERROR(INDEX(V!$O:$O,MATCH(Y22,V!$J:$J,0)),"")</f>
        <v/>
      </c>
    </row>
    <row r="23" spans="1:28" s="186" customFormat="1" x14ac:dyDescent="0.2">
      <c r="A23" s="126">
        <v>3</v>
      </c>
      <c r="B23" s="581" t="s">
        <v>508</v>
      </c>
      <c r="C23" s="93">
        <v>13</v>
      </c>
      <c r="D23" s="548">
        <v>13</v>
      </c>
      <c r="E23" s="127"/>
      <c r="F23" s="93"/>
      <c r="G23" s="93"/>
      <c r="H23" s="576" t="str">
        <f>(IF(C23-E21&gt;0,1)+IF(D23-E22&gt;0,1)+IF(F23-E24&gt;0,1)+IF(G23-E25&gt;0,1))&amp;"-"&amp;(IF(C23-E21&lt;0,1)+IF(D23-E22&lt;0,1)+IF(F23-E24&lt;0,1)+IF(G23-E25&lt;0,1))</f>
        <v>2-0</v>
      </c>
      <c r="I23" s="93" t="str">
        <f>IF(AND(B23&lt;&gt;"",M$20=TRUE),A$20&amp;RANK(M23,M$21:M$25,0),"")</f>
        <v>C1</v>
      </c>
      <c r="J23" s="584">
        <f t="shared" si="14"/>
        <v>2</v>
      </c>
      <c r="K23" s="653">
        <f>IF(AND(J23=1,J21=1,C23&gt;E21),1)+IF(AND(J23=1,J22=1,D23&gt;E22),1)+IF(AND(J23=1,J24=1,F23&gt;E24),1)+IF(AND(J23=1,J25=1,G23&gt;E25),1)+IF(AND(J23=2,J21=2,C23&gt;E21),1)+IF(AND(J23=2,J22=2,D23&gt;E22),1)+IF(AND(J23=2,J24=2,F23&gt;E24),1)+IF(AND(J23=2,J25=2,G23&gt;E25),1)+IF(AND(J23=3,J21=3,C23&gt;E21),1)+IF(AND(J23=3,J22=3,D23&gt;E22),1)+IF(AND(J23=3,J24=3,F23&gt;E24),1)+IF(AND(J23=3,J25=3,G23&gt;E25),1)</f>
        <v>0</v>
      </c>
      <c r="L23" s="652">
        <f>IF(AND(J23=1,J21=1),C23-E21)+IF(AND(J23=1,J22=1),D23-E22)+IF(AND(J23=1,J24=1),F23-E24)+IF(AND(J23=1,J25=1),G23-E25)+IF(AND(J23=2,J21=2),C23-E21)+IF(AND(J23=2,J22=2),D23-E22)+IF(AND(J23=2,J24=2),F23-E24)+IF(AND(J23=2,J25=2),G23-E25)+IF(AND(J23=3,J21=3),C23-E21)+IF(AND(J23=3,J22=3),D23-E22)+IF(AND(J23=3,J24=3),F23-E24)+IF(AND(J23=3,J25=3),G23-E25)</f>
        <v>0</v>
      </c>
      <c r="M23" s="668">
        <f t="shared" si="15"/>
        <v>20000</v>
      </c>
      <c r="Q23" s="139"/>
      <c r="R23" s="512">
        <f t="shared" si="16"/>
        <v>31</v>
      </c>
      <c r="S23" s="514" t="str">
        <f t="shared" si="0"/>
        <v>Aarne Välja</v>
      </c>
      <c r="T23" s="515">
        <f>IFERROR(INDEX(V!$O:$O,MATCH(S23,V!$J:$J,0)),"")</f>
        <v>15</v>
      </c>
      <c r="U23" s="514" t="str">
        <f t="shared" si="1"/>
        <v>Meelis Luud</v>
      </c>
      <c r="V23" s="515">
        <f>IFERROR(INDEX(V!$O:$O,MATCH(U23,V!$J:$J,0)),"")</f>
        <v>16</v>
      </c>
      <c r="W23" s="516" t="str">
        <f t="shared" si="2"/>
        <v/>
      </c>
      <c r="X23" s="515" t="str">
        <f>IFERROR(INDEX(V!$O:$O,MATCH(W23,V!$J:$J,0)),"")</f>
        <v/>
      </c>
      <c r="Y23" s="516" t="str">
        <f t="shared" si="3"/>
        <v/>
      </c>
      <c r="Z23" s="515" t="str">
        <f>IFERROR(INDEX(V!$O:$O,MATCH(Y23,V!$J:$J,0)),"")</f>
        <v/>
      </c>
    </row>
    <row r="24" spans="1:28" s="186" customFormat="1" hidden="1" x14ac:dyDescent="0.2">
      <c r="A24" s="126">
        <v>4</v>
      </c>
      <c r="B24" s="581"/>
      <c r="C24" s="93"/>
      <c r="D24" s="548"/>
      <c r="E24" s="93"/>
      <c r="F24" s="127"/>
      <c r="G24" s="128"/>
      <c r="H24" s="576" t="str">
        <f>(IF(C24-F21&gt;0,1)+IF(D24-F22&gt;0,1)+IF(E24-F23&gt;0,1)+IF(G24-F25&gt;0,1))&amp;"-"&amp;(IF(C24-F21&lt;0,1)+IF(D24-F22&lt;0,1)+IF(E24-F23&lt;0,1)+IF(G24-F25&lt;0,1))</f>
        <v>0-0</v>
      </c>
      <c r="I24" s="93" t="str">
        <f>IF(AND(B24&lt;&gt;"",M$20=TRUE),A$20&amp;RANK(M24,M$21:M$25,0),"")</f>
        <v/>
      </c>
      <c r="J24" s="584">
        <f t="shared" si="14"/>
        <v>0</v>
      </c>
      <c r="K24" s="653">
        <f>IF(AND(J24=1,J21=1,C24&gt;F21),1)+IF(AND(J24=1,J22=1,D24&gt;F22),1)+IF(AND(J24=1,J23=1,E24&gt;F23),1)+IF(AND(J24=1,J25=1,G24&gt;F25),1)+IF(AND(J24=2,J21=2,C24&gt;F21),1)+IF(AND(J24=2,J22=2,D24&gt;F22),1)+IF(AND(J24=2,J23=2,E24&gt;F23),1)+IF(AND(J24=2,J25=2,G24&gt;F25),1)+IF(AND(J24=3,J21=3,C24&gt;F21),1)+IF(AND(J24=3,J22=3,D24&gt;F22),1)+IF(AND(J24=3,J23=3,E24&gt;F23),1)+IF(AND(J24=3,J25=3,G24&gt;F25),1)</f>
        <v>0</v>
      </c>
      <c r="L24" s="652">
        <f>IF(AND(J24=1,J21=1),C24-F21)+IF(AND(J24=1,J22=1),D24-F22)+IF(AND(J24=1,J23=1),E24-F23)+IF(AND(J24=1,J25=1),G24-F25)+IF(AND(J24=2,J21=2),C24-F21)+IF(AND(J24=2,J22=2),D24-F22)+IF(AND(J24=2,J23=2),E24-F23)+IF(AND(J24=2,J25=2),G24-F25)+IF(AND(J24=3,J21=3),C24-F21)+IF(AND(J24=3,J22=3),D24-F22)+IF(AND(J24=3,J23=3),E24-F23)+IF(AND(J24=3,J25=3),G24-F25)</f>
        <v>0</v>
      </c>
      <c r="M24" s="668">
        <f t="shared" si="15"/>
        <v>0</v>
      </c>
      <c r="Q24" s="139"/>
      <c r="R24" s="512">
        <f t="shared" si="16"/>
        <v>0</v>
      </c>
      <c r="S24" s="514" t="str">
        <f t="shared" si="0"/>
        <v/>
      </c>
      <c r="T24" s="515" t="str">
        <f>IFERROR(INDEX(V!$O:$O,MATCH(S24,V!$J:$J,0)),"")</f>
        <v/>
      </c>
      <c r="U24" s="514" t="str">
        <f t="shared" si="1"/>
        <v/>
      </c>
      <c r="V24" s="515" t="str">
        <f>IFERROR(INDEX(V!$O:$O,MATCH(U24,V!$J:$J,0)),"")</f>
        <v/>
      </c>
      <c r="W24" s="516" t="str">
        <f t="shared" si="2"/>
        <v/>
      </c>
      <c r="X24" s="515" t="str">
        <f>IFERROR(INDEX(V!$O:$O,MATCH(W24,V!$J:$J,0)),"")</f>
        <v/>
      </c>
      <c r="Y24" s="516" t="str">
        <f t="shared" si="3"/>
        <v/>
      </c>
      <c r="Z24" s="515" t="str">
        <f>IFERROR(INDEX(V!$O:$O,MATCH(Y24,V!$J:$J,0)),"")</f>
        <v/>
      </c>
    </row>
    <row r="25" spans="1:28" s="186" customFormat="1" hidden="1" x14ac:dyDescent="0.2">
      <c r="A25" s="126">
        <v>5</v>
      </c>
      <c r="B25" s="582"/>
      <c r="C25" s="93"/>
      <c r="D25" s="93"/>
      <c r="E25" s="93"/>
      <c r="F25" s="93"/>
      <c r="G25" s="93"/>
      <c r="H25" s="576" t="str">
        <f>(IF(C25-G21&gt;0,1)+IF(D25-G22&gt;0,1)+IF(E25-G23&gt;0,1)+IF(F25-G24&gt;0,1))&amp;"-"&amp;(IF(C25-G21&lt;0,1)+IF(D25-G22&lt;0,1)+IF(E25-G23&lt;0,1)+IF(F25-G24&lt;0,1))</f>
        <v>0-0</v>
      </c>
      <c r="I25" s="93" t="str">
        <f>IF(AND(B25&lt;&gt;"",M$20=TRUE),A$20&amp;RANK(M25,M$21:M$25,0),"")</f>
        <v/>
      </c>
      <c r="J25" s="584">
        <f t="shared" si="14"/>
        <v>0</v>
      </c>
      <c r="K25" s="653">
        <f>IF(AND(J25=1,J21=1,C25&gt;G21),1)+IF(AND(J25=1,J22=1,D25&gt;G22),1)+IF(AND(J25=1,J23=1,E25&gt;G23),1)+IF(AND(J25=1,J24=1,F25&gt;G24),1)+IF(AND(J25=2,J21=2,C25&gt;G21),1)+IF(AND(J25=2,J22=2,D25&gt;G22),1)+IF(AND(J25=2,J23=2,E25&gt;G23),1)+IF(AND(J25=2,J24=2,F25&gt;G24),1)+IF(AND(J25=3,J21=3,C25&gt;G21),1)+IF(AND(J25=3,J22=3,D25&gt;G22),1)+IF(AND(J25=3,J23=3,E25&gt;G23),1)+IF(AND(J25=3,J24=3,F25&gt;G24),1)</f>
        <v>0</v>
      </c>
      <c r="L25" s="652">
        <f>IF(AND(J25=1,J21=1),C25-G21)+IF(AND(J25=1,J22=1),D25-G22)+IF(AND(J25=1,J23=1),E25-G23)+IF(AND(J25=1,J24=1),F25-G24)+IF(AND(J25=2,J21=2),C25-G21)+IF(AND(J25=2,J22=2),D25-G22)+IF(AND(J25=2,J23=2),E25-G23)+IF(AND(J25=2,J24=2),F25-G24)+IF(AND(J25=3,J21=3),C25-G21)+IF(AND(J25=3,J22=3),D25-G22)+IF(AND(J25=3,J23=3),E25-G23)+IF(AND(J25=3,J24=3),F25-G24)</f>
        <v>0</v>
      </c>
      <c r="M25" s="668">
        <f t="shared" si="15"/>
        <v>0</v>
      </c>
      <c r="Q25" s="139"/>
      <c r="R25" s="512">
        <f t="shared" si="16"/>
        <v>0</v>
      </c>
      <c r="S25" s="514" t="str">
        <f t="shared" si="0"/>
        <v/>
      </c>
      <c r="T25" s="515" t="str">
        <f>IFERROR(INDEX(V!$O:$O,MATCH(S25,V!$J:$J,0)),"")</f>
        <v/>
      </c>
      <c r="U25" s="514" t="str">
        <f t="shared" si="1"/>
        <v/>
      </c>
      <c r="V25" s="515" t="str">
        <f>IFERROR(INDEX(V!$O:$O,MATCH(U25,V!$J:$J,0)),"")</f>
        <v/>
      </c>
      <c r="W25" s="516" t="str">
        <f t="shared" si="2"/>
        <v/>
      </c>
      <c r="X25" s="515" t="str">
        <f>IFERROR(INDEX(V!$O:$O,MATCH(W25,V!$J:$J,0)),"")</f>
        <v/>
      </c>
      <c r="Y25" s="516" t="str">
        <f t="shared" si="3"/>
        <v/>
      </c>
      <c r="Z25" s="515" t="str">
        <f>IFERROR(INDEX(V!$O:$O,MATCH(Y25,V!$J:$J,0)),"")</f>
        <v/>
      </c>
    </row>
    <row r="26" spans="1:28" s="186" customFormat="1" x14ac:dyDescent="0.2">
      <c r="A26" s="87"/>
      <c r="B26" s="407"/>
      <c r="C26" s="309"/>
      <c r="D26" s="309"/>
      <c r="E26" s="309"/>
      <c r="H26" s="589"/>
      <c r="I26" s="590"/>
      <c r="J26" s="591"/>
      <c r="K26" s="654"/>
      <c r="L26" s="658"/>
      <c r="M26" s="591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88"/>
    </row>
    <row r="27" spans="1:28" s="188" customFormat="1" x14ac:dyDescent="0.2">
      <c r="A27" s="126" t="s">
        <v>323</v>
      </c>
      <c r="B27" s="438"/>
      <c r="C27" s="91">
        <v>1</v>
      </c>
      <c r="D27" s="91">
        <v>2</v>
      </c>
      <c r="E27" s="91">
        <v>3</v>
      </c>
      <c r="F27" s="91"/>
      <c r="G27" s="91"/>
      <c r="H27" s="438" t="s">
        <v>73</v>
      </c>
      <c r="I27" s="438" t="s">
        <v>46</v>
      </c>
      <c r="J27" s="586" t="s">
        <v>273</v>
      </c>
      <c r="K27" s="649" t="s">
        <v>273</v>
      </c>
      <c r="L27" s="656" t="s">
        <v>430</v>
      </c>
      <c r="M27" s="588" t="b">
        <f>OR(AND(COUNTA(B28:B32)=3,COUNTA(C28:G32)=6),AND(COUNTA(B28:B32)=4,COUNTA(C28:G32)=12),AND(COUNTA(B28:B32)=5,COUNTA(C28:G32)=20))</f>
        <v>1</v>
      </c>
      <c r="N27" s="186"/>
      <c r="O27" s="186"/>
      <c r="P27" s="186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</row>
    <row r="28" spans="1:28" s="188" customFormat="1" x14ac:dyDescent="0.2">
      <c r="A28" s="126">
        <v>1</v>
      </c>
      <c r="B28" s="581" t="s">
        <v>175</v>
      </c>
      <c r="C28" s="127"/>
      <c r="D28" s="93">
        <v>13</v>
      </c>
      <c r="E28" s="93">
        <v>13</v>
      </c>
      <c r="F28" s="93"/>
      <c r="G28" s="128"/>
      <c r="H28" s="576" t="str">
        <f>(IF(D28-C29&gt;0,1)+IF(E28-C30&gt;0,1)+IF(F28-C31&gt;0,1)+IF(G28-C32&gt;0,1))&amp;"-"&amp;(IF(D28-C29&lt;0,1)+IF(E28-C30&lt;0,1)+IF(F28-C31&lt;0,1)+IF(G28-C32&lt;0,1))</f>
        <v>2-0</v>
      </c>
      <c r="I28" s="93" t="str">
        <f t="shared" ref="I28:I32" si="17">IF(AND(B28&lt;&gt;"",M$27=TRUE),A$27&amp;RANK(M28,M$28:M$32,0),"")</f>
        <v>D1</v>
      </c>
      <c r="J28" s="584">
        <f>VALUE(LEFT(H28,1))</f>
        <v>2</v>
      </c>
      <c r="K28" s="651">
        <f>IF(AND(J28=1,J29=1,D28&gt;C29),1)+IF(AND(J28=1,J30=1,E28&gt;C30),1)+IF(AND(J28=1,J31=1,F28&gt;C31),1)+IF(AND(J28=1,J32=1,G28&gt;C32),1)+IF(AND(J28=2,J29=2,D28&gt;C29),1)+IF(AND(J28=2,J30=2,E28&gt;C30),1)+IF(AND(J28=2,J31=2,F28&gt;C31),1)+IF(AND(J28=2,J32=2,G28&gt;C32),1)+IF(AND(J28=3,J29=3,D28&gt;C29),1)+IF(AND(J28=3,J30=3,E28&gt;C30),1)+IF(AND(J28=3,J31=3,F28&gt;C31),1)+IF(AND(J28=3,J32=3,G28&gt;C32),1)</f>
        <v>0</v>
      </c>
      <c r="L28" s="652">
        <f>IF(AND(J28=1,J29=1),D28-C29)+IF(AND(J28=1,J30=1),E28-C30)+IF(AND(J28=1,J31=1),F28-C31)+IF(AND(J28=1,J32=1),G28-C32)+IF(AND(J28=2,J29=2),D28-C29)+IF(AND(J28=2,J30=2),E28-C30)+IF(AND(J28=2,J31=2),F28-C31)+IF(AND(J28=2,J32=2),G28-C32)+IF(AND(J28=3,J29=3),D28-C29)+IF(AND(J28=3,J30=3),E28-C30)+IF(AND(J28=3,J31=3),F28-C31)+IF(AND(J28=3,J32=3),G28-C32)</f>
        <v>0</v>
      </c>
      <c r="M28" s="668">
        <f>10000*J28+K28*100+L28</f>
        <v>20000</v>
      </c>
      <c r="N28" s="186"/>
      <c r="O28" s="186"/>
      <c r="P28" s="186"/>
      <c r="Q28" s="139"/>
      <c r="R28" s="512">
        <f t="shared" ref="R28" si="18">SUM(T28:Z28)</f>
        <v>134</v>
      </c>
      <c r="S28" s="514" t="str">
        <f t="shared" si="0"/>
        <v>Klavdia Piik</v>
      </c>
      <c r="T28" s="515">
        <f>IFERROR(INDEX(V!$O:$O,MATCH(S28,V!$J:$J,0)),"")</f>
        <v>72</v>
      </c>
      <c r="U28" s="514" t="str">
        <f t="shared" si="1"/>
        <v>Ülo Piik</v>
      </c>
      <c r="V28" s="515">
        <f>IFERROR(INDEX(V!$O:$O,MATCH(U28,V!$J:$J,0)),"")</f>
        <v>62</v>
      </c>
      <c r="W28" s="516" t="str">
        <f t="shared" si="2"/>
        <v/>
      </c>
      <c r="X28" s="515" t="str">
        <f>IFERROR(INDEX(V!$O:$O,MATCH(W28,V!$J:$J,0)),"")</f>
        <v/>
      </c>
      <c r="Y28" s="516" t="str">
        <f>IFERROR(MID(#REF!,FIND(", ",#REF!,FIND(", ",#REF!,FIND(", ",#REF!))+1)+2,30000),"")</f>
        <v/>
      </c>
      <c r="Z28" s="515" t="str">
        <f>IFERROR(INDEX(V!$O:$O,MATCH(Y28,V!$J:$J,0)),"")</f>
        <v/>
      </c>
      <c r="AA28" s="139"/>
      <c r="AB28" s="139"/>
    </row>
    <row r="29" spans="1:28" s="188" customFormat="1" x14ac:dyDescent="0.2">
      <c r="A29" s="126">
        <v>2</v>
      </c>
      <c r="B29" s="581" t="s">
        <v>509</v>
      </c>
      <c r="C29" s="131">
        <v>8</v>
      </c>
      <c r="D29" s="127"/>
      <c r="E29" s="93">
        <v>13</v>
      </c>
      <c r="F29" s="93"/>
      <c r="G29" s="128"/>
      <c r="H29" s="576" t="str">
        <f>(IF(C29-D28&gt;0,1)+IF(E29-D30&gt;0,1)+IF(F29-D31&gt;0,1)+IF(G29-D32&gt;0,1))&amp;"-"&amp;(IF(C29-D28&lt;0,1)+IF(E29-D30&lt;0,1)+IF(F29-D31&lt;0,1)+IF(G29-D32&lt;0,1))</f>
        <v>1-1</v>
      </c>
      <c r="I29" s="93" t="str">
        <f t="shared" si="17"/>
        <v>D2</v>
      </c>
      <c r="J29" s="584">
        <f t="shared" ref="J29:J32" si="19">VALUE(LEFT(H29,1))</f>
        <v>1</v>
      </c>
      <c r="K29" s="653">
        <f>IF(AND(J29=1,J28=1,C29&gt;D28),1)+IF(AND(J29=1,J30=1,E29&gt;D30),1)+IF(AND(J29=1,J31=1,F29&gt;D31),1)+IF(AND(J29=1,J32=1,G29&gt;D32),1)+IF(AND(J29=2,J28=2,C29&gt;D28),1)+IF(AND(J29=2,J30=2,E29&gt;D30),1)+IF(AND(J29=2,J31=2,F29&gt;D31),1)+IF(AND(J29=2,J32=2,G29&gt;D32),1)+IF(AND(J29=3,J28=3,C29&gt;D28),1)+IF(AND(J29=3,J30=3,E29&gt;D30),1)+IF(AND(J29=3,J31=3,F29&gt;D31),1)+IF(AND(J29=3,J32=3,G29&gt;D32),1)</f>
        <v>0</v>
      </c>
      <c r="L29" s="652">
        <f>IF(AND(J29=1,J28=1),C29-D28)+IF(AND(J29=1,J30=1),E29-D30)+IF(AND(J29=1,J31=1),F29-D31)+IF(AND(J29=1,J32=1),G29-D32)+IF(AND(J29=2,J28=2),C29-D28)+IF(AND(J29=2,J30=2),E29-D30)+IF(AND(J29=2,J31=2),F29-D31)+IF(AND(J29=2,J32=2),G29-D32)+IF(AND(J29=3,J28=3),C29-D28)+IF(AND(J29=3,J30=3),E29-D30)+IF(AND(J29=3,J31=3),F29-D31)+IF(AND(J29=3,J32=3),G29-D32)</f>
        <v>0</v>
      </c>
      <c r="M29" s="668">
        <f t="shared" ref="M29:M32" si="20">10000*J29+K29*100+L29</f>
        <v>10000</v>
      </c>
      <c r="N29" s="186"/>
      <c r="O29" s="186"/>
      <c r="P29" s="186"/>
      <c r="Q29" s="139"/>
      <c r="R29" s="512">
        <f t="shared" ref="R29:R32" si="21">SUM(T29:Z29)</f>
        <v>114</v>
      </c>
      <c r="S29" s="514" t="str">
        <f t="shared" si="0"/>
        <v>Enn Tokman</v>
      </c>
      <c r="T29" s="515">
        <f>IFERROR(INDEX(V!$O:$O,MATCH(S29,V!$J:$J,0)),"")</f>
        <v>41</v>
      </c>
      <c r="U29" s="514" t="str">
        <f t="shared" si="1"/>
        <v>Tõnu Piik</v>
      </c>
      <c r="V29" s="515">
        <f>IFERROR(INDEX(V!$O:$O,MATCH(U29,V!$J:$J,0)),"")</f>
        <v>73</v>
      </c>
      <c r="W29" s="516" t="str">
        <f t="shared" si="2"/>
        <v/>
      </c>
      <c r="X29" s="515" t="str">
        <f>IFERROR(INDEX(V!$O:$O,MATCH(W29,V!$J:$J,0)),"")</f>
        <v/>
      </c>
      <c r="Y29" s="516" t="str">
        <f>IFERROR(MID(#REF!,FIND(", ",#REF!,FIND(", ",#REF!,FIND(", ",#REF!))+1)+2,30000),"")</f>
        <v/>
      </c>
      <c r="Z29" s="515" t="str">
        <f>IFERROR(INDEX(V!$O:$O,MATCH(Y29,V!$J:$J,0)),"")</f>
        <v/>
      </c>
      <c r="AA29" s="139"/>
      <c r="AB29" s="139"/>
    </row>
    <row r="30" spans="1:28" s="188" customFormat="1" x14ac:dyDescent="0.2">
      <c r="A30" s="126">
        <v>3</v>
      </c>
      <c r="B30" s="189" t="s">
        <v>177</v>
      </c>
      <c r="C30" s="93">
        <v>7</v>
      </c>
      <c r="D30" s="548">
        <v>10</v>
      </c>
      <c r="E30" s="127"/>
      <c r="F30" s="93"/>
      <c r="G30" s="128"/>
      <c r="H30" s="576" t="str">
        <f>(IF(C30-E28&gt;0,1)+IF(D30-E29&gt;0,1)+IF(F30-E31&gt;0,1)+IF(G30-E32&gt;0,1))&amp;"-"&amp;(IF(C30-E28&lt;0,1)+IF(D30-E29&lt;0,1)+IF(F30-E31&lt;0,1)+IF(G30-E32&lt;0,1))</f>
        <v>0-2</v>
      </c>
      <c r="I30" s="93" t="str">
        <f t="shared" si="17"/>
        <v>D3</v>
      </c>
      <c r="J30" s="584">
        <f t="shared" si="19"/>
        <v>0</v>
      </c>
      <c r="K30" s="653">
        <f>IF(AND(J30=1,J28=1,C30&gt;E28),1)+IF(AND(J30=1,J29=1,D30&gt;E29),1)+IF(AND(J30=1,J31=1,F30&gt;E31),1)+IF(AND(J30=1,J32=1,G30&gt;E32),1)+IF(AND(J30=2,J28=2,C30&gt;E28),1)+IF(AND(J30=2,J29=2,D30&gt;E29),1)+IF(AND(J30=2,J31=2,F30&gt;E31),1)+IF(AND(J30=2,J32=2,G30&gt;E32),1)+IF(AND(J30=3,J28=3,C30&gt;E28),1)+IF(AND(J30=3,J29=3,D30&gt;E29),1)+IF(AND(J30=3,J31=3,F30&gt;E31),1)+IF(AND(J30=3,J32=3,G30&gt;E32),1)</f>
        <v>0</v>
      </c>
      <c r="L30" s="652">
        <f>IF(AND(J30=1,J28=1),C30-E28)+IF(AND(J30=1,J29=1),D30-E29)+IF(AND(J30=1,J31=1),F30-E31)+IF(AND(J30=1,J32=1),G30-E32)+IF(AND(J30=2,J28=2),C30-E28)+IF(AND(J30=2,J29=2),D30-E29)+IF(AND(J30=2,J31=2),F30-E31)+IF(AND(J30=2,J32=2),G30-E32)+IF(AND(J30=3,J28=3),C30-E28)+IF(AND(J30=3,J29=3),D30-E29)+IF(AND(J30=3,J31=3),F30-E31)+IF(AND(J30=3,J32=3),G30-E32)</f>
        <v>0</v>
      </c>
      <c r="M30" s="668">
        <f t="shared" si="20"/>
        <v>0</v>
      </c>
      <c r="N30" s="186"/>
      <c r="P30" s="186"/>
      <c r="Q30" s="139"/>
      <c r="R30" s="512">
        <f t="shared" si="21"/>
        <v>41</v>
      </c>
      <c r="S30" s="514" t="str">
        <f t="shared" si="0"/>
        <v>Tõnu Kapper</v>
      </c>
      <c r="T30" s="515">
        <f>IFERROR(INDEX(V!$O:$O,MATCH(S30,V!$J:$J,0)),"")</f>
        <v>17</v>
      </c>
      <c r="U30" s="514" t="str">
        <f t="shared" si="1"/>
        <v>Vladimir Ogneštšikov</v>
      </c>
      <c r="V30" s="515">
        <f>IFERROR(INDEX(V!$O:$O,MATCH(U30,V!$J:$J,0)),"")</f>
        <v>24</v>
      </c>
      <c r="W30" s="516" t="str">
        <f t="shared" si="2"/>
        <v/>
      </c>
      <c r="X30" s="515" t="str">
        <f>IFERROR(INDEX(V!$O:$O,MATCH(W30,V!$J:$J,0)),"")</f>
        <v/>
      </c>
      <c r="Y30" s="516" t="str">
        <f>IFERROR(MID(#REF!,FIND(", ",#REF!,FIND(", ",#REF!,FIND(", ",#REF!))+1)+2,30000),"")</f>
        <v/>
      </c>
      <c r="Z30" s="515" t="str">
        <f>IFERROR(INDEX(V!$O:$O,MATCH(Y30,V!$J:$J,0)),"")</f>
        <v/>
      </c>
      <c r="AA30" s="139"/>
      <c r="AB30" s="139"/>
    </row>
    <row r="31" spans="1:28" s="188" customFormat="1" hidden="1" x14ac:dyDescent="0.2">
      <c r="A31" s="126">
        <v>4</v>
      </c>
      <c r="B31" s="164"/>
      <c r="C31" s="93"/>
      <c r="D31" s="548"/>
      <c r="E31" s="93"/>
      <c r="F31" s="127"/>
      <c r="G31" s="128"/>
      <c r="H31" s="576" t="str">
        <f>(IF(C31-F28&gt;0,1)+IF(D31-F29&gt;0,1)+IF(E31-F30&gt;0,1)+IF(G31-F32&gt;0,1))&amp;"-"&amp;(IF(C31-F28&lt;0,1)+IF(D31-F29&lt;0,1)+IF(E31-F30&lt;0,1)+IF(G31-F32&lt;0,1))</f>
        <v>0-0</v>
      </c>
      <c r="I31" s="93" t="str">
        <f t="shared" si="17"/>
        <v/>
      </c>
      <c r="J31" s="584">
        <f t="shared" si="19"/>
        <v>0</v>
      </c>
      <c r="K31" s="653">
        <f>IF(AND(J31=1,J28=1,C31&gt;F28),1)+IF(AND(J31=1,J29=1,D31&gt;F29),1)+IF(AND(J31=1,J30=1,E31&gt;F30),1)+IF(AND(J31=1,J32=1,G31&gt;F32),1)+IF(AND(J31=2,J28=2,C31&gt;F28),1)+IF(AND(J31=2,J29=2,D31&gt;F29),1)+IF(AND(J31=2,J30=2,E31&gt;F30),1)+IF(AND(J31=2,J32=2,G31&gt;F32),1)+IF(AND(J31=3,J28=3,C31&gt;F28),1)+IF(AND(J31=3,J29=3,D31&gt;F29),1)+IF(AND(J31=3,J30=3,E31&gt;F30),1)+IF(AND(J31=3,J32=3,G31&gt;F32),1)</f>
        <v>0</v>
      </c>
      <c r="L31" s="652">
        <f>IF(AND(J31=1,J28=1),C31-F28)+IF(AND(J31=1,J29=1),D31-F29)+IF(AND(J31=1,J30=1),E31-F30)+IF(AND(J31=1,J32=1),G31-F32)+IF(AND(J31=2,J28=2),C31-F28)+IF(AND(J31=2,J29=2),D31-F29)+IF(AND(J31=2,J30=2),E31-F30)+IF(AND(J31=2,J32=2),G31-F32)+IF(AND(J31=3,J28=3),C31-F28)+IF(AND(J31=3,J29=3),D31-F29)+IF(AND(J31=3,J30=3),E31-F30)+IF(AND(J31=3,J32=3),G31-F32)</f>
        <v>0</v>
      </c>
      <c r="M31" s="668">
        <f t="shared" si="20"/>
        <v>0</v>
      </c>
      <c r="N31" s="186"/>
      <c r="P31" s="186"/>
      <c r="Q31" s="139"/>
      <c r="R31" s="512">
        <f t="shared" si="21"/>
        <v>0</v>
      </c>
      <c r="S31" s="514" t="str">
        <f t="shared" si="0"/>
        <v/>
      </c>
      <c r="T31" s="515" t="str">
        <f>IFERROR(INDEX(V!$O:$O,MATCH(S31,V!$J:$J,0)),"")</f>
        <v/>
      </c>
      <c r="U31" s="514" t="str">
        <f t="shared" si="1"/>
        <v/>
      </c>
      <c r="V31" s="515" t="str">
        <f>IFERROR(INDEX(V!$O:$O,MATCH(U31,V!$J:$J,0)),"")</f>
        <v/>
      </c>
      <c r="W31" s="516" t="str">
        <f t="shared" si="2"/>
        <v/>
      </c>
      <c r="X31" s="515" t="str">
        <f>IFERROR(INDEX(V!$O:$O,MATCH(W31,V!$J:$J,0)),"")</f>
        <v/>
      </c>
      <c r="Y31" s="516" t="str">
        <f>IFERROR(MID(#REF!,FIND(", ",#REF!,FIND(", ",#REF!,FIND(", ",#REF!))+1)+2,30000),"")</f>
        <v/>
      </c>
      <c r="Z31" s="515" t="str">
        <f>IFERROR(INDEX(V!$O:$O,MATCH(Y31,V!$J:$J,0)),"")</f>
        <v/>
      </c>
      <c r="AA31" s="139"/>
      <c r="AB31" s="139"/>
    </row>
    <row r="32" spans="1:28" s="188" customFormat="1" hidden="1" x14ac:dyDescent="0.2">
      <c r="A32" s="126">
        <v>5</v>
      </c>
      <c r="B32" s="164"/>
      <c r="C32" s="93"/>
      <c r="D32" s="93"/>
      <c r="E32" s="93"/>
      <c r="F32" s="93"/>
      <c r="G32" s="127"/>
      <c r="H32" s="576" t="str">
        <f>(IF(C32-G28&gt;0,1)+IF(D32-G29&gt;0,1)+IF(E32-G30&gt;0,1)+IF(F32-G31&gt;0,1))&amp;"-"&amp;(IF(C32-G28&lt;0,1)+IF(D32-G29&lt;0,1)+IF(E32-G30&lt;0,1)+IF(F32-G31&lt;0,1))</f>
        <v>0-0</v>
      </c>
      <c r="I32" s="93" t="str">
        <f t="shared" si="17"/>
        <v/>
      </c>
      <c r="J32" s="584">
        <f t="shared" si="19"/>
        <v>0</v>
      </c>
      <c r="K32" s="653">
        <f>IF(AND(J32=1,J28=1,C32&gt;G28),1)+IF(AND(J32=1,J29=1,D32&gt;G29),1)+IF(AND(J32=1,J30=1,E32&gt;G30),1)+IF(AND(J32=1,J31=1,F32&gt;G31),1)+IF(AND(J32=2,J28=2,C32&gt;G28),1)+IF(AND(J32=2,J29=2,D32&gt;G29),1)+IF(AND(J32=2,J30=2,E32&gt;G30),1)+IF(AND(J32=2,J31=2,F32&gt;G31),1)+IF(AND(J32=3,J28=3,C32&gt;G28),1)+IF(AND(J32=3,J29=3,D32&gt;G29),1)+IF(AND(J32=3,J30=3,E32&gt;G30),1)+IF(AND(J32=3,J31=3,F32&gt;G31),1)</f>
        <v>0</v>
      </c>
      <c r="L32" s="652">
        <f>IF(AND(J32=1,J28=1),C32-G28)+IF(AND(J32=1,J29=1),D32-G29)+IF(AND(J32=1,J30=1),E32-G30)+IF(AND(J32=1,J31=1),F32-G31)+IF(AND(J32=2,J28=2),C32-G28)+IF(AND(J32=2,J29=2),D32-G29)+IF(AND(J32=2,J30=2),E32-G30)+IF(AND(J32=2,J31=2),F32-G31)+IF(AND(J32=3,J28=3),C32-G28)+IF(AND(J32=3,J29=3),D32-G29)+IF(AND(J32=3,J30=3),E32-G30)+IF(AND(J32=3,J31=3),F32-G31)</f>
        <v>0</v>
      </c>
      <c r="M32" s="668">
        <f t="shared" si="20"/>
        <v>0</v>
      </c>
      <c r="N32" s="186"/>
      <c r="P32" s="186"/>
      <c r="Q32" s="139"/>
      <c r="R32" s="512">
        <f t="shared" si="21"/>
        <v>0</v>
      </c>
      <c r="S32" s="514" t="str">
        <f t="shared" si="0"/>
        <v/>
      </c>
      <c r="T32" s="515" t="str">
        <f>IFERROR(INDEX(V!$O:$O,MATCH(S32,V!$J:$J,0)),"")</f>
        <v/>
      </c>
      <c r="U32" s="514" t="str">
        <f t="shared" si="1"/>
        <v/>
      </c>
      <c r="V32" s="515" t="str">
        <f>IFERROR(INDEX(V!$O:$O,MATCH(U32,V!$J:$J,0)),"")</f>
        <v/>
      </c>
      <c r="W32" s="516" t="str">
        <f t="shared" si="2"/>
        <v/>
      </c>
      <c r="X32" s="515" t="str">
        <f>IFERROR(INDEX(V!$O:$O,MATCH(W32,V!$J:$J,0)),"")</f>
        <v/>
      </c>
      <c r="Y32" s="516" t="str">
        <f>IFERROR(MID(#REF!,FIND(", ",#REF!,FIND(", ",#REF!,FIND(", ",#REF!))+1)+2,30000),"")</f>
        <v/>
      </c>
      <c r="Z32" s="515" t="str">
        <f>IFERROR(INDEX(V!$O:$O,MATCH(Y32,V!$J:$J,0)),"")</f>
        <v/>
      </c>
      <c r="AA32" s="139"/>
      <c r="AB32" s="139"/>
    </row>
    <row r="33" spans="1:28" s="188" customFormat="1" x14ac:dyDescent="0.2">
      <c r="A33" s="121"/>
      <c r="F33" s="94"/>
      <c r="H33" s="592"/>
      <c r="I33" s="593"/>
      <c r="J33" s="588"/>
      <c r="K33" s="590"/>
      <c r="L33" s="660"/>
      <c r="M33" s="588"/>
      <c r="N33" s="186"/>
      <c r="O33" s="186"/>
      <c r="P33" s="186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</row>
    <row r="34" spans="1:28" s="188" customFormat="1" x14ac:dyDescent="0.2">
      <c r="B34" s="213" t="s">
        <v>98</v>
      </c>
      <c r="C34" s="98" t="s">
        <v>102</v>
      </c>
      <c r="D34" s="98"/>
      <c r="O34" s="186"/>
      <c r="P34" s="186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</row>
    <row r="35" spans="1:28" s="188" customFormat="1" x14ac:dyDescent="0.2">
      <c r="B35" s="213" t="s">
        <v>101</v>
      </c>
      <c r="C35" s="98" t="s">
        <v>100</v>
      </c>
      <c r="O35" s="186"/>
      <c r="P35" s="186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</row>
    <row r="36" spans="1:28" s="188" customFormat="1" x14ac:dyDescent="0.2">
      <c r="B36" s="213" t="s">
        <v>104</v>
      </c>
      <c r="C36" s="98" t="s">
        <v>92</v>
      </c>
      <c r="O36" s="186"/>
      <c r="P36" s="186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</row>
    <row r="37" spans="1:28" s="188" customFormat="1" x14ac:dyDescent="0.2">
      <c r="O37" s="186"/>
      <c r="P37" s="186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</row>
    <row r="38" spans="1:28" s="188" customFormat="1" hidden="1" x14ac:dyDescent="0.2">
      <c r="B38" s="213" t="s">
        <v>98</v>
      </c>
      <c r="C38" s="98" t="s">
        <v>99</v>
      </c>
      <c r="D38" s="98" t="s">
        <v>100</v>
      </c>
      <c r="O38" s="186"/>
      <c r="P38" s="186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</row>
    <row r="39" spans="1:28" s="188" customFormat="1" hidden="1" x14ac:dyDescent="0.2">
      <c r="B39" s="213" t="s">
        <v>101</v>
      </c>
      <c r="C39" s="98" t="s">
        <v>102</v>
      </c>
      <c r="D39" s="98" t="s">
        <v>103</v>
      </c>
      <c r="O39" s="186"/>
      <c r="P39" s="186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</row>
    <row r="40" spans="1:28" s="188" customFormat="1" hidden="1" x14ac:dyDescent="0.2">
      <c r="A40" s="121"/>
      <c r="B40" s="213" t="s">
        <v>104</v>
      </c>
      <c r="C40" s="98" t="s">
        <v>92</v>
      </c>
      <c r="D40" s="98" t="s">
        <v>105</v>
      </c>
      <c r="E40" s="97"/>
      <c r="F40" s="97"/>
      <c r="G40" s="97"/>
      <c r="H40" s="639"/>
      <c r="I40" s="97"/>
      <c r="J40" s="584"/>
      <c r="K40" s="663"/>
      <c r="L40" s="584"/>
      <c r="M40" s="584"/>
      <c r="N40" s="569"/>
      <c r="O40" s="310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</row>
    <row r="41" spans="1:28" s="188" customFormat="1" hidden="1" x14ac:dyDescent="0.2">
      <c r="B41" s="217"/>
      <c r="C41" s="97"/>
      <c r="D41" s="97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</row>
    <row r="42" spans="1:28" s="188" customFormat="1" hidden="1" x14ac:dyDescent="0.2">
      <c r="B42" s="213" t="s">
        <v>98</v>
      </c>
      <c r="C42" s="98" t="s">
        <v>106</v>
      </c>
      <c r="D42" s="98" t="s">
        <v>103</v>
      </c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</row>
    <row r="43" spans="1:28" s="188" customFormat="1" hidden="1" x14ac:dyDescent="0.2">
      <c r="B43" s="213" t="s">
        <v>101</v>
      </c>
      <c r="C43" s="98" t="s">
        <v>102</v>
      </c>
      <c r="D43" s="98" t="s">
        <v>107</v>
      </c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</row>
    <row r="44" spans="1:28" s="188" customFormat="1" hidden="1" x14ac:dyDescent="0.2">
      <c r="B44" s="213" t="s">
        <v>104</v>
      </c>
      <c r="C44" s="98" t="s">
        <v>108</v>
      </c>
      <c r="D44" s="98" t="s">
        <v>105</v>
      </c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</row>
    <row r="45" spans="1:28" s="188" customFormat="1" hidden="1" x14ac:dyDescent="0.2">
      <c r="B45" s="213" t="s">
        <v>109</v>
      </c>
      <c r="C45" s="98" t="s">
        <v>91</v>
      </c>
      <c r="D45" s="98" t="s">
        <v>110</v>
      </c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</row>
    <row r="46" spans="1:28" s="188" customFormat="1" hidden="1" x14ac:dyDescent="0.2">
      <c r="B46" s="213" t="s">
        <v>111</v>
      </c>
      <c r="C46" s="98" t="s">
        <v>100</v>
      </c>
      <c r="D46" s="98" t="s">
        <v>99</v>
      </c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</row>
    <row r="47" spans="1:28" s="188" customFormat="1" hidden="1" x14ac:dyDescent="0.2"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</row>
    <row r="48" spans="1:28" s="188" customFormat="1" hidden="1" x14ac:dyDescent="0.2">
      <c r="A48" s="121"/>
      <c r="G48" s="97"/>
      <c r="H48" s="639"/>
      <c r="I48" s="97"/>
      <c r="J48" s="584"/>
      <c r="K48" s="663"/>
      <c r="L48" s="584"/>
      <c r="M48" s="584"/>
      <c r="N48" s="569"/>
      <c r="O48" s="310"/>
      <c r="P48" s="57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</row>
    <row r="49" spans="1:28" s="188" customFormat="1" hidden="1" x14ac:dyDescent="0.2">
      <c r="A49" s="121"/>
      <c r="G49" s="97"/>
      <c r="H49" s="639"/>
      <c r="I49" s="97"/>
      <c r="J49" s="584"/>
      <c r="K49" s="579"/>
      <c r="L49" s="584"/>
      <c r="M49" s="584"/>
      <c r="N49" s="569"/>
      <c r="O49" s="310"/>
      <c r="P49" s="57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</row>
    <row r="50" spans="1:28" s="188" customFormat="1" hidden="1" x14ac:dyDescent="0.2">
      <c r="A50" s="121"/>
      <c r="G50" s="97"/>
      <c r="H50" s="639"/>
      <c r="I50" s="97"/>
      <c r="J50" s="584"/>
      <c r="K50" s="579"/>
      <c r="L50" s="584"/>
      <c r="M50" s="584"/>
      <c r="N50" s="569"/>
      <c r="O50" s="310"/>
      <c r="P50" s="57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</row>
    <row r="51" spans="1:28" s="188" customFormat="1" hidden="1" x14ac:dyDescent="0.2">
      <c r="A51" s="121"/>
      <c r="G51" s="97"/>
      <c r="H51" s="639"/>
      <c r="I51" s="97"/>
      <c r="J51" s="584"/>
      <c r="K51" s="579"/>
      <c r="L51" s="584"/>
      <c r="M51" s="584"/>
      <c r="N51" s="569"/>
      <c r="O51" s="310"/>
      <c r="P51" s="57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</row>
    <row r="52" spans="1:28" s="188" customFormat="1" hidden="1" x14ac:dyDescent="0.2">
      <c r="A52" s="121"/>
      <c r="G52" s="97"/>
      <c r="H52" s="639"/>
      <c r="I52" s="97"/>
      <c r="J52" s="584"/>
      <c r="K52" s="579"/>
      <c r="L52" s="584"/>
      <c r="M52" s="584"/>
      <c r="N52" s="569"/>
      <c r="O52" s="310"/>
      <c r="P52" s="57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</row>
    <row r="53" spans="1:28" s="188" customFormat="1" hidden="1" x14ac:dyDescent="0.2">
      <c r="A53" s="121"/>
      <c r="G53" s="97"/>
      <c r="H53" s="639"/>
      <c r="I53" s="97"/>
      <c r="J53" s="584"/>
      <c r="K53" s="579"/>
      <c r="L53" s="584"/>
      <c r="M53" s="584"/>
      <c r="N53" s="569"/>
      <c r="O53" s="310"/>
      <c r="P53" s="57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</row>
    <row r="54" spans="1:28" s="188" customFormat="1" hidden="1" x14ac:dyDescent="0.2">
      <c r="A54" s="314"/>
      <c r="G54" s="314"/>
      <c r="K54" s="579"/>
      <c r="N54" s="88"/>
      <c r="O54" s="88"/>
      <c r="P54" s="57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</row>
    <row r="55" spans="1:28" s="188" customFormat="1" hidden="1" x14ac:dyDescent="0.2">
      <c r="A55" s="314"/>
      <c r="G55" s="314"/>
      <c r="K55" s="579"/>
      <c r="N55" s="88"/>
      <c r="O55" s="88"/>
      <c r="P55" s="57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</row>
    <row r="56" spans="1:28" s="188" customFormat="1" hidden="1" x14ac:dyDescent="0.2">
      <c r="A56" s="88"/>
      <c r="G56" s="88"/>
      <c r="H56" s="88"/>
      <c r="I56" s="88"/>
      <c r="J56" s="88"/>
      <c r="K56" s="88"/>
      <c r="L56" s="88"/>
      <c r="M56" s="88"/>
      <c r="N56" s="88"/>
      <c r="O56" s="88"/>
      <c r="P56" s="57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</row>
    <row r="57" spans="1:28" s="188" customFormat="1" hidden="1" x14ac:dyDescent="0.2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</row>
    <row r="58" spans="1:28" s="88" customFormat="1" hidden="1" x14ac:dyDescent="0.2"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</row>
    <row r="59" spans="1:28" s="88" customFormat="1" hidden="1" x14ac:dyDescent="0.2"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</row>
    <row r="60" spans="1:28" s="88" customFormat="1" hidden="1" x14ac:dyDescent="0.2"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</row>
    <row r="61" spans="1:28" s="88" customFormat="1" hidden="1" x14ac:dyDescent="0.2"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</row>
    <row r="62" spans="1:28" s="88" customFormat="1" hidden="1" x14ac:dyDescent="0.2"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</row>
    <row r="63" spans="1:28" s="88" customFormat="1" hidden="1" x14ac:dyDescent="0.2"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</row>
    <row r="64" spans="1:28" s="88" customFormat="1" hidden="1" x14ac:dyDescent="0.2"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</row>
    <row r="65" spans="17:28" s="88" customFormat="1" hidden="1" x14ac:dyDescent="0.2"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</row>
    <row r="66" spans="17:28" s="88" customFormat="1" hidden="1" x14ac:dyDescent="0.2"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</row>
    <row r="67" spans="17:28" s="88" customFormat="1" hidden="1" x14ac:dyDescent="0.2"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</row>
    <row r="68" spans="17:28" s="88" customFormat="1" hidden="1" x14ac:dyDescent="0.2"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</row>
    <row r="69" spans="17:28" s="88" customFormat="1" hidden="1" x14ac:dyDescent="0.2"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</row>
    <row r="70" spans="17:28" s="88" customFormat="1" hidden="1" x14ac:dyDescent="0.2"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</row>
    <row r="71" spans="17:28" s="88" customFormat="1" hidden="1" x14ac:dyDescent="0.2"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</row>
    <row r="72" spans="17:28" s="88" customFormat="1" hidden="1" x14ac:dyDescent="0.2"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</row>
    <row r="73" spans="17:28" s="88" customFormat="1" hidden="1" x14ac:dyDescent="0.2"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</row>
    <row r="74" spans="17:28" s="88" customFormat="1" hidden="1" x14ac:dyDescent="0.2"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</row>
    <row r="75" spans="17:28" s="88" customFormat="1" hidden="1" x14ac:dyDescent="0.2"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</row>
    <row r="76" spans="17:28" s="88" customFormat="1" hidden="1" x14ac:dyDescent="0.2"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</row>
    <row r="77" spans="17:28" s="88" customFormat="1" hidden="1" x14ac:dyDescent="0.2"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</row>
    <row r="78" spans="17:28" s="88" customFormat="1" hidden="1" x14ac:dyDescent="0.2"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</row>
    <row r="79" spans="17:28" s="88" customFormat="1" hidden="1" x14ac:dyDescent="0.2"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</row>
    <row r="80" spans="17:28" s="88" customFormat="1" hidden="1" x14ac:dyDescent="0.2"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39"/>
      <c r="AB80" s="139"/>
    </row>
    <row r="81" spans="1:28" s="88" customFormat="1" hidden="1" x14ac:dyDescent="0.2"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</row>
    <row r="82" spans="1:28" s="88" customFormat="1" hidden="1" x14ac:dyDescent="0.2"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</row>
    <row r="83" spans="1:28" s="88" customFormat="1" hidden="1" x14ac:dyDescent="0.2">
      <c r="Q83" s="139"/>
      <c r="R83" s="139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</row>
    <row r="84" spans="1:28" s="88" customFormat="1" hidden="1" x14ac:dyDescent="0.2">
      <c r="Q84" s="139"/>
      <c r="R84" s="139"/>
      <c r="S84" s="139"/>
      <c r="T84" s="139"/>
      <c r="U84" s="139"/>
      <c r="V84" s="139"/>
      <c r="W84" s="139"/>
      <c r="X84" s="139"/>
      <c r="Y84" s="139"/>
      <c r="Z84" s="139"/>
      <c r="AA84" s="139"/>
      <c r="AB84" s="139"/>
    </row>
    <row r="85" spans="1:28" s="88" customFormat="1" hidden="1" x14ac:dyDescent="0.2"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</row>
    <row r="86" spans="1:28" s="88" customFormat="1" hidden="1" x14ac:dyDescent="0.2">
      <c r="Q86" s="139"/>
      <c r="R86" s="139"/>
      <c r="S86" s="139"/>
      <c r="T86" s="139"/>
      <c r="U86" s="139"/>
      <c r="V86" s="139"/>
      <c r="W86" s="139"/>
      <c r="X86" s="139"/>
      <c r="Y86" s="139"/>
      <c r="Z86" s="139"/>
      <c r="AA86" s="139"/>
      <c r="AB86" s="139"/>
    </row>
    <row r="87" spans="1:28" s="88" customFormat="1" hidden="1" x14ac:dyDescent="0.2"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</row>
    <row r="88" spans="1:28" s="88" customFormat="1" hidden="1" x14ac:dyDescent="0.2"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39"/>
      <c r="AB88" s="139"/>
    </row>
    <row r="89" spans="1:28" s="88" customFormat="1" hidden="1" x14ac:dyDescent="0.2"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</row>
    <row r="90" spans="1:28" s="88" customFormat="1" hidden="1" x14ac:dyDescent="0.2"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</row>
    <row r="91" spans="1:28" s="88" customFormat="1" hidden="1" x14ac:dyDescent="0.2"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</row>
    <row r="92" spans="1:28" s="88" customFormat="1" hidden="1" x14ac:dyDescent="0.2">
      <c r="Q92" s="139"/>
      <c r="R92" s="139"/>
      <c r="S92" s="139"/>
      <c r="T92" s="139"/>
      <c r="U92" s="139"/>
      <c r="V92" s="139"/>
      <c r="W92" s="139"/>
      <c r="X92" s="139"/>
      <c r="Y92" s="139"/>
      <c r="Z92" s="139"/>
      <c r="AA92" s="139"/>
      <c r="AB92" s="139"/>
    </row>
    <row r="93" spans="1:28" s="88" customFormat="1" hidden="1" x14ac:dyDescent="0.2"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</row>
    <row r="94" spans="1:28" s="88" customFormat="1" hidden="1" x14ac:dyDescent="0.2"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</row>
    <row r="95" spans="1:28" s="349" customFormat="1" hidden="1" x14ac:dyDescent="0.2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</row>
    <row r="96" spans="1:28" hidden="1" x14ac:dyDescent="0.2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</row>
    <row r="97" spans="1:15" hidden="1" x14ac:dyDescent="0.2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</row>
    <row r="98" spans="1:15" hidden="1" x14ac:dyDescent="0.2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</row>
    <row r="99" spans="1:15" hidden="1" x14ac:dyDescent="0.2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</row>
    <row r="100" spans="1:15" x14ac:dyDescent="0.2">
      <c r="A100" s="214" t="s">
        <v>411</v>
      </c>
      <c r="B100" s="99"/>
      <c r="C100" s="96"/>
      <c r="D100" s="96"/>
      <c r="E100" s="96"/>
      <c r="F100" s="97"/>
      <c r="G100" s="98"/>
      <c r="H100" s="88"/>
      <c r="I100" s="88"/>
      <c r="J100" s="88"/>
      <c r="K100" s="88"/>
      <c r="L100" s="88"/>
      <c r="M100" s="88"/>
      <c r="N100" s="88"/>
      <c r="O100" s="88"/>
    </row>
    <row r="101" spans="1:15" x14ac:dyDescent="0.2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</row>
    <row r="102" spans="1:15" x14ac:dyDescent="0.2">
      <c r="A102" s="106" t="s">
        <v>84</v>
      </c>
      <c r="B102" s="404" t="str">
        <f>IFERROR(INDEX(B$1:B$100,MATCH(A102,I$1:I$100,0)),"")</f>
        <v>Aigi Orro, Elmo Lageda</v>
      </c>
      <c r="C102" s="120">
        <v>13</v>
      </c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</row>
    <row r="103" spans="1:15" x14ac:dyDescent="0.2">
      <c r="A103" s="107"/>
      <c r="B103" s="405"/>
      <c r="C103" s="524" t="str">
        <f>IF(COUNT(C102,C104)=2,IF(C102&gt;C104,B102,B104),"")</f>
        <v>Aigi Orro, Elmo Lageda</v>
      </c>
      <c r="D103" s="88"/>
      <c r="E103" s="120">
        <v>13</v>
      </c>
      <c r="F103" s="88"/>
      <c r="G103" s="88"/>
      <c r="H103" s="88"/>
      <c r="I103" s="88"/>
      <c r="J103" s="88"/>
      <c r="K103" s="88"/>
      <c r="L103" s="88"/>
      <c r="M103" s="88"/>
      <c r="N103" s="88"/>
      <c r="O103" s="88"/>
    </row>
    <row r="104" spans="1:15" x14ac:dyDescent="0.2">
      <c r="A104" s="107" t="s">
        <v>406</v>
      </c>
      <c r="B104" s="525" t="str">
        <f>IFERROR(INDEX(B$1:B$100,MATCH(A104,I$1:I$100,0)),"")</f>
        <v>Enn Tokman, Tõnu Piik</v>
      </c>
      <c r="C104" s="110">
        <v>8</v>
      </c>
      <c r="D104" s="671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</row>
    <row r="105" spans="1:15" x14ac:dyDescent="0.2">
      <c r="A105" s="107"/>
      <c r="B105" s="407"/>
      <c r="C105" s="88"/>
      <c r="D105" s="112"/>
      <c r="E105" s="524" t="str">
        <f>IF(COUNT(E103,E107)=2,IF(E103&gt;E107,C103,C107),"")</f>
        <v>Aigi Orro, Elmo Lageda</v>
      </c>
      <c r="F105" s="88"/>
      <c r="G105" s="120">
        <v>7</v>
      </c>
      <c r="H105" s="88"/>
      <c r="I105" s="88"/>
      <c r="J105" s="88"/>
      <c r="K105" s="88"/>
      <c r="L105" s="88"/>
      <c r="M105" s="88"/>
      <c r="N105" s="88"/>
      <c r="O105" s="88"/>
    </row>
    <row r="106" spans="1:15" x14ac:dyDescent="0.2">
      <c r="A106" s="107" t="s">
        <v>86</v>
      </c>
      <c r="B106" s="404" t="str">
        <f>IFERROR(INDEX(B$1:B$100,MATCH(A106,I$1:I$100,0)),"")</f>
        <v>Boriss Klubov, Mait Metsla</v>
      </c>
      <c r="C106" s="120">
        <v>12</v>
      </c>
      <c r="D106" s="112"/>
      <c r="E106" s="664"/>
      <c r="F106" s="671"/>
      <c r="G106" s="88"/>
      <c r="H106" s="88"/>
      <c r="I106" s="88"/>
      <c r="J106" s="88"/>
      <c r="K106" s="88"/>
      <c r="L106" s="88"/>
      <c r="M106" s="88"/>
      <c r="N106" s="88"/>
      <c r="O106" s="88"/>
    </row>
    <row r="107" spans="1:15" x14ac:dyDescent="0.2">
      <c r="A107" s="107"/>
      <c r="B107" s="672"/>
      <c r="C107" s="524" t="str">
        <f>IF(COUNT(C106,C108)=2,IF(C106&gt;C108,B106,B108),"")</f>
        <v>Andres Veski, Svetlana Veski</v>
      </c>
      <c r="D107" s="234"/>
      <c r="E107" s="110">
        <v>7</v>
      </c>
      <c r="F107" s="112"/>
      <c r="G107" s="88"/>
      <c r="H107" s="88"/>
      <c r="I107" s="88"/>
      <c r="J107" s="88"/>
      <c r="K107" s="88"/>
      <c r="L107" s="88"/>
      <c r="M107" s="88"/>
      <c r="N107" s="88"/>
      <c r="O107" s="88"/>
    </row>
    <row r="108" spans="1:15" x14ac:dyDescent="0.2">
      <c r="A108" s="107" t="s">
        <v>75</v>
      </c>
      <c r="B108" s="525" t="str">
        <f>IFERROR(INDEX(B$1:B$100,MATCH(A108,I$1:I$100,0)),"")</f>
        <v>Andres Veski, Svetlana Veski</v>
      </c>
      <c r="C108" s="110">
        <v>13</v>
      </c>
      <c r="D108" s="88"/>
      <c r="E108" s="99"/>
      <c r="F108" s="112"/>
      <c r="G108" s="88"/>
      <c r="H108" s="88"/>
      <c r="I108" s="88"/>
      <c r="J108" s="88"/>
      <c r="K108" s="88"/>
      <c r="L108" s="88"/>
      <c r="M108" s="88"/>
      <c r="N108" s="88"/>
      <c r="O108" s="88"/>
    </row>
    <row r="109" spans="1:15" ht="13.5" thickBot="1" x14ac:dyDescent="0.25">
      <c r="A109" s="87"/>
      <c r="B109" s="407"/>
      <c r="C109" s="88"/>
      <c r="D109" s="88"/>
      <c r="E109" s="99"/>
      <c r="F109" s="112"/>
      <c r="G109" s="88"/>
      <c r="H109" s="184" t="str">
        <f>IF(COUNT(G105,G113)=2,IF(G105&gt;G113,E105,E113),"")</f>
        <v>Margus Vasser, Vello Vasser</v>
      </c>
      <c r="I109" s="88"/>
      <c r="J109" s="88"/>
      <c r="K109" s="88"/>
      <c r="L109" s="88"/>
      <c r="M109" s="88"/>
      <c r="N109" s="88"/>
      <c r="O109" s="88"/>
    </row>
    <row r="110" spans="1:15" x14ac:dyDescent="0.2">
      <c r="A110" s="106" t="s">
        <v>85</v>
      </c>
      <c r="B110" s="404" t="str">
        <f>IFERROR(INDEX(B$1:B$100,MATCH(A110,I$1:I$100,0)),"")</f>
        <v>Aarne Välja, Meelis Luud</v>
      </c>
      <c r="C110" s="120">
        <v>8</v>
      </c>
      <c r="D110" s="88"/>
      <c r="E110" s="88"/>
      <c r="F110" s="112"/>
      <c r="G110" s="673"/>
      <c r="H110" s="379" t="s">
        <v>275</v>
      </c>
      <c r="I110" s="378"/>
      <c r="J110" s="88"/>
      <c r="K110" s="88"/>
      <c r="L110" s="88"/>
      <c r="M110" s="88"/>
      <c r="N110" s="88"/>
      <c r="O110" s="88"/>
    </row>
    <row r="111" spans="1:15" x14ac:dyDescent="0.2">
      <c r="A111" s="107"/>
      <c r="B111" s="672"/>
      <c r="C111" s="524" t="str">
        <f>IF(COUNT(C110,C112)=2,IF(C110&gt;C112,B110,B112),"")</f>
        <v>Karla Purgats, Lemmit Toomra</v>
      </c>
      <c r="D111" s="88"/>
      <c r="E111" s="120">
        <v>9</v>
      </c>
      <c r="F111" s="112"/>
      <c r="G111" s="99"/>
      <c r="H111" s="88"/>
      <c r="I111" s="88"/>
      <c r="J111" s="88"/>
      <c r="K111" s="88"/>
      <c r="L111" s="88"/>
      <c r="M111" s="88"/>
      <c r="N111" s="88"/>
      <c r="O111" s="88"/>
    </row>
    <row r="112" spans="1:15" x14ac:dyDescent="0.2">
      <c r="A112" s="107" t="s">
        <v>71</v>
      </c>
      <c r="B112" s="525" t="str">
        <f>IFERROR(INDEX(B$1:B$100,MATCH(A112,I$1:I$100,0)),"")</f>
        <v>Karla Purgats, Lemmit Toomra</v>
      </c>
      <c r="C112" s="110">
        <v>13</v>
      </c>
      <c r="D112" s="671"/>
      <c r="E112" s="88"/>
      <c r="F112" s="112"/>
      <c r="G112" s="99"/>
      <c r="H112" s="88"/>
      <c r="I112" s="88"/>
      <c r="J112" s="88"/>
      <c r="K112" s="88"/>
      <c r="L112" s="88"/>
      <c r="M112" s="88"/>
      <c r="N112" s="88"/>
      <c r="O112" s="88"/>
    </row>
    <row r="113" spans="1:15" x14ac:dyDescent="0.2">
      <c r="A113" s="107"/>
      <c r="B113" s="407"/>
      <c r="C113" s="88"/>
      <c r="D113" s="112"/>
      <c r="E113" s="524" t="str">
        <f>IF(COUNT(E111,E115)=2,IF(E111&gt;E115,C111,C115),"")</f>
        <v>Margus Vasser, Vello Vasser</v>
      </c>
      <c r="F113" s="234"/>
      <c r="G113" s="110">
        <v>13</v>
      </c>
      <c r="H113" s="88"/>
      <c r="I113" s="88"/>
      <c r="J113" s="88"/>
      <c r="K113" s="88"/>
      <c r="L113" s="88"/>
      <c r="M113" s="88"/>
      <c r="N113" s="88"/>
      <c r="O113" s="88"/>
    </row>
    <row r="114" spans="1:15" ht="13.5" thickBot="1" x14ac:dyDescent="0.25">
      <c r="A114" s="107" t="s">
        <v>76</v>
      </c>
      <c r="B114" s="404" t="str">
        <f>IFERROR(INDEX(B$1:B$100,MATCH(A114,I$1:I$100,0)),"")</f>
        <v>Margus Vasser, Vello Vasser</v>
      </c>
      <c r="C114" s="120">
        <v>13</v>
      </c>
      <c r="D114" s="112"/>
      <c r="E114" s="664"/>
      <c r="F114" s="99"/>
      <c r="G114" s="99"/>
      <c r="H114" s="184" t="str">
        <f>IF(COUNT(G105,G113)=2,IF(G105&lt;G113,E105,E113),"")</f>
        <v>Aigi Orro, Elmo Lageda</v>
      </c>
      <c r="I114" s="119"/>
      <c r="J114" s="88"/>
      <c r="K114" s="88"/>
      <c r="L114" s="88"/>
      <c r="M114" s="88"/>
      <c r="N114" s="88"/>
      <c r="O114" s="88"/>
    </row>
    <row r="115" spans="1:15" x14ac:dyDescent="0.2">
      <c r="A115" s="107"/>
      <c r="B115" s="672"/>
      <c r="C115" s="524" t="str">
        <f>IF(COUNT(C114,C116)=2,IF(C114&gt;C116,B114,B116),"")</f>
        <v>Margus Vasser, Vello Vasser</v>
      </c>
      <c r="D115" s="234"/>
      <c r="E115" s="110">
        <v>13</v>
      </c>
      <c r="F115" s="88"/>
      <c r="G115" s="99"/>
      <c r="H115" s="379" t="s">
        <v>276</v>
      </c>
      <c r="I115" s="99"/>
      <c r="J115" s="88"/>
      <c r="K115" s="88"/>
      <c r="L115" s="88"/>
      <c r="M115" s="88"/>
      <c r="N115" s="88"/>
      <c r="O115" s="88"/>
    </row>
    <row r="116" spans="1:15" x14ac:dyDescent="0.2">
      <c r="A116" s="107" t="s">
        <v>407</v>
      </c>
      <c r="B116" s="525" t="str">
        <f>IFERROR(INDEX(B$1:B$100,MATCH(A116,I$1:I$100,0)),"")</f>
        <v>Klavdia Piik, Ülo Piik</v>
      </c>
      <c r="C116" s="110">
        <v>10</v>
      </c>
      <c r="D116" s="88"/>
      <c r="E116" s="99"/>
      <c r="F116" s="99"/>
      <c r="G116" s="99"/>
      <c r="H116" s="88"/>
      <c r="I116" s="88"/>
      <c r="J116" s="88"/>
      <c r="K116" s="88"/>
      <c r="L116" s="88"/>
      <c r="M116" s="88"/>
      <c r="N116" s="88"/>
      <c r="O116" s="88"/>
    </row>
    <row r="117" spans="1:15" x14ac:dyDescent="0.2">
      <c r="A117" s="87"/>
      <c r="B117" s="407"/>
      <c r="C117" s="88"/>
      <c r="D117" s="88"/>
      <c r="E117" s="217" t="str">
        <f>IF(COUNT(E103,E107)=2,IF(E103&lt;E107,C103,C107),"")</f>
        <v>Andres Veski, Svetlana Veski</v>
      </c>
      <c r="F117" s="88"/>
      <c r="G117" s="120">
        <v>13</v>
      </c>
      <c r="H117" s="88"/>
      <c r="I117" s="88"/>
      <c r="J117" s="88"/>
      <c r="K117" s="88"/>
      <c r="L117" s="88"/>
      <c r="M117" s="88"/>
      <c r="N117" s="88"/>
      <c r="O117" s="88"/>
    </row>
    <row r="118" spans="1:15" ht="13.5" thickBot="1" x14ac:dyDescent="0.25">
      <c r="A118" s="88"/>
      <c r="B118" s="88"/>
      <c r="C118" s="88"/>
      <c r="D118" s="88"/>
      <c r="E118" s="674"/>
      <c r="F118" s="671"/>
      <c r="G118" s="119"/>
      <c r="H118" s="184" t="str">
        <f>IF(COUNT(G117,G119)=2,IF(G117&gt;G119,E117,E119),"")</f>
        <v>Andres Veski, Svetlana Veski</v>
      </c>
      <c r="I118" s="119"/>
      <c r="J118" s="88"/>
      <c r="K118" s="88"/>
      <c r="L118" s="88"/>
      <c r="M118" s="88"/>
      <c r="N118" s="88"/>
      <c r="O118" s="88"/>
    </row>
    <row r="119" spans="1:15" x14ac:dyDescent="0.2">
      <c r="A119" s="88"/>
      <c r="B119" s="88"/>
      <c r="C119" s="88"/>
      <c r="D119" s="88"/>
      <c r="E119" s="528" t="str">
        <f>IF(COUNT(E111,E115)=2,IF(E111&lt;E115,C111,C115),"")</f>
        <v>Karla Purgats, Lemmit Toomra</v>
      </c>
      <c r="F119" s="234"/>
      <c r="G119" s="110">
        <v>7</v>
      </c>
      <c r="H119" s="121" t="s">
        <v>277</v>
      </c>
      <c r="I119" s="99"/>
      <c r="J119" s="88"/>
      <c r="K119" s="88"/>
      <c r="L119" s="88"/>
      <c r="M119" s="88"/>
      <c r="N119" s="88"/>
      <c r="O119" s="88"/>
    </row>
    <row r="120" spans="1:15" x14ac:dyDescent="0.2">
      <c r="A120" s="88"/>
      <c r="B120" s="88"/>
      <c r="C120" s="88"/>
      <c r="D120" s="88"/>
      <c r="E120" s="88"/>
      <c r="F120" s="88"/>
      <c r="G120" s="88"/>
      <c r="H120" s="99"/>
      <c r="I120" s="99"/>
      <c r="J120" s="88"/>
      <c r="K120" s="88"/>
      <c r="L120" s="88"/>
      <c r="M120" s="88"/>
      <c r="N120" s="88"/>
      <c r="O120" s="88"/>
    </row>
    <row r="121" spans="1:15" ht="13.5" thickBot="1" x14ac:dyDescent="0.25">
      <c r="A121" s="88"/>
      <c r="B121" s="88"/>
      <c r="C121" s="88"/>
      <c r="D121" s="88"/>
      <c r="E121" s="99"/>
      <c r="F121" s="99"/>
      <c r="G121" s="88"/>
      <c r="H121" s="184" t="str">
        <f>IF(COUNT(G117,G119)=2,IF(G117&lt;G119,E117,E119),"")</f>
        <v>Karla Purgats, Lemmit Toomra</v>
      </c>
      <c r="I121" s="119"/>
      <c r="J121" s="88"/>
      <c r="K121" s="88"/>
      <c r="L121" s="88"/>
      <c r="M121" s="88"/>
      <c r="N121" s="88"/>
      <c r="O121" s="88"/>
    </row>
    <row r="122" spans="1:15" x14ac:dyDescent="0.2">
      <c r="A122" s="88"/>
      <c r="B122" s="88"/>
      <c r="C122" s="88"/>
      <c r="D122" s="88"/>
      <c r="E122" s="88"/>
      <c r="F122" s="88"/>
      <c r="G122" s="88"/>
      <c r="H122" s="87" t="s">
        <v>50</v>
      </c>
      <c r="I122" s="88"/>
      <c r="J122" s="88"/>
      <c r="K122" s="88"/>
      <c r="L122" s="88"/>
      <c r="M122" s="88"/>
      <c r="N122" s="88"/>
      <c r="O122" s="88"/>
    </row>
    <row r="123" spans="1:15" x14ac:dyDescent="0.2">
      <c r="A123" s="88"/>
      <c r="B123" s="88"/>
      <c r="C123" s="528" t="str">
        <f>IF(COUNT(C102,C104)=2,IF(C102&lt;C104,B102,B104),"")</f>
        <v>Enn Tokman, Tõnu Piik</v>
      </c>
      <c r="D123" s="88"/>
      <c r="E123" s="120">
        <v>3</v>
      </c>
      <c r="F123" s="120"/>
      <c r="G123" s="120"/>
      <c r="H123" s="88"/>
      <c r="I123" s="88"/>
      <c r="J123" s="88"/>
      <c r="K123" s="88"/>
      <c r="L123" s="88"/>
      <c r="M123" s="88"/>
      <c r="N123" s="88"/>
      <c r="O123" s="88"/>
    </row>
    <row r="124" spans="1:15" x14ac:dyDescent="0.2">
      <c r="A124" s="88"/>
      <c r="B124" s="88"/>
      <c r="C124" s="675"/>
      <c r="D124" s="676"/>
      <c r="E124" s="524" t="str">
        <f>IF(COUNT(E123,E125)=2,IF(E123&gt;E125,C123,C125),"")</f>
        <v>Boriss Klubov, Mait Metsla</v>
      </c>
      <c r="F124" s="88"/>
      <c r="G124" s="120">
        <v>10</v>
      </c>
      <c r="H124" s="88"/>
      <c r="I124" s="88"/>
      <c r="J124" s="88"/>
      <c r="K124" s="88"/>
      <c r="L124" s="88"/>
      <c r="M124" s="88"/>
      <c r="N124" s="88"/>
      <c r="O124" s="88"/>
    </row>
    <row r="125" spans="1:15" x14ac:dyDescent="0.2">
      <c r="A125" s="88"/>
      <c r="B125" s="88"/>
      <c r="C125" s="528" t="str">
        <f>IF(COUNT(C106,C108)=2,IF(C106&lt;C108,B106,B108),"")</f>
        <v>Boriss Klubov, Mait Metsla</v>
      </c>
      <c r="D125" s="529"/>
      <c r="E125" s="110">
        <v>13</v>
      </c>
      <c r="F125" s="676"/>
      <c r="G125" s="120"/>
      <c r="H125" s="88"/>
      <c r="I125" s="88"/>
      <c r="J125" s="88"/>
      <c r="K125" s="88"/>
      <c r="L125" s="88"/>
      <c r="M125" s="88"/>
      <c r="N125" s="88"/>
      <c r="O125" s="88"/>
    </row>
    <row r="126" spans="1:15" ht="13.5" thickBot="1" x14ac:dyDescent="0.25">
      <c r="A126" s="88"/>
      <c r="B126" s="88"/>
      <c r="C126" s="120"/>
      <c r="D126" s="120"/>
      <c r="E126" s="113"/>
      <c r="F126" s="221"/>
      <c r="G126" s="120"/>
      <c r="H126" s="184" t="str">
        <f>IF(COUNT(G124,G128)=2,IF(G124&gt;G128,E124,E128),"")</f>
        <v>Klavdia Piik, Ülo Piik</v>
      </c>
      <c r="I126" s="88"/>
      <c r="J126" s="88"/>
      <c r="K126" s="88"/>
      <c r="L126" s="88"/>
      <c r="M126" s="88"/>
      <c r="N126" s="88"/>
      <c r="O126" s="88"/>
    </row>
    <row r="127" spans="1:15" x14ac:dyDescent="0.2">
      <c r="A127" s="88"/>
      <c r="B127" s="88"/>
      <c r="C127" s="528" t="str">
        <f>IF(COUNT(C110,C112)=2,IF(C110&lt;C112,B110,B112),"")</f>
        <v>Aarne Välja, Meelis Luud</v>
      </c>
      <c r="D127" s="120"/>
      <c r="E127" s="120">
        <v>6</v>
      </c>
      <c r="F127" s="221"/>
      <c r="G127" s="549"/>
      <c r="H127" s="379" t="s">
        <v>51</v>
      </c>
      <c r="I127" s="378"/>
      <c r="J127" s="88"/>
      <c r="K127" s="88"/>
      <c r="L127" s="88"/>
      <c r="M127" s="88"/>
      <c r="N127" s="88"/>
      <c r="O127" s="88"/>
    </row>
    <row r="128" spans="1:15" x14ac:dyDescent="0.2">
      <c r="A128" s="88"/>
      <c r="B128" s="88"/>
      <c r="C128" s="675"/>
      <c r="D128" s="676"/>
      <c r="E128" s="524" t="str">
        <f>IF(COUNT(E127,E129)=2,IF(E127&gt;E129,C127,C129),"")</f>
        <v>Klavdia Piik, Ülo Piik</v>
      </c>
      <c r="F128" s="234"/>
      <c r="G128" s="110">
        <v>13</v>
      </c>
      <c r="H128" s="88"/>
      <c r="I128" s="88"/>
      <c r="J128" s="88"/>
      <c r="K128" s="88"/>
      <c r="L128" s="88"/>
      <c r="M128" s="88"/>
      <c r="N128" s="88"/>
      <c r="O128" s="88"/>
    </row>
    <row r="129" spans="1:15" ht="13.5" thickBot="1" x14ac:dyDescent="0.25">
      <c r="A129" s="88"/>
      <c r="B129" s="88"/>
      <c r="C129" s="528" t="str">
        <f>IF(COUNT(C114,C116)=2,IF(C114&lt;C116,B114,B116),"")</f>
        <v>Klavdia Piik, Ülo Piik</v>
      </c>
      <c r="D129" s="529"/>
      <c r="E129" s="110">
        <v>13</v>
      </c>
      <c r="F129" s="120"/>
      <c r="G129" s="113"/>
      <c r="H129" s="184" t="str">
        <f>IF(COUNT(G124,G128)=2,IF(G124&lt;G128,E124,E128),"")</f>
        <v>Boriss Klubov, Mait Metsla</v>
      </c>
      <c r="I129" s="119"/>
      <c r="J129" s="88"/>
      <c r="K129" s="88"/>
      <c r="L129" s="88"/>
      <c r="M129" s="88"/>
      <c r="N129" s="88"/>
      <c r="O129" s="88"/>
    </row>
    <row r="130" spans="1:15" x14ac:dyDescent="0.2">
      <c r="A130" s="88"/>
      <c r="B130" s="88"/>
      <c r="C130" s="120"/>
      <c r="D130" s="120"/>
      <c r="E130" s="120"/>
      <c r="F130" s="120"/>
      <c r="G130" s="113"/>
      <c r="H130" s="379" t="s">
        <v>52</v>
      </c>
      <c r="I130" s="99"/>
      <c r="J130" s="88"/>
      <c r="K130" s="88"/>
      <c r="L130" s="88"/>
      <c r="M130" s="88"/>
      <c r="N130" s="88"/>
      <c r="O130" s="88"/>
    </row>
    <row r="131" spans="1:15" x14ac:dyDescent="0.2">
      <c r="A131" s="88"/>
      <c r="B131" s="88"/>
      <c r="C131" s="120"/>
      <c r="D131" s="113"/>
      <c r="E131" s="217" t="str">
        <f>IF(COUNT(E123,E125)=2,IF(E123&lt;E125,C123,C125),"")</f>
        <v>Enn Tokman, Tõnu Piik</v>
      </c>
      <c r="F131" s="88"/>
      <c r="G131" s="120">
        <v>9</v>
      </c>
      <c r="H131" s="99"/>
      <c r="I131" s="99"/>
    </row>
    <row r="132" spans="1:15" ht="13.5" thickBot="1" x14ac:dyDescent="0.25">
      <c r="A132" s="88"/>
      <c r="B132" s="88"/>
      <c r="C132" s="120"/>
      <c r="D132" s="113"/>
      <c r="E132" s="674"/>
      <c r="F132" s="671"/>
      <c r="G132" s="119"/>
      <c r="H132" s="184" t="str">
        <f>IF(COUNT(G131,G133)=2,IF(G131&gt;G133,E131,E133),"")</f>
        <v>Aarne Välja, Meelis Luud</v>
      </c>
      <c r="I132" s="119"/>
    </row>
    <row r="133" spans="1:15" x14ac:dyDescent="0.2">
      <c r="A133" s="88"/>
      <c r="B133" s="88"/>
      <c r="C133" s="120"/>
      <c r="D133" s="113"/>
      <c r="E133" s="528" t="str">
        <f>IF(COUNT(E127,E129)=2,IF(E127&lt;E129,C127,C129),"")</f>
        <v>Aarne Välja, Meelis Luud</v>
      </c>
      <c r="F133" s="234"/>
      <c r="G133" s="110">
        <v>13</v>
      </c>
      <c r="H133" s="379" t="s">
        <v>53</v>
      </c>
      <c r="I133" s="99"/>
    </row>
    <row r="134" spans="1:15" x14ac:dyDescent="0.2">
      <c r="A134" s="88"/>
      <c r="B134" s="88"/>
      <c r="C134" s="88"/>
      <c r="D134" s="99"/>
      <c r="E134" s="88"/>
      <c r="F134" s="88"/>
      <c r="G134" s="88"/>
      <c r="H134" s="99"/>
      <c r="I134" s="99"/>
    </row>
    <row r="135" spans="1:15" ht="13.5" thickBot="1" x14ac:dyDescent="0.25">
      <c r="A135" s="88"/>
      <c r="B135" s="88"/>
      <c r="C135" s="88"/>
      <c r="D135" s="88"/>
      <c r="E135" s="99"/>
      <c r="F135" s="99"/>
      <c r="G135" s="88"/>
      <c r="H135" s="119" t="str">
        <f>IF(COUNT(G131,G133)=2,IF(G131&lt;G133,E131,E133),"")</f>
        <v>Enn Tokman, Tõnu Piik</v>
      </c>
      <c r="I135" s="119"/>
    </row>
    <row r="136" spans="1:15" x14ac:dyDescent="0.2">
      <c r="A136" s="95"/>
      <c r="B136" s="410"/>
      <c r="C136" s="97"/>
      <c r="D136" s="97"/>
      <c r="E136" s="97"/>
      <c r="F136" s="97"/>
      <c r="G136" s="402"/>
      <c r="H136" s="379" t="s">
        <v>54</v>
      </c>
      <c r="I136" s="188"/>
    </row>
    <row r="138" spans="1:15" x14ac:dyDescent="0.2">
      <c r="A138" s="214" t="s">
        <v>510</v>
      </c>
      <c r="B138" s="99"/>
      <c r="C138" s="96"/>
      <c r="D138" s="96"/>
      <c r="E138" s="96"/>
      <c r="F138" s="97"/>
      <c r="G138" s="98"/>
      <c r="H138" s="88"/>
      <c r="I138" s="88"/>
    </row>
    <row r="139" spans="1:15" x14ac:dyDescent="0.2">
      <c r="A139" s="88"/>
      <c r="B139" s="88"/>
      <c r="C139" s="88"/>
      <c r="D139" s="88"/>
      <c r="E139" s="88"/>
      <c r="F139" s="88"/>
      <c r="G139" s="88"/>
      <c r="H139" s="88"/>
      <c r="I139" s="88"/>
    </row>
    <row r="140" spans="1:15" x14ac:dyDescent="0.2">
      <c r="A140" s="126"/>
      <c r="B140" s="438"/>
      <c r="C140" s="91">
        <v>1</v>
      </c>
      <c r="D140" s="91">
        <v>2</v>
      </c>
      <c r="E140" s="91">
        <v>3</v>
      </c>
      <c r="F140" s="91">
        <v>4</v>
      </c>
      <c r="G140" s="91"/>
      <c r="H140" s="91" t="s">
        <v>73</v>
      </c>
      <c r="I140" s="438" t="s">
        <v>46</v>
      </c>
      <c r="J140" s="577" t="s">
        <v>273</v>
      </c>
      <c r="K140" s="649" t="s">
        <v>273</v>
      </c>
      <c r="L140" s="650" t="s">
        <v>430</v>
      </c>
      <c r="M140" s="188" t="b">
        <f>OR(AND(COUNTA(B141:B145)=3,COUNTA(C141:G145)=6),AND(COUNTA(B141:B145)=4,COUNTA(C141:G145)=12),AND(COUNTA(B141:B145)=5,COUNTA(C141:G145)=20))</f>
        <v>1</v>
      </c>
      <c r="N140" s="188"/>
    </row>
    <row r="141" spans="1:15" x14ac:dyDescent="0.2">
      <c r="A141" s="126">
        <v>1</v>
      </c>
      <c r="B141" s="582" t="s">
        <v>507</v>
      </c>
      <c r="C141" s="127"/>
      <c r="D141" s="93">
        <v>13</v>
      </c>
      <c r="E141" s="93">
        <v>13</v>
      </c>
      <c r="F141" s="93">
        <v>13</v>
      </c>
      <c r="G141" s="93"/>
      <c r="H141" s="576" t="str">
        <f>(IF(D141-C142&gt;0,1)+IF(E141-C143&gt;0,1)+IF(F141-C144&gt;0,1)+IF(G141-C145&gt;0,1))&amp;"-"&amp;(IF(D141-C142&lt;0,1)+IF(E141-C143&lt;0,1)+IF(F141-C144&lt;0,1)+IF(G141-C145&lt;0,1))</f>
        <v>3-0</v>
      </c>
      <c r="I141" s="93" t="str">
        <f>IF(AND(B141&lt;&gt;"",M$140=TRUE),A$140&amp;RANK(M141,M$141:M$144,0),"")</f>
        <v>1</v>
      </c>
      <c r="J141" s="584">
        <f>VALUE(LEFT(H141,1))</f>
        <v>3</v>
      </c>
      <c r="K141" s="651">
        <f>IF(AND(J141=1,J142=1,D141&gt;C142),1)+IF(AND(J141=1,J143=1,E141&gt;C143),1)+IF(AND(J141=1,J144=1,F141&gt;C144),1)+IF(AND(J141=1,J145=1,G141&gt;C145),1)+IF(AND(J141=2,J142=2,D141&gt;C142),1)+IF(AND(J141=2,J143=2,E141&gt;C143),1)+IF(AND(J141=2,J144=2,F141&gt;C144),1)+IF(AND(J141=2,J145=2,G141&gt;C145),1)+IF(AND(J141=3,J142=3,D141&gt;C142),1)+IF(AND(J141=3,J143=3,E141&gt;C143),1)+IF(AND(J141=3,J144=3,F141&gt;C144),1)+IF(AND(J141=3,J145=3,G141&gt;C145),1)</f>
        <v>0</v>
      </c>
      <c r="L141" s="652">
        <f>IF(AND(J141=1,J142=1),D141-C142)+IF(AND(J141=1,J143=1),E141-C143)+IF(AND(J141=1,J144=1),F141-C144)+IF(AND(J141=1,J145=1),G141-C145)+IF(AND(J141=2,J142=2),D141-C142)+IF(AND(J141=2,J143=2),E141-C143)+IF(AND(J141=2,J144=2),F141-C144)+IF(AND(J141=2,J145=2),G141-C145)+IF(AND(J141=3,J142=3),D141-C142)+IF(AND(J141=3,J143=3),E141-C143)+IF(AND(J141=3,J144=3),F141-C144)+IF(AND(J141=3,J145=3),G141-C145)</f>
        <v>0</v>
      </c>
      <c r="M141" s="668">
        <f>10000*J141+K141*100+L141</f>
        <v>30000</v>
      </c>
      <c r="N141" s="569"/>
    </row>
    <row r="142" spans="1:15" x14ac:dyDescent="0.2">
      <c r="A142" s="126">
        <v>2</v>
      </c>
      <c r="B142" s="581" t="s">
        <v>167</v>
      </c>
      <c r="C142" s="93">
        <v>1</v>
      </c>
      <c r="D142" s="127"/>
      <c r="E142" s="93">
        <v>7</v>
      </c>
      <c r="F142" s="93">
        <v>1</v>
      </c>
      <c r="G142" s="93"/>
      <c r="H142" s="576" t="str">
        <f>(IF(C142-D141&gt;0,1)+IF(E142-D143&gt;0,1)+IF(F142-D144&gt;0,1)+IF(G142-D145&gt;0,1))&amp;"-"&amp;(IF(C142-D141&lt;0,1)+IF(E142-D143&lt;0,1)+IF(F142-D144&lt;0,1)+IF(G142-D145&lt;0,1))</f>
        <v>0-3</v>
      </c>
      <c r="I142" s="93" t="str">
        <f t="shared" ref="I142:I144" si="22">IF(AND(B142&lt;&gt;"",M$140=TRUE),A$140&amp;RANK(M142,M$141:M$144,0),"")</f>
        <v>4</v>
      </c>
      <c r="J142" s="584">
        <f t="shared" ref="J142:J144" si="23">VALUE(LEFT(H142,1))</f>
        <v>0</v>
      </c>
      <c r="K142" s="653">
        <f>IF(AND(J142=1,J141=1,C142&gt;D141),1)+IF(AND(J142=1,J143=1,E142&gt;D143),1)+IF(AND(J142=1,J144=1,F142&gt;D144),1)+IF(AND(J142=1,J145=1,G142&gt;D145),1)+IF(AND(J142=2,J141=2,C142&gt;D141),1)+IF(AND(J142=2,J143=2,E142&gt;D143),1)+IF(AND(J142=2,J144=2,F142&gt;D144),1)+IF(AND(J142=2,J145=2,G142&gt;D145),1)+IF(AND(J142=3,J141=3,C142&gt;D141),1)+IF(AND(J142=3,J143=3,E142&gt;D143),1)+IF(AND(J142=3,J144=3,F142&gt;D144),1)+IF(AND(J142=3,J145=3,G142&gt;D145),1)</f>
        <v>0</v>
      </c>
      <c r="L142" s="652">
        <f>IF(AND(J142=1,J141=1),C142-D141)+IF(AND(J142=1,J143=1),E142-D143)+IF(AND(J142=1,J144=1),F142-D144)+IF(AND(J142=1,J145=1),G142-D145)+IF(AND(J142=2,J141=2),C142-D141)+IF(AND(J142=2,J143=2),E142-D143)+IF(AND(J142=2,J144=2),F142-D144)+IF(AND(J142=2,J145=2),G142-D145)+IF(AND(J142=3,J141=3),C142-D141)+IF(AND(J142=3,J143=3),E142-D143)+IF(AND(J142=3,J144=3),F142-D144)+IF(AND(J142=3,J145=3),G142-D145)</f>
        <v>0</v>
      </c>
      <c r="M142" s="668">
        <f t="shared" ref="M142:M144" si="24">10000*J142+K142*100+L142</f>
        <v>0</v>
      </c>
      <c r="N142" s="569"/>
    </row>
    <row r="143" spans="1:15" x14ac:dyDescent="0.2">
      <c r="A143" s="126">
        <v>3</v>
      </c>
      <c r="B143" s="582" t="s">
        <v>171</v>
      </c>
      <c r="C143" s="93">
        <v>3</v>
      </c>
      <c r="D143" s="548">
        <v>13</v>
      </c>
      <c r="E143" s="127"/>
      <c r="F143" s="93">
        <v>10</v>
      </c>
      <c r="G143" s="93"/>
      <c r="H143" s="576" t="str">
        <f>(IF(C143-E141&gt;0,1)+IF(D143-E142&gt;0,1)+IF(F143-E144&gt;0,1)+IF(G143-E145&gt;0,1))&amp;"-"&amp;(IF(C143-E141&lt;0,1)+IF(D143-E142&lt;0,1)+IF(F143-E144&lt;0,1)+IF(G143-E145&lt;0,1))</f>
        <v>1-2</v>
      </c>
      <c r="I143" s="93" t="str">
        <f t="shared" si="22"/>
        <v>3</v>
      </c>
      <c r="J143" s="584">
        <f t="shared" si="23"/>
        <v>1</v>
      </c>
      <c r="K143" s="653">
        <f>IF(AND(J143=1,J141=1,C143&gt;E141),1)+IF(AND(J143=1,J142=1,D143&gt;E142),1)+IF(AND(J143=1,J144=1,F143&gt;E144),1)+IF(AND(J143=1,J145=1,G143&gt;E145),1)+IF(AND(J143=2,J141=2,C143&gt;E141),1)+IF(AND(J143=2,J142=2,D143&gt;E142),1)+IF(AND(J143=2,J144=2,F143&gt;E144),1)+IF(AND(J143=2,J145=2,G143&gt;E145),1)+IF(AND(J143=3,J141=3,C143&gt;E141),1)+IF(AND(J143=3,J142=3,D143&gt;E142),1)+IF(AND(J143=3,J144=3,F143&gt;E144),1)+IF(AND(J143=3,J145=3,G143&gt;E145),1)</f>
        <v>0</v>
      </c>
      <c r="L143" s="652">
        <f>IF(AND(J143=1,J141=1),C143-E141)+IF(AND(J143=1,J142=1),D143-E142)+IF(AND(J143=1,J144=1),F143-E144)+IF(AND(J143=1,J145=1),G143-E145)+IF(AND(J143=2,J141=2),C143-E141)+IF(AND(J143=2,J142=2),D143-E142)+IF(AND(J143=2,J144=2),F143-E144)+IF(AND(J143=2,J145=2),G143-E145)+IF(AND(J143=3,J141=3),C143-E141)+IF(AND(J143=3,J142=3),D143-E142)+IF(AND(J143=3,J144=3),F143-E144)+IF(AND(J143=3,J145=3),G143-E145)</f>
        <v>0</v>
      </c>
      <c r="M143" s="668">
        <f t="shared" si="24"/>
        <v>10000</v>
      </c>
      <c r="N143" s="569"/>
    </row>
    <row r="144" spans="1:15" x14ac:dyDescent="0.2">
      <c r="A144" s="126">
        <v>4</v>
      </c>
      <c r="B144" s="189" t="s">
        <v>177</v>
      </c>
      <c r="C144" s="93">
        <v>6</v>
      </c>
      <c r="D144" s="548">
        <v>13</v>
      </c>
      <c r="E144" s="93">
        <v>13</v>
      </c>
      <c r="F144" s="127"/>
      <c r="G144" s="128"/>
      <c r="H144" s="576" t="str">
        <f>(IF(C144-F141&gt;0,1)+IF(D144-F142&gt;0,1)+IF(E144-F143&gt;0,1)+IF(G144-F145&gt;0,1))&amp;"-"&amp;(IF(C144-F141&lt;0,1)+IF(D144-F142&lt;0,1)+IF(E144-F143&lt;0,1)+IF(G144-F145&lt;0,1))</f>
        <v>2-1</v>
      </c>
      <c r="I144" s="93" t="str">
        <f t="shared" si="22"/>
        <v>2</v>
      </c>
      <c r="J144" s="584">
        <f t="shared" si="23"/>
        <v>2</v>
      </c>
      <c r="K144" s="653">
        <f>IF(AND(J144=1,J141=1,C144&gt;F141),1)+IF(AND(J144=1,J142=1,D144&gt;F142),1)+IF(AND(J144=1,J143=1,E144&gt;F143),1)+IF(AND(J144=1,J145=1,G144&gt;F145),1)+IF(AND(J144=2,J141=2,C144&gt;F141),1)+IF(AND(J144=2,J142=2,D144&gt;F142),1)+IF(AND(J144=2,J143=2,E144&gt;F143),1)+IF(AND(J144=2,J145=2,G144&gt;F145),1)+IF(AND(J144=3,J141=3,C144&gt;F141),1)+IF(AND(J144=3,J142=3,D144&gt;F142),1)+IF(AND(J144=3,J143=3,E144&gt;F143),1)+IF(AND(J144=3,J145=3,G144&gt;F145),1)</f>
        <v>0</v>
      </c>
      <c r="L144" s="652">
        <f>IF(AND(J144=1,J141=1),C144-F141)+IF(AND(J144=1,J142=1),D144-F142)+IF(AND(J144=1,J143=1),E144-F143)+IF(AND(J144=1,J145=1),G144-F145)+IF(AND(J144=2,J141=2),C144-F141)+IF(AND(J144=2,J142=2),D144-F142)+IF(AND(J144=2,J143=2),E144-F143)+IF(AND(J144=2,J145=2),G144-F145)+IF(AND(J144=3,J141=3),C144-F141)+IF(AND(J144=3,J142=3),D144-F142)+IF(AND(J144=3,J143=3),E144-F143)+IF(AND(J144=3,J145=3),G144-F145)</f>
        <v>0</v>
      </c>
      <c r="M144" s="668">
        <f t="shared" si="24"/>
        <v>20000</v>
      </c>
      <c r="N144" s="569"/>
    </row>
    <row r="145" spans="2:9" x14ac:dyDescent="0.2">
      <c r="H145" s="88"/>
      <c r="I145" s="88"/>
    </row>
    <row r="146" spans="2:9" x14ac:dyDescent="0.2">
      <c r="B146" s="213" t="s">
        <v>98</v>
      </c>
      <c r="C146" s="98" t="s">
        <v>99</v>
      </c>
      <c r="D146" s="98" t="s">
        <v>100</v>
      </c>
      <c r="H146" s="88"/>
      <c r="I146" s="88"/>
    </row>
    <row r="147" spans="2:9" x14ac:dyDescent="0.2">
      <c r="B147" s="213" t="s">
        <v>101</v>
      </c>
      <c r="C147" s="98" t="s">
        <v>102</v>
      </c>
      <c r="D147" s="98" t="s">
        <v>103</v>
      </c>
    </row>
    <row r="148" spans="2:9" x14ac:dyDescent="0.2">
      <c r="B148" s="213" t="s">
        <v>104</v>
      </c>
      <c r="C148" s="98" t="s">
        <v>92</v>
      </c>
      <c r="D148" s="98" t="s">
        <v>105</v>
      </c>
    </row>
    <row r="150" spans="2:9" ht="13.5" thickBot="1" x14ac:dyDescent="0.25">
      <c r="H150" s="184" t="s">
        <v>507</v>
      </c>
      <c r="I150" s="119"/>
    </row>
    <row r="151" spans="2:9" x14ac:dyDescent="0.2">
      <c r="H151" s="121" t="s">
        <v>55</v>
      </c>
      <c r="I151" s="99"/>
    </row>
    <row r="152" spans="2:9" x14ac:dyDescent="0.2">
      <c r="H152" s="99"/>
      <c r="I152" s="99"/>
    </row>
    <row r="153" spans="2:9" ht="13.5" thickBot="1" x14ac:dyDescent="0.25">
      <c r="H153" s="184" t="s">
        <v>177</v>
      </c>
      <c r="I153" s="119"/>
    </row>
    <row r="154" spans="2:9" x14ac:dyDescent="0.2">
      <c r="H154" s="87" t="s">
        <v>56</v>
      </c>
      <c r="I154" s="88"/>
    </row>
    <row r="156" spans="2:9" ht="13.5" thickBot="1" x14ac:dyDescent="0.25">
      <c r="H156" s="184" t="s">
        <v>171</v>
      </c>
      <c r="I156" s="119"/>
    </row>
    <row r="157" spans="2:9" x14ac:dyDescent="0.2">
      <c r="H157" s="121" t="s">
        <v>57</v>
      </c>
      <c r="I157" s="99"/>
    </row>
    <row r="158" spans="2:9" x14ac:dyDescent="0.2">
      <c r="H158" s="99"/>
      <c r="I158" s="99"/>
    </row>
    <row r="159" spans="2:9" ht="13.5" thickBot="1" x14ac:dyDescent="0.25">
      <c r="H159" s="184" t="s">
        <v>167</v>
      </c>
      <c r="I159" s="119"/>
    </row>
    <row r="160" spans="2:9" x14ac:dyDescent="0.2">
      <c r="H160" s="87" t="s">
        <v>58</v>
      </c>
      <c r="I160" s="88"/>
    </row>
    <row r="162" spans="8:9" hidden="1" x14ac:dyDescent="0.2"/>
    <row r="163" spans="8:9" hidden="1" x14ac:dyDescent="0.2"/>
    <row r="164" spans="8:9" hidden="1" x14ac:dyDescent="0.2"/>
    <row r="165" spans="8:9" hidden="1" x14ac:dyDescent="0.2"/>
    <row r="166" spans="8:9" hidden="1" x14ac:dyDescent="0.2"/>
    <row r="167" spans="8:9" hidden="1" x14ac:dyDescent="0.2"/>
    <row r="168" spans="8:9" hidden="1" x14ac:dyDescent="0.2"/>
    <row r="169" spans="8:9" hidden="1" x14ac:dyDescent="0.2">
      <c r="H169" s="88"/>
      <c r="I169" s="88"/>
    </row>
    <row r="170" spans="8:9" hidden="1" x14ac:dyDescent="0.2">
      <c r="H170" s="88"/>
      <c r="I170" s="88"/>
    </row>
    <row r="171" spans="8:9" hidden="1" x14ac:dyDescent="0.2">
      <c r="H171" s="88"/>
      <c r="I171" s="88"/>
    </row>
    <row r="172" spans="8:9" hidden="1" x14ac:dyDescent="0.2"/>
    <row r="173" spans="8:9" hidden="1" x14ac:dyDescent="0.2"/>
    <row r="174" spans="8:9" hidden="1" x14ac:dyDescent="0.2"/>
    <row r="175" spans="8:9" hidden="1" x14ac:dyDescent="0.2"/>
    <row r="176" spans="8:9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spans="1:3" hidden="1" x14ac:dyDescent="0.2"/>
    <row r="290" spans="1:3" hidden="1" x14ac:dyDescent="0.2"/>
    <row r="291" spans="1:3" hidden="1" x14ac:dyDescent="0.2"/>
    <row r="292" spans="1:3" hidden="1" x14ac:dyDescent="0.2"/>
    <row r="293" spans="1:3" hidden="1" x14ac:dyDescent="0.2"/>
    <row r="294" spans="1:3" hidden="1" x14ac:dyDescent="0.2"/>
    <row r="295" spans="1:3" hidden="1" x14ac:dyDescent="0.2"/>
    <row r="296" spans="1:3" hidden="1" x14ac:dyDescent="0.2"/>
    <row r="297" spans="1:3" hidden="1" x14ac:dyDescent="0.2"/>
    <row r="298" spans="1:3" hidden="1" x14ac:dyDescent="0.2"/>
    <row r="299" spans="1:3" x14ac:dyDescent="0.2">
      <c r="C299" s="264" t="s">
        <v>263</v>
      </c>
    </row>
    <row r="300" spans="1:3" x14ac:dyDescent="0.2">
      <c r="A300" s="424">
        <v>1</v>
      </c>
      <c r="B300" s="124" t="str">
        <f t="shared" ref="B300:B310" si="25">IFERROR(INDEX(H$100:H$300,MATCH(A300&amp;". koht",H$101:H$301,0)),"")</f>
        <v>Margus Vasser, Vello Vasser</v>
      </c>
      <c r="C300" s="88">
        <f>MAX(A300:A386)</f>
        <v>12</v>
      </c>
    </row>
    <row r="301" spans="1:3" x14ac:dyDescent="0.2">
      <c r="A301" s="424">
        <v>2</v>
      </c>
      <c r="B301" s="615" t="str">
        <f t="shared" si="25"/>
        <v>Aigi Orro, Elmo Lageda</v>
      </c>
      <c r="C301" s="88">
        <f t="shared" ref="C301:C311" si="26">C300-1</f>
        <v>11</v>
      </c>
    </row>
    <row r="302" spans="1:3" x14ac:dyDescent="0.2">
      <c r="A302" s="424">
        <v>3</v>
      </c>
      <c r="B302" s="616" t="str">
        <f t="shared" si="25"/>
        <v>Andres Veski, Svetlana Veski</v>
      </c>
      <c r="C302" s="88">
        <f t="shared" si="26"/>
        <v>10</v>
      </c>
    </row>
    <row r="303" spans="1:3" x14ac:dyDescent="0.2">
      <c r="A303" s="424">
        <v>4</v>
      </c>
      <c r="B303" s="665" t="str">
        <f t="shared" si="25"/>
        <v>Karla Purgats, Lemmit Toomra</v>
      </c>
      <c r="C303" s="88">
        <f t="shared" si="26"/>
        <v>9</v>
      </c>
    </row>
    <row r="304" spans="1:3" x14ac:dyDescent="0.2">
      <c r="A304" s="424">
        <v>5</v>
      </c>
      <c r="B304" s="665" t="str">
        <f t="shared" si="25"/>
        <v>Klavdia Piik, Ülo Piik</v>
      </c>
      <c r="C304" s="88">
        <f t="shared" si="26"/>
        <v>8</v>
      </c>
    </row>
    <row r="305" spans="1:6" x14ac:dyDescent="0.2">
      <c r="A305" s="424">
        <v>6</v>
      </c>
      <c r="B305" s="665" t="str">
        <f t="shared" si="25"/>
        <v>Boriss Klubov, Mait Metsla</v>
      </c>
      <c r="C305" s="88">
        <f t="shared" si="26"/>
        <v>7</v>
      </c>
    </row>
    <row r="306" spans="1:6" x14ac:dyDescent="0.2">
      <c r="A306" s="424">
        <v>7</v>
      </c>
      <c r="B306" s="665" t="str">
        <f t="shared" si="25"/>
        <v>Aarne Välja, Meelis Luud</v>
      </c>
      <c r="C306" s="88">
        <f t="shared" si="26"/>
        <v>6</v>
      </c>
    </row>
    <row r="307" spans="1:6" x14ac:dyDescent="0.2">
      <c r="A307" s="424">
        <v>8</v>
      </c>
      <c r="B307" s="665" t="str">
        <f t="shared" si="25"/>
        <v>Enn Tokman, Tõnu Piik</v>
      </c>
      <c r="C307" s="88">
        <f t="shared" si="26"/>
        <v>5</v>
      </c>
      <c r="E307" s="188"/>
      <c r="F307" s="188"/>
    </row>
    <row r="308" spans="1:6" x14ac:dyDescent="0.2">
      <c r="A308" s="424">
        <v>9</v>
      </c>
      <c r="B308" s="665" t="str">
        <f t="shared" si="25"/>
        <v>Johannes Neiland, Kati Tuzberg, Tarmo Bombe</v>
      </c>
      <c r="C308" s="88">
        <f t="shared" si="26"/>
        <v>4</v>
      </c>
      <c r="E308" s="188"/>
      <c r="F308" s="188"/>
    </row>
    <row r="309" spans="1:6" x14ac:dyDescent="0.2">
      <c r="A309" s="424">
        <v>10</v>
      </c>
      <c r="B309" s="665" t="str">
        <f t="shared" si="25"/>
        <v>Tõnu Kapper, Vladimir Ogneštšikov</v>
      </c>
      <c r="C309" s="88">
        <f t="shared" si="26"/>
        <v>3</v>
      </c>
      <c r="E309" s="188"/>
      <c r="F309" s="215"/>
    </row>
    <row r="310" spans="1:6" x14ac:dyDescent="0.2">
      <c r="A310" s="424">
        <v>11</v>
      </c>
      <c r="B310" s="665" t="str">
        <f t="shared" si="25"/>
        <v>Einar Juhkam, Kenneth Muusikus</v>
      </c>
      <c r="C310" s="88">
        <f t="shared" si="26"/>
        <v>2</v>
      </c>
      <c r="E310" s="188"/>
      <c r="F310" s="212"/>
    </row>
    <row r="311" spans="1:6" x14ac:dyDescent="0.2">
      <c r="A311" s="424">
        <v>12</v>
      </c>
      <c r="B311" s="665" t="str">
        <f t="shared" ref="B311" si="27">IFERROR(INDEX(H$100:H$300,MATCH(A311&amp;". koht",H$101:H$301,0)),"")</f>
        <v>Illar Tõnurist, Jaan Saar</v>
      </c>
      <c r="C311" s="88">
        <f t="shared" si="26"/>
        <v>1</v>
      </c>
    </row>
  </sheetData>
  <sortState ref="O7:O23">
    <sortCondition ref="O7"/>
  </sortState>
  <conditionalFormatting sqref="W7:W11 Y7:Y11 S7:S11 S21:S25 Y21:Y25 Y28:Y32 S14:S18 W14:W18 Y14:Y18 S28:S32 W21:W25 W28:W32">
    <cfRule type="expression" dxfId="989" priority="158">
      <formula>AND(T7="",COUNTIF(S7,"*,*")=0)</formula>
    </cfRule>
  </conditionalFormatting>
  <conditionalFormatting sqref="U7:U11 U21:U25 U14:U18 U28:U32">
    <cfRule type="expression" dxfId="988" priority="156">
      <formula>AND(V7="",FIND(",",U7))</formula>
    </cfRule>
    <cfRule type="expression" dxfId="987" priority="157">
      <formula>AND(V7="",COUNTIF(U7,"*,*")=0)</formula>
    </cfRule>
  </conditionalFormatting>
  <conditionalFormatting sqref="E40">
    <cfRule type="aboveAverage" dxfId="986" priority="153"/>
  </conditionalFormatting>
  <conditionalFormatting sqref="F40">
    <cfRule type="aboveAverage" dxfId="985" priority="152"/>
  </conditionalFormatting>
  <conditionalFormatting sqref="I10:I11">
    <cfRule type="expression" dxfId="984" priority="150">
      <formula>FIND(2,I10,1)</formula>
    </cfRule>
    <cfRule type="expression" dxfId="983" priority="151">
      <formula>FIND(1,I10,1)</formula>
    </cfRule>
  </conditionalFormatting>
  <conditionalFormatting sqref="I40 I48:I53">
    <cfRule type="expression" dxfId="982" priority="148">
      <formula>FIND(2,I40,1)</formula>
    </cfRule>
    <cfRule type="expression" dxfId="981" priority="149">
      <formula>FIND(1,I40,1)</formula>
    </cfRule>
  </conditionalFormatting>
  <conditionalFormatting sqref="I7:I9">
    <cfRule type="expression" dxfId="980" priority="146">
      <formula>FIND(2,I7,1)</formula>
    </cfRule>
    <cfRule type="expression" dxfId="979" priority="147">
      <formula>FIND(1,I7,1)</formula>
    </cfRule>
  </conditionalFormatting>
  <conditionalFormatting sqref="I14:I18">
    <cfRule type="expression" dxfId="978" priority="144">
      <formula>FIND(2,I14,1)</formula>
    </cfRule>
    <cfRule type="expression" dxfId="977" priority="145">
      <formula>FIND(1,I14,1)</formula>
    </cfRule>
  </conditionalFormatting>
  <conditionalFormatting sqref="G40 G48:G53">
    <cfRule type="expression" dxfId="976" priority="142">
      <formula>FIND(2,G40,1)</formula>
    </cfRule>
    <cfRule type="expression" dxfId="975" priority="143">
      <formula>FIND(1,G40,1)</formula>
    </cfRule>
  </conditionalFormatting>
  <conditionalFormatting sqref="D14 C15">
    <cfRule type="aboveAverage" dxfId="974" priority="141"/>
  </conditionalFormatting>
  <conditionalFormatting sqref="E14 C16">
    <cfRule type="aboveAverage" dxfId="973" priority="140"/>
  </conditionalFormatting>
  <conditionalFormatting sqref="F14 C17">
    <cfRule type="aboveAverage" dxfId="972" priority="139"/>
  </conditionalFormatting>
  <conditionalFormatting sqref="E15 D16">
    <cfRule type="aboveAverage" dxfId="971" priority="138"/>
  </conditionalFormatting>
  <conditionalFormatting sqref="G14 C18">
    <cfRule type="aboveAverage" dxfId="970" priority="137"/>
  </conditionalFormatting>
  <conditionalFormatting sqref="F15 D17">
    <cfRule type="aboveAverage" dxfId="969" priority="136"/>
  </conditionalFormatting>
  <conditionalFormatting sqref="G15 D18">
    <cfRule type="aboveAverage" dxfId="968" priority="135"/>
  </conditionalFormatting>
  <conditionalFormatting sqref="F16 E17">
    <cfRule type="aboveAverage" dxfId="967" priority="134"/>
  </conditionalFormatting>
  <conditionalFormatting sqref="G16 E18">
    <cfRule type="aboveAverage" dxfId="966" priority="133"/>
  </conditionalFormatting>
  <conditionalFormatting sqref="F18 G17">
    <cfRule type="aboveAverage" dxfId="965" priority="132"/>
  </conditionalFormatting>
  <conditionalFormatting sqref="D7 C8">
    <cfRule type="aboveAverage" dxfId="964" priority="131"/>
  </conditionalFormatting>
  <conditionalFormatting sqref="E7 C9">
    <cfRule type="aboveAverage" dxfId="963" priority="130"/>
  </conditionalFormatting>
  <conditionalFormatting sqref="F7 C10">
    <cfRule type="aboveAverage" dxfId="962" priority="129"/>
  </conditionalFormatting>
  <conditionalFormatting sqref="E8 D9">
    <cfRule type="aboveAverage" dxfId="961" priority="128"/>
  </conditionalFormatting>
  <conditionalFormatting sqref="G7 C11">
    <cfRule type="aboveAverage" dxfId="960" priority="127"/>
  </conditionalFormatting>
  <conditionalFormatting sqref="F8 D10">
    <cfRule type="aboveAverage" dxfId="959" priority="126"/>
  </conditionalFormatting>
  <conditionalFormatting sqref="G8 D11">
    <cfRule type="aboveAverage" dxfId="958" priority="125"/>
  </conditionalFormatting>
  <conditionalFormatting sqref="F9 E10">
    <cfRule type="aboveAverage" dxfId="957" priority="124"/>
  </conditionalFormatting>
  <conditionalFormatting sqref="G9 E11">
    <cfRule type="aboveAverage" dxfId="956" priority="123"/>
  </conditionalFormatting>
  <conditionalFormatting sqref="F11 G10">
    <cfRule type="aboveAverage" dxfId="955" priority="122"/>
  </conditionalFormatting>
  <conditionalFormatting sqref="I21:I25">
    <cfRule type="expression" dxfId="954" priority="120">
      <formula>FIND(2,I21,1)</formula>
    </cfRule>
    <cfRule type="expression" dxfId="953" priority="121">
      <formula>FIND(1,I21,1)</formula>
    </cfRule>
  </conditionalFormatting>
  <conditionalFormatting sqref="D21 C22">
    <cfRule type="aboveAverage" dxfId="952" priority="119"/>
  </conditionalFormatting>
  <conditionalFormatting sqref="E21 C23">
    <cfRule type="aboveAverage" dxfId="951" priority="118"/>
  </conditionalFormatting>
  <conditionalFormatting sqref="F21 C24">
    <cfRule type="aboveAverage" dxfId="950" priority="117"/>
  </conditionalFormatting>
  <conditionalFormatting sqref="E22 D23">
    <cfRule type="aboveAverage" dxfId="949" priority="116"/>
  </conditionalFormatting>
  <conditionalFormatting sqref="G21 C25">
    <cfRule type="aboveAverage" dxfId="948" priority="115"/>
  </conditionalFormatting>
  <conditionalFormatting sqref="F22 D24">
    <cfRule type="aboveAverage" dxfId="947" priority="114"/>
  </conditionalFormatting>
  <conditionalFormatting sqref="G22 D25">
    <cfRule type="aboveAverage" dxfId="946" priority="113"/>
  </conditionalFormatting>
  <conditionalFormatting sqref="F23 E24">
    <cfRule type="aboveAverage" dxfId="945" priority="112"/>
  </conditionalFormatting>
  <conditionalFormatting sqref="G23 E25">
    <cfRule type="aboveAverage" dxfId="944" priority="111"/>
  </conditionalFormatting>
  <conditionalFormatting sqref="F25 G24">
    <cfRule type="aboveAverage" dxfId="943" priority="110"/>
  </conditionalFormatting>
  <conditionalFormatting sqref="K14:K18">
    <cfRule type="expression" dxfId="942" priority="102">
      <formula>AND(J14=3,IF(COUNTIF(J$14:J$18,"=3")&gt;=2,TRUE))</formula>
    </cfRule>
    <cfRule type="expression" dxfId="941" priority="108">
      <formula>AND(J14=1,IF(COUNTIF(J$14:J$18,"=1")&gt;=2,TRUE))</formula>
    </cfRule>
    <cfRule type="expression" dxfId="940" priority="109">
      <formula>AND(J14=2,IF(COUNTIF(J$14:J$18,"=2")&gt;=2,TRUE))</formula>
    </cfRule>
  </conditionalFormatting>
  <conditionalFormatting sqref="K21:K25">
    <cfRule type="expression" dxfId="939" priority="101">
      <formula>AND(J21=3,IF(COUNTIF(J$21:J$25,"=3")&gt;=2,TRUE))</formula>
    </cfRule>
    <cfRule type="expression" dxfId="938" priority="106">
      <formula>AND(J21=1,IF(COUNTIF(J$21:J$25,"=1")&gt;=2,TRUE))</formula>
    </cfRule>
    <cfRule type="expression" dxfId="937" priority="107">
      <formula>AND(J21=2,IF(COUNTIF(J$21:J$25,"=2")&gt;=2,TRUE))</formula>
    </cfRule>
  </conditionalFormatting>
  <conditionalFormatting sqref="K7:K11">
    <cfRule type="expression" dxfId="936" priority="103">
      <formula>AND(J7=3,IF(COUNTIF(J$7:J$11,"=3")&gt;=2,TRUE))</formula>
    </cfRule>
    <cfRule type="expression" dxfId="935" priority="104">
      <formula>AND(J7=1,IF(COUNTIF(J$7:J$11,"=1")&gt;=2,TRUE))</formula>
    </cfRule>
    <cfRule type="expression" dxfId="934" priority="105">
      <formula>AND(J7=2,IF(COUNTIF(J$7:J$11,"=2")&gt;=2,TRUE))</formula>
    </cfRule>
  </conditionalFormatting>
  <conditionalFormatting sqref="L14:L18">
    <cfRule type="expression" dxfId="933" priority="95">
      <formula>OR(J14=0,J14=4)</formula>
    </cfRule>
    <cfRule type="expression" dxfId="932" priority="99">
      <formula>AND(J14=1,IF(COUNTIF(J$14:J$18,"=1")=1,TRUE))</formula>
    </cfRule>
    <cfRule type="expression" dxfId="931" priority="100">
      <formula>AND(J14=3,IF(COUNTIF(J$14:J$18,"=3")=1,TRUE))</formula>
    </cfRule>
  </conditionalFormatting>
  <conditionalFormatting sqref="L21:L25">
    <cfRule type="expression" dxfId="930" priority="96">
      <formula>OR(J21=0,J21=4)</formula>
    </cfRule>
    <cfRule type="expression" dxfId="929" priority="97">
      <formula>AND(J21=1,IF(COUNTIF(J$21:J$25,"=1")=1,TRUE))</formula>
    </cfRule>
    <cfRule type="expression" dxfId="928" priority="98">
      <formula>AND(J21=3,IF(COUNTIF(J$21:J$25,"=3")=1,TRUE))</formula>
    </cfRule>
  </conditionalFormatting>
  <conditionalFormatting sqref="L7:L11">
    <cfRule type="expression" dxfId="927" priority="92">
      <formula>OR(J7=0,J7=4)</formula>
    </cfRule>
    <cfRule type="expression" dxfId="926" priority="93">
      <formula>AND(J7=1,IF(COUNTIF(J$7:J$11,"=1")=1,TRUE))</formula>
    </cfRule>
    <cfRule type="expression" dxfId="925" priority="94">
      <formula>AND(J7=3,IF(COUNTIF(J$7:J$11,"=3")=1,TRUE))</formula>
    </cfRule>
  </conditionalFormatting>
  <conditionalFormatting sqref="H7:H11">
    <cfRule type="expression" dxfId="924" priority="83">
      <formula>AND(J7=1,IF(COUNTIF(J$7:J$11,"=1")&gt;=2,TRUE))</formula>
    </cfRule>
    <cfRule type="expression" dxfId="923" priority="90">
      <formula>AND(J7=3,IF(COUNTIF(J$7:J$11,"=3")&gt;=2,TRUE))</formula>
    </cfRule>
    <cfRule type="expression" dxfId="922" priority="91">
      <formula>AND(J7=2,IF(COUNTIF(J$7:J$11,"=2")&gt;=2,TRUE))</formula>
    </cfRule>
  </conditionalFormatting>
  <conditionalFormatting sqref="H14:H18">
    <cfRule type="expression" dxfId="921" priority="84">
      <formula>AND(J14=1,IF(COUNTIF(J$14:J$18,"=1")&gt;=2,TRUE))</formula>
    </cfRule>
    <cfRule type="expression" dxfId="920" priority="88">
      <formula>AND(J14=3,IF(COUNTIF(J$14:J$18,"=3")&gt;=2,TRUE))</formula>
    </cfRule>
    <cfRule type="expression" dxfId="919" priority="89">
      <formula>AND(J14=2,IF(COUNTIF(J$14:J$18,"=2")&gt;=2,TRUE))</formula>
    </cfRule>
  </conditionalFormatting>
  <conditionalFormatting sqref="H21:H25">
    <cfRule type="expression" dxfId="918" priority="85">
      <formula>AND(J21=1,IF(COUNTIF(J$21:J$25,"=1")&gt;=2,TRUE))</formula>
    </cfRule>
    <cfRule type="expression" dxfId="917" priority="86">
      <formula>AND(J21=3,IF(COUNTIF(J$21:J$25,"=3")&gt;=2,TRUE))</formula>
    </cfRule>
    <cfRule type="expression" dxfId="916" priority="87">
      <formula>AND(J21=2,IF(COUNTIF(J$21:J$25,"=2")&gt;=2,TRUE))</formula>
    </cfRule>
  </conditionalFormatting>
  <conditionalFormatting sqref="A102:A116">
    <cfRule type="cellIs" dxfId="915" priority="67" operator="equal">
      <formula>"-"</formula>
    </cfRule>
    <cfRule type="duplicateValues" dxfId="914" priority="82"/>
  </conditionalFormatting>
  <conditionalFormatting sqref="E123 E125">
    <cfRule type="aboveAverage" dxfId="913" priority="81"/>
  </conditionalFormatting>
  <conditionalFormatting sqref="E127 E129">
    <cfRule type="aboveAverage" dxfId="912" priority="80"/>
  </conditionalFormatting>
  <conditionalFormatting sqref="G124 G128">
    <cfRule type="aboveAverage" dxfId="911" priority="79"/>
  </conditionalFormatting>
  <conditionalFormatting sqref="G131 G133">
    <cfRule type="aboveAverage" dxfId="910" priority="78"/>
  </conditionalFormatting>
  <conditionalFormatting sqref="E123 E125 E127 E129 G124 G128 G131 G133">
    <cfRule type="containsBlanks" dxfId="909" priority="77">
      <formula>LEN(TRIM(E123))=0</formula>
    </cfRule>
  </conditionalFormatting>
  <conditionalFormatting sqref="C102 C104">
    <cfRule type="aboveAverage" dxfId="908" priority="76"/>
  </conditionalFormatting>
  <conditionalFormatting sqref="C106 C108">
    <cfRule type="aboveAverage" dxfId="907" priority="75"/>
  </conditionalFormatting>
  <conditionalFormatting sqref="E103 E107">
    <cfRule type="aboveAverage" dxfId="906" priority="74"/>
  </conditionalFormatting>
  <conditionalFormatting sqref="C110 C112">
    <cfRule type="aboveAverage" dxfId="905" priority="73"/>
  </conditionalFormatting>
  <conditionalFormatting sqref="C114 C116">
    <cfRule type="aboveAverage" dxfId="904" priority="72"/>
  </conditionalFormatting>
  <conditionalFormatting sqref="E111 E115">
    <cfRule type="aboveAverage" dxfId="903" priority="71"/>
  </conditionalFormatting>
  <conditionalFormatting sqref="G105 G113">
    <cfRule type="aboveAverage" dxfId="902" priority="70"/>
  </conditionalFormatting>
  <conditionalFormatting sqref="G117 G119">
    <cfRule type="aboveAverage" dxfId="901" priority="69"/>
  </conditionalFormatting>
  <conditionalFormatting sqref="C102 C104 C106 C108 C110 C112 C114 C116 E103 E107 E111 E115 G105 G113 G117 G119">
    <cfRule type="containsBlanks" dxfId="900" priority="68">
      <formula>LEN(TRIM(C102))=0</formula>
    </cfRule>
  </conditionalFormatting>
  <conditionalFormatting sqref="C41 C45:C46">
    <cfRule type="aboveAverage" dxfId="899" priority="50"/>
  </conditionalFormatting>
  <conditionalFormatting sqref="D41 D45:D46">
    <cfRule type="aboveAverage" dxfId="898" priority="49"/>
  </conditionalFormatting>
  <conditionalFormatting sqref="D28 C29">
    <cfRule type="aboveAverage" dxfId="897" priority="48"/>
  </conditionalFormatting>
  <conditionalFormatting sqref="E28 C30">
    <cfRule type="aboveAverage" dxfId="896" priority="47"/>
  </conditionalFormatting>
  <conditionalFormatting sqref="F28 C31">
    <cfRule type="aboveAverage" dxfId="895" priority="46"/>
  </conditionalFormatting>
  <conditionalFormatting sqref="E29 D30">
    <cfRule type="aboveAverage" dxfId="894" priority="45"/>
  </conditionalFormatting>
  <conditionalFormatting sqref="G28 C32">
    <cfRule type="aboveAverage" dxfId="893" priority="44"/>
  </conditionalFormatting>
  <conditionalFormatting sqref="F29 D31">
    <cfRule type="aboveAverage" dxfId="892" priority="43"/>
  </conditionalFormatting>
  <conditionalFormatting sqref="G29 D32">
    <cfRule type="aboveAverage" dxfId="891" priority="42"/>
  </conditionalFormatting>
  <conditionalFormatting sqref="F30 E31">
    <cfRule type="aboveAverage" dxfId="890" priority="41"/>
  </conditionalFormatting>
  <conditionalFormatting sqref="G30 E32">
    <cfRule type="aboveAverage" dxfId="889" priority="40"/>
  </conditionalFormatting>
  <conditionalFormatting sqref="F32 G31">
    <cfRule type="aboveAverage" dxfId="888" priority="39"/>
  </conditionalFormatting>
  <conditionalFormatting sqref="I28:I32">
    <cfRule type="expression" dxfId="887" priority="37">
      <formula>FIND(2,I28,1)</formula>
    </cfRule>
    <cfRule type="expression" dxfId="886" priority="38">
      <formula>FIND(1,I28,1)</formula>
    </cfRule>
  </conditionalFormatting>
  <conditionalFormatting sqref="K28:K32">
    <cfRule type="expression" dxfId="885" priority="34">
      <formula>AND(J28=3,IF(COUNTIF(J$28:J$32,"=3")&gt;=2,TRUE))</formula>
    </cfRule>
    <cfRule type="expression" dxfId="884" priority="35">
      <formula>AND(J28=1,IF(COUNTIF(J$28:J$32,"=1")&gt;=2,TRUE))</formula>
    </cfRule>
    <cfRule type="expression" dxfId="883" priority="36">
      <formula>AND(J28=2,IF(COUNTIF(J$28:J$32,"=2")&gt;=2,TRUE))</formula>
    </cfRule>
  </conditionalFormatting>
  <conditionalFormatting sqref="L28:L32">
    <cfRule type="expression" dxfId="882" priority="31">
      <formula>OR(J28=0,J28=4)</formula>
    </cfRule>
    <cfRule type="expression" dxfId="881" priority="32">
      <formula>AND(J28=1,IF(COUNTIF(J$28:J$32,"=1")=1,TRUE))</formula>
    </cfRule>
    <cfRule type="expression" dxfId="880" priority="33">
      <formula>AND(J28=3,IF(COUNTIF(J$28:J$32,"=3")=1,TRUE))</formula>
    </cfRule>
  </conditionalFormatting>
  <conditionalFormatting sqref="H28:H32">
    <cfRule type="expression" dxfId="879" priority="28">
      <formula>AND(J28=1,IF(COUNTIF(J$28:J$32,"=1")&gt;=2,TRUE))</formula>
    </cfRule>
    <cfRule type="expression" dxfId="878" priority="29">
      <formula>AND(J28=3,IF(COUNTIF(J$28:J$32,"=3")&gt;=2,TRUE))</formula>
    </cfRule>
    <cfRule type="expression" dxfId="877" priority="30">
      <formula>AND(J28=2,IF(COUNTIF(J$28:J$32,"=2")&gt;=2,TRUE))</formula>
    </cfRule>
  </conditionalFormatting>
  <conditionalFormatting sqref="B28:B29 B9 B14:B16">
    <cfRule type="duplicateValues" dxfId="876" priority="891"/>
  </conditionalFormatting>
  <conditionalFormatting sqref="B300:B311">
    <cfRule type="containsBlanks" dxfId="875" priority="892">
      <formula>LEN(TRIM(B300))=0</formula>
    </cfRule>
    <cfRule type="duplicateValues" dxfId="874" priority="893"/>
  </conditionalFormatting>
  <conditionalFormatting sqref="D141 C142">
    <cfRule type="aboveAverage" dxfId="873" priority="20"/>
  </conditionalFormatting>
  <conditionalFormatting sqref="E141 C143">
    <cfRule type="aboveAverage" dxfId="872" priority="19"/>
  </conditionalFormatting>
  <conditionalFormatting sqref="F141 C144">
    <cfRule type="aboveAverage" dxfId="871" priority="18"/>
  </conditionalFormatting>
  <conditionalFormatting sqref="E142 D143">
    <cfRule type="aboveAverage" dxfId="870" priority="17"/>
  </conditionalFormatting>
  <conditionalFormatting sqref="G141">
    <cfRule type="aboveAverage" dxfId="869" priority="16"/>
  </conditionalFormatting>
  <conditionalFormatting sqref="F142 D144">
    <cfRule type="aboveAverage" dxfId="868" priority="15"/>
  </conditionalFormatting>
  <conditionalFormatting sqref="G142">
    <cfRule type="aboveAverage" dxfId="867" priority="14"/>
  </conditionalFormatting>
  <conditionalFormatting sqref="F143 E144">
    <cfRule type="aboveAverage" dxfId="866" priority="13"/>
  </conditionalFormatting>
  <conditionalFormatting sqref="G143">
    <cfRule type="aboveAverage" dxfId="865" priority="12"/>
  </conditionalFormatting>
  <conditionalFormatting sqref="G144">
    <cfRule type="aboveAverage" dxfId="864" priority="11"/>
  </conditionalFormatting>
  <conditionalFormatting sqref="K141:K144">
    <cfRule type="expression" dxfId="863" priority="8">
      <formula>AND(J141=3,IF(COUNTIF(J$7:J$11,"=3")&gt;=2,TRUE))</formula>
    </cfRule>
    <cfRule type="expression" dxfId="862" priority="9">
      <formula>AND(J141=1,IF(COUNTIF(J$7:J$11,"=1")&gt;=2,TRUE))</formula>
    </cfRule>
    <cfRule type="expression" dxfId="861" priority="10">
      <formula>AND(J141=2,IF(COUNTIF(J$7:J$11,"=2")&gt;=2,TRUE))</formula>
    </cfRule>
  </conditionalFormatting>
  <conditionalFormatting sqref="L141:L144">
    <cfRule type="expression" dxfId="860" priority="5">
      <formula>OR(J141=0,J141=4)</formula>
    </cfRule>
    <cfRule type="expression" dxfId="859" priority="6">
      <formula>AND(J141=1,IF(COUNTIF(J$7:J$11,"=1")=1,TRUE))</formula>
    </cfRule>
    <cfRule type="expression" dxfId="858" priority="7">
      <formula>AND(J141=3,IF(COUNTIF(J$7:J$11,"=3")=1,TRUE))</formula>
    </cfRule>
  </conditionalFormatting>
  <conditionalFormatting sqref="H141:H144">
    <cfRule type="expression" dxfId="857" priority="2">
      <formula>AND(J141=1,IF(COUNTIF(J$7:J$11,"=1")&gt;=2,TRUE))</formula>
    </cfRule>
    <cfRule type="expression" dxfId="856" priority="3">
      <formula>AND(J141=3,IF(COUNTIF(J$7:J$11,"=3")&gt;=2,TRUE))</formula>
    </cfRule>
    <cfRule type="expression" dxfId="855" priority="4">
      <formula>AND(J141=2,IF(COUNTIF(J$7:J$11,"=2")&gt;=2,TRUE))</formula>
    </cfRule>
  </conditionalFormatting>
  <conditionalFormatting sqref="B142">
    <cfRule type="duplicateValues" dxfId="854" priority="1"/>
  </conditionalFormatting>
  <pageMargins left="0.78740157480314965" right="0.39370078740157483" top="0.78740157480314965" bottom="0.31496062992125984" header="0.59055118110236227" footer="0"/>
  <pageSetup paperSize="9" fitToHeight="0" orientation="landscape" verticalDpi="1200" r:id="rId1"/>
  <headerFooter>
    <oddHeader>&amp;R&amp;"Arial,Regular"&amp;9Page &amp;P of &amp;N</oddHeader>
  </headerFooter>
  <rowBreaks count="2" manualBreakCount="2">
    <brk id="36" max="16383" man="1"/>
    <brk id="136" max="16383" man="1"/>
  </rowBreaks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CFFCC"/>
    <pageSetUpPr fitToPage="1"/>
  </sheetPr>
  <dimension ref="A1:AB315"/>
  <sheetViews>
    <sheetView showGridLines="0" showRowColHeaders="0" zoomScaleNormal="100" workbookViewId="0">
      <pane ySplit="2" topLeftCell="A3" activePane="bottomLeft" state="frozen"/>
      <selection activeCell="G1" sqref="G1"/>
      <selection pane="bottomLeft" activeCell="I1" sqref="I1"/>
    </sheetView>
  </sheetViews>
  <sheetFormatPr defaultRowHeight="12.75" x14ac:dyDescent="0.2"/>
  <cols>
    <col min="1" max="1" width="5.5703125" style="139" customWidth="1"/>
    <col min="2" max="2" width="32" style="139" bestFit="1" customWidth="1"/>
    <col min="3" max="8" width="6.7109375" style="139" customWidth="1"/>
    <col min="9" max="9" width="5.140625" style="139" bestFit="1" customWidth="1"/>
    <col min="10" max="10" width="4.5703125" style="139" hidden="1" customWidth="1"/>
    <col min="11" max="11" width="2.28515625" style="139" customWidth="1"/>
    <col min="12" max="12" width="3.5703125" style="139" customWidth="1"/>
    <col min="13" max="13" width="6" style="139" hidden="1" customWidth="1"/>
    <col min="14" max="14" width="4.28515625" style="139" customWidth="1"/>
    <col min="15" max="15" width="5.5703125" style="139" customWidth="1"/>
    <col min="16" max="16" width="8.5703125" style="139" bestFit="1" customWidth="1"/>
    <col min="17" max="17" width="9.140625" style="139"/>
    <col min="18" max="18" width="7.7109375" style="139" hidden="1" customWidth="1"/>
    <col min="19" max="19" width="17.140625" style="139" hidden="1" customWidth="1"/>
    <col min="20" max="20" width="6" style="139" hidden="1" customWidth="1"/>
    <col min="21" max="21" width="32.7109375" style="139" hidden="1" customWidth="1"/>
    <col min="22" max="22" width="6" style="139" hidden="1" customWidth="1"/>
    <col min="23" max="23" width="17.28515625" style="139" hidden="1" customWidth="1"/>
    <col min="24" max="24" width="6" style="139" hidden="1" customWidth="1"/>
    <col min="25" max="25" width="13.85546875" style="139" hidden="1" customWidth="1"/>
    <col min="26" max="26" width="6" style="139" hidden="1" customWidth="1"/>
    <col min="27" max="16384" width="9.140625" style="139"/>
  </cols>
  <sheetData>
    <row r="1" spans="1:27" x14ac:dyDescent="0.2">
      <c r="A1" s="86" t="str">
        <f>UPPER((Kalend!E37)&amp;" - "&amp;(Kalend!C37)&amp;" - "&amp;(Kalend!D37))</f>
        <v>V12 - VOKA 1. SISE-KV 12. ETAPP - DUO</v>
      </c>
      <c r="F1" s="51" t="str">
        <f>HYPERLINK("#'Kalend'!I1","Kalender")</f>
        <v>Kalender</v>
      </c>
      <c r="H1" s="51" t="str">
        <f>HYPERLINK("#'V'!AE1","Reiting")</f>
        <v>Reiting</v>
      </c>
      <c r="I1" s="88"/>
      <c r="J1" s="502" t="s">
        <v>380</v>
      </c>
      <c r="L1" s="585"/>
      <c r="M1" s="504"/>
      <c r="R1" s="502" t="s">
        <v>380</v>
      </c>
      <c r="S1" s="504"/>
      <c r="T1" s="504"/>
      <c r="U1" s="503"/>
      <c r="V1" s="504"/>
      <c r="W1" s="504"/>
      <c r="X1" s="504"/>
      <c r="Y1" s="504"/>
      <c r="Z1" s="504"/>
    </row>
    <row r="2" spans="1:27" x14ac:dyDescent="0.2">
      <c r="A2" s="186" t="str">
        <f>"Toimumisaeg: "&amp;(Kalend!A37)&amp;" kell "&amp;(Kalend!B37)</f>
        <v>Toimumisaeg: L, 24.03.2018 kell 11:00</v>
      </c>
      <c r="S2" s="314"/>
      <c r="U2" s="314"/>
    </row>
    <row r="3" spans="1:27" x14ac:dyDescent="0.2">
      <c r="A3" s="186" t="str">
        <f>"Toimumiskoht: "&amp;(Kalend!F37)</f>
        <v>Toimumiskoht: Voka petangihall</v>
      </c>
      <c r="S3" s="505" t="s">
        <v>381</v>
      </c>
      <c r="U3" s="314"/>
      <c r="W3" s="261"/>
    </row>
    <row r="4" spans="1:27" x14ac:dyDescent="0.2">
      <c r="A4" s="186" t="str">
        <f>"Korraldaja: "&amp;(Kalend!G37)</f>
        <v>Korraldaja: Johannes Neiland</v>
      </c>
      <c r="R4" s="506" t="s">
        <v>36</v>
      </c>
      <c r="S4" s="507"/>
      <c r="T4" s="508"/>
      <c r="U4" s="509"/>
      <c r="V4" s="508"/>
      <c r="W4" s="508"/>
      <c r="X4" s="508"/>
      <c r="Y4" s="508"/>
      <c r="Z4" s="508"/>
    </row>
    <row r="5" spans="1:27" x14ac:dyDescent="0.2">
      <c r="R5" s="506" t="s">
        <v>382</v>
      </c>
      <c r="S5" s="510" t="s">
        <v>383</v>
      </c>
      <c r="T5" s="510"/>
      <c r="U5" s="511" t="s">
        <v>384</v>
      </c>
      <c r="V5" s="510"/>
      <c r="W5" s="510" t="s">
        <v>385</v>
      </c>
      <c r="X5" s="510"/>
      <c r="Y5" s="510" t="s">
        <v>386</v>
      </c>
      <c r="Z5" s="512"/>
    </row>
    <row r="6" spans="1:27" s="188" customFormat="1" x14ac:dyDescent="0.2">
      <c r="A6" s="126" t="s">
        <v>66</v>
      </c>
      <c r="B6" s="438"/>
      <c r="C6" s="91">
        <v>1</v>
      </c>
      <c r="D6" s="91">
        <v>2</v>
      </c>
      <c r="E6" s="91">
        <v>3</v>
      </c>
      <c r="F6" s="91">
        <v>4</v>
      </c>
      <c r="G6" s="91"/>
      <c r="H6" s="91" t="s">
        <v>73</v>
      </c>
      <c r="I6" s="438" t="s">
        <v>46</v>
      </c>
      <c r="J6" s="577" t="s">
        <v>273</v>
      </c>
      <c r="K6" s="649" t="s">
        <v>273</v>
      </c>
      <c r="L6" s="650" t="s">
        <v>430</v>
      </c>
      <c r="M6" s="188" t="b">
        <f>OR(AND(COUNTA(B7:B11)=3,COUNTA(C7:G11)=6),AND(COUNTA(B7:B11)=4,COUNTA(C7:G11)=12),AND(COUNTA(B7:B11)=5,COUNTA(C7:G11)=20))</f>
        <v>1</v>
      </c>
      <c r="O6" s="186"/>
      <c r="P6" s="186"/>
      <c r="Q6" s="139"/>
      <c r="R6" s="506" t="s">
        <v>387</v>
      </c>
      <c r="S6" s="507"/>
      <c r="T6" s="508"/>
      <c r="U6" s="507"/>
      <c r="V6" s="508"/>
      <c r="W6" s="513"/>
      <c r="X6" s="513"/>
      <c r="Y6" s="513"/>
      <c r="Z6" s="513"/>
    </row>
    <row r="7" spans="1:27" s="188" customFormat="1" x14ac:dyDescent="0.2">
      <c r="A7" s="126">
        <v>1</v>
      </c>
      <c r="B7" s="164" t="s">
        <v>116</v>
      </c>
      <c r="C7" s="127"/>
      <c r="D7" s="316">
        <v>3</v>
      </c>
      <c r="E7" s="316">
        <v>13</v>
      </c>
      <c r="F7" s="93">
        <v>13</v>
      </c>
      <c r="G7" s="93"/>
      <c r="H7" s="576" t="str">
        <f>(IF(D7-C8&gt;0,1)+IF(E7-C9&gt;0,1)+IF(F7-C10&gt;0,1)+IF(G7-C11&gt;0,1))&amp;"-"&amp;(IF(D7-C8&lt;0,1)+IF(E7-C9&lt;0,1)+IF(F7-C10&lt;0,1)+IF(G7-C11&lt;0,1))</f>
        <v>2-1</v>
      </c>
      <c r="I7" s="93" t="str">
        <f>IF(AND(B7&lt;&gt;"",M$6=TRUE),A$6&amp;RANK(M7,M$7:M$11,0),"")</f>
        <v>A3</v>
      </c>
      <c r="J7" s="584">
        <f>VALUE(LEFT(H7,1))</f>
        <v>2</v>
      </c>
      <c r="K7" s="651">
        <f>IF(AND(J7=1,J8=1,D7&gt;C8),1)+IF(AND(J7=1,J9=1,E7&gt;C9),1)+IF(AND(J7=1,J10=1,F7&gt;C10),1)+IF(AND(J7=1,J11=1,G7&gt;C11),1)+IF(AND(J7=2,J8=2,D7&gt;C8),1)+IF(AND(J7=2,J9=2,E7&gt;C9),1)+IF(AND(J7=2,J10=2,F7&gt;C10),1)+IF(AND(J7=2,J11=2,G7&gt;C11),1)+IF(AND(J7=3,J8=3,D7&gt;C8),1)+IF(AND(J7=3,J9=3,E7&gt;C9),1)+IF(AND(J7=3,J10=3,F7&gt;C10),1)+IF(AND(J7=3,J11=3,G7&gt;C11),1)</f>
        <v>1</v>
      </c>
      <c r="L7" s="652">
        <f>IF(AND(J7=1,J8=1),D7-C8)+IF(AND(J7=1,J9=1),E7-C9)+IF(AND(J7=1,J10=1),F7-C10)+IF(AND(J7=1,J11=1),G7-C11)+IF(AND(J7=2,J8=2),D7-C8)+IF(AND(J7=2,J9=2),E7-C9)+IF(AND(J7=2,J10=2),F7-C10)+IF(AND(J7=2,J11=2),G7-C11)+IF(AND(J7=3,J8=3),D7-C8)+IF(AND(J7=3,J9=3),E7-C9)+IF(AND(J7=3,J10=3),F7-C10)+IF(AND(J7=3,J11=3),G7-C11)</f>
        <v>-2</v>
      </c>
      <c r="M7" s="668">
        <f>10000*J7+K7*100+L7</f>
        <v>20098</v>
      </c>
      <c r="N7" s="569"/>
      <c r="O7" s="517"/>
      <c r="P7" s="186"/>
      <c r="Q7" s="140"/>
      <c r="R7" s="512">
        <f>SUM(T7:Z7)</f>
        <v>139</v>
      </c>
      <c r="S7" s="514" t="str">
        <f t="shared" ref="S7:S32" si="0">IFERROR(LEFT($B7,(FIND(",",$B7,1)-1)),"")</f>
        <v>Jaan Sepp</v>
      </c>
      <c r="T7" s="515">
        <f>IFERROR(INDEX(V!$O:$O,MATCH(S7,V!$J:$J,0)),"")</f>
        <v>82.5</v>
      </c>
      <c r="U7" s="514" t="str">
        <f t="shared" ref="U7:U32" si="1">IFERROR(MID($B7,FIND(", ",$B7)+2,256),"")</f>
        <v>Oskar Sepp</v>
      </c>
      <c r="V7" s="515">
        <f>IFERROR(INDEX(V!$O:$O,MATCH(U7,V!$J:$J,0)),"")</f>
        <v>56.5</v>
      </c>
      <c r="W7" s="516" t="str">
        <f t="shared" ref="W7:W32" si="2">IFERROR(MID($B7,FIND("^",SUBSTITUTE($B7,", ","^",1))+2,FIND("^",SUBSTITUTE($B7,", ","^",2))-FIND("^",SUBSTITUTE($B7,", ","^",1))-2),"")</f>
        <v/>
      </c>
      <c r="X7" s="515" t="str">
        <f>IFERROR(INDEX(V!$O:$O,MATCH(W7,V!$J:$J,0)),"")</f>
        <v/>
      </c>
      <c r="Y7" s="516" t="str">
        <f t="shared" ref="Y7:Y25" si="3">IFERROR(MID($B7,FIND(", ",$B7,FIND(", ",$B7,FIND(", ",$B7))+1)+2,30000),"")</f>
        <v/>
      </c>
      <c r="Z7" s="515" t="str">
        <f>IFERROR(INDEX(V!$O:$O,MATCH(Y7,V!$J:$J,0)),"")</f>
        <v/>
      </c>
    </row>
    <row r="8" spans="1:27" s="188" customFormat="1" x14ac:dyDescent="0.2">
      <c r="A8" s="126">
        <v>2</v>
      </c>
      <c r="B8" s="581" t="s">
        <v>611</v>
      </c>
      <c r="C8" s="316">
        <v>13</v>
      </c>
      <c r="D8" s="127"/>
      <c r="E8" s="316">
        <v>3</v>
      </c>
      <c r="F8" s="93">
        <v>13</v>
      </c>
      <c r="G8" s="93"/>
      <c r="H8" s="576" t="str">
        <f>(IF(C8-D7&gt;0,1)+IF(E8-D9&gt;0,1)+IF(F8-D10&gt;0,1)+IF(G8-D11&gt;0,1))&amp;"-"&amp;(IF(C8-D7&lt;0,1)+IF(E8-D9&lt;0,1)+IF(F8-D10&lt;0,1)+IF(G8-D11&lt;0,1))</f>
        <v>2-1</v>
      </c>
      <c r="I8" s="93" t="str">
        <f>IF(AND(B8&lt;&gt;"",M$6=TRUE),A$6&amp;RANK(M8,M$7:M$11,0),"")</f>
        <v>A2</v>
      </c>
      <c r="J8" s="584">
        <f t="shared" ref="J8:J11" si="4">VALUE(LEFT(H8,1))</f>
        <v>2</v>
      </c>
      <c r="K8" s="653">
        <f>IF(AND(J8=1,J7=1,C8&gt;D7),1)+IF(AND(J8=1,J9=1,E8&gt;D9),1)+IF(AND(J8=1,J10=1,F8&gt;D10),1)+IF(AND(J8=1,J11=1,G8&gt;D11),1)+IF(AND(J8=2,J7=2,C8&gt;D7),1)+IF(AND(J8=2,J9=2,E8&gt;D9),1)+IF(AND(J8=2,J10=2,F8&gt;D10),1)+IF(AND(J8=2,J11=2,G8&gt;D11),1)+IF(AND(J8=3,J7=3,C8&gt;D7),1)+IF(AND(J8=3,J9=3,E8&gt;D9),1)+IF(AND(J8=3,J10=3,F8&gt;D10),1)+IF(AND(J8=3,J11=3,G8&gt;D11),1)</f>
        <v>1</v>
      </c>
      <c r="L8" s="652">
        <f>IF(AND(J8=1,J7=1),C8-D7)+IF(AND(J8=1,J9=1),E8-D9)+IF(AND(J8=1,J10=1),F8-D10)+IF(AND(J8=1,J11=1),G8-D11)+IF(AND(J8=2,J7=2),C8-D7)+IF(AND(J8=2,J9=2),E8-D9)+IF(AND(J8=2,J10=2),F8-D10)+IF(AND(J8=2,J11=2),G8-D11)+IF(AND(J8=3,J7=3),C8-D7)+IF(AND(J8=3,J9=3),E8-D9)+IF(AND(J8=3,J10=3),F8-D10)+IF(AND(J8=3,J11=3),G8-D11)</f>
        <v>0</v>
      </c>
      <c r="M8" s="668">
        <f t="shared" ref="M8:M11" si="5">10000*J8+K8*100+L8</f>
        <v>20100</v>
      </c>
      <c r="N8" s="569"/>
      <c r="O8" s="517"/>
      <c r="P8" s="186"/>
      <c r="Q8" s="140"/>
      <c r="R8" s="512">
        <f t="shared" ref="R8:R11" si="6">SUM(T8:Z8)</f>
        <v>134</v>
      </c>
      <c r="S8" s="514" t="str">
        <f t="shared" si="0"/>
        <v>Kenneth Muusikus</v>
      </c>
      <c r="T8" s="515">
        <f>IFERROR(INDEX(V!$O:$O,MATCH(S8,V!$J:$J,0)),"")</f>
        <v>80</v>
      </c>
      <c r="U8" s="514" t="str">
        <f t="shared" si="1"/>
        <v>Peep Peenema</v>
      </c>
      <c r="V8" s="515">
        <f>IFERROR(INDEX(V!$O:$O,MATCH(U8,V!$J:$J,0)),"")</f>
        <v>54</v>
      </c>
      <c r="W8" s="516" t="str">
        <f t="shared" si="2"/>
        <v/>
      </c>
      <c r="X8" s="515" t="str">
        <f>IFERROR(INDEX(V!$O:$O,MATCH(W8,V!$J:$J,0)),"")</f>
        <v/>
      </c>
      <c r="Y8" s="516" t="str">
        <f t="shared" si="3"/>
        <v/>
      </c>
      <c r="Z8" s="515" t="str">
        <f>IFERROR(INDEX(V!$O:$O,MATCH(Y8,V!$J:$J,0)),"")</f>
        <v/>
      </c>
    </row>
    <row r="9" spans="1:27" s="188" customFormat="1" x14ac:dyDescent="0.2">
      <c r="A9" s="126">
        <v>3</v>
      </c>
      <c r="B9" s="581" t="s">
        <v>512</v>
      </c>
      <c r="C9" s="316">
        <v>5</v>
      </c>
      <c r="D9" s="403">
        <v>13</v>
      </c>
      <c r="E9" s="127"/>
      <c r="F9" s="93">
        <v>13</v>
      </c>
      <c r="G9" s="93"/>
      <c r="H9" s="576" t="str">
        <f>(IF(C9-E7&gt;0,1)+IF(D9-E8&gt;0,1)+IF(F9-E10&gt;0,1)+IF(G9-E11&gt;0,1))&amp;"-"&amp;(IF(C9-E7&lt;0,1)+IF(D9-E8&lt;0,1)+IF(F9-E10&lt;0,1)+IF(G9-E11&lt;0,1))</f>
        <v>2-1</v>
      </c>
      <c r="I9" s="93" t="str">
        <f>IF(AND(B9&lt;&gt;"",M$6=TRUE),A$6&amp;RANK(M9,M$7:M$11,0),"")</f>
        <v>A1</v>
      </c>
      <c r="J9" s="584">
        <f t="shared" si="4"/>
        <v>2</v>
      </c>
      <c r="K9" s="653">
        <f>IF(AND(J9=1,J7=1,C9&gt;E7),1)+IF(AND(J9=1,J8=1,D9&gt;E8),1)+IF(AND(J9=1,J10=1,F9&gt;E10),1)+IF(AND(J9=1,J11=1,G9&gt;E11),1)+IF(AND(J9=2,J7=2,C9&gt;E7),1)+IF(AND(J9=2,J8=2,D9&gt;E8),1)+IF(AND(J9=2,J10=2,F9&gt;E10),1)+IF(AND(J9=2,J11=2,G9&gt;E11),1)+IF(AND(J9=3,J7=3,C9&gt;E7),1)+IF(AND(J9=3,J8=3,D9&gt;E8),1)+IF(AND(J9=3,J10=3,F9&gt;E10),1)+IF(AND(J9=3,J11=3,G9&gt;E11),1)</f>
        <v>1</v>
      </c>
      <c r="L9" s="652">
        <f>IF(AND(J9=1,J7=1),C9-E7)+IF(AND(J9=1,J8=1),D9-E8)+IF(AND(J9=1,J10=1),F9-E10)+IF(AND(J9=1,J11=1),G9-E11)+IF(AND(J9=2,J7=2),C9-E7)+IF(AND(J9=2,J8=2),D9-E8)+IF(AND(J9=2,J10=2),F9-E10)+IF(AND(J9=2,J11=2),G9-E11)+IF(AND(J9=3,J7=3),C9-E7)+IF(AND(J9=3,J8=3),D9-E8)+IF(AND(J9=3,J10=3),F9-E10)+IF(AND(J9=3,J11=3),G9-E11)</f>
        <v>2</v>
      </c>
      <c r="M9" s="668">
        <f t="shared" si="5"/>
        <v>20102</v>
      </c>
      <c r="N9" s="569"/>
      <c r="O9" s="186"/>
      <c r="P9" s="186"/>
      <c r="Q9" s="140"/>
      <c r="R9" s="512">
        <f t="shared" si="6"/>
        <v>109</v>
      </c>
      <c r="S9" s="514" t="str">
        <f t="shared" si="0"/>
        <v>Aarne Välja</v>
      </c>
      <c r="T9" s="515">
        <f>IFERROR(INDEX(V!$O:$O,MATCH(S9,V!$J:$J,0)),"")</f>
        <v>15</v>
      </c>
      <c r="U9" s="514" t="str">
        <f t="shared" si="1"/>
        <v>Johannes Neiland</v>
      </c>
      <c r="V9" s="515">
        <f>IFERROR(INDEX(V!$O:$O,MATCH(U9,V!$J:$J,0)),"")</f>
        <v>94</v>
      </c>
      <c r="W9" s="516" t="str">
        <f t="shared" si="2"/>
        <v/>
      </c>
      <c r="X9" s="515" t="str">
        <f>IFERROR(INDEX(V!$O:$O,MATCH(W9,V!$J:$J,0)),"")</f>
        <v/>
      </c>
      <c r="Y9" s="516" t="str">
        <f t="shared" si="3"/>
        <v/>
      </c>
      <c r="Z9" s="515" t="str">
        <f>IFERROR(INDEX(V!$O:$O,MATCH(Y9,V!$J:$J,0)),"")</f>
        <v/>
      </c>
    </row>
    <row r="10" spans="1:27" s="188" customFormat="1" x14ac:dyDescent="0.2">
      <c r="A10" s="126">
        <v>4</v>
      </c>
      <c r="B10" s="582" t="s">
        <v>513</v>
      </c>
      <c r="C10" s="93">
        <v>3</v>
      </c>
      <c r="D10" s="548">
        <v>8</v>
      </c>
      <c r="E10" s="93">
        <v>9</v>
      </c>
      <c r="F10" s="127"/>
      <c r="G10" s="128"/>
      <c r="H10" s="576" t="str">
        <f>(IF(C10-F7&gt;0,1)+IF(D10-F8&gt;0,1)+IF(E10-F9&gt;0,1)+IF(G10-F11&gt;0,1))&amp;"-"&amp;(IF(C10-F7&lt;0,1)+IF(D10-F8&lt;0,1)+IF(E10-F9&lt;0,1)+IF(G10-F11&lt;0,1))</f>
        <v>0-3</v>
      </c>
      <c r="I10" s="93" t="str">
        <f t="shared" ref="I10:I11" si="7">IF(AND(B10&lt;&gt;"",M$6=TRUE),A$6&amp;RANK(M10,M$7:M$11,0),"")</f>
        <v>A4</v>
      </c>
      <c r="J10" s="584">
        <f t="shared" si="4"/>
        <v>0</v>
      </c>
      <c r="K10" s="653">
        <f>IF(AND(J10=1,J7=1,C10&gt;F7),1)+IF(AND(J10=1,J8=1,D10&gt;F8),1)+IF(AND(J10=1,J9=1,E10&gt;F9),1)+IF(AND(J10=1,J11=1,G10&gt;F11),1)+IF(AND(J10=2,J7=2,C10&gt;F7),1)+IF(AND(J10=2,J8=2,D10&gt;F8),1)+IF(AND(J10=2,J9=2,E10&gt;F9),1)+IF(AND(J10=2,J11=2,G10&gt;F11),1)+IF(AND(J10=3,J7=3,C10&gt;F7),1)+IF(AND(J10=3,J8=3,D10&gt;F8),1)+IF(AND(J10=3,J9=3,E10&gt;F9),1)+IF(AND(J10=3,J11=3,G10&gt;F11),1)</f>
        <v>0</v>
      </c>
      <c r="L10" s="652">
        <f>IF(AND(J10=1,J7=1),C10-F7)+IF(AND(J10=1,J8=1),D10-F8)+IF(AND(J10=1,J9=1),E10-F9)+IF(AND(J10=1,J11=1),G10-F11)+IF(AND(J10=2,J7=2),C10-F7)+IF(AND(J10=2,J8=2),D10-F8)+IF(AND(J10=2,J9=2),E10-F9)+IF(AND(J10=2,J11=2),G10-F11)+IF(AND(J10=3,J7=3),C10-F7)+IF(AND(J10=3,J8=3),D10-F8)+IF(AND(J10=3,J9=3),E10-F9)+IF(AND(J10=3,J11=3),G10-F11)</f>
        <v>0</v>
      </c>
      <c r="M10" s="668">
        <f t="shared" si="5"/>
        <v>0</v>
      </c>
      <c r="N10" s="569"/>
      <c r="O10" s="186"/>
      <c r="P10" s="186"/>
      <c r="Q10" s="140"/>
      <c r="R10" s="512">
        <f t="shared" si="6"/>
        <v>11</v>
      </c>
      <c r="S10" s="514" t="str">
        <f t="shared" si="0"/>
        <v>Marta Bernat</v>
      </c>
      <c r="T10" s="515">
        <f>IFERROR(INDEX(V!$O:$O,MATCH(S10,V!$J:$J,0)),"")</f>
        <v>8</v>
      </c>
      <c r="U10" s="514" t="str">
        <f t="shared" si="1"/>
        <v>Aleksandr Tipakov</v>
      </c>
      <c r="V10" s="515">
        <f>IFERROR(INDEX(V!$O:$O,MATCH(U10,V!$J:$J,0)),"")</f>
        <v>3</v>
      </c>
      <c r="W10" s="516" t="str">
        <f t="shared" si="2"/>
        <v/>
      </c>
      <c r="X10" s="515" t="str">
        <f>IFERROR(INDEX(V!$O:$O,MATCH(W10,V!$J:$J,0)),"")</f>
        <v/>
      </c>
      <c r="Y10" s="516" t="str">
        <f t="shared" si="3"/>
        <v/>
      </c>
      <c r="Z10" s="515" t="str">
        <f>IFERROR(INDEX(V!$O:$O,MATCH(Y10,V!$J:$J,0)),"")</f>
        <v/>
      </c>
    </row>
    <row r="11" spans="1:27" s="188" customFormat="1" hidden="1" x14ac:dyDescent="0.2">
      <c r="A11" s="126">
        <v>5</v>
      </c>
      <c r="B11" s="582"/>
      <c r="C11" s="93"/>
      <c r="D11" s="93"/>
      <c r="E11" s="93"/>
      <c r="F11" s="93"/>
      <c r="G11" s="127"/>
      <c r="H11" s="576" t="str">
        <f>(IF(C11-G7&gt;0,1)+IF(D11-G8&gt;0,1)+IF(E11-G9&gt;0,1)+IF(F11-G10&gt;0,1))&amp;"-"&amp;(IF(C11-G7&lt;0,1)+IF(D11-G8&lt;0,1)+IF(E11-G9&lt;0,1)+IF(F11-G10&lt;0,1))</f>
        <v>0-0</v>
      </c>
      <c r="I11" s="93" t="str">
        <f t="shared" si="7"/>
        <v/>
      </c>
      <c r="J11" s="584">
        <f t="shared" si="4"/>
        <v>0</v>
      </c>
      <c r="K11" s="653">
        <f>IF(AND(J11=1,J7=1,C11&gt;G7),1)+IF(AND(J11=1,J8=1,D11&gt;G8),1)+IF(AND(J11=1,J9=1,E11&gt;G9),1)+IF(AND(J11=1,J10=1,F11&gt;G10),1)+IF(AND(J11=2,J7=2,C11&gt;G7),1)+IF(AND(J11=2,J8=2,D11&gt;G8),1)+IF(AND(J11=2,J9=2,E11&gt;G9),1)+IF(AND(J11=2,J10=2,F11&gt;G10),1)+IF(AND(J11=3,J7=3,C11&gt;G7),1)+IF(AND(J11=3,J8=3,D11&gt;G8),1)+IF(AND(J11=3,J9=3,E11&gt;G9),1)+IF(AND(J11=3,J10=3,F11&gt;G10),1)</f>
        <v>0</v>
      </c>
      <c r="L11" s="652">
        <f>IF(AND(J11=1,J7=1),C11-G7)+IF(AND(J11=1,J8=1),D11-G8)+IF(AND(J11=1,J9=1),E11-G9)+IF(AND(J11=1,J10=1),F11-G10)+IF(AND(J11=2,J7=2),C11-G7)+IF(AND(J11=2,J8=2),D11-G8)+IF(AND(J11=2,J9=2),E11-G9)+IF(AND(J11=2,J10=2),F11-G10)+IF(AND(J11=3,J7=3),C11-G7)+IF(AND(J11=3,J8=3),D11-G8)+IF(AND(J11=3,J9=3),E11-G9)+IF(AND(J11=3,J10=3),F11-G10)</f>
        <v>0</v>
      </c>
      <c r="M11" s="668">
        <f t="shared" si="5"/>
        <v>0</v>
      </c>
      <c r="N11" s="569"/>
      <c r="O11" s="186"/>
      <c r="P11" s="186"/>
      <c r="Q11" s="140"/>
      <c r="R11" s="512">
        <f t="shared" si="6"/>
        <v>0</v>
      </c>
      <c r="S11" s="514" t="str">
        <f t="shared" si="0"/>
        <v/>
      </c>
      <c r="T11" s="515" t="str">
        <f>IFERROR(INDEX(V!$O:$O,MATCH(S11,V!$J:$J,0)),"")</f>
        <v/>
      </c>
      <c r="U11" s="514" t="str">
        <f t="shared" si="1"/>
        <v/>
      </c>
      <c r="V11" s="515" t="str">
        <f>IFERROR(INDEX(V!$O:$O,MATCH(U11,V!$J:$J,0)),"")</f>
        <v/>
      </c>
      <c r="W11" s="516" t="str">
        <f t="shared" si="2"/>
        <v/>
      </c>
      <c r="X11" s="515" t="str">
        <f>IFERROR(INDEX(V!$O:$O,MATCH(W11,V!$J:$J,0)),"")</f>
        <v/>
      </c>
      <c r="Y11" s="516" t="str">
        <f t="shared" si="3"/>
        <v/>
      </c>
      <c r="Z11" s="515" t="str">
        <f>IFERROR(INDEX(V!$O:$O,MATCH(Y11,V!$J:$J,0)),"")</f>
        <v/>
      </c>
    </row>
    <row r="12" spans="1:27" s="188" customFormat="1" x14ac:dyDescent="0.2">
      <c r="A12" s="121"/>
      <c r="B12" s="677"/>
      <c r="C12" s="96"/>
      <c r="D12" s="312"/>
      <c r="E12" s="96"/>
      <c r="F12" s="97"/>
      <c r="H12" s="402"/>
      <c r="I12" s="580"/>
      <c r="J12" s="585"/>
      <c r="K12" s="654"/>
      <c r="L12" s="655"/>
      <c r="M12" s="585"/>
      <c r="N12" s="569"/>
      <c r="O12" s="186"/>
      <c r="P12" s="186"/>
      <c r="Q12" s="139"/>
      <c r="R12" s="186"/>
      <c r="S12" s="186"/>
      <c r="T12" s="186"/>
      <c r="U12" s="186"/>
      <c r="V12" s="186"/>
      <c r="W12" s="186"/>
      <c r="X12" s="186"/>
      <c r="Y12" s="186"/>
      <c r="Z12" s="186"/>
      <c r="AA12" s="88"/>
    </row>
    <row r="13" spans="1:27" s="186" customFormat="1" x14ac:dyDescent="0.2">
      <c r="A13" s="126" t="s">
        <v>90</v>
      </c>
      <c r="B13" s="438"/>
      <c r="C13" s="91">
        <v>1</v>
      </c>
      <c r="D13" s="91">
        <v>2</v>
      </c>
      <c r="E13" s="91">
        <v>3</v>
      </c>
      <c r="F13" s="91">
        <v>4</v>
      </c>
      <c r="G13" s="91"/>
      <c r="H13" s="438" t="s">
        <v>73</v>
      </c>
      <c r="I13" s="438" t="s">
        <v>46</v>
      </c>
      <c r="J13" s="586" t="s">
        <v>273</v>
      </c>
      <c r="K13" s="649" t="s">
        <v>273</v>
      </c>
      <c r="L13" s="656" t="s">
        <v>430</v>
      </c>
      <c r="M13" s="588" t="b">
        <f>OR(AND(COUNTA(B14:B18)=3,COUNTA(C14:G18)=6),AND(COUNTA(B14:B18)=4,COUNTA(C14:G18)=12),AND(COUNTA(B14:B18)=5,COUNTA(C14:G18)=20))</f>
        <v>1</v>
      </c>
      <c r="Q13" s="139"/>
      <c r="AA13" s="88"/>
    </row>
    <row r="14" spans="1:27" s="186" customFormat="1" x14ac:dyDescent="0.2">
      <c r="A14" s="126">
        <v>1</v>
      </c>
      <c r="B14" s="581" t="s">
        <v>471</v>
      </c>
      <c r="C14" s="127"/>
      <c r="D14" s="93">
        <v>13</v>
      </c>
      <c r="E14" s="93">
        <v>13</v>
      </c>
      <c r="F14" s="93">
        <v>13</v>
      </c>
      <c r="G14" s="93"/>
      <c r="H14" s="576" t="str">
        <f>(IF(D14-C15&gt;0,1)+IF(E14-C16&gt;0,1)+IF(F14-C17&gt;0,1)+IF(G14-C18&gt;0,1))&amp;"-"&amp;(IF(D14-C15&lt;0,1)+IF(E14-C16&lt;0,1)+IF(F14-C17&lt;0,1)+IF(G14-C18&lt;0,1))</f>
        <v>3-0</v>
      </c>
      <c r="I14" s="93" t="str">
        <f t="shared" ref="I14:I18" si="8">IF(AND(B14&lt;&gt;"",M$13=TRUE),A$13&amp;RANK(M14,M$14:M$18,0),"")</f>
        <v>B1</v>
      </c>
      <c r="J14" s="584">
        <f>VALUE(LEFT(H14,1))</f>
        <v>3</v>
      </c>
      <c r="K14" s="651">
        <f>IF(AND(J14=1,J15=1,D14&gt;C15),1)+IF(AND(J14=1,J16=1,E14&gt;C16),1)+IF(AND(J14=1,J17=1,F14&gt;C17),1)+IF(AND(J14=1,J18=1,G14&gt;C18),1)+IF(AND(J14=2,J15=2,D14&gt;C15),1)+IF(AND(J14=2,J16=2,E14&gt;C16),1)+IF(AND(J14=2,J17=2,F14&gt;C17),1)+IF(AND(J14=2,J18=2,G14&gt;C18),1)+IF(AND(J14=3,J15=3,D14&gt;C15),1)+IF(AND(J14=3,J16=3,E14&gt;C16),1)+IF(AND(J14=3,J17=3,F14&gt;C17),1)+IF(AND(J14=3,J18=3,G14&gt;C18),1)</f>
        <v>0</v>
      </c>
      <c r="L14" s="652"/>
      <c r="M14" s="668">
        <f>10000*J14+K14*100+L14</f>
        <v>30000</v>
      </c>
      <c r="O14" s="517"/>
      <c r="Q14" s="139"/>
      <c r="R14" s="512">
        <f t="shared" ref="R14" si="9">SUM(T14:Z14)</f>
        <v>148</v>
      </c>
      <c r="S14" s="514" t="str">
        <f t="shared" si="0"/>
        <v>Boriss Klubov</v>
      </c>
      <c r="T14" s="515">
        <f>IFERROR(INDEX(V!$O:$O,MATCH(S14,V!$J:$J,0)),"")</f>
        <v>89</v>
      </c>
      <c r="U14" s="514" t="str">
        <f t="shared" si="1"/>
        <v>Mait Metsla</v>
      </c>
      <c r="V14" s="515">
        <f>IFERROR(INDEX(V!$O:$O,MATCH(U14,V!$J:$J,0)),"")</f>
        <v>59</v>
      </c>
      <c r="W14" s="516" t="str">
        <f t="shared" si="2"/>
        <v/>
      </c>
      <c r="X14" s="515" t="str">
        <f>IFERROR(INDEX(V!$O:$O,MATCH(W14,V!$J:$J,0)),"")</f>
        <v/>
      </c>
      <c r="Y14" s="516" t="str">
        <f t="shared" si="3"/>
        <v/>
      </c>
      <c r="Z14" s="515" t="str">
        <f>IFERROR(INDEX(V!$O:$O,MATCH(Y14,V!$J:$J,0)),"")</f>
        <v/>
      </c>
    </row>
    <row r="15" spans="1:27" s="186" customFormat="1" x14ac:dyDescent="0.2">
      <c r="A15" s="126">
        <v>2</v>
      </c>
      <c r="B15" s="581" t="s">
        <v>417</v>
      </c>
      <c r="C15" s="93">
        <v>1</v>
      </c>
      <c r="D15" s="127"/>
      <c r="E15" s="93">
        <v>13</v>
      </c>
      <c r="F15" s="93">
        <v>8</v>
      </c>
      <c r="G15" s="93"/>
      <c r="H15" s="576" t="str">
        <f>(IF(C15-D14&gt;0,1)+IF(E15-D16&gt;0,1)+IF(F15-D17&gt;0,1)+IF(G15-D18&gt;0,1))&amp;"-"&amp;(IF(C15-D14&lt;0,1)+IF(E15-D16&lt;0,1)+IF(F15-D17&lt;0,1)+IF(G15-D18&lt;0,1))</f>
        <v>1-2</v>
      </c>
      <c r="I15" s="93" t="str">
        <f t="shared" si="8"/>
        <v>B3</v>
      </c>
      <c r="J15" s="584">
        <f t="shared" ref="J15:J18" si="10">VALUE(LEFT(H15,1))</f>
        <v>1</v>
      </c>
      <c r="K15" s="653">
        <f>IF(AND(J15=1,J14=1,C15&gt;D14),1)+IF(AND(J15=1,J16=1,E15&gt;D16),1)+IF(AND(J15=1,J17=1,F15&gt;D17),1)+IF(AND(J15=1,J18=1,G15&gt;D18),1)+IF(AND(J15=2,J14=2,C15&gt;D14),1)+IF(AND(J15=2,J16=2,E15&gt;D16),1)+IF(AND(J15=2,J17=2,F15&gt;D17),1)+IF(AND(J15=2,J18=2,G15&gt;D18),1)+IF(AND(J15=3,J14=3,C15&gt;D14),1)+IF(AND(J15=3,J16=3,E15&gt;D16),1)+IF(AND(J15=3,J17=3,F15&gt;D17),1)+IF(AND(J15=3,J18=3,G15&gt;D18),1)</f>
        <v>0</v>
      </c>
      <c r="L15" s="652">
        <f>IF(AND(J15=1,J14=1),C15-D14)+IF(AND(J15=1,J16=1),E15-D16)+IF(AND(J15=1,J17=1),F15-D17)+IF(AND(J15=1,J18=1),G15-D18)+IF(AND(J15=2,J14=2),C15-D14)+IF(AND(J15=2,J16=2),E15-D16)+IF(AND(J15=2,J17=2),F15-D17)+IF(AND(J15=2,J18=2),G15-D18)+IF(AND(J15=3,J14=3),C15-D14)+IF(AND(J15=3,J16=3),E15-D16)+IF(AND(J15=3,J17=3),F15-D17)+IF(AND(J15=3,J18=3),G15-D18)</f>
        <v>0</v>
      </c>
      <c r="M15" s="668">
        <f t="shared" ref="M15:M18" si="11">10000*J15+K15*100+L15</f>
        <v>10000</v>
      </c>
      <c r="Q15" s="139"/>
      <c r="R15" s="512">
        <f t="shared" ref="R15:R18" si="12">SUM(T15:Z15)</f>
        <v>103</v>
      </c>
      <c r="S15" s="514" t="str">
        <f t="shared" si="0"/>
        <v>Andres Viisitam</v>
      </c>
      <c r="T15" s="515">
        <f>IFERROR(INDEX(V!$O:$O,MATCH(S15,V!$J:$J,0)),"")</f>
        <v>30</v>
      </c>
      <c r="U15" s="514" t="str">
        <f t="shared" si="1"/>
        <v>Tõnu Piik</v>
      </c>
      <c r="V15" s="515">
        <f>IFERROR(INDEX(V!$O:$O,MATCH(U15,V!$J:$J,0)),"")</f>
        <v>73</v>
      </c>
      <c r="W15" s="516" t="str">
        <f t="shared" si="2"/>
        <v/>
      </c>
      <c r="X15" s="515" t="str">
        <f>IFERROR(INDEX(V!$O:$O,MATCH(W15,V!$J:$J,0)),"")</f>
        <v/>
      </c>
      <c r="Y15" s="516" t="str">
        <f t="shared" si="3"/>
        <v/>
      </c>
      <c r="Z15" s="515" t="str">
        <f>IFERROR(INDEX(V!$O:$O,MATCH(Y15,V!$J:$J,0)),"")</f>
        <v/>
      </c>
    </row>
    <row r="16" spans="1:27" s="186" customFormat="1" x14ac:dyDescent="0.2">
      <c r="A16" s="126">
        <v>3</v>
      </c>
      <c r="B16" s="581" t="s">
        <v>130</v>
      </c>
      <c r="C16" s="93">
        <v>12</v>
      </c>
      <c r="D16" s="548">
        <v>9</v>
      </c>
      <c r="E16" s="127"/>
      <c r="F16" s="93">
        <v>8</v>
      </c>
      <c r="G16" s="93"/>
      <c r="H16" s="576" t="str">
        <f>(IF(C16-E14&gt;0,1)+IF(D16-E15&gt;0,1)+IF(F16-E17&gt;0,1)+IF(G16-E18&gt;0,1))&amp;"-"&amp;(IF(C16-E14&lt;0,1)+IF(D16-E15&lt;0,1)+IF(F16-E17&lt;0,1)+IF(G16-E18&lt;0,1))</f>
        <v>0-3</v>
      </c>
      <c r="I16" s="93" t="str">
        <f t="shared" si="8"/>
        <v>B4</v>
      </c>
      <c r="J16" s="584">
        <f t="shared" si="10"/>
        <v>0</v>
      </c>
      <c r="K16" s="653">
        <f>IF(AND(J16=1,J14=1,C16&gt;E14),1)+IF(AND(J16=1,J15=1,D16&gt;E15),1)+IF(AND(J16=1,J17=1,F16&gt;E17),1)+IF(AND(J16=1,J18=1,G16&gt;E18),1)+IF(AND(J16=2,J14=2,C16&gt;E14),1)+IF(AND(J16=2,J15=2,D16&gt;E15),1)+IF(AND(J16=2,J17=2,F16&gt;E17),1)+IF(AND(J16=2,J18=2,G16&gt;E18),1)+IF(AND(J16=3,J14=3,C16&gt;E14),1)+IF(AND(J16=3,J15=3,D16&gt;E15),1)+IF(AND(J16=3,J17=3,F16&gt;E17),1)+IF(AND(J16=3,J18=3,G16&gt;E18),1)</f>
        <v>0</v>
      </c>
      <c r="L16" s="652">
        <f>IF(AND(J16=1,J14=1),C16-E14)+IF(AND(J16=1,J15=1),D16-E15)+IF(AND(J16=1,J17=1),F16-E17)+IF(AND(J16=1,J18=1),G16-E18)+IF(AND(J16=2,J14=2),C16-E14)+IF(AND(J16=2,J15=2),D16-E15)+IF(AND(J16=2,J17=2),F16-E17)+IF(AND(J16=2,J18=2),G16-E18)+IF(AND(J16=3,J14=3),C16-E14)+IF(AND(J16=3,J15=3),D16-E15)+IF(AND(J16=3,J17=3),F16-E17)+IF(AND(J16=3,J18=3),G16-E18)</f>
        <v>0</v>
      </c>
      <c r="M16" s="668">
        <f t="shared" si="11"/>
        <v>0</v>
      </c>
      <c r="Q16" s="139"/>
      <c r="R16" s="512">
        <f t="shared" si="12"/>
        <v>73</v>
      </c>
      <c r="S16" s="514" t="str">
        <f t="shared" si="0"/>
        <v>Enn Tokman</v>
      </c>
      <c r="T16" s="515">
        <f>IFERROR(INDEX(V!$O:$O,MATCH(S16,V!$J:$J,0)),"")</f>
        <v>41</v>
      </c>
      <c r="U16" s="514" t="str">
        <f t="shared" si="1"/>
        <v>Tarmo Bombe</v>
      </c>
      <c r="V16" s="515">
        <f>IFERROR(INDEX(V!$O:$O,MATCH(U16,V!$J:$J,0)),"")</f>
        <v>32</v>
      </c>
      <c r="W16" s="516" t="str">
        <f t="shared" si="2"/>
        <v/>
      </c>
      <c r="X16" s="515" t="str">
        <f>IFERROR(INDEX(V!$O:$O,MATCH(W16,V!$J:$J,0)),"")</f>
        <v/>
      </c>
      <c r="Y16" s="516" t="str">
        <f t="shared" si="3"/>
        <v/>
      </c>
      <c r="Z16" s="515" t="str">
        <f>IFERROR(INDEX(V!$O:$O,MATCH(Y16,V!$J:$J,0)),"")</f>
        <v/>
      </c>
    </row>
    <row r="17" spans="1:28" s="186" customFormat="1" x14ac:dyDescent="0.2">
      <c r="A17" s="126">
        <v>4</v>
      </c>
      <c r="B17" s="581" t="s">
        <v>458</v>
      </c>
      <c r="C17" s="93">
        <v>12</v>
      </c>
      <c r="D17" s="548">
        <v>13</v>
      </c>
      <c r="E17" s="93">
        <v>13</v>
      </c>
      <c r="F17" s="127"/>
      <c r="G17" s="128"/>
      <c r="H17" s="576" t="str">
        <f>(IF(C17-F14&gt;0,1)+IF(D17-F15&gt;0,1)+IF(E17-F16&gt;0,1)+IF(G17-F18&gt;0,1))&amp;"-"&amp;(IF(C17-F14&lt;0,1)+IF(D17-F15&lt;0,1)+IF(E17-F16&lt;0,1)+IF(G17-F18&lt;0,1))</f>
        <v>2-1</v>
      </c>
      <c r="I17" s="93" t="str">
        <f t="shared" si="8"/>
        <v>B2</v>
      </c>
      <c r="J17" s="584">
        <f t="shared" si="10"/>
        <v>2</v>
      </c>
      <c r="K17" s="653">
        <f>IF(AND(J17=1,J14=1,C17&gt;F14),1)+IF(AND(J17=1,J15=1,D17&gt;F15),1)+IF(AND(J17=1,J16=1,E17&gt;F16),1)+IF(AND(J17=1,J18=1,G17&gt;F18),1)+IF(AND(J17=2,J14=2,C17&gt;F14),1)+IF(AND(J17=2,J15=2,D17&gt;F15),1)+IF(AND(J17=2,J16=2,E17&gt;F16),1)+IF(AND(J17=2,J18=2,G17&gt;F18),1)+IF(AND(J17=3,J14=3,C17&gt;F14),1)+IF(AND(J17=3,J15=3,D17&gt;F15),1)+IF(AND(J17=3,J16=3,E17&gt;F16),1)+IF(AND(J17=3,J18=3,G17&gt;F18),1)</f>
        <v>0</v>
      </c>
      <c r="L17" s="652">
        <f>IF(AND(J17=1,J14=1),C17-F14)+IF(AND(J17=1,J15=1),D17-F15)+IF(AND(J17=1,J16=1),E17-F16)+IF(AND(J17=1,J18=1),G17-F18)+IF(AND(J17=2,J14=2),C17-F14)+IF(AND(J17=2,J15=2),D17-F15)+IF(AND(J17=2,J16=2),E17-F16)+IF(AND(J17=2,J18=2),G17-F18)+IF(AND(J17=3,J14=3),C17-F14)+IF(AND(J17=3,J15=3),D17-F15)+IF(AND(J17=3,J16=3),E17-F16)+IF(AND(J17=3,J18=3),G17-F18)</f>
        <v>0</v>
      </c>
      <c r="M17" s="668">
        <f t="shared" si="11"/>
        <v>20000</v>
      </c>
      <c r="Q17" s="139"/>
      <c r="R17" s="512">
        <f t="shared" si="12"/>
        <v>42</v>
      </c>
      <c r="S17" s="514" t="str">
        <f t="shared" si="0"/>
        <v>Oleg Rõndenkov</v>
      </c>
      <c r="T17" s="515">
        <f>IFERROR(INDEX(V!$O:$O,MATCH(S17,V!$J:$J,0)),"")</f>
        <v>24</v>
      </c>
      <c r="U17" s="514" t="str">
        <f t="shared" si="1"/>
        <v>Toomas Tedrekull</v>
      </c>
      <c r="V17" s="515">
        <f>IFERROR(INDEX(V!$O:$O,MATCH(U17,V!$J:$J,0)),"")</f>
        <v>18</v>
      </c>
      <c r="W17" s="516" t="str">
        <f t="shared" si="2"/>
        <v/>
      </c>
      <c r="X17" s="515" t="str">
        <f>IFERROR(INDEX(V!$O:$O,MATCH(W17,V!$J:$J,0)),"")</f>
        <v/>
      </c>
      <c r="Y17" s="516" t="str">
        <f t="shared" si="3"/>
        <v/>
      </c>
      <c r="Z17" s="515" t="str">
        <f>IFERROR(INDEX(V!$O:$O,MATCH(Y17,V!$J:$J,0)),"")</f>
        <v/>
      </c>
    </row>
    <row r="18" spans="1:28" s="186" customFormat="1" hidden="1" x14ac:dyDescent="0.2">
      <c r="A18" s="126">
        <v>5</v>
      </c>
      <c r="B18" s="582"/>
      <c r="C18" s="93"/>
      <c r="D18" s="93"/>
      <c r="E18" s="93"/>
      <c r="F18" s="93"/>
      <c r="G18" s="127"/>
      <c r="H18" s="576" t="str">
        <f>(IF(C18-G14&gt;0,1)+IF(D18-G15&gt;0,1)+IF(E18-G16&gt;0,1)+IF(F18-G17&gt;0,1))&amp;"-"&amp;(IF(C18-G14&lt;0,1)+IF(D18-G15&lt;0,1)+IF(E18-G16&lt;0,1)+IF(F18-G17&lt;0,1))</f>
        <v>0-0</v>
      </c>
      <c r="I18" s="93" t="str">
        <f t="shared" si="8"/>
        <v/>
      </c>
      <c r="J18" s="584">
        <f t="shared" si="10"/>
        <v>0</v>
      </c>
      <c r="K18" s="653">
        <f>IF(AND(J18=1,J14=1,C18&gt;G14),1)+IF(AND(J18=1,J15=1,D18&gt;G15),1)+IF(AND(J18=1,J16=1,E18&gt;G16),1)+IF(AND(J18=1,J17=1,F18&gt;G17),1)+IF(AND(J18=2,J14=2,C18&gt;G14),1)+IF(AND(J18=2,J15=2,D18&gt;G15),1)+IF(AND(J18=2,J16=2,E18&gt;G16),1)+IF(AND(J18=2,J17=2,F18&gt;G17),1)+IF(AND(J18=3,J14=3,C18&gt;G14),1)+IF(AND(J18=3,J15=3,D18&gt;G15),1)+IF(AND(J18=3,J16=3,E18&gt;G16),1)+IF(AND(J18=3,J17=3,F18&gt;G17),1)</f>
        <v>0</v>
      </c>
      <c r="L18" s="652">
        <f>IF(AND(J18=1,J14=1),C18-G14)+IF(AND(J18=1,J15=1),D18-G15)+IF(AND(J18=1,J16=1),E18-G16)+IF(AND(J18=1,J17=1),F18-G17)+IF(AND(J18=2,J14=2),C18-G14)+IF(AND(J18=2,J15=2),D18-G15)+IF(AND(J18=2,J16=2),E18-G16)+IF(AND(J18=2,J17=2),F18-G17)+IF(AND(J18=3,J14=3),C18-G14)+IF(AND(J18=3,J15=3),D18-G15)+IF(AND(J18=3,J16=3),E18-G16)+IF(AND(J18=3,J17=3),F18-G17)</f>
        <v>0</v>
      </c>
      <c r="M18" s="668">
        <f t="shared" si="11"/>
        <v>0</v>
      </c>
      <c r="Q18" s="139"/>
      <c r="R18" s="512">
        <f t="shared" si="12"/>
        <v>0</v>
      </c>
      <c r="S18" s="514" t="str">
        <f t="shared" si="0"/>
        <v/>
      </c>
      <c r="T18" s="515" t="str">
        <f>IFERROR(INDEX(V!$O:$O,MATCH(S18,V!$J:$J,0)),"")</f>
        <v/>
      </c>
      <c r="U18" s="514" t="str">
        <f t="shared" si="1"/>
        <v/>
      </c>
      <c r="V18" s="515" t="str">
        <f>IFERROR(INDEX(V!$O:$O,MATCH(U18,V!$J:$J,0)),"")</f>
        <v/>
      </c>
      <c r="W18" s="516" t="str">
        <f t="shared" si="2"/>
        <v/>
      </c>
      <c r="X18" s="515" t="str">
        <f>IFERROR(INDEX(V!$O:$O,MATCH(W18,V!$J:$J,0)),"")</f>
        <v/>
      </c>
      <c r="Y18" s="516" t="str">
        <f t="shared" si="3"/>
        <v/>
      </c>
      <c r="Z18" s="515" t="str">
        <f>IFERROR(INDEX(V!$O:$O,MATCH(Y18,V!$J:$J,0)),"")</f>
        <v/>
      </c>
    </row>
    <row r="19" spans="1:28" s="188" customFormat="1" x14ac:dyDescent="0.2">
      <c r="A19" s="121"/>
      <c r="B19" s="677"/>
      <c r="C19" s="96"/>
      <c r="D19" s="312"/>
      <c r="E19" s="96"/>
      <c r="F19" s="97"/>
      <c r="H19" s="402"/>
      <c r="I19" s="580"/>
      <c r="J19" s="585"/>
      <c r="K19" s="657"/>
      <c r="L19" s="655"/>
      <c r="M19" s="585"/>
      <c r="N19" s="186"/>
      <c r="O19" s="186"/>
      <c r="P19" s="186"/>
      <c r="Q19" s="139"/>
      <c r="R19" s="186"/>
      <c r="S19" s="186"/>
      <c r="T19" s="186"/>
      <c r="U19" s="186"/>
      <c r="V19" s="186"/>
      <c r="W19" s="186"/>
      <c r="X19" s="186"/>
      <c r="Y19" s="186"/>
      <c r="Z19" s="186"/>
      <c r="AA19" s="88"/>
    </row>
    <row r="20" spans="1:28" s="186" customFormat="1" x14ac:dyDescent="0.2">
      <c r="A20" s="126" t="s">
        <v>166</v>
      </c>
      <c r="B20" s="438"/>
      <c r="C20" s="91">
        <v>1</v>
      </c>
      <c r="D20" s="91">
        <v>2</v>
      </c>
      <c r="E20" s="91">
        <v>3</v>
      </c>
      <c r="F20" s="91">
        <v>4</v>
      </c>
      <c r="G20" s="91"/>
      <c r="H20" s="438" t="s">
        <v>73</v>
      </c>
      <c r="I20" s="438" t="s">
        <v>46</v>
      </c>
      <c r="J20" s="586" t="s">
        <v>273</v>
      </c>
      <c r="K20" s="649" t="s">
        <v>273</v>
      </c>
      <c r="L20" s="656" t="s">
        <v>430</v>
      </c>
      <c r="M20" s="588" t="b">
        <f>OR(AND(COUNTA(B21:B25)=3,COUNTA(C21:G25)=6),AND(COUNTA(B21:B25)=4,COUNTA(C21:G25)=12),AND(COUNTA(B21:B25)=5,COUNTA(C21:G25)=20))</f>
        <v>1</v>
      </c>
      <c r="Q20" s="139"/>
      <c r="AA20" s="88"/>
    </row>
    <row r="21" spans="1:28" s="186" customFormat="1" x14ac:dyDescent="0.2">
      <c r="A21" s="126">
        <v>1</v>
      </c>
      <c r="B21" s="582" t="s">
        <v>115</v>
      </c>
      <c r="C21" s="127"/>
      <c r="D21" s="93">
        <v>13</v>
      </c>
      <c r="E21" s="93">
        <v>7</v>
      </c>
      <c r="F21" s="93">
        <v>13</v>
      </c>
      <c r="G21" s="93"/>
      <c r="H21" s="576" t="str">
        <f>(IF(D21-C22&gt;0,1)+IF(E21-C23&gt;0,1)+IF(F21-C24&gt;0,1)+IF(G21-C25&gt;0,1))&amp;"-"&amp;(IF(D21-C22&lt;0,1)+IF(E21-C23&lt;0,1)+IF(F21-C24&lt;0,1)+IF(G21-C25&lt;0,1))</f>
        <v>2-1</v>
      </c>
      <c r="I21" s="93" t="str">
        <f>IF(AND(B21&lt;&gt;"",M$20=TRUE),A$20&amp;RANK(M21,M$21:M$25,0),"")</f>
        <v>C2</v>
      </c>
      <c r="J21" s="584">
        <f>VALUE(LEFT(H21,1))</f>
        <v>2</v>
      </c>
      <c r="K21" s="651">
        <f>IF(AND(J21=1,J22=1,D21&gt;C22),1)+IF(AND(J21=1,J23=1,E21&gt;C23),1)+IF(AND(J21=1,J24=1,F21&gt;C24),1)+IF(AND(J21=1,J25=1,G21&gt;C25),1)+IF(AND(J21=2,J22=2,D21&gt;C22),1)+IF(AND(J21=2,J23=2,E21&gt;C23),1)+IF(AND(J21=2,J24=2,F21&gt;C24),1)+IF(AND(J21=2,J25=2,G21&gt;C25),1)+IF(AND(J21=3,J22=3,D21&gt;C22),1)+IF(AND(J21=3,J23=3,E21&gt;C23),1)+IF(AND(J21=3,J24=3,F21&gt;C24),1)+IF(AND(J21=3,J25=3,G21&gt;C25),1)</f>
        <v>0</v>
      </c>
      <c r="L21" s="652">
        <f>IF(AND(J21=1,J22=1),D21-C22)+IF(AND(J21=1,J23=1),E21-C23)+IF(AND(J21=1,J24=1),F21-C24)+IF(AND(J21=1,J25=1),G21-C25)+IF(AND(J21=2,J22=2),D21-C22)+IF(AND(J21=2,J23=2),E21-C23)+IF(AND(J21=2,J24=2),F21-C24)+IF(AND(J21=2,J25=2),G21-C25)+IF(AND(J21=3,J22=3),D21-C22)+IF(AND(J21=3,J23=3),E21-C23)+IF(AND(J21=3,J24=3),F21-C24)+IF(AND(J21=3,J25=3),G21-C25)</f>
        <v>0</v>
      </c>
      <c r="M21" s="668">
        <f>10000*J21+K21*100+L21</f>
        <v>20000</v>
      </c>
      <c r="Q21" s="139"/>
      <c r="R21" s="512">
        <f t="shared" ref="R21" si="13">SUM(T21:Z21)</f>
        <v>162</v>
      </c>
      <c r="S21" s="514" t="str">
        <f t="shared" si="0"/>
        <v>Andres Veski</v>
      </c>
      <c r="T21" s="515">
        <f>IFERROR(INDEX(V!$O:$O,MATCH(S21,V!$J:$J,0)),"")</f>
        <v>76</v>
      </c>
      <c r="U21" s="514" t="str">
        <f t="shared" si="1"/>
        <v>Svetlana Veski</v>
      </c>
      <c r="V21" s="515">
        <f>IFERROR(INDEX(V!$O:$O,MATCH(U21,V!$J:$J,0)),"")</f>
        <v>86</v>
      </c>
      <c r="W21" s="516" t="str">
        <f t="shared" si="2"/>
        <v/>
      </c>
      <c r="X21" s="515" t="str">
        <f>IFERROR(INDEX(V!$O:$O,MATCH(W21,V!$J:$J,0)),"")</f>
        <v/>
      </c>
      <c r="Y21" s="516" t="str">
        <f t="shared" si="3"/>
        <v/>
      </c>
      <c r="Z21" s="515" t="str">
        <f>IFERROR(INDEX(V!$O:$O,MATCH(Y21,V!$J:$J,0)),"")</f>
        <v/>
      </c>
    </row>
    <row r="22" spans="1:28" s="186" customFormat="1" x14ac:dyDescent="0.2">
      <c r="A22" s="126">
        <v>2</v>
      </c>
      <c r="B22" s="581" t="s">
        <v>168</v>
      </c>
      <c r="C22" s="93">
        <v>3</v>
      </c>
      <c r="D22" s="127"/>
      <c r="E22" s="93">
        <v>11</v>
      </c>
      <c r="F22" s="93">
        <v>13</v>
      </c>
      <c r="G22" s="93"/>
      <c r="H22" s="576" t="str">
        <f>(IF(C22-D21&gt;0,1)+IF(E22-D23&gt;0,1)+IF(F22-D24&gt;0,1)+IF(G22-D25&gt;0,1))&amp;"-"&amp;(IF(C22-D21&lt;0,1)+IF(E22-D23&lt;0,1)+IF(F22-D24&lt;0,1)+IF(G22-D25&lt;0,1))</f>
        <v>1-2</v>
      </c>
      <c r="I22" s="93" t="str">
        <f>IF(AND(B22&lt;&gt;"",M$20=TRUE),A$20&amp;RANK(M22,M$21:M$25,0),"")</f>
        <v>C3</v>
      </c>
      <c r="J22" s="584">
        <f t="shared" ref="J22:J25" si="14">VALUE(LEFT(H22,1))</f>
        <v>1</v>
      </c>
      <c r="K22" s="653">
        <f>IF(AND(J22=1,J21=1,C22&gt;D21),1)+IF(AND(J22=1,J23=1,E22&gt;D23),1)+IF(AND(J22=1,J24=1,F22&gt;D24),1)+IF(AND(J22=1,J25=1,G22&gt;D25),1)+IF(AND(J22=2,J21=2,C22&gt;D21),1)+IF(AND(J22=2,J23=2,E22&gt;D23),1)+IF(AND(J22=2,J24=2,F22&gt;D24),1)+IF(AND(J22=2,J25=2,G22&gt;D25),1)+IF(AND(J22=3,J21=3,C22&gt;D21),1)+IF(AND(J22=3,J23=3,E22&gt;D23),1)+IF(AND(J22=3,J24=3,F22&gt;D24),1)+IF(AND(J22=3,J25=3,G22&gt;D25),1)</f>
        <v>0</v>
      </c>
      <c r="L22" s="652">
        <f>IF(AND(J22=1,J21=1),C22-D21)+IF(AND(J22=1,J23=1),E22-D23)+IF(AND(J22=1,J24=1),F22-D24)+IF(AND(J22=1,J25=1),G22-D25)+IF(AND(J22=2,J21=2),C22-D21)+IF(AND(J22=2,J23=2),E22-D23)+IF(AND(J22=2,J24=2),F22-D24)+IF(AND(J22=2,J25=2),G22-D25)+IF(AND(J22=3,J21=3),C22-D21)+IF(AND(J22=3,J23=3),E22-D23)+IF(AND(J22=3,J24=3),F22-D24)+IF(AND(J22=3,J25=3),G22-D25)</f>
        <v>0</v>
      </c>
      <c r="M22" s="668">
        <f t="shared" ref="M22:M25" si="15">10000*J22+K22*100+L22</f>
        <v>10000</v>
      </c>
      <c r="Q22" s="139"/>
      <c r="R22" s="512">
        <f t="shared" ref="R22:R25" si="16">SUM(T22:Z22)</f>
        <v>102</v>
      </c>
      <c r="S22" s="514" t="str">
        <f t="shared" si="0"/>
        <v>Heili Vasser</v>
      </c>
      <c r="T22" s="515">
        <f>IFERROR(INDEX(V!$O:$O,MATCH(S22,V!$J:$J,0)),"")</f>
        <v>31.5</v>
      </c>
      <c r="U22" s="514" t="str">
        <f t="shared" si="1"/>
        <v>Vello Vasser</v>
      </c>
      <c r="V22" s="515">
        <f>IFERROR(INDEX(V!$O:$O,MATCH(U22,V!$J:$J,0)),"")</f>
        <v>70.5</v>
      </c>
      <c r="W22" s="516" t="str">
        <f t="shared" si="2"/>
        <v/>
      </c>
      <c r="X22" s="515" t="str">
        <f>IFERROR(INDEX(V!$O:$O,MATCH(W22,V!$J:$J,0)),"")</f>
        <v/>
      </c>
      <c r="Y22" s="516" t="str">
        <f t="shared" si="3"/>
        <v/>
      </c>
      <c r="Z22" s="515" t="str">
        <f>IFERROR(INDEX(V!$O:$O,MATCH(Y22,V!$J:$J,0)),"")</f>
        <v/>
      </c>
    </row>
    <row r="23" spans="1:28" s="186" customFormat="1" x14ac:dyDescent="0.2">
      <c r="A23" s="126">
        <v>3</v>
      </c>
      <c r="B23" s="581" t="s">
        <v>117</v>
      </c>
      <c r="C23" s="93">
        <v>13</v>
      </c>
      <c r="D23" s="548">
        <v>13</v>
      </c>
      <c r="E23" s="127"/>
      <c r="F23" s="93">
        <v>13</v>
      </c>
      <c r="G23" s="93"/>
      <c r="H23" s="576" t="str">
        <f>(IF(C23-E21&gt;0,1)+IF(D23-E22&gt;0,1)+IF(F23-E24&gt;0,1)+IF(G23-E25&gt;0,1))&amp;"-"&amp;(IF(C23-E21&lt;0,1)+IF(D23-E22&lt;0,1)+IF(F23-E24&lt;0,1)+IF(G23-E25&lt;0,1))</f>
        <v>3-0</v>
      </c>
      <c r="I23" s="93" t="str">
        <f>IF(AND(B23&lt;&gt;"",M$20=TRUE),A$20&amp;RANK(M23,M$21:M$25,0),"")</f>
        <v>C1</v>
      </c>
      <c r="J23" s="584">
        <f t="shared" si="14"/>
        <v>3</v>
      </c>
      <c r="K23" s="653">
        <f>IF(AND(J23=1,J21=1,C23&gt;E21),1)+IF(AND(J23=1,J22=1,D23&gt;E22),1)+IF(AND(J23=1,J24=1,F23&gt;E24),1)+IF(AND(J23=1,J25=1,G23&gt;E25),1)+IF(AND(J23=2,J21=2,C23&gt;E21),1)+IF(AND(J23=2,J22=2,D23&gt;E22),1)+IF(AND(J23=2,J24=2,F23&gt;E24),1)+IF(AND(J23=2,J25=2,G23&gt;E25),1)+IF(AND(J23=3,J21=3,C23&gt;E21),1)+IF(AND(J23=3,J22=3,D23&gt;E22),1)+IF(AND(J23=3,J24=3,F23&gt;E24),1)+IF(AND(J23=3,J25=3,G23&gt;E25),1)</f>
        <v>0</v>
      </c>
      <c r="L23" s="652">
        <f>IF(AND(J23=1,J21=1),C23-E21)+IF(AND(J23=1,J22=1),D23-E22)+IF(AND(J23=1,J24=1),F23-E24)+IF(AND(J23=1,J25=1),G23-E25)+IF(AND(J23=2,J21=2),C23-E21)+IF(AND(J23=2,J22=2),D23-E22)+IF(AND(J23=2,J24=2),F23-E24)+IF(AND(J23=2,J25=2),G23-E25)+IF(AND(J23=3,J21=3),C23-E21)+IF(AND(J23=3,J22=3),D23-E22)+IF(AND(J23=3,J24=3),F23-E24)+IF(AND(J23=3,J25=3),G23-E25)</f>
        <v>0</v>
      </c>
      <c r="M23" s="668">
        <f t="shared" si="15"/>
        <v>30000</v>
      </c>
      <c r="Q23" s="139"/>
      <c r="R23" s="512">
        <f t="shared" si="16"/>
        <v>102</v>
      </c>
      <c r="S23" s="514" t="str">
        <f t="shared" si="0"/>
        <v>Ljudmila Varendi</v>
      </c>
      <c r="T23" s="515">
        <f>IFERROR(INDEX(V!$O:$O,MATCH(S23,V!$J:$J,0)),"")</f>
        <v>51</v>
      </c>
      <c r="U23" s="514" t="str">
        <f t="shared" si="1"/>
        <v>Viktor Švarõgin</v>
      </c>
      <c r="V23" s="515">
        <f>IFERROR(INDEX(V!$O:$O,MATCH(U23,V!$J:$J,0)),"")</f>
        <v>51</v>
      </c>
      <c r="W23" s="516" t="str">
        <f t="shared" si="2"/>
        <v/>
      </c>
      <c r="X23" s="515" t="str">
        <f>IFERROR(INDEX(V!$O:$O,MATCH(W23,V!$J:$J,0)),"")</f>
        <v/>
      </c>
      <c r="Y23" s="516" t="str">
        <f t="shared" si="3"/>
        <v/>
      </c>
      <c r="Z23" s="515" t="str">
        <f>IFERROR(INDEX(V!$O:$O,MATCH(Y23,V!$J:$J,0)),"")</f>
        <v/>
      </c>
    </row>
    <row r="24" spans="1:28" s="186" customFormat="1" x14ac:dyDescent="0.2">
      <c r="A24" s="126">
        <v>4</v>
      </c>
      <c r="B24" s="739" t="s">
        <v>575</v>
      </c>
      <c r="C24" s="93">
        <v>2</v>
      </c>
      <c r="D24" s="548">
        <v>10</v>
      </c>
      <c r="E24" s="93">
        <v>9</v>
      </c>
      <c r="F24" s="127"/>
      <c r="G24" s="128"/>
      <c r="H24" s="576" t="str">
        <f>(IF(C24-F21&gt;0,1)+IF(D24-F22&gt;0,1)+IF(E24-F23&gt;0,1)+IF(G24-F25&gt;0,1))&amp;"-"&amp;(IF(C24-F21&lt;0,1)+IF(D24-F22&lt;0,1)+IF(E24-F23&lt;0,1)+IF(G24-F25&lt;0,1))</f>
        <v>0-3</v>
      </c>
      <c r="I24" s="93" t="str">
        <f>IF(AND(B24&lt;&gt;"",M$20=TRUE),A$20&amp;RANK(M24,M$21:M$25,0),"")</f>
        <v>C4</v>
      </c>
      <c r="J24" s="584">
        <f t="shared" si="14"/>
        <v>0</v>
      </c>
      <c r="K24" s="653">
        <f>IF(AND(J24=1,J21=1,C24&gt;F21),1)+IF(AND(J24=1,J22=1,D24&gt;F22),1)+IF(AND(J24=1,J23=1,E24&gt;F23),1)+IF(AND(J24=1,J25=1,G24&gt;F25),1)+IF(AND(J24=2,J21=2,C24&gt;F21),1)+IF(AND(J24=2,J22=2,D24&gt;F22),1)+IF(AND(J24=2,J23=2,E24&gt;F23),1)+IF(AND(J24=2,J25=2,G24&gt;F25),1)+IF(AND(J24=3,J21=3,C24&gt;F21),1)+IF(AND(J24=3,J22=3,D24&gt;F22),1)+IF(AND(J24=3,J23=3,E24&gt;F23),1)+IF(AND(J24=3,J25=3,G24&gt;F25),1)</f>
        <v>0</v>
      </c>
      <c r="L24" s="652">
        <f>IF(AND(J24=1,J21=1),C24-F21)+IF(AND(J24=1,J22=1),D24-F22)+IF(AND(J24=1,J23=1),E24-F23)+IF(AND(J24=1,J25=1),G24-F25)+IF(AND(J24=2,J21=2),C24-F21)+IF(AND(J24=2,J22=2),D24-F22)+IF(AND(J24=2,J23=2),E24-F23)+IF(AND(J24=2,J25=2),G24-F25)+IF(AND(J24=3,J21=3),C24-F21)+IF(AND(J24=3,J22=3),D24-F22)+IF(AND(J24=3,J23=3),E24-F23)+IF(AND(J24=3,J25=3),G24-F25)</f>
        <v>0</v>
      </c>
      <c r="M24" s="668">
        <f t="shared" si="15"/>
        <v>0</v>
      </c>
      <c r="Q24" s="139"/>
      <c r="R24" s="512">
        <f t="shared" si="16"/>
        <v>43</v>
      </c>
      <c r="S24" s="514" t="str">
        <f t="shared" si="0"/>
        <v>Illar Tõnurist</v>
      </c>
      <c r="T24" s="515">
        <f>IFERROR(INDEX(V!$O:$O,MATCH(S24,V!$J:$J,0)),"")</f>
        <v>41</v>
      </c>
      <c r="U24" s="514" t="str">
        <f t="shared" si="1"/>
        <v>Natalia Kähärä</v>
      </c>
      <c r="V24" s="515">
        <f>IFERROR(INDEX(V!$O:$O,MATCH(U24,V!$J:$J,0)),"")</f>
        <v>2</v>
      </c>
      <c r="W24" s="516" t="str">
        <f t="shared" si="2"/>
        <v/>
      </c>
      <c r="X24" s="515" t="str">
        <f>IFERROR(INDEX(V!$O:$O,MATCH(W24,V!$J:$J,0)),"")</f>
        <v/>
      </c>
      <c r="Y24" s="516" t="str">
        <f t="shared" si="3"/>
        <v/>
      </c>
      <c r="Z24" s="515" t="str">
        <f>IFERROR(INDEX(V!$O:$O,MATCH(Y24,V!$J:$J,0)),"")</f>
        <v/>
      </c>
    </row>
    <row r="25" spans="1:28" s="186" customFormat="1" hidden="1" x14ac:dyDescent="0.2">
      <c r="A25" s="126">
        <v>5</v>
      </c>
      <c r="B25" s="582"/>
      <c r="C25" s="93"/>
      <c r="D25" s="93"/>
      <c r="E25" s="93"/>
      <c r="F25" s="93"/>
      <c r="G25" s="93"/>
      <c r="H25" s="576" t="str">
        <f>(IF(C25-G21&gt;0,1)+IF(D25-G22&gt;0,1)+IF(E25-G23&gt;0,1)+IF(F25-G24&gt;0,1))&amp;"-"&amp;(IF(C25-G21&lt;0,1)+IF(D25-G22&lt;0,1)+IF(E25-G23&lt;0,1)+IF(F25-G24&lt;0,1))</f>
        <v>0-0</v>
      </c>
      <c r="I25" s="93" t="str">
        <f>IF(AND(B25&lt;&gt;"",M$20=TRUE),A$20&amp;RANK(M25,M$21:M$25,0),"")</f>
        <v/>
      </c>
      <c r="J25" s="584">
        <f t="shared" si="14"/>
        <v>0</v>
      </c>
      <c r="K25" s="653">
        <f>IF(AND(J25=1,J21=1,C25&gt;G21),1)+IF(AND(J25=1,J22=1,D25&gt;G22),1)+IF(AND(J25=1,J23=1,E25&gt;G23),1)+IF(AND(J25=1,J24=1,F25&gt;G24),1)+IF(AND(J25=2,J21=2,C25&gt;G21),1)+IF(AND(J25=2,J22=2,D25&gt;G22),1)+IF(AND(J25=2,J23=2,E25&gt;G23),1)+IF(AND(J25=2,J24=2,F25&gt;G24),1)+IF(AND(J25=3,J21=3,C25&gt;G21),1)+IF(AND(J25=3,J22=3,D25&gt;G22),1)+IF(AND(J25=3,J23=3,E25&gt;G23),1)+IF(AND(J25=3,J24=3,F25&gt;G24),1)</f>
        <v>0</v>
      </c>
      <c r="L25" s="652">
        <f>IF(AND(J25=1,J21=1),C25-G21)+IF(AND(J25=1,J22=1),D25-G22)+IF(AND(J25=1,J23=1),E25-G23)+IF(AND(J25=1,J24=1),F25-G24)+IF(AND(J25=2,J21=2),C25-G21)+IF(AND(J25=2,J22=2),D25-G22)+IF(AND(J25=2,J23=2),E25-G23)+IF(AND(J25=2,J24=2),F25-G24)+IF(AND(J25=3,J21=3),C25-G21)+IF(AND(J25=3,J22=3),D25-G22)+IF(AND(J25=3,J23=3),E25-G23)+IF(AND(J25=3,J24=3),F25-G24)</f>
        <v>0</v>
      </c>
      <c r="M25" s="668">
        <f t="shared" si="15"/>
        <v>0</v>
      </c>
      <c r="Q25" s="139"/>
      <c r="R25" s="512">
        <f t="shared" si="16"/>
        <v>0</v>
      </c>
      <c r="S25" s="514" t="str">
        <f t="shared" si="0"/>
        <v/>
      </c>
      <c r="T25" s="515" t="str">
        <f>IFERROR(INDEX(V!$O:$O,MATCH(S25,V!$J:$J,0)),"")</f>
        <v/>
      </c>
      <c r="U25" s="514" t="str">
        <f t="shared" si="1"/>
        <v/>
      </c>
      <c r="V25" s="515" t="str">
        <f>IFERROR(INDEX(V!$O:$O,MATCH(U25,V!$J:$J,0)),"")</f>
        <v/>
      </c>
      <c r="W25" s="516" t="str">
        <f t="shared" si="2"/>
        <v/>
      </c>
      <c r="X25" s="515" t="str">
        <f>IFERROR(INDEX(V!$O:$O,MATCH(W25,V!$J:$J,0)),"")</f>
        <v/>
      </c>
      <c r="Y25" s="516" t="str">
        <f t="shared" si="3"/>
        <v/>
      </c>
      <c r="Z25" s="515" t="str">
        <f>IFERROR(INDEX(V!$O:$O,MATCH(Y25,V!$J:$J,0)),"")</f>
        <v/>
      </c>
    </row>
    <row r="26" spans="1:28" s="186" customFormat="1" x14ac:dyDescent="0.2">
      <c r="A26" s="87"/>
      <c r="B26" s="407"/>
      <c r="C26" s="309"/>
      <c r="D26" s="309"/>
      <c r="E26" s="309"/>
      <c r="H26" s="589"/>
      <c r="I26" s="590"/>
      <c r="J26" s="591"/>
      <c r="K26" s="654"/>
      <c r="L26" s="658"/>
      <c r="M26" s="591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88"/>
    </row>
    <row r="27" spans="1:28" s="188" customFormat="1" x14ac:dyDescent="0.2">
      <c r="A27" s="126" t="s">
        <v>323</v>
      </c>
      <c r="B27" s="438"/>
      <c r="C27" s="91">
        <v>1</v>
      </c>
      <c r="D27" s="91">
        <v>2</v>
      </c>
      <c r="E27" s="91">
        <v>3</v>
      </c>
      <c r="F27" s="91">
        <v>4</v>
      </c>
      <c r="G27" s="91"/>
      <c r="H27" s="438" t="s">
        <v>73</v>
      </c>
      <c r="I27" s="438" t="s">
        <v>46</v>
      </c>
      <c r="J27" s="586" t="s">
        <v>273</v>
      </c>
      <c r="K27" s="649" t="s">
        <v>273</v>
      </c>
      <c r="L27" s="656" t="s">
        <v>430</v>
      </c>
      <c r="M27" s="588" t="b">
        <f>OR(AND(COUNTA(B28:B32)=3,COUNTA(C28:G32)=6),AND(COUNTA(B28:B32)=4,COUNTA(C28:G32)=12),AND(COUNTA(B28:B32)=5,COUNTA(C28:G32)=20))</f>
        <v>1</v>
      </c>
      <c r="N27" s="186"/>
      <c r="O27" s="186"/>
      <c r="P27" s="186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</row>
    <row r="28" spans="1:28" s="188" customFormat="1" x14ac:dyDescent="0.2">
      <c r="A28" s="126">
        <v>1</v>
      </c>
      <c r="B28" s="581" t="s">
        <v>175</v>
      </c>
      <c r="C28" s="127"/>
      <c r="D28" s="93">
        <v>12</v>
      </c>
      <c r="E28" s="93">
        <v>13</v>
      </c>
      <c r="F28" s="93">
        <v>8</v>
      </c>
      <c r="G28" s="128"/>
      <c r="H28" s="576" t="str">
        <f>(IF(D28-C29&gt;0,1)+IF(E28-C30&gt;0,1)+IF(F28-C31&gt;0,1)+IF(G28-C32&gt;0,1))&amp;"-"&amp;(IF(D28-C29&lt;0,1)+IF(E28-C30&lt;0,1)+IF(F28-C31&lt;0,1)+IF(G28-C32&lt;0,1))</f>
        <v>1-2</v>
      </c>
      <c r="I28" s="93" t="str">
        <f t="shared" ref="I28:I32" si="17">IF(AND(B28&lt;&gt;"",M$27=TRUE),A$27&amp;RANK(M28,M$28:M$32,0),"")</f>
        <v>D3</v>
      </c>
      <c r="J28" s="584">
        <f>VALUE(LEFT(H28,1))</f>
        <v>1</v>
      </c>
      <c r="K28" s="651">
        <f>IF(AND(J28=1,J29=1,D28&gt;C29),1)+IF(AND(J28=1,J30=1,E28&gt;C30),1)+IF(AND(J28=1,J31=1,F28&gt;C31),1)+IF(AND(J28=1,J32=1,G28&gt;C32),1)+IF(AND(J28=2,J29=2,D28&gt;C29),1)+IF(AND(J28=2,J30=2,E28&gt;C30),1)+IF(AND(J28=2,J31=2,F28&gt;C31),1)+IF(AND(J28=2,J32=2,G28&gt;C32),1)+IF(AND(J28=3,J29=3,D28&gt;C29),1)+IF(AND(J28=3,J30=3,E28&gt;C30),1)+IF(AND(J28=3,J31=3,F28&gt;C31),1)+IF(AND(J28=3,J32=3,G28&gt;C32),1)</f>
        <v>0</v>
      </c>
      <c r="L28" s="652">
        <f>IF(AND(J28=1,J29=1),D28-C29)+IF(AND(J28=1,J30=1),E28-C30)+IF(AND(J28=1,J31=1),F28-C31)+IF(AND(J28=1,J32=1),G28-C32)+IF(AND(J28=2,J29=2),D28-C29)+IF(AND(J28=2,J30=2),E28-C30)+IF(AND(J28=2,J31=2),F28-C31)+IF(AND(J28=2,J32=2),G28-C32)+IF(AND(J28=3,J29=3),D28-C29)+IF(AND(J28=3,J30=3),E28-C30)+IF(AND(J28=3,J31=3),F28-C31)+IF(AND(J28=3,J32=3),G28-C32)</f>
        <v>0</v>
      </c>
      <c r="M28" s="668">
        <f>10000*J28+K28*100+L28</f>
        <v>10000</v>
      </c>
      <c r="N28" s="186"/>
      <c r="O28" s="517"/>
      <c r="P28" s="186"/>
      <c r="Q28" s="139"/>
      <c r="R28" s="512">
        <f t="shared" ref="R28" si="18">SUM(T28:Z28)</f>
        <v>134</v>
      </c>
      <c r="S28" s="514" t="str">
        <f t="shared" si="0"/>
        <v>Klavdia Piik</v>
      </c>
      <c r="T28" s="515">
        <f>IFERROR(INDEX(V!$O:$O,MATCH(S28,V!$J:$J,0)),"")</f>
        <v>72</v>
      </c>
      <c r="U28" s="514" t="str">
        <f t="shared" si="1"/>
        <v>Ülo Piik</v>
      </c>
      <c r="V28" s="515">
        <f>IFERROR(INDEX(V!$O:$O,MATCH(U28,V!$J:$J,0)),"")</f>
        <v>62</v>
      </c>
      <c r="W28" s="516" t="str">
        <f t="shared" si="2"/>
        <v/>
      </c>
      <c r="X28" s="515" t="str">
        <f>IFERROR(INDEX(V!$O:$O,MATCH(W28,V!$J:$J,0)),"")</f>
        <v/>
      </c>
      <c r="Y28" s="516" t="str">
        <f>IFERROR(MID(#REF!,FIND(", ",#REF!,FIND(", ",#REF!,FIND(", ",#REF!))+1)+2,30000),"")</f>
        <v/>
      </c>
      <c r="Z28" s="515" t="str">
        <f>IFERROR(INDEX(V!$O:$O,MATCH(Y28,V!$J:$J,0)),"")</f>
        <v/>
      </c>
      <c r="AA28" s="139"/>
      <c r="AB28" s="139"/>
    </row>
    <row r="29" spans="1:28" s="188" customFormat="1" x14ac:dyDescent="0.2">
      <c r="A29" s="126">
        <v>2</v>
      </c>
      <c r="B29" s="581" t="s">
        <v>499</v>
      </c>
      <c r="C29" s="131">
        <v>13</v>
      </c>
      <c r="D29" s="127"/>
      <c r="E29" s="93">
        <v>13</v>
      </c>
      <c r="F29" s="93">
        <v>13</v>
      </c>
      <c r="G29" s="128"/>
      <c r="H29" s="576" t="str">
        <f>(IF(C29-D28&gt;0,1)+IF(E29-D30&gt;0,1)+IF(F29-D31&gt;0,1)+IF(G29-D32&gt;0,1))&amp;"-"&amp;(IF(C29-D28&lt;0,1)+IF(E29-D30&lt;0,1)+IF(F29-D31&lt;0,1)+IF(G29-D32&lt;0,1))</f>
        <v>3-0</v>
      </c>
      <c r="I29" s="93" t="str">
        <f t="shared" si="17"/>
        <v>D1</v>
      </c>
      <c r="J29" s="584">
        <f t="shared" ref="J29:J32" si="19">VALUE(LEFT(H29,1))</f>
        <v>3</v>
      </c>
      <c r="K29" s="653">
        <f>IF(AND(J29=1,J28=1,C29&gt;D28),1)+IF(AND(J29=1,J30=1,E29&gt;D30),1)+IF(AND(J29=1,J31=1,F29&gt;D31),1)+IF(AND(J29=1,J32=1,G29&gt;D32),1)+IF(AND(J29=2,J28=2,C29&gt;D28),1)+IF(AND(J29=2,J30=2,E29&gt;D30),1)+IF(AND(J29=2,J31=2,F29&gt;D31),1)+IF(AND(J29=2,J32=2,G29&gt;D32),1)+IF(AND(J29=3,J28=3,C29&gt;D28),1)+IF(AND(J29=3,J30=3,E29&gt;D30),1)+IF(AND(J29=3,J31=3,F29&gt;D31),1)+IF(AND(J29=3,J32=3,G29&gt;D32),1)</f>
        <v>0</v>
      </c>
      <c r="L29" s="652">
        <f>IF(AND(J29=1,J28=1),C29-D28)+IF(AND(J29=1,J30=1),E29-D30)+IF(AND(J29=1,J31=1),F29-D31)+IF(AND(J29=1,J32=1),G29-D32)+IF(AND(J29=2,J28=2),C29-D28)+IF(AND(J29=2,J30=2),E29-D30)+IF(AND(J29=2,J31=2),F29-D31)+IF(AND(J29=2,J32=2),G29-D32)+IF(AND(J29=3,J28=3),C29-D28)+IF(AND(J29=3,J30=3),E29-D30)+IF(AND(J29=3,J31=3),F29-D31)+IF(AND(J29=3,J32=3),G29-D32)</f>
        <v>0</v>
      </c>
      <c r="M29" s="668">
        <f t="shared" ref="M29:M32" si="20">10000*J29+K29*100+L29</f>
        <v>30000</v>
      </c>
      <c r="N29" s="186"/>
      <c r="O29" s="517"/>
      <c r="P29" s="186"/>
      <c r="Q29" s="139"/>
      <c r="R29" s="512">
        <f t="shared" ref="R29:R32" si="21">SUM(T29:Z29)</f>
        <v>119</v>
      </c>
      <c r="S29" s="514" t="str">
        <f t="shared" si="0"/>
        <v>Aigi Orro</v>
      </c>
      <c r="T29" s="515">
        <f>IFERROR(INDEX(V!$O:$O,MATCH(S29,V!$J:$J,0)),"")</f>
        <v>43</v>
      </c>
      <c r="U29" s="514" t="str">
        <f t="shared" si="1"/>
        <v>Elmo Lageda</v>
      </c>
      <c r="V29" s="515">
        <f>IFERROR(INDEX(V!$O:$O,MATCH(U29,V!$J:$J,0)),"")</f>
        <v>76</v>
      </c>
      <c r="W29" s="516" t="str">
        <f t="shared" si="2"/>
        <v/>
      </c>
      <c r="X29" s="515" t="str">
        <f>IFERROR(INDEX(V!$O:$O,MATCH(W29,V!$J:$J,0)),"")</f>
        <v/>
      </c>
      <c r="Y29" s="516" t="str">
        <f>IFERROR(MID(#REF!,FIND(", ",#REF!,FIND(", ",#REF!,FIND(", ",#REF!))+1)+2,30000),"")</f>
        <v/>
      </c>
      <c r="Z29" s="515" t="str">
        <f>IFERROR(INDEX(V!$O:$O,MATCH(Y29,V!$J:$J,0)),"")</f>
        <v/>
      </c>
      <c r="AA29" s="139"/>
      <c r="AB29" s="139"/>
    </row>
    <row r="30" spans="1:28" s="188" customFormat="1" x14ac:dyDescent="0.2">
      <c r="A30" s="126">
        <v>3</v>
      </c>
      <c r="B30" s="189" t="s">
        <v>514</v>
      </c>
      <c r="C30" s="93">
        <v>12</v>
      </c>
      <c r="D30" s="548">
        <v>11</v>
      </c>
      <c r="E30" s="127"/>
      <c r="F30" s="93">
        <v>9</v>
      </c>
      <c r="G30" s="128"/>
      <c r="H30" s="576" t="str">
        <f>(IF(C30-E28&gt;0,1)+IF(D30-E29&gt;0,1)+IF(F30-E31&gt;0,1)+IF(G30-E32&gt;0,1))&amp;"-"&amp;(IF(C30-E28&lt;0,1)+IF(D30-E29&lt;0,1)+IF(F30-E31&lt;0,1)+IF(G30-E32&lt;0,1))</f>
        <v>0-3</v>
      </c>
      <c r="I30" s="93" t="str">
        <f t="shared" si="17"/>
        <v>D4</v>
      </c>
      <c r="J30" s="584">
        <f t="shared" si="19"/>
        <v>0</v>
      </c>
      <c r="K30" s="653">
        <f>IF(AND(J30=1,J28=1,C30&gt;E28),1)+IF(AND(J30=1,J29=1,D30&gt;E29),1)+IF(AND(J30=1,J31=1,F30&gt;E31),1)+IF(AND(J30=1,J32=1,G30&gt;E32),1)+IF(AND(J30=2,J28=2,C30&gt;E28),1)+IF(AND(J30=2,J29=2,D30&gt;E29),1)+IF(AND(J30=2,J31=2,F30&gt;E31),1)+IF(AND(J30=2,J32=2,G30&gt;E32),1)+IF(AND(J30=3,J28=3,C30&gt;E28),1)+IF(AND(J30=3,J29=3,D30&gt;E29),1)+IF(AND(J30=3,J31=3,F30&gt;E31),1)+IF(AND(J30=3,J32=3,G30&gt;E32),1)</f>
        <v>0</v>
      </c>
      <c r="L30" s="652">
        <f>IF(AND(J30=1,J28=1),C30-E28)+IF(AND(J30=1,J29=1),D30-E29)+IF(AND(J30=1,J31=1),F30-E31)+IF(AND(J30=1,J32=1),G30-E32)+IF(AND(J30=2,J28=2),C30-E28)+IF(AND(J30=2,J29=2),D30-E29)+IF(AND(J30=2,J31=2),F30-E31)+IF(AND(J30=2,J32=2),G30-E32)+IF(AND(J30=3,J28=3),C30-E28)+IF(AND(J30=3,J29=3),D30-E29)+IF(AND(J30=3,J31=3),F30-E31)+IF(AND(J30=3,J32=3),G30-E32)</f>
        <v>0</v>
      </c>
      <c r="M30" s="668">
        <f t="shared" si="20"/>
        <v>0</v>
      </c>
      <c r="N30" s="186"/>
      <c r="P30" s="186"/>
      <c r="Q30" s="139"/>
      <c r="R30" s="512">
        <f t="shared" si="21"/>
        <v>68</v>
      </c>
      <c r="S30" s="514" t="str">
        <f t="shared" si="0"/>
        <v>Henri Mitt</v>
      </c>
      <c r="T30" s="515">
        <f>IFERROR(INDEX(V!$O:$O,MATCH(S30,V!$J:$J,0)),"")</f>
        <v>55</v>
      </c>
      <c r="U30" s="514" t="str">
        <f t="shared" si="1"/>
        <v>Urmas Jõeäär</v>
      </c>
      <c r="V30" s="515">
        <f>IFERROR(INDEX(V!$O:$O,MATCH(U30,V!$J:$J,0)),"")</f>
        <v>13</v>
      </c>
      <c r="W30" s="516" t="str">
        <f t="shared" si="2"/>
        <v/>
      </c>
      <c r="X30" s="515" t="str">
        <f>IFERROR(INDEX(V!$O:$O,MATCH(W30,V!$J:$J,0)),"")</f>
        <v/>
      </c>
      <c r="Y30" s="516" t="str">
        <f>IFERROR(MID(#REF!,FIND(", ",#REF!,FIND(", ",#REF!,FIND(", ",#REF!))+1)+2,30000),"")</f>
        <v/>
      </c>
      <c r="Z30" s="515" t="str">
        <f>IFERROR(INDEX(V!$O:$O,MATCH(Y30,V!$J:$J,0)),"")</f>
        <v/>
      </c>
      <c r="AA30" s="139"/>
      <c r="AB30" s="139"/>
    </row>
    <row r="31" spans="1:28" s="188" customFormat="1" x14ac:dyDescent="0.2">
      <c r="A31" s="126">
        <v>4</v>
      </c>
      <c r="B31" s="164" t="s">
        <v>515</v>
      </c>
      <c r="C31" s="93">
        <v>13</v>
      </c>
      <c r="D31" s="548">
        <v>9</v>
      </c>
      <c r="E31" s="93">
        <v>13</v>
      </c>
      <c r="F31" s="127"/>
      <c r="G31" s="128"/>
      <c r="H31" s="576" t="str">
        <f>(IF(C31-F28&gt;0,1)+IF(D31-F29&gt;0,1)+IF(E31-F30&gt;0,1)+IF(G31-F32&gt;0,1))&amp;"-"&amp;(IF(C31-F28&lt;0,1)+IF(D31-F29&lt;0,1)+IF(E31-F30&lt;0,1)+IF(G31-F32&lt;0,1))</f>
        <v>2-1</v>
      </c>
      <c r="I31" s="93" t="str">
        <f t="shared" si="17"/>
        <v>D2</v>
      </c>
      <c r="J31" s="584">
        <f t="shared" si="19"/>
        <v>2</v>
      </c>
      <c r="K31" s="653">
        <f>IF(AND(J31=1,J28=1,C31&gt;F28),1)+IF(AND(J31=1,J29=1,D31&gt;F29),1)+IF(AND(J31=1,J30=1,E31&gt;F30),1)+IF(AND(J31=1,J32=1,G31&gt;F32),1)+IF(AND(J31=2,J28=2,C31&gt;F28),1)+IF(AND(J31=2,J29=2,D31&gt;F29),1)+IF(AND(J31=2,J30=2,E31&gt;F30),1)+IF(AND(J31=2,J32=2,G31&gt;F32),1)+IF(AND(J31=3,J28=3,C31&gt;F28),1)+IF(AND(J31=3,J29=3,D31&gt;F29),1)+IF(AND(J31=3,J30=3,E31&gt;F30),1)+IF(AND(J31=3,J32=3,G31&gt;F32),1)</f>
        <v>0</v>
      </c>
      <c r="L31" s="652">
        <f>IF(AND(J31=1,J28=1),C31-F28)+IF(AND(J31=1,J29=1),D31-F29)+IF(AND(J31=1,J30=1),E31-F30)+IF(AND(J31=1,J32=1),G31-F32)+IF(AND(J31=2,J28=2),C31-F28)+IF(AND(J31=2,J29=2),D31-F29)+IF(AND(J31=2,J30=2),E31-F30)+IF(AND(J31=2,J32=2),G31-F32)+IF(AND(J31=3,J28=3),C31-F28)+IF(AND(J31=3,J29=3),D31-F29)+IF(AND(J31=3,J30=3),E31-F30)+IF(AND(J31=3,J32=3),G31-F32)</f>
        <v>0</v>
      </c>
      <c r="M31" s="668">
        <f t="shared" si="20"/>
        <v>20000</v>
      </c>
      <c r="N31" s="186"/>
      <c r="P31" s="186"/>
      <c r="Q31" s="139"/>
      <c r="R31" s="512">
        <f t="shared" si="21"/>
        <v>68</v>
      </c>
      <c r="S31" s="514" t="str">
        <f t="shared" si="0"/>
        <v>Einar Juhkam</v>
      </c>
      <c r="T31" s="515">
        <f>IFERROR(INDEX(V!$O:$O,MATCH(S31,V!$J:$J,0)),"")</f>
        <v>53</v>
      </c>
      <c r="U31" s="514" t="str">
        <f t="shared" si="1"/>
        <v>Aleksander Korikov</v>
      </c>
      <c r="V31" s="515">
        <f>IFERROR(INDEX(V!$O:$O,MATCH(U31,V!$J:$J,0)),"")</f>
        <v>15</v>
      </c>
      <c r="W31" s="516" t="str">
        <f t="shared" si="2"/>
        <v/>
      </c>
      <c r="X31" s="515" t="str">
        <f>IFERROR(INDEX(V!$O:$O,MATCH(W31,V!$J:$J,0)),"")</f>
        <v/>
      </c>
      <c r="Y31" s="516" t="str">
        <f>IFERROR(MID(#REF!,FIND(", ",#REF!,FIND(", ",#REF!,FIND(", ",#REF!))+1)+2,30000),"")</f>
        <v/>
      </c>
      <c r="Z31" s="515" t="str">
        <f>IFERROR(INDEX(V!$O:$O,MATCH(Y31,V!$J:$J,0)),"")</f>
        <v/>
      </c>
      <c r="AA31" s="139"/>
      <c r="AB31" s="139"/>
    </row>
    <row r="32" spans="1:28" s="188" customFormat="1" hidden="1" x14ac:dyDescent="0.2">
      <c r="A32" s="126">
        <v>5</v>
      </c>
      <c r="B32" s="164"/>
      <c r="C32" s="93"/>
      <c r="D32" s="93"/>
      <c r="E32" s="93"/>
      <c r="F32" s="93"/>
      <c r="G32" s="127"/>
      <c r="H32" s="576" t="str">
        <f>(IF(C32-G28&gt;0,1)+IF(D32-G29&gt;0,1)+IF(E32-G30&gt;0,1)+IF(F32-G31&gt;0,1))&amp;"-"&amp;(IF(C32-G28&lt;0,1)+IF(D32-G29&lt;0,1)+IF(E32-G30&lt;0,1)+IF(F32-G31&lt;0,1))</f>
        <v>0-0</v>
      </c>
      <c r="I32" s="93" t="str">
        <f t="shared" si="17"/>
        <v/>
      </c>
      <c r="J32" s="584">
        <f t="shared" si="19"/>
        <v>0</v>
      </c>
      <c r="K32" s="653">
        <f>IF(AND(J32=1,J28=1,C32&gt;G28),1)+IF(AND(J32=1,J29=1,D32&gt;G29),1)+IF(AND(J32=1,J30=1,E32&gt;G30),1)+IF(AND(J32=1,J31=1,F32&gt;G31),1)+IF(AND(J32=2,J28=2,C32&gt;G28),1)+IF(AND(J32=2,J29=2,D32&gt;G29),1)+IF(AND(J32=2,J30=2,E32&gt;G30),1)+IF(AND(J32=2,J31=2,F32&gt;G31),1)+IF(AND(J32=3,J28=3,C32&gt;G28),1)+IF(AND(J32=3,J29=3,D32&gt;G29),1)+IF(AND(J32=3,J30=3,E32&gt;G30),1)+IF(AND(J32=3,J31=3,F32&gt;G31),1)</f>
        <v>0</v>
      </c>
      <c r="L32" s="652">
        <f>IF(AND(J32=1,J28=1),C32-G28)+IF(AND(J32=1,J29=1),D32-G29)+IF(AND(J32=1,J30=1),E32-G30)+IF(AND(J32=1,J31=1),F32-G31)+IF(AND(J32=2,J28=2),C32-G28)+IF(AND(J32=2,J29=2),D32-G29)+IF(AND(J32=2,J30=2),E32-G30)+IF(AND(J32=2,J31=2),F32-G31)+IF(AND(J32=3,J28=3),C32-G28)+IF(AND(J32=3,J29=3),D32-G29)+IF(AND(J32=3,J30=3),E32-G30)+IF(AND(J32=3,J31=3),F32-G31)</f>
        <v>0</v>
      </c>
      <c r="M32" s="668">
        <f t="shared" si="20"/>
        <v>0</v>
      </c>
      <c r="N32" s="186"/>
      <c r="P32" s="186"/>
      <c r="Q32" s="139"/>
      <c r="R32" s="512">
        <f t="shared" si="21"/>
        <v>0</v>
      </c>
      <c r="S32" s="514" t="str">
        <f t="shared" si="0"/>
        <v/>
      </c>
      <c r="T32" s="515" t="str">
        <f>IFERROR(INDEX(V!$O:$O,MATCH(S32,V!$J:$J,0)),"")</f>
        <v/>
      </c>
      <c r="U32" s="514" t="str">
        <f t="shared" si="1"/>
        <v/>
      </c>
      <c r="V32" s="515" t="str">
        <f>IFERROR(INDEX(V!$O:$O,MATCH(U32,V!$J:$J,0)),"")</f>
        <v/>
      </c>
      <c r="W32" s="516" t="str">
        <f t="shared" si="2"/>
        <v/>
      </c>
      <c r="X32" s="515" t="str">
        <f>IFERROR(INDEX(V!$O:$O,MATCH(W32,V!$J:$J,0)),"")</f>
        <v/>
      </c>
      <c r="Y32" s="516" t="str">
        <f>IFERROR(MID(#REF!,FIND(", ",#REF!,FIND(", ",#REF!,FIND(", ",#REF!))+1)+2,30000),"")</f>
        <v/>
      </c>
      <c r="Z32" s="515" t="str">
        <f>IFERROR(INDEX(V!$O:$O,MATCH(Y32,V!$J:$J,0)),"")</f>
        <v/>
      </c>
      <c r="AA32" s="139"/>
      <c r="AB32" s="139"/>
    </row>
    <row r="33" spans="1:28" s="188" customFormat="1" hidden="1" x14ac:dyDescent="0.2">
      <c r="A33" s="121"/>
      <c r="F33" s="94"/>
      <c r="H33" s="592"/>
      <c r="I33" s="593"/>
      <c r="J33" s="588"/>
      <c r="K33" s="590"/>
      <c r="L33" s="660"/>
      <c r="M33" s="588"/>
      <c r="N33" s="186"/>
      <c r="O33" s="186"/>
      <c r="P33" s="186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</row>
    <row r="34" spans="1:28" s="188" customFormat="1" hidden="1" x14ac:dyDescent="0.2">
      <c r="B34" s="213" t="s">
        <v>98</v>
      </c>
      <c r="C34" s="98" t="s">
        <v>102</v>
      </c>
      <c r="D34" s="98"/>
      <c r="O34" s="186"/>
      <c r="P34" s="186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</row>
    <row r="35" spans="1:28" s="188" customFormat="1" hidden="1" x14ac:dyDescent="0.2">
      <c r="B35" s="213" t="s">
        <v>101</v>
      </c>
      <c r="C35" s="98" t="s">
        <v>100</v>
      </c>
      <c r="O35" s="186"/>
      <c r="P35" s="186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</row>
    <row r="36" spans="1:28" s="188" customFormat="1" hidden="1" x14ac:dyDescent="0.2">
      <c r="B36" s="213" t="s">
        <v>104</v>
      </c>
      <c r="C36" s="98" t="s">
        <v>92</v>
      </c>
      <c r="O36" s="186"/>
      <c r="P36" s="186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</row>
    <row r="37" spans="1:28" s="188" customFormat="1" x14ac:dyDescent="0.2">
      <c r="O37" s="186"/>
      <c r="P37" s="186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</row>
    <row r="38" spans="1:28" s="188" customFormat="1" x14ac:dyDescent="0.2">
      <c r="B38" s="213" t="s">
        <v>98</v>
      </c>
      <c r="C38" s="98" t="s">
        <v>99</v>
      </c>
      <c r="D38" s="98" t="s">
        <v>100</v>
      </c>
      <c r="O38" s="186"/>
      <c r="P38" s="186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</row>
    <row r="39" spans="1:28" s="188" customFormat="1" x14ac:dyDescent="0.2">
      <c r="B39" s="213" t="s">
        <v>101</v>
      </c>
      <c r="C39" s="98" t="s">
        <v>102</v>
      </c>
      <c r="D39" s="98" t="s">
        <v>103</v>
      </c>
      <c r="O39" s="186"/>
      <c r="P39" s="186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</row>
    <row r="40" spans="1:28" s="188" customFormat="1" x14ac:dyDescent="0.2">
      <c r="A40" s="121"/>
      <c r="B40" s="213" t="s">
        <v>104</v>
      </c>
      <c r="C40" s="98" t="s">
        <v>92</v>
      </c>
      <c r="D40" s="98" t="s">
        <v>105</v>
      </c>
      <c r="E40" s="97"/>
      <c r="F40" s="97"/>
      <c r="G40" s="97"/>
      <c r="H40" s="639"/>
      <c r="I40" s="97"/>
      <c r="J40" s="584"/>
      <c r="K40" s="663"/>
      <c r="L40" s="584"/>
      <c r="M40" s="584"/>
      <c r="N40" s="569"/>
      <c r="O40" s="310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</row>
    <row r="41" spans="1:28" s="188" customFormat="1" hidden="1" x14ac:dyDescent="0.2">
      <c r="B41" s="217"/>
      <c r="C41" s="97"/>
      <c r="D41" s="97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</row>
    <row r="42" spans="1:28" s="188" customFormat="1" hidden="1" x14ac:dyDescent="0.2">
      <c r="B42" s="213" t="s">
        <v>98</v>
      </c>
      <c r="C42" s="98" t="s">
        <v>106</v>
      </c>
      <c r="D42" s="98" t="s">
        <v>103</v>
      </c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</row>
    <row r="43" spans="1:28" s="188" customFormat="1" hidden="1" x14ac:dyDescent="0.2">
      <c r="B43" s="213" t="s">
        <v>101</v>
      </c>
      <c r="C43" s="98" t="s">
        <v>102</v>
      </c>
      <c r="D43" s="98" t="s">
        <v>107</v>
      </c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</row>
    <row r="44" spans="1:28" s="188" customFormat="1" hidden="1" x14ac:dyDescent="0.2">
      <c r="B44" s="213" t="s">
        <v>104</v>
      </c>
      <c r="C44" s="98" t="s">
        <v>108</v>
      </c>
      <c r="D44" s="98" t="s">
        <v>105</v>
      </c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</row>
    <row r="45" spans="1:28" s="188" customFormat="1" hidden="1" x14ac:dyDescent="0.2">
      <c r="B45" s="213" t="s">
        <v>109</v>
      </c>
      <c r="C45" s="98" t="s">
        <v>91</v>
      </c>
      <c r="D45" s="98" t="s">
        <v>110</v>
      </c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</row>
    <row r="46" spans="1:28" s="188" customFormat="1" hidden="1" x14ac:dyDescent="0.2">
      <c r="B46" s="213" t="s">
        <v>111</v>
      </c>
      <c r="C46" s="98" t="s">
        <v>100</v>
      </c>
      <c r="D46" s="98" t="s">
        <v>99</v>
      </c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</row>
    <row r="47" spans="1:28" s="188" customFormat="1" hidden="1" x14ac:dyDescent="0.2"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</row>
    <row r="48" spans="1:28" s="188" customFormat="1" hidden="1" x14ac:dyDescent="0.2">
      <c r="A48" s="121"/>
      <c r="G48" s="97"/>
      <c r="H48" s="639"/>
      <c r="I48" s="97"/>
      <c r="J48" s="584"/>
      <c r="K48" s="663"/>
      <c r="L48" s="584"/>
      <c r="M48" s="584"/>
      <c r="N48" s="569"/>
      <c r="O48" s="310"/>
      <c r="P48" s="57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</row>
    <row r="49" spans="1:28" s="188" customFormat="1" hidden="1" x14ac:dyDescent="0.2">
      <c r="A49" s="121"/>
      <c r="G49" s="97"/>
      <c r="H49" s="639"/>
      <c r="I49" s="97"/>
      <c r="J49" s="584"/>
      <c r="K49" s="579"/>
      <c r="L49" s="584"/>
      <c r="M49" s="584"/>
      <c r="N49" s="569"/>
      <c r="O49" s="310"/>
      <c r="P49" s="57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</row>
    <row r="50" spans="1:28" s="188" customFormat="1" hidden="1" x14ac:dyDescent="0.2">
      <c r="A50" s="121"/>
      <c r="G50" s="97"/>
      <c r="H50" s="639"/>
      <c r="I50" s="97"/>
      <c r="J50" s="584"/>
      <c r="K50" s="579"/>
      <c r="L50" s="584"/>
      <c r="M50" s="584"/>
      <c r="N50" s="569"/>
      <c r="O50" s="310"/>
      <c r="P50" s="57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</row>
    <row r="51" spans="1:28" s="188" customFormat="1" hidden="1" x14ac:dyDescent="0.2">
      <c r="A51" s="121"/>
      <c r="G51" s="97"/>
      <c r="H51" s="639"/>
      <c r="I51" s="97"/>
      <c r="J51" s="584"/>
      <c r="K51" s="579"/>
      <c r="L51" s="584"/>
      <c r="M51" s="584"/>
      <c r="N51" s="569"/>
      <c r="O51" s="310"/>
      <c r="P51" s="57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</row>
    <row r="52" spans="1:28" s="188" customFormat="1" hidden="1" x14ac:dyDescent="0.2">
      <c r="A52" s="121"/>
      <c r="G52" s="97"/>
      <c r="H52" s="639"/>
      <c r="I52" s="97"/>
      <c r="J52" s="584"/>
      <c r="K52" s="579"/>
      <c r="L52" s="584"/>
      <c r="M52" s="584"/>
      <c r="N52" s="569"/>
      <c r="O52" s="310"/>
      <c r="P52" s="57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</row>
    <row r="53" spans="1:28" s="188" customFormat="1" hidden="1" x14ac:dyDescent="0.2">
      <c r="A53" s="121"/>
      <c r="G53" s="97"/>
      <c r="H53" s="639"/>
      <c r="I53" s="97"/>
      <c r="J53" s="584"/>
      <c r="K53" s="579"/>
      <c r="L53" s="584"/>
      <c r="M53" s="584"/>
      <c r="N53" s="569"/>
      <c r="O53" s="310"/>
      <c r="P53" s="57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</row>
    <row r="54" spans="1:28" s="188" customFormat="1" hidden="1" x14ac:dyDescent="0.2">
      <c r="A54" s="314"/>
      <c r="G54" s="314"/>
      <c r="K54" s="579"/>
      <c r="N54" s="88"/>
      <c r="O54" s="88"/>
      <c r="P54" s="57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</row>
    <row r="55" spans="1:28" s="188" customFormat="1" hidden="1" x14ac:dyDescent="0.2">
      <c r="A55" s="314"/>
      <c r="G55" s="314"/>
      <c r="K55" s="579"/>
      <c r="N55" s="88"/>
      <c r="O55" s="88"/>
      <c r="P55" s="57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</row>
    <row r="56" spans="1:28" s="188" customFormat="1" hidden="1" x14ac:dyDescent="0.2">
      <c r="A56" s="88"/>
      <c r="G56" s="88"/>
      <c r="H56" s="88"/>
      <c r="I56" s="88"/>
      <c r="J56" s="88"/>
      <c r="K56" s="88"/>
      <c r="L56" s="88"/>
      <c r="M56" s="88"/>
      <c r="N56" s="88"/>
      <c r="O56" s="88"/>
      <c r="P56" s="57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</row>
    <row r="57" spans="1:28" s="188" customFormat="1" hidden="1" x14ac:dyDescent="0.2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</row>
    <row r="58" spans="1:28" s="88" customFormat="1" hidden="1" x14ac:dyDescent="0.2"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</row>
    <row r="59" spans="1:28" s="88" customFormat="1" hidden="1" x14ac:dyDescent="0.2"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</row>
    <row r="60" spans="1:28" s="88" customFormat="1" hidden="1" x14ac:dyDescent="0.2"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</row>
    <row r="61" spans="1:28" s="88" customFormat="1" hidden="1" x14ac:dyDescent="0.2"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</row>
    <row r="62" spans="1:28" s="88" customFormat="1" hidden="1" x14ac:dyDescent="0.2"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</row>
    <row r="63" spans="1:28" s="88" customFormat="1" hidden="1" x14ac:dyDescent="0.2"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</row>
    <row r="64" spans="1:28" s="88" customFormat="1" hidden="1" x14ac:dyDescent="0.2"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</row>
    <row r="65" spans="17:28" s="88" customFormat="1" hidden="1" x14ac:dyDescent="0.2"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</row>
    <row r="66" spans="17:28" s="88" customFormat="1" hidden="1" x14ac:dyDescent="0.2"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</row>
    <row r="67" spans="17:28" s="88" customFormat="1" hidden="1" x14ac:dyDescent="0.2"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</row>
    <row r="68" spans="17:28" s="88" customFormat="1" hidden="1" x14ac:dyDescent="0.2"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</row>
    <row r="69" spans="17:28" s="88" customFormat="1" hidden="1" x14ac:dyDescent="0.2"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</row>
    <row r="70" spans="17:28" s="88" customFormat="1" hidden="1" x14ac:dyDescent="0.2"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</row>
    <row r="71" spans="17:28" s="88" customFormat="1" hidden="1" x14ac:dyDescent="0.2"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</row>
    <row r="72" spans="17:28" s="88" customFormat="1" hidden="1" x14ac:dyDescent="0.2"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</row>
    <row r="73" spans="17:28" s="88" customFormat="1" hidden="1" x14ac:dyDescent="0.2"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</row>
    <row r="74" spans="17:28" s="88" customFormat="1" hidden="1" x14ac:dyDescent="0.2"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</row>
    <row r="75" spans="17:28" s="88" customFormat="1" hidden="1" x14ac:dyDescent="0.2"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</row>
    <row r="76" spans="17:28" s="88" customFormat="1" hidden="1" x14ac:dyDescent="0.2"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</row>
    <row r="77" spans="17:28" s="88" customFormat="1" hidden="1" x14ac:dyDescent="0.2"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</row>
    <row r="78" spans="17:28" s="88" customFormat="1" hidden="1" x14ac:dyDescent="0.2"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</row>
    <row r="79" spans="17:28" s="88" customFormat="1" hidden="1" x14ac:dyDescent="0.2"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</row>
    <row r="80" spans="17:28" s="88" customFormat="1" hidden="1" x14ac:dyDescent="0.2"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39"/>
      <c r="AB80" s="139"/>
    </row>
    <row r="81" spans="1:28" s="88" customFormat="1" hidden="1" x14ac:dyDescent="0.2"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</row>
    <row r="82" spans="1:28" s="88" customFormat="1" hidden="1" x14ac:dyDescent="0.2"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</row>
    <row r="83" spans="1:28" s="88" customFormat="1" hidden="1" x14ac:dyDescent="0.2">
      <c r="Q83" s="139"/>
      <c r="R83" s="139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</row>
    <row r="84" spans="1:28" s="88" customFormat="1" hidden="1" x14ac:dyDescent="0.2">
      <c r="Q84" s="139"/>
      <c r="R84" s="139"/>
      <c r="S84" s="139"/>
      <c r="T84" s="139"/>
      <c r="U84" s="139"/>
      <c r="V84" s="139"/>
      <c r="W84" s="139"/>
      <c r="X84" s="139"/>
      <c r="Y84" s="139"/>
      <c r="Z84" s="139"/>
      <c r="AA84" s="139"/>
      <c r="AB84" s="139"/>
    </row>
    <row r="85" spans="1:28" s="88" customFormat="1" hidden="1" x14ac:dyDescent="0.2"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</row>
    <row r="86" spans="1:28" s="88" customFormat="1" hidden="1" x14ac:dyDescent="0.2">
      <c r="Q86" s="139"/>
      <c r="R86" s="139"/>
      <c r="S86" s="139"/>
      <c r="T86" s="139"/>
      <c r="U86" s="139"/>
      <c r="V86" s="139"/>
      <c r="W86" s="139"/>
      <c r="X86" s="139"/>
      <c r="Y86" s="139"/>
      <c r="Z86" s="139"/>
      <c r="AA86" s="139"/>
      <c r="AB86" s="139"/>
    </row>
    <row r="87" spans="1:28" s="88" customFormat="1" hidden="1" x14ac:dyDescent="0.2"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</row>
    <row r="88" spans="1:28" s="88" customFormat="1" hidden="1" x14ac:dyDescent="0.2"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39"/>
      <c r="AB88" s="139"/>
    </row>
    <row r="89" spans="1:28" s="88" customFormat="1" hidden="1" x14ac:dyDescent="0.2"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</row>
    <row r="90" spans="1:28" s="88" customFormat="1" hidden="1" x14ac:dyDescent="0.2"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</row>
    <row r="91" spans="1:28" s="88" customFormat="1" hidden="1" x14ac:dyDescent="0.2"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</row>
    <row r="92" spans="1:28" s="88" customFormat="1" hidden="1" x14ac:dyDescent="0.2">
      <c r="Q92" s="139"/>
      <c r="R92" s="139"/>
      <c r="S92" s="139"/>
      <c r="T92" s="139"/>
      <c r="U92" s="139"/>
      <c r="V92" s="139"/>
      <c r="W92" s="139"/>
      <c r="X92" s="139"/>
      <c r="Y92" s="139"/>
      <c r="Z92" s="139"/>
      <c r="AA92" s="139"/>
      <c r="AB92" s="139"/>
    </row>
    <row r="93" spans="1:28" s="88" customFormat="1" hidden="1" x14ac:dyDescent="0.2"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</row>
    <row r="94" spans="1:28" s="88" customFormat="1" hidden="1" x14ac:dyDescent="0.2"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</row>
    <row r="95" spans="1:28" s="349" customFormat="1" hidden="1" x14ac:dyDescent="0.2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</row>
    <row r="96" spans="1:28" hidden="1" x14ac:dyDescent="0.2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</row>
    <row r="97" spans="1:15" hidden="1" x14ac:dyDescent="0.2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</row>
    <row r="98" spans="1:15" hidden="1" x14ac:dyDescent="0.2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</row>
    <row r="99" spans="1:15" x14ac:dyDescent="0.2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</row>
    <row r="100" spans="1:15" x14ac:dyDescent="0.2">
      <c r="A100" s="214" t="s">
        <v>411</v>
      </c>
      <c r="B100" s="99"/>
      <c r="C100" s="96"/>
      <c r="D100" s="96"/>
      <c r="E100" s="96"/>
      <c r="F100" s="97"/>
      <c r="G100" s="98"/>
      <c r="H100" s="88"/>
      <c r="I100" s="88"/>
      <c r="J100" s="88"/>
      <c r="K100" s="88"/>
      <c r="L100" s="88"/>
      <c r="M100" s="88"/>
      <c r="N100" s="88"/>
      <c r="O100" s="88"/>
    </row>
    <row r="101" spans="1:15" x14ac:dyDescent="0.2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</row>
    <row r="102" spans="1:15" x14ac:dyDescent="0.2">
      <c r="A102" s="106" t="s">
        <v>84</v>
      </c>
      <c r="B102" s="404" t="str">
        <f>IFERROR(INDEX(B$1:B$100,MATCH(A102,I$1:I$100,0)),"")</f>
        <v>Aarne Välja, Johannes Neiland</v>
      </c>
      <c r="C102" s="120">
        <v>10</v>
      </c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</row>
    <row r="103" spans="1:15" x14ac:dyDescent="0.2">
      <c r="A103" s="107"/>
      <c r="B103" s="405"/>
      <c r="C103" s="524" t="str">
        <f>IF(COUNT(C102,C104)=2,IF(C102&gt;C104,B102,B104),"")</f>
        <v>Einar Juhkam, Aleksander Korikov</v>
      </c>
      <c r="D103" s="88"/>
      <c r="E103" s="120">
        <v>5</v>
      </c>
      <c r="F103" s="88"/>
      <c r="G103" s="88"/>
      <c r="H103" s="88"/>
      <c r="I103" s="88"/>
      <c r="J103" s="88"/>
      <c r="K103" s="88"/>
      <c r="L103" s="88"/>
      <c r="M103" s="88"/>
      <c r="N103" s="88"/>
      <c r="O103" s="88"/>
    </row>
    <row r="104" spans="1:15" x14ac:dyDescent="0.2">
      <c r="A104" s="107" t="s">
        <v>406</v>
      </c>
      <c r="B104" s="525" t="str">
        <f>IFERROR(INDEX(B$1:B$100,MATCH(A104,I$1:I$100,0)),"")</f>
        <v>Einar Juhkam, Aleksander Korikov</v>
      </c>
      <c r="C104" s="110">
        <v>13</v>
      </c>
      <c r="D104" s="671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</row>
    <row r="105" spans="1:15" x14ac:dyDescent="0.2">
      <c r="A105" s="107"/>
      <c r="B105" s="407"/>
      <c r="C105" s="88"/>
      <c r="D105" s="112"/>
      <c r="E105" s="524" t="str">
        <f>IF(COUNT(E103,E107)=2,IF(E103&gt;E107,C103,C107),"")</f>
        <v>Andres Veski, Svetlana Veski</v>
      </c>
      <c r="F105" s="88"/>
      <c r="G105" s="120">
        <v>13</v>
      </c>
      <c r="H105" s="88"/>
      <c r="I105" s="88"/>
      <c r="J105" s="88"/>
      <c r="K105" s="88"/>
      <c r="L105" s="88"/>
      <c r="M105" s="88"/>
      <c r="N105" s="88"/>
      <c r="O105" s="88"/>
    </row>
    <row r="106" spans="1:15" x14ac:dyDescent="0.2">
      <c r="A106" s="107" t="s">
        <v>86</v>
      </c>
      <c r="B106" s="404" t="str">
        <f>IFERROR(INDEX(B$1:B$100,MATCH(A106,I$1:I$100,0)),"")</f>
        <v>Boriss Klubov, Mait Metsla</v>
      </c>
      <c r="C106" s="120">
        <v>5</v>
      </c>
      <c r="D106" s="112"/>
      <c r="E106" s="664"/>
      <c r="F106" s="671"/>
      <c r="G106" s="88"/>
      <c r="H106" s="88"/>
      <c r="I106" s="88"/>
      <c r="J106" s="88"/>
      <c r="K106" s="88"/>
      <c r="L106" s="88"/>
      <c r="M106" s="88"/>
      <c r="N106" s="88"/>
      <c r="O106" s="88"/>
    </row>
    <row r="107" spans="1:15" x14ac:dyDescent="0.2">
      <c r="A107" s="107"/>
      <c r="B107" s="672"/>
      <c r="C107" s="524" t="str">
        <f>IF(COUNT(C106,C108)=2,IF(C106&gt;C108,B106,B108),"")</f>
        <v>Andres Veski, Svetlana Veski</v>
      </c>
      <c r="D107" s="234"/>
      <c r="E107" s="110">
        <v>13</v>
      </c>
      <c r="F107" s="112"/>
      <c r="G107" s="88"/>
      <c r="H107" s="88"/>
      <c r="I107" s="88"/>
      <c r="J107" s="88"/>
      <c r="K107" s="88"/>
      <c r="L107" s="88"/>
      <c r="M107" s="88"/>
      <c r="N107" s="88"/>
      <c r="O107" s="88"/>
    </row>
    <row r="108" spans="1:15" x14ac:dyDescent="0.2">
      <c r="A108" s="107" t="s">
        <v>75</v>
      </c>
      <c r="B108" s="525" t="str">
        <f>IFERROR(INDEX(B$1:B$100,MATCH(A108,I$1:I$100,0)),"")</f>
        <v>Andres Veski, Svetlana Veski</v>
      </c>
      <c r="C108" s="110">
        <v>13</v>
      </c>
      <c r="D108" s="88"/>
      <c r="E108" s="99"/>
      <c r="F108" s="112"/>
      <c r="G108" s="88"/>
      <c r="H108" s="88"/>
      <c r="I108" s="88"/>
      <c r="J108" s="88"/>
      <c r="K108" s="88"/>
      <c r="L108" s="88"/>
      <c r="M108" s="88"/>
      <c r="N108" s="88"/>
      <c r="O108" s="88"/>
    </row>
    <row r="109" spans="1:15" ht="13.5" thickBot="1" x14ac:dyDescent="0.25">
      <c r="A109" s="87"/>
      <c r="B109" s="407"/>
      <c r="C109" s="88"/>
      <c r="D109" s="88"/>
      <c r="E109" s="99"/>
      <c r="F109" s="112"/>
      <c r="G109" s="88"/>
      <c r="H109" s="184" t="str">
        <f>IF(COUNT(G105,G113)=2,IF(G105&gt;G113,E105,E113),"")</f>
        <v>Andres Veski, Svetlana Veski</v>
      </c>
      <c r="I109" s="88"/>
      <c r="J109" s="88"/>
      <c r="K109" s="88"/>
      <c r="L109" s="88"/>
      <c r="M109" s="88"/>
      <c r="N109" s="88"/>
      <c r="O109" s="88"/>
    </row>
    <row r="110" spans="1:15" x14ac:dyDescent="0.2">
      <c r="A110" s="106" t="s">
        <v>85</v>
      </c>
      <c r="B110" s="404" t="str">
        <f>IFERROR(INDEX(B$1:B$100,MATCH(A110,I$1:I$100,0)),"")</f>
        <v>Ljudmila Varendi, Viktor Švarõgin</v>
      </c>
      <c r="C110" s="120">
        <v>13</v>
      </c>
      <c r="D110" s="88"/>
      <c r="E110" s="88"/>
      <c r="F110" s="112"/>
      <c r="G110" s="673"/>
      <c r="H110" s="379" t="s">
        <v>275</v>
      </c>
      <c r="I110" s="378"/>
      <c r="J110" s="88"/>
      <c r="K110" s="88"/>
      <c r="L110" s="88"/>
      <c r="M110" s="88"/>
      <c r="N110" s="88"/>
      <c r="O110" s="88"/>
    </row>
    <row r="111" spans="1:15" x14ac:dyDescent="0.2">
      <c r="A111" s="107"/>
      <c r="B111" s="672"/>
      <c r="C111" s="524" t="str">
        <f>IF(COUNT(C110,C112)=2,IF(C110&gt;C112,B110,B112),"")</f>
        <v>Ljudmila Varendi, Viktor Švarõgin</v>
      </c>
      <c r="D111" s="88"/>
      <c r="E111" s="429">
        <v>2</v>
      </c>
      <c r="F111" s="112"/>
      <c r="G111" s="99"/>
      <c r="H111" s="88"/>
      <c r="I111" s="88"/>
      <c r="J111" s="88"/>
      <c r="K111" s="88"/>
      <c r="L111" s="88"/>
      <c r="M111" s="88"/>
      <c r="N111" s="88"/>
      <c r="O111" s="88"/>
    </row>
    <row r="112" spans="1:15" x14ac:dyDescent="0.2">
      <c r="A112" s="107" t="s">
        <v>71</v>
      </c>
      <c r="B112" s="525" t="str">
        <f>IFERROR(INDEX(B$1:B$100,MATCH(A112,I$1:I$100,0)),"")</f>
        <v>Oleg Rõndenkov, Toomas Tedrekull</v>
      </c>
      <c r="C112" s="110">
        <v>2</v>
      </c>
      <c r="D112" s="671"/>
      <c r="E112" s="88"/>
      <c r="F112" s="112"/>
      <c r="G112" s="99"/>
      <c r="H112" s="88"/>
      <c r="I112" s="88"/>
      <c r="J112" s="88"/>
      <c r="K112" s="88"/>
      <c r="L112" s="88"/>
      <c r="M112" s="88"/>
      <c r="N112" s="88"/>
      <c r="O112" s="88"/>
    </row>
    <row r="113" spans="1:15" x14ac:dyDescent="0.2">
      <c r="A113" s="107"/>
      <c r="B113" s="407"/>
      <c r="C113" s="88"/>
      <c r="D113" s="112"/>
      <c r="E113" s="524" t="str">
        <f>IF(COUNT(E111,E115)=2,IF(E111&gt;E115,C111,C115),"")</f>
        <v>Kenneth Muusikus, Peep Peenema</v>
      </c>
      <c r="F113" s="234"/>
      <c r="G113" s="110">
        <v>2</v>
      </c>
      <c r="H113" s="88"/>
      <c r="I113" s="88"/>
      <c r="J113" s="88"/>
      <c r="K113" s="88"/>
      <c r="L113" s="88"/>
      <c r="M113" s="88"/>
      <c r="N113" s="88"/>
      <c r="O113" s="88"/>
    </row>
    <row r="114" spans="1:15" ht="13.5" thickBot="1" x14ac:dyDescent="0.25">
      <c r="A114" s="107" t="s">
        <v>407</v>
      </c>
      <c r="B114" s="404" t="str">
        <f>IFERROR(INDEX(B$1:B$100,MATCH(A114,I$1:I$100,0)),"")</f>
        <v>Aigi Orro, Elmo Lageda</v>
      </c>
      <c r="C114" s="120">
        <v>6</v>
      </c>
      <c r="D114" s="112"/>
      <c r="E114" s="664"/>
      <c r="F114" s="99"/>
      <c r="G114" s="99"/>
      <c r="H114" s="184" t="str">
        <f>IF(COUNT(G105,G113)=2,IF(G105&lt;G113,E105,E113),"")</f>
        <v>Kenneth Muusikus, Peep Peenema</v>
      </c>
      <c r="I114" s="119"/>
      <c r="J114" s="88"/>
      <c r="K114" s="88"/>
      <c r="L114" s="88"/>
      <c r="M114" s="88"/>
      <c r="N114" s="88"/>
      <c r="O114" s="88"/>
    </row>
    <row r="115" spans="1:15" x14ac:dyDescent="0.2">
      <c r="A115" s="107"/>
      <c r="B115" s="672"/>
      <c r="C115" s="524" t="str">
        <f>IF(COUNT(C114,C116)=2,IF(C114&gt;C116,B114,B116),"")</f>
        <v>Kenneth Muusikus, Peep Peenema</v>
      </c>
      <c r="D115" s="234"/>
      <c r="E115" s="110">
        <v>13</v>
      </c>
      <c r="F115" s="88"/>
      <c r="G115" s="99"/>
      <c r="H115" s="379" t="s">
        <v>276</v>
      </c>
      <c r="I115" s="99"/>
      <c r="J115" s="88"/>
      <c r="K115" s="88"/>
      <c r="L115" s="88"/>
      <c r="M115" s="88"/>
      <c r="N115" s="88"/>
      <c r="O115" s="88"/>
    </row>
    <row r="116" spans="1:15" x14ac:dyDescent="0.2">
      <c r="A116" s="107" t="s">
        <v>76</v>
      </c>
      <c r="B116" s="525" t="str">
        <f>IFERROR(INDEX(B$1:B$100,MATCH(A116,I$1:I$100,0)),"")</f>
        <v>Kenneth Muusikus, Peep Peenema</v>
      </c>
      <c r="C116" s="110">
        <v>13</v>
      </c>
      <c r="D116" s="88"/>
      <c r="E116" s="99"/>
      <c r="F116" s="99"/>
      <c r="G116" s="99"/>
      <c r="H116" s="88"/>
      <c r="I116" s="88"/>
      <c r="J116" s="88"/>
      <c r="K116" s="88"/>
      <c r="L116" s="88"/>
      <c r="M116" s="88"/>
      <c r="N116" s="88"/>
      <c r="O116" s="88"/>
    </row>
    <row r="117" spans="1:15" x14ac:dyDescent="0.2">
      <c r="A117" s="87"/>
      <c r="B117" s="407"/>
      <c r="C117" s="88"/>
      <c r="D117" s="88"/>
      <c r="E117" s="217" t="str">
        <f>IF(COUNT(E103,E107)=2,IF(E103&lt;E107,C103,C107),"")</f>
        <v>Einar Juhkam, Aleksander Korikov</v>
      </c>
      <c r="F117" s="88"/>
      <c r="G117" s="120">
        <v>1</v>
      </c>
      <c r="H117" s="88"/>
      <c r="I117" s="88"/>
      <c r="J117" s="88"/>
      <c r="K117" s="88"/>
      <c r="L117" s="88"/>
      <c r="M117" s="88"/>
      <c r="N117" s="88"/>
      <c r="O117" s="88"/>
    </row>
    <row r="118" spans="1:15" ht="13.5" thickBot="1" x14ac:dyDescent="0.25">
      <c r="A118" s="88"/>
      <c r="B118" s="88"/>
      <c r="C118" s="88"/>
      <c r="D118" s="88"/>
      <c r="E118" s="674"/>
      <c r="F118" s="671"/>
      <c r="G118" s="119"/>
      <c r="H118" s="184" t="str">
        <f>IF(COUNT(G117,G119)=2,IF(G117&gt;G119,E117,E119),"")</f>
        <v>Ljudmila Varendi, Viktor Švarõgin</v>
      </c>
      <c r="I118" s="119"/>
      <c r="J118" s="88"/>
      <c r="K118" s="88"/>
      <c r="L118" s="88"/>
      <c r="M118" s="88"/>
      <c r="N118" s="88"/>
      <c r="O118" s="88"/>
    </row>
    <row r="119" spans="1:15" x14ac:dyDescent="0.2">
      <c r="A119" s="88"/>
      <c r="B119" s="88"/>
      <c r="C119" s="88"/>
      <c r="D119" s="88"/>
      <c r="E119" s="528" t="str">
        <f>IF(COUNT(E111,E115)=2,IF(E111&lt;E115,C111,C115),"")</f>
        <v>Ljudmila Varendi, Viktor Švarõgin</v>
      </c>
      <c r="F119" s="234"/>
      <c r="G119" s="110">
        <v>13</v>
      </c>
      <c r="H119" s="121" t="s">
        <v>277</v>
      </c>
      <c r="I119" s="99"/>
      <c r="J119" s="88"/>
      <c r="K119" s="88"/>
      <c r="L119" s="88"/>
      <c r="M119" s="88"/>
      <c r="N119" s="88"/>
      <c r="O119" s="88"/>
    </row>
    <row r="120" spans="1:15" x14ac:dyDescent="0.2">
      <c r="A120" s="88"/>
      <c r="B120" s="88"/>
      <c r="C120" s="88"/>
      <c r="D120" s="88"/>
      <c r="E120" s="88"/>
      <c r="F120" s="88"/>
      <c r="G120" s="88"/>
      <c r="H120" s="99"/>
      <c r="I120" s="99"/>
      <c r="J120" s="88"/>
      <c r="K120" s="88"/>
      <c r="L120" s="88"/>
      <c r="M120" s="88"/>
      <c r="N120" s="88"/>
      <c r="O120" s="88"/>
    </row>
    <row r="121" spans="1:15" ht="13.5" thickBot="1" x14ac:dyDescent="0.25">
      <c r="A121" s="88"/>
      <c r="B121" s="88"/>
      <c r="C121" s="88"/>
      <c r="D121" s="88"/>
      <c r="E121" s="99"/>
      <c r="F121" s="99"/>
      <c r="G121" s="88"/>
      <c r="H121" s="184" t="str">
        <f>IF(COUNT(G117,G119)=2,IF(G117&lt;G119,E117,E119),"")</f>
        <v>Einar Juhkam, Aleksander Korikov</v>
      </c>
      <c r="I121" s="119"/>
      <c r="J121" s="88"/>
      <c r="K121" s="88"/>
      <c r="L121" s="88"/>
      <c r="M121" s="88"/>
      <c r="N121" s="88"/>
      <c r="O121" s="88"/>
    </row>
    <row r="122" spans="1:15" x14ac:dyDescent="0.2">
      <c r="A122" s="88"/>
      <c r="B122" s="88"/>
      <c r="C122" s="88"/>
      <c r="D122" s="88"/>
      <c r="E122" s="88"/>
      <c r="F122" s="88"/>
      <c r="G122" s="88"/>
      <c r="H122" s="87" t="s">
        <v>50</v>
      </c>
      <c r="I122" s="88"/>
      <c r="J122" s="88"/>
      <c r="K122" s="88"/>
      <c r="L122" s="88"/>
      <c r="M122" s="88"/>
      <c r="N122" s="88"/>
      <c r="O122" s="88"/>
    </row>
    <row r="123" spans="1:15" x14ac:dyDescent="0.2">
      <c r="A123" s="88"/>
      <c r="B123" s="88"/>
      <c r="C123" s="528" t="str">
        <f>IF(COUNT(C102,C104)=2,IF(C102&lt;C104,B102,B104),"")</f>
        <v>Aarne Välja, Johannes Neiland</v>
      </c>
      <c r="D123" s="88"/>
      <c r="E123" s="120">
        <v>6</v>
      </c>
      <c r="F123" s="120"/>
      <c r="G123" s="120"/>
      <c r="H123" s="88"/>
      <c r="I123" s="88"/>
      <c r="J123" s="88"/>
      <c r="K123" s="88"/>
      <c r="L123" s="88"/>
      <c r="M123" s="88"/>
      <c r="N123" s="88"/>
      <c r="O123" s="88"/>
    </row>
    <row r="124" spans="1:15" x14ac:dyDescent="0.2">
      <c r="A124" s="88"/>
      <c r="B124" s="88"/>
      <c r="C124" s="675"/>
      <c r="D124" s="676"/>
      <c r="E124" s="524" t="str">
        <f>IF(COUNT(E123,E125)=2,IF(E123&gt;E125,C123,C125),"")</f>
        <v>Boriss Klubov, Mait Metsla</v>
      </c>
      <c r="F124" s="88"/>
      <c r="G124" s="120">
        <v>4</v>
      </c>
      <c r="H124" s="88"/>
      <c r="I124" s="88"/>
      <c r="J124" s="88"/>
      <c r="K124" s="88"/>
      <c r="L124" s="88"/>
      <c r="M124" s="88"/>
      <c r="N124" s="88"/>
      <c r="O124" s="88"/>
    </row>
    <row r="125" spans="1:15" x14ac:dyDescent="0.2">
      <c r="A125" s="88"/>
      <c r="B125" s="88"/>
      <c r="C125" s="528" t="str">
        <f>IF(COUNT(C106,C108)=2,IF(C106&lt;C108,B106,B108),"")</f>
        <v>Boriss Klubov, Mait Metsla</v>
      </c>
      <c r="D125" s="529"/>
      <c r="E125" s="110">
        <v>13</v>
      </c>
      <c r="F125" s="676"/>
      <c r="G125" s="120"/>
      <c r="H125" s="88"/>
      <c r="I125" s="88"/>
      <c r="J125" s="88"/>
      <c r="K125" s="88"/>
      <c r="L125" s="88"/>
      <c r="M125" s="88"/>
      <c r="N125" s="88"/>
      <c r="O125" s="88"/>
    </row>
    <row r="126" spans="1:15" ht="13.5" thickBot="1" x14ac:dyDescent="0.25">
      <c r="A126" s="88"/>
      <c r="B126" s="88"/>
      <c r="C126" s="120"/>
      <c r="D126" s="120"/>
      <c r="E126" s="113"/>
      <c r="F126" s="221"/>
      <c r="G126" s="120"/>
      <c r="H126" s="184" t="str">
        <f>IF(COUNT(G124,G128)=2,IF(G124&gt;G128,E124,E128),"")</f>
        <v>Aigi Orro, Elmo Lageda</v>
      </c>
      <c r="I126" s="88"/>
      <c r="J126" s="88"/>
      <c r="K126" s="88"/>
      <c r="L126" s="88"/>
      <c r="M126" s="88"/>
      <c r="N126" s="88"/>
      <c r="O126" s="88"/>
    </row>
    <row r="127" spans="1:15" x14ac:dyDescent="0.2">
      <c r="A127" s="88"/>
      <c r="B127" s="88"/>
      <c r="C127" s="528" t="str">
        <f>IF(COUNT(C110,C112)=2,IF(C110&lt;C112,B110,B112),"")</f>
        <v>Oleg Rõndenkov, Toomas Tedrekull</v>
      </c>
      <c r="D127" s="120"/>
      <c r="E127" s="120">
        <v>5</v>
      </c>
      <c r="F127" s="221"/>
      <c r="G127" s="549"/>
      <c r="H127" s="379" t="s">
        <v>51</v>
      </c>
      <c r="I127" s="378"/>
      <c r="J127" s="88"/>
      <c r="K127" s="88"/>
      <c r="L127" s="88"/>
      <c r="M127" s="88"/>
      <c r="N127" s="88"/>
      <c r="O127" s="88"/>
    </row>
    <row r="128" spans="1:15" x14ac:dyDescent="0.2">
      <c r="A128" s="88"/>
      <c r="B128" s="88"/>
      <c r="C128" s="675"/>
      <c r="D128" s="676"/>
      <c r="E128" s="524" t="str">
        <f>IF(COUNT(E127,E129)=2,IF(E127&gt;E129,C127,C129),"")</f>
        <v>Aigi Orro, Elmo Lageda</v>
      </c>
      <c r="F128" s="234"/>
      <c r="G128" s="110">
        <v>13</v>
      </c>
      <c r="H128" s="88"/>
      <c r="I128" s="88"/>
      <c r="J128" s="88"/>
      <c r="K128" s="88"/>
      <c r="L128" s="88"/>
      <c r="M128" s="88"/>
      <c r="N128" s="88"/>
      <c r="O128" s="88"/>
    </row>
    <row r="129" spans="1:15" ht="13.5" thickBot="1" x14ac:dyDescent="0.25">
      <c r="A129" s="88"/>
      <c r="B129" s="88"/>
      <c r="C129" s="528" t="str">
        <f>IF(COUNT(C114,C116)=2,IF(C114&lt;C116,B114,B116),"")</f>
        <v>Aigi Orro, Elmo Lageda</v>
      </c>
      <c r="D129" s="529"/>
      <c r="E129" s="110">
        <v>13</v>
      </c>
      <c r="F129" s="120"/>
      <c r="G129" s="113"/>
      <c r="H129" s="184" t="str">
        <f>IF(COUNT(G124,G128)=2,IF(G124&lt;G128,E124,E128),"")</f>
        <v>Boriss Klubov, Mait Metsla</v>
      </c>
      <c r="I129" s="119"/>
      <c r="J129" s="88"/>
      <c r="K129" s="88"/>
      <c r="L129" s="88"/>
      <c r="M129" s="88"/>
      <c r="N129" s="88"/>
      <c r="O129" s="88"/>
    </row>
    <row r="130" spans="1:15" x14ac:dyDescent="0.2">
      <c r="A130" s="88"/>
      <c r="B130" s="88"/>
      <c r="C130" s="120"/>
      <c r="D130" s="120"/>
      <c r="E130" s="120"/>
      <c r="F130" s="120"/>
      <c r="G130" s="113"/>
      <c r="H130" s="379" t="s">
        <v>52</v>
      </c>
      <c r="I130" s="99"/>
      <c r="J130" s="88"/>
      <c r="K130" s="88"/>
      <c r="L130" s="88"/>
      <c r="M130" s="88"/>
      <c r="N130" s="88"/>
      <c r="O130" s="88"/>
    </row>
    <row r="131" spans="1:15" x14ac:dyDescent="0.2">
      <c r="A131" s="88"/>
      <c r="B131" s="88"/>
      <c r="C131" s="120"/>
      <c r="D131" s="113"/>
      <c r="E131" s="217" t="str">
        <f>IF(COUNT(E123,E125)=2,IF(E123&lt;E125,C123,C125),"")</f>
        <v>Aarne Välja, Johannes Neiland</v>
      </c>
      <c r="F131" s="88"/>
      <c r="G131" s="120">
        <v>13</v>
      </c>
      <c r="H131" s="99"/>
      <c r="I131" s="99"/>
    </row>
    <row r="132" spans="1:15" ht="13.5" thickBot="1" x14ac:dyDescent="0.25">
      <c r="A132" s="88"/>
      <c r="B132" s="88"/>
      <c r="C132" s="120"/>
      <c r="D132" s="113"/>
      <c r="E132" s="674"/>
      <c r="F132" s="671"/>
      <c r="G132" s="119"/>
      <c r="H132" s="184" t="str">
        <f>IF(COUNT(G131,G133)=2,IF(G131&gt;G133,E131,E133),"")</f>
        <v>Aarne Välja, Johannes Neiland</v>
      </c>
      <c r="I132" s="119"/>
    </row>
    <row r="133" spans="1:15" x14ac:dyDescent="0.2">
      <c r="A133" s="88"/>
      <c r="B133" s="88"/>
      <c r="C133" s="120"/>
      <c r="D133" s="113"/>
      <c r="E133" s="528" t="str">
        <f>IF(COUNT(E127,E129)=2,IF(E127&lt;E129,C127,C129),"")</f>
        <v>Oleg Rõndenkov, Toomas Tedrekull</v>
      </c>
      <c r="F133" s="234"/>
      <c r="G133" s="110">
        <v>5</v>
      </c>
      <c r="H133" s="379" t="s">
        <v>53</v>
      </c>
      <c r="I133" s="99"/>
    </row>
    <row r="134" spans="1:15" x14ac:dyDescent="0.2">
      <c r="A134" s="88"/>
      <c r="B134" s="88"/>
      <c r="C134" s="88"/>
      <c r="D134" s="99"/>
      <c r="E134" s="88"/>
      <c r="F134" s="88"/>
      <c r="G134" s="88"/>
      <c r="H134" s="99"/>
      <c r="I134" s="99"/>
    </row>
    <row r="135" spans="1:15" ht="13.5" thickBot="1" x14ac:dyDescent="0.25">
      <c r="A135" s="88"/>
      <c r="B135" s="88"/>
      <c r="C135" s="88"/>
      <c r="D135" s="88"/>
      <c r="E135" s="99"/>
      <c r="F135" s="99"/>
      <c r="G135" s="88"/>
      <c r="H135" s="119" t="str">
        <f>IF(COUNT(G131,G133)=2,IF(G131&lt;G133,E131,E133),"")</f>
        <v>Oleg Rõndenkov, Toomas Tedrekull</v>
      </c>
      <c r="I135" s="119"/>
    </row>
    <row r="136" spans="1:15" x14ac:dyDescent="0.2">
      <c r="A136" s="95"/>
      <c r="B136" s="410"/>
      <c r="C136" s="97"/>
      <c r="D136" s="97"/>
      <c r="E136" s="97"/>
      <c r="F136" s="97"/>
      <c r="G136" s="402"/>
      <c r="H136" s="379" t="s">
        <v>54</v>
      </c>
      <c r="I136" s="188"/>
    </row>
    <row r="138" spans="1:15" x14ac:dyDescent="0.2">
      <c r="A138" s="214" t="s">
        <v>517</v>
      </c>
      <c r="B138" s="99"/>
      <c r="C138" s="96"/>
      <c r="D138" s="96"/>
      <c r="E138" s="96"/>
      <c r="F138" s="97"/>
      <c r="G138" s="98"/>
      <c r="H138" s="88"/>
      <c r="I138" s="88"/>
    </row>
    <row r="140" spans="1:15" x14ac:dyDescent="0.2">
      <c r="A140" s="106" t="s">
        <v>93</v>
      </c>
      <c r="B140" s="404" t="str">
        <f>IFERROR(INDEX(B$1:B$100,MATCH(A140,I$1:I$100,0)),"")</f>
        <v>Jaan Sepp, Oskar Sepp</v>
      </c>
      <c r="C140" s="120">
        <v>0</v>
      </c>
      <c r="D140" s="88"/>
      <c r="E140" s="88"/>
      <c r="F140" s="88"/>
      <c r="G140" s="88"/>
      <c r="H140" s="88"/>
      <c r="I140" s="88"/>
    </row>
    <row r="141" spans="1:15" x14ac:dyDescent="0.2">
      <c r="A141" s="107"/>
      <c r="B141" s="405"/>
      <c r="C141" s="524" t="str">
        <f>IF(COUNT(C140,C142)=2,IF(C140&gt;C142,B140,B142),"")</f>
        <v>Henri Mitt, Urmas Jõeäär</v>
      </c>
      <c r="D141" s="88"/>
      <c r="E141" s="120">
        <v>5</v>
      </c>
      <c r="F141" s="88"/>
      <c r="G141" s="88"/>
      <c r="H141" s="88"/>
      <c r="I141" s="88"/>
    </row>
    <row r="142" spans="1:15" x14ac:dyDescent="0.2">
      <c r="A142" s="107" t="s">
        <v>409</v>
      </c>
      <c r="B142" s="525" t="str">
        <f>IFERROR(INDEX(B$1:B$100,MATCH(A142,I$1:I$100,0)),"")</f>
        <v>Henri Mitt, Urmas Jõeäär</v>
      </c>
      <c r="C142" s="110">
        <v>13</v>
      </c>
      <c r="D142" s="671"/>
      <c r="E142" s="88"/>
      <c r="F142" s="88"/>
      <c r="G142" s="88"/>
      <c r="H142" s="88"/>
      <c r="I142" s="88"/>
    </row>
    <row r="143" spans="1:15" x14ac:dyDescent="0.2">
      <c r="A143" s="107"/>
      <c r="B143" s="407"/>
      <c r="C143" s="88"/>
      <c r="D143" s="112"/>
      <c r="E143" s="524" t="str">
        <f>IF(COUNT(E141,E145)=2,IF(E141&gt;E145,C141,C145),"")</f>
        <v>Andres Viisitam, Tõnu Piik</v>
      </c>
      <c r="F143" s="88"/>
      <c r="G143" s="120">
        <v>13</v>
      </c>
      <c r="H143" s="88"/>
      <c r="I143" s="88"/>
    </row>
    <row r="144" spans="1:15" x14ac:dyDescent="0.2">
      <c r="A144" s="107" t="s">
        <v>94</v>
      </c>
      <c r="B144" s="404" t="str">
        <f>IFERROR(INDEX(B$1:B$100,MATCH(A144,I$1:I$100,0)),"")</f>
        <v>Andres Viisitam, Tõnu Piik</v>
      </c>
      <c r="C144" s="120">
        <v>13</v>
      </c>
      <c r="D144" s="112"/>
      <c r="E144" s="664"/>
      <c r="F144" s="671"/>
      <c r="G144" s="88"/>
      <c r="H144" s="88"/>
      <c r="I144" s="88"/>
    </row>
    <row r="145" spans="1:9" x14ac:dyDescent="0.2">
      <c r="A145" s="107"/>
      <c r="B145" s="672"/>
      <c r="C145" s="524" t="str">
        <f>IF(COUNT(C144,C146)=2,IF(C144&gt;C146,B144,B146),"")</f>
        <v>Andres Viisitam, Tõnu Piik</v>
      </c>
      <c r="D145" s="234"/>
      <c r="E145" s="110">
        <v>13</v>
      </c>
      <c r="F145" s="112"/>
      <c r="G145" s="88"/>
      <c r="H145" s="88"/>
      <c r="I145" s="88"/>
    </row>
    <row r="146" spans="1:9" x14ac:dyDescent="0.2">
      <c r="A146" s="107" t="s">
        <v>122</v>
      </c>
      <c r="B146" s="525" t="str">
        <f>IFERROR(INDEX(B$1:B$100,MATCH(A146,I$1:I$100,0)),"")</f>
        <v>Illar Tõnurist, Natalia Kähärä</v>
      </c>
      <c r="C146" s="110">
        <v>5</v>
      </c>
      <c r="D146" s="88"/>
      <c r="E146" s="99"/>
      <c r="F146" s="112"/>
      <c r="G146" s="88"/>
      <c r="H146" s="88"/>
      <c r="I146" s="88"/>
    </row>
    <row r="147" spans="1:9" ht="13.5" thickBot="1" x14ac:dyDescent="0.25">
      <c r="A147" s="87"/>
      <c r="B147" s="407"/>
      <c r="C147" s="88"/>
      <c r="D147" s="88"/>
      <c r="E147" s="99"/>
      <c r="F147" s="112"/>
      <c r="G147" s="88"/>
      <c r="H147" s="184" t="str">
        <f>IF(COUNT(G143,G151)=2,IF(G143&gt;G151,E143,E151),"")</f>
        <v>Andres Viisitam, Tõnu Piik</v>
      </c>
      <c r="I147" s="88"/>
    </row>
    <row r="148" spans="1:9" x14ac:dyDescent="0.2">
      <c r="A148" s="106" t="s">
        <v>118</v>
      </c>
      <c r="B148" s="404" t="str">
        <f>IFERROR(INDEX(B$1:B$100,MATCH(A148,I$1:I$100,0)),"")</f>
        <v>Heili Vasser, Vello Vasser</v>
      </c>
      <c r="C148" s="120">
        <v>0</v>
      </c>
      <c r="D148" s="88"/>
      <c r="E148" s="88"/>
      <c r="F148" s="112"/>
      <c r="G148" s="673"/>
      <c r="H148" s="379" t="s">
        <v>55</v>
      </c>
      <c r="I148" s="378"/>
    </row>
    <row r="149" spans="1:9" x14ac:dyDescent="0.2">
      <c r="A149" s="107"/>
      <c r="B149" s="672"/>
      <c r="C149" s="524" t="str">
        <f>IF(COUNT(C148,C150)=2,IF(C148&gt;C150,B148,B150),"")</f>
        <v>Enn Tokman, Tarmo Bombe</v>
      </c>
      <c r="D149" s="88"/>
      <c r="E149" s="749">
        <v>7</v>
      </c>
      <c r="F149" s="112"/>
      <c r="G149" s="99"/>
      <c r="H149" s="88"/>
      <c r="I149" s="88"/>
    </row>
    <row r="150" spans="1:9" x14ac:dyDescent="0.2">
      <c r="A150" s="107" t="s">
        <v>189</v>
      </c>
      <c r="B150" s="525" t="str">
        <f>IFERROR(INDEX(B$1:B$100,MATCH(A150,I$1:I$100,0)),"")</f>
        <v>Enn Tokman, Tarmo Bombe</v>
      </c>
      <c r="C150" s="110">
        <v>13</v>
      </c>
      <c r="D150" s="671"/>
      <c r="E150" s="88"/>
      <c r="F150" s="112"/>
      <c r="G150" s="99"/>
      <c r="H150" s="88"/>
      <c r="I150" s="88"/>
    </row>
    <row r="151" spans="1:9" x14ac:dyDescent="0.2">
      <c r="A151" s="107"/>
      <c r="B151" s="407"/>
      <c r="C151" s="88"/>
      <c r="D151" s="112"/>
      <c r="E151" s="524" t="str">
        <f>IF(COUNT(E149,E153)=2,IF(E149&gt;E153,C149,C153),"")</f>
        <v>Klavdia Piik, Ülo Piik</v>
      </c>
      <c r="F151" s="234"/>
      <c r="G151" s="110">
        <v>2</v>
      </c>
      <c r="H151" s="88"/>
      <c r="I151" s="88"/>
    </row>
    <row r="152" spans="1:9" ht="13.5" thickBot="1" x14ac:dyDescent="0.25">
      <c r="A152" s="107" t="s">
        <v>408</v>
      </c>
      <c r="B152" s="404" t="str">
        <f>IFERROR(INDEX(B$1:B$100,MATCH(A152,I$1:I$100,0)),"")</f>
        <v>Klavdia Piik, Ülo Piik</v>
      </c>
      <c r="C152" s="120">
        <v>13</v>
      </c>
      <c r="D152" s="112"/>
      <c r="E152" s="664"/>
      <c r="F152" s="99"/>
      <c r="G152" s="99"/>
      <c r="H152" s="184" t="str">
        <f>IF(COUNT(G143,G151)=2,IF(G143&lt;G151,E143,E151),"")</f>
        <v>Klavdia Piik, Ülo Piik</v>
      </c>
      <c r="I152" s="119"/>
    </row>
    <row r="153" spans="1:9" x14ac:dyDescent="0.2">
      <c r="A153" s="107"/>
      <c r="B153" s="672"/>
      <c r="C153" s="524" t="str">
        <f>IF(COUNT(C152,C154)=2,IF(C152&gt;C154,B152,B154),"")</f>
        <v>Klavdia Piik, Ülo Piik</v>
      </c>
      <c r="D153" s="234"/>
      <c r="E153" s="110">
        <v>13</v>
      </c>
      <c r="F153" s="88"/>
      <c r="G153" s="99"/>
      <c r="H153" s="379" t="s">
        <v>56</v>
      </c>
      <c r="I153" s="99"/>
    </row>
    <row r="154" spans="1:9" x14ac:dyDescent="0.2">
      <c r="A154" s="107" t="s">
        <v>95</v>
      </c>
      <c r="B154" s="525" t="str">
        <f>IFERROR(INDEX(B$1:B$100,MATCH(A154,I$1:I$100,0)),"")</f>
        <v>Marta Bernat, Aleksandr Tipakov</v>
      </c>
      <c r="C154" s="110">
        <v>1</v>
      </c>
      <c r="D154" s="88"/>
      <c r="E154" s="99"/>
      <c r="F154" s="99"/>
      <c r="G154" s="99"/>
      <c r="H154" s="88"/>
      <c r="I154" s="88"/>
    </row>
    <row r="155" spans="1:9" x14ac:dyDescent="0.2">
      <c r="A155" s="87"/>
      <c r="B155" s="407"/>
      <c r="C155" s="88"/>
      <c r="D155" s="88"/>
      <c r="E155" s="217" t="str">
        <f>IF(COUNT(E141,E145)=2,IF(E141&lt;E145,C141,C145),"")</f>
        <v>Henri Mitt, Urmas Jõeäär</v>
      </c>
      <c r="F155" s="88"/>
      <c r="G155" s="120">
        <v>13</v>
      </c>
      <c r="H155" s="88"/>
      <c r="I155" s="88"/>
    </row>
    <row r="156" spans="1:9" ht="13.5" thickBot="1" x14ac:dyDescent="0.25">
      <c r="A156" s="88"/>
      <c r="B156" s="88"/>
      <c r="C156" s="88"/>
      <c r="D156" s="88"/>
      <c r="E156" s="674"/>
      <c r="F156" s="671"/>
      <c r="G156" s="119"/>
      <c r="H156" s="184" t="str">
        <f>IF(COUNT(G155,G157)=2,IF(G155&gt;G157,E155,E157),"")</f>
        <v>Henri Mitt, Urmas Jõeäär</v>
      </c>
      <c r="I156" s="119"/>
    </row>
    <row r="157" spans="1:9" x14ac:dyDescent="0.2">
      <c r="A157" s="88"/>
      <c r="B157" s="88"/>
      <c r="C157" s="88"/>
      <c r="D157" s="88"/>
      <c r="E157" s="528" t="str">
        <f>IF(COUNT(E149,E153)=2,IF(E149&lt;E153,C149,C153),"")</f>
        <v>Enn Tokman, Tarmo Bombe</v>
      </c>
      <c r="F157" s="234"/>
      <c r="G157" s="110">
        <v>3</v>
      </c>
      <c r="H157" s="121" t="s">
        <v>57</v>
      </c>
      <c r="I157" s="99"/>
    </row>
    <row r="158" spans="1:9" x14ac:dyDescent="0.2">
      <c r="A158" s="88"/>
      <c r="B158" s="88"/>
      <c r="C158" s="88"/>
      <c r="D158" s="88"/>
      <c r="E158" s="88"/>
      <c r="F158" s="88"/>
      <c r="G158" s="88"/>
      <c r="H158" s="99"/>
      <c r="I158" s="99"/>
    </row>
    <row r="159" spans="1:9" ht="13.5" thickBot="1" x14ac:dyDescent="0.25">
      <c r="A159" s="88"/>
      <c r="B159" s="88"/>
      <c r="C159" s="88"/>
      <c r="D159" s="88"/>
      <c r="E159" s="99"/>
      <c r="F159" s="99"/>
      <c r="G159" s="88"/>
      <c r="H159" s="184" t="str">
        <f>IF(COUNT(G155,G157)=2,IF(G155&lt;G157,E155,E157),"")</f>
        <v>Enn Tokman, Tarmo Bombe</v>
      </c>
      <c r="I159" s="119"/>
    </row>
    <row r="160" spans="1:9" x14ac:dyDescent="0.2">
      <c r="A160" s="88"/>
      <c r="B160" s="88"/>
      <c r="C160" s="88"/>
      <c r="D160" s="88"/>
      <c r="E160" s="88"/>
      <c r="F160" s="88"/>
      <c r="G160" s="88"/>
      <c r="H160" s="87" t="s">
        <v>58</v>
      </c>
      <c r="I160" s="88"/>
    </row>
    <row r="161" spans="1:9" x14ac:dyDescent="0.2">
      <c r="A161" s="88"/>
      <c r="B161" s="88"/>
      <c r="C161" s="528" t="str">
        <f>IF(COUNT(C140,C142)=2,IF(C140&lt;C142,B140,B142),"")</f>
        <v>Jaan Sepp, Oskar Sepp</v>
      </c>
      <c r="D161" s="88"/>
      <c r="E161" s="120">
        <v>0</v>
      </c>
      <c r="F161" s="120"/>
      <c r="G161" s="120"/>
      <c r="H161" s="88"/>
      <c r="I161" s="88"/>
    </row>
    <row r="162" spans="1:9" x14ac:dyDescent="0.2">
      <c r="A162" s="88"/>
      <c r="B162" s="88"/>
      <c r="C162" s="675"/>
      <c r="D162" s="676"/>
      <c r="E162" s="524" t="str">
        <f>IF(COUNT(E161,E163)=2,IF(E161&gt;E163,C161,C163),"")</f>
        <v>Illar Tõnurist, Natalia Kähärä</v>
      </c>
      <c r="F162" s="88"/>
      <c r="G162" s="120">
        <v>0</v>
      </c>
      <c r="H162" s="88"/>
      <c r="I162" s="88"/>
    </row>
    <row r="163" spans="1:9" x14ac:dyDescent="0.2">
      <c r="A163" s="88"/>
      <c r="B163" s="88"/>
      <c r="C163" s="528" t="str">
        <f>IF(COUNT(C144,C146)=2,IF(C144&lt;C146,B144,B146),"")</f>
        <v>Illar Tõnurist, Natalia Kähärä</v>
      </c>
      <c r="D163" s="529"/>
      <c r="E163" s="110">
        <v>13</v>
      </c>
      <c r="F163" s="676"/>
      <c r="G163" s="120"/>
      <c r="H163" s="88"/>
      <c r="I163" s="88"/>
    </row>
    <row r="164" spans="1:9" ht="13.5" thickBot="1" x14ac:dyDescent="0.25">
      <c r="A164" s="88"/>
      <c r="B164" s="88"/>
      <c r="C164" s="120"/>
      <c r="D164" s="120"/>
      <c r="E164" s="113"/>
      <c r="F164" s="221"/>
      <c r="G164" s="120"/>
      <c r="H164" s="184" t="str">
        <f>IF(COUNT(G162,G166)=2,IF(G162&gt;G166,E162,E166),"")</f>
        <v>Marta Bernat, Aleksandr Tipakov</v>
      </c>
      <c r="I164" s="88"/>
    </row>
    <row r="165" spans="1:9" x14ac:dyDescent="0.2">
      <c r="A165" s="88"/>
      <c r="B165" s="88"/>
      <c r="C165" s="528" t="str">
        <f>IF(COUNT(C148,C150)=2,IF(C148&lt;C150,B148,B150),"")</f>
        <v>Heili Vasser, Vello Vasser</v>
      </c>
      <c r="D165" s="120"/>
      <c r="E165" s="120">
        <v>0</v>
      </c>
      <c r="F165" s="221"/>
      <c r="G165" s="549"/>
      <c r="H165" s="379" t="s">
        <v>59</v>
      </c>
      <c r="I165" s="378"/>
    </row>
    <row r="166" spans="1:9" x14ac:dyDescent="0.2">
      <c r="A166" s="88"/>
      <c r="B166" s="88"/>
      <c r="C166" s="675"/>
      <c r="D166" s="676"/>
      <c r="E166" s="524" t="str">
        <f>IF(COUNT(E165,E167)=2,IF(E165&gt;E167,C165,C167),"")</f>
        <v>Marta Bernat, Aleksandr Tipakov</v>
      </c>
      <c r="F166" s="234"/>
      <c r="G166" s="110">
        <v>13</v>
      </c>
      <c r="H166" s="88"/>
      <c r="I166" s="88"/>
    </row>
    <row r="167" spans="1:9" ht="13.5" thickBot="1" x14ac:dyDescent="0.25">
      <c r="A167" s="88"/>
      <c r="B167" s="88"/>
      <c r="C167" s="528" t="str">
        <f>IF(COUNT(C152,C154)=2,IF(C152&lt;C154,B152,B154),"")</f>
        <v>Marta Bernat, Aleksandr Tipakov</v>
      </c>
      <c r="D167" s="529"/>
      <c r="E167" s="110">
        <v>13</v>
      </c>
      <c r="F167" s="120"/>
      <c r="G167" s="113"/>
      <c r="H167" s="184" t="str">
        <f>IF(COUNT(G162,G166)=2,IF(G162&lt;G166,E162,E166),"")</f>
        <v>Illar Tõnurist, Natalia Kähärä</v>
      </c>
      <c r="I167" s="119"/>
    </row>
    <row r="168" spans="1:9" x14ac:dyDescent="0.2">
      <c r="A168" s="88"/>
      <c r="B168" s="88"/>
      <c r="C168" s="120"/>
      <c r="D168" s="120"/>
      <c r="E168" s="120"/>
      <c r="F168" s="120"/>
      <c r="G168" s="113"/>
      <c r="H168" s="379" t="s">
        <v>496</v>
      </c>
      <c r="I168" s="99"/>
    </row>
    <row r="169" spans="1:9" x14ac:dyDescent="0.2">
      <c r="A169" s="88"/>
      <c r="B169" s="88"/>
      <c r="C169" s="120"/>
      <c r="D169" s="113"/>
      <c r="E169" s="217" t="str">
        <f>IF(COUNT(E161,E163)=2,IF(E161&lt;E163,C161,C163),"")</f>
        <v>Jaan Sepp, Oskar Sepp</v>
      </c>
      <c r="F169" s="88"/>
      <c r="G169" s="120">
        <v>0</v>
      </c>
      <c r="H169" s="99"/>
      <c r="I169" s="99"/>
    </row>
    <row r="170" spans="1:9" ht="13.5" thickBot="1" x14ac:dyDescent="0.25">
      <c r="A170" s="88"/>
      <c r="B170" s="88"/>
      <c r="C170" s="120"/>
      <c r="D170" s="113"/>
      <c r="E170" s="674"/>
      <c r="F170" s="671"/>
      <c r="G170" s="119"/>
      <c r="H170" s="184" t="str">
        <f>IF(COUNT(G169,G171)=2,IF(G169&gt;G171,E169,E171),"")</f>
        <v>Heili Vasser, Vello Vasser</v>
      </c>
      <c r="I170" s="119"/>
    </row>
    <row r="171" spans="1:9" x14ac:dyDescent="0.2">
      <c r="A171" s="88"/>
      <c r="B171" s="88"/>
      <c r="C171" s="120"/>
      <c r="D171" s="113"/>
      <c r="E171" s="528" t="str">
        <f>IF(COUNT(E165,E167)=2,IF(E165&lt;E167,C165,C167),"")</f>
        <v>Heili Vasser, Vello Vasser</v>
      </c>
      <c r="F171" s="234"/>
      <c r="G171" s="110">
        <v>0</v>
      </c>
      <c r="H171" s="379" t="s">
        <v>497</v>
      </c>
      <c r="I171" s="99"/>
    </row>
    <row r="172" spans="1:9" x14ac:dyDescent="0.2">
      <c r="A172" s="88"/>
      <c r="B172" s="88"/>
      <c r="C172" s="88"/>
      <c r="D172" s="99"/>
      <c r="E172" s="88"/>
      <c r="F172" s="88"/>
      <c r="G172" s="88"/>
      <c r="H172" s="99"/>
      <c r="I172" s="99"/>
    </row>
    <row r="173" spans="1:9" ht="13.5" thickBot="1" x14ac:dyDescent="0.25">
      <c r="A173" s="88"/>
      <c r="B173" s="88"/>
      <c r="C173" s="88"/>
      <c r="D173" s="88"/>
      <c r="E173" s="99"/>
      <c r="F173" s="99"/>
      <c r="G173" s="88"/>
      <c r="H173" s="119" t="s">
        <v>116</v>
      </c>
      <c r="I173" s="119"/>
    </row>
    <row r="174" spans="1:9" x14ac:dyDescent="0.2">
      <c r="A174" s="95"/>
      <c r="B174" s="410"/>
      <c r="C174" s="97"/>
      <c r="D174" s="97"/>
      <c r="E174" s="97"/>
      <c r="F174" s="97"/>
      <c r="G174" s="402"/>
      <c r="H174" s="379" t="s">
        <v>497</v>
      </c>
      <c r="I174" s="188"/>
    </row>
    <row r="176" spans="1:9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spans="1:3" hidden="1" x14ac:dyDescent="0.2"/>
    <row r="290" spans="1:3" hidden="1" x14ac:dyDescent="0.2"/>
    <row r="291" spans="1:3" hidden="1" x14ac:dyDescent="0.2"/>
    <row r="292" spans="1:3" hidden="1" x14ac:dyDescent="0.2"/>
    <row r="293" spans="1:3" hidden="1" x14ac:dyDescent="0.2"/>
    <row r="294" spans="1:3" hidden="1" x14ac:dyDescent="0.2"/>
    <row r="295" spans="1:3" hidden="1" x14ac:dyDescent="0.2"/>
    <row r="296" spans="1:3" hidden="1" x14ac:dyDescent="0.2"/>
    <row r="297" spans="1:3" hidden="1" x14ac:dyDescent="0.2"/>
    <row r="298" spans="1:3" hidden="1" x14ac:dyDescent="0.2"/>
    <row r="299" spans="1:3" x14ac:dyDescent="0.2">
      <c r="C299" s="264" t="s">
        <v>263</v>
      </c>
    </row>
    <row r="300" spans="1:3" x14ac:dyDescent="0.2">
      <c r="A300" s="424">
        <v>1</v>
      </c>
      <c r="B300" s="124" t="str">
        <f t="shared" ref="B300:B311" si="22">IFERROR(INDEX(H$100:H$300,MATCH(A300&amp;". koht",H$101:H$301,0)),"")</f>
        <v>Andres Veski, Svetlana Veski</v>
      </c>
      <c r="C300" s="88">
        <f>MAX(A300:A386)</f>
        <v>15</v>
      </c>
    </row>
    <row r="301" spans="1:3" x14ac:dyDescent="0.2">
      <c r="A301" s="424">
        <v>2</v>
      </c>
      <c r="B301" s="615" t="str">
        <f t="shared" si="22"/>
        <v>Kenneth Muusikus, Peep Peenema</v>
      </c>
      <c r="C301" s="88">
        <f t="shared" ref="C301:C313" si="23">C300-1</f>
        <v>14</v>
      </c>
    </row>
    <row r="302" spans="1:3" x14ac:dyDescent="0.2">
      <c r="A302" s="424">
        <v>3</v>
      </c>
      <c r="B302" s="616" t="str">
        <f t="shared" si="22"/>
        <v>Ljudmila Varendi, Viktor Švarõgin</v>
      </c>
      <c r="C302" s="88">
        <f t="shared" si="23"/>
        <v>13</v>
      </c>
    </row>
    <row r="303" spans="1:3" x14ac:dyDescent="0.2">
      <c r="A303" s="424">
        <v>4</v>
      </c>
      <c r="B303" s="665" t="str">
        <f t="shared" si="22"/>
        <v>Einar Juhkam, Aleksander Korikov</v>
      </c>
      <c r="C303" s="88">
        <f t="shared" si="23"/>
        <v>12</v>
      </c>
    </row>
    <row r="304" spans="1:3" x14ac:dyDescent="0.2">
      <c r="A304" s="424">
        <v>5</v>
      </c>
      <c r="B304" s="665" t="str">
        <f t="shared" si="22"/>
        <v>Aigi Orro, Elmo Lageda</v>
      </c>
      <c r="C304" s="88">
        <f t="shared" si="23"/>
        <v>11</v>
      </c>
    </row>
    <row r="305" spans="1:6" x14ac:dyDescent="0.2">
      <c r="A305" s="424">
        <v>6</v>
      </c>
      <c r="B305" s="665" t="str">
        <f t="shared" si="22"/>
        <v>Boriss Klubov, Mait Metsla</v>
      </c>
      <c r="C305" s="88">
        <f t="shared" si="23"/>
        <v>10</v>
      </c>
    </row>
    <row r="306" spans="1:6" x14ac:dyDescent="0.2">
      <c r="A306" s="424">
        <v>7</v>
      </c>
      <c r="B306" s="665" t="str">
        <f t="shared" si="22"/>
        <v>Aarne Välja, Johannes Neiland</v>
      </c>
      <c r="C306" s="88">
        <f t="shared" si="23"/>
        <v>9</v>
      </c>
    </row>
    <row r="307" spans="1:6" x14ac:dyDescent="0.2">
      <c r="A307" s="424">
        <v>8</v>
      </c>
      <c r="B307" s="665" t="str">
        <f t="shared" si="22"/>
        <v>Oleg Rõndenkov, Toomas Tedrekull</v>
      </c>
      <c r="C307" s="88">
        <f t="shared" si="23"/>
        <v>8</v>
      </c>
      <c r="E307" s="188"/>
      <c r="F307" s="188"/>
    </row>
    <row r="308" spans="1:6" x14ac:dyDescent="0.2">
      <c r="A308" s="424">
        <v>9</v>
      </c>
      <c r="B308" s="665" t="str">
        <f t="shared" si="22"/>
        <v>Andres Viisitam, Tõnu Piik</v>
      </c>
      <c r="C308" s="88">
        <f t="shared" si="23"/>
        <v>7</v>
      </c>
      <c r="E308" s="188"/>
      <c r="F308" s="188"/>
    </row>
    <row r="309" spans="1:6" x14ac:dyDescent="0.2">
      <c r="A309" s="424">
        <v>10</v>
      </c>
      <c r="B309" s="665" t="str">
        <f t="shared" si="22"/>
        <v>Klavdia Piik, Ülo Piik</v>
      </c>
      <c r="C309" s="88">
        <f t="shared" si="23"/>
        <v>6</v>
      </c>
      <c r="E309" s="188"/>
      <c r="F309" s="215"/>
    </row>
    <row r="310" spans="1:6" x14ac:dyDescent="0.2">
      <c r="A310" s="424">
        <v>11</v>
      </c>
      <c r="B310" s="665" t="str">
        <f t="shared" si="22"/>
        <v>Henri Mitt, Urmas Jõeäär</v>
      </c>
      <c r="C310" s="88">
        <f t="shared" si="23"/>
        <v>5</v>
      </c>
      <c r="E310" s="188"/>
      <c r="F310" s="212"/>
    </row>
    <row r="311" spans="1:6" x14ac:dyDescent="0.2">
      <c r="A311" s="424">
        <v>12</v>
      </c>
      <c r="B311" s="665" t="str">
        <f t="shared" si="22"/>
        <v>Enn Tokman, Tarmo Bombe</v>
      </c>
      <c r="C311" s="88">
        <f t="shared" si="23"/>
        <v>4</v>
      </c>
    </row>
    <row r="312" spans="1:6" x14ac:dyDescent="0.2">
      <c r="A312" s="424">
        <v>13</v>
      </c>
      <c r="B312" s="665" t="str">
        <f t="shared" ref="B312:B314" si="24">IFERROR(INDEX(H$100:H$300,MATCH(A312&amp;". koht",H$101:H$301,0)),"")</f>
        <v>Marta Bernat, Aleksandr Tipakov</v>
      </c>
      <c r="C312" s="88">
        <f t="shared" si="23"/>
        <v>3</v>
      </c>
    </row>
    <row r="313" spans="1:6" x14ac:dyDescent="0.2">
      <c r="A313" s="424">
        <v>14</v>
      </c>
      <c r="B313" s="665" t="str">
        <f t="shared" si="24"/>
        <v>Illar Tõnurist, Natalia Kähärä</v>
      </c>
      <c r="C313" s="88">
        <f t="shared" si="23"/>
        <v>2</v>
      </c>
    </row>
    <row r="314" spans="1:6" x14ac:dyDescent="0.2">
      <c r="A314" s="424">
        <v>15</v>
      </c>
      <c r="B314" s="665" t="str">
        <f t="shared" si="24"/>
        <v>Heili Vasser, Vello Vasser</v>
      </c>
      <c r="C314" s="88">
        <v>1.5</v>
      </c>
    </row>
    <row r="315" spans="1:6" x14ac:dyDescent="0.2">
      <c r="A315" s="424">
        <v>15</v>
      </c>
      <c r="B315" s="665" t="s">
        <v>116</v>
      </c>
      <c r="C315" s="88">
        <v>1.5</v>
      </c>
    </row>
  </sheetData>
  <conditionalFormatting sqref="W7:W11 Y7:Y11 S7:S11 S21:S25 Y21:Y25 Y28:Y32 S14:S18 W14:W18 Y14:Y18 S28:S32 W21:W25 W28:W32">
    <cfRule type="expression" dxfId="853" priority="149">
      <formula>AND(T7="",COUNTIF(S7,"*,*")=0)</formula>
    </cfRule>
  </conditionalFormatting>
  <conditionalFormatting sqref="U7:U11 U21:U25 U14:U18 U28:U32">
    <cfRule type="expression" dxfId="852" priority="147">
      <formula>AND(V7="",FIND(",",U7))</formula>
    </cfRule>
    <cfRule type="expression" dxfId="851" priority="148">
      <formula>AND(V7="",COUNTIF(U7,"*,*")=0)</formula>
    </cfRule>
  </conditionalFormatting>
  <conditionalFormatting sqref="E40">
    <cfRule type="aboveAverage" dxfId="850" priority="146"/>
  </conditionalFormatting>
  <conditionalFormatting sqref="F40">
    <cfRule type="aboveAverage" dxfId="849" priority="145"/>
  </conditionalFormatting>
  <conditionalFormatting sqref="I10:I11">
    <cfRule type="expression" dxfId="848" priority="143">
      <formula>FIND(2,I10,1)</formula>
    </cfRule>
    <cfRule type="expression" dxfId="847" priority="144">
      <formula>FIND(1,I10,1)</formula>
    </cfRule>
  </conditionalFormatting>
  <conditionalFormatting sqref="I40 I48:I53">
    <cfRule type="expression" dxfId="846" priority="141">
      <formula>FIND(2,I40,1)</formula>
    </cfRule>
    <cfRule type="expression" dxfId="845" priority="142">
      <formula>FIND(1,I40,1)</formula>
    </cfRule>
  </conditionalFormatting>
  <conditionalFormatting sqref="I7:I9">
    <cfRule type="expression" dxfId="844" priority="139">
      <formula>FIND(2,I7,1)</formula>
    </cfRule>
    <cfRule type="expression" dxfId="843" priority="140">
      <formula>FIND(1,I7,1)</formula>
    </cfRule>
  </conditionalFormatting>
  <conditionalFormatting sqref="I14:I18">
    <cfRule type="expression" dxfId="842" priority="137">
      <formula>FIND(2,I14,1)</formula>
    </cfRule>
    <cfRule type="expression" dxfId="841" priority="138">
      <formula>FIND(1,I14,1)</formula>
    </cfRule>
  </conditionalFormatting>
  <conditionalFormatting sqref="G40 G48:G53">
    <cfRule type="expression" dxfId="840" priority="135">
      <formula>FIND(2,G40,1)</formula>
    </cfRule>
    <cfRule type="expression" dxfId="839" priority="136">
      <formula>FIND(1,G40,1)</formula>
    </cfRule>
  </conditionalFormatting>
  <conditionalFormatting sqref="D14 C15">
    <cfRule type="aboveAverage" dxfId="838" priority="134"/>
  </conditionalFormatting>
  <conditionalFormatting sqref="E14 C16">
    <cfRule type="aboveAverage" dxfId="837" priority="133"/>
  </conditionalFormatting>
  <conditionalFormatting sqref="F14 C17">
    <cfRule type="aboveAverage" dxfId="836" priority="132"/>
  </conditionalFormatting>
  <conditionalFormatting sqref="E15 D16">
    <cfRule type="aboveAverage" dxfId="835" priority="131"/>
  </conditionalFormatting>
  <conditionalFormatting sqref="G14 C18">
    <cfRule type="aboveAverage" dxfId="834" priority="130"/>
  </conditionalFormatting>
  <conditionalFormatting sqref="F15 D17">
    <cfRule type="aboveAverage" dxfId="833" priority="129"/>
  </conditionalFormatting>
  <conditionalFormatting sqref="G15 D18">
    <cfRule type="aboveAverage" dxfId="832" priority="128"/>
  </conditionalFormatting>
  <conditionalFormatting sqref="F16 E17">
    <cfRule type="aboveAverage" dxfId="831" priority="127"/>
  </conditionalFormatting>
  <conditionalFormatting sqref="G16 E18">
    <cfRule type="aboveAverage" dxfId="830" priority="126"/>
  </conditionalFormatting>
  <conditionalFormatting sqref="F18 G17">
    <cfRule type="aboveAverage" dxfId="829" priority="125"/>
  </conditionalFormatting>
  <conditionalFormatting sqref="D7 C8">
    <cfRule type="aboveAverage" dxfId="828" priority="124"/>
  </conditionalFormatting>
  <conditionalFormatting sqref="E7 C9">
    <cfRule type="aboveAverage" dxfId="827" priority="123"/>
  </conditionalFormatting>
  <conditionalFormatting sqref="F7 C10">
    <cfRule type="aboveAverage" dxfId="826" priority="122"/>
  </conditionalFormatting>
  <conditionalFormatting sqref="E8 D9">
    <cfRule type="aboveAverage" dxfId="825" priority="121"/>
  </conditionalFormatting>
  <conditionalFormatting sqref="G7 C11">
    <cfRule type="aboveAverage" dxfId="824" priority="120"/>
  </conditionalFormatting>
  <conditionalFormatting sqref="F8 D10">
    <cfRule type="aboveAverage" dxfId="823" priority="119"/>
  </conditionalFormatting>
  <conditionalFormatting sqref="G8 D11">
    <cfRule type="aboveAverage" dxfId="822" priority="118"/>
  </conditionalFormatting>
  <conditionalFormatting sqref="F9 E10">
    <cfRule type="aboveAverage" dxfId="821" priority="117"/>
  </conditionalFormatting>
  <conditionalFormatting sqref="G9 E11">
    <cfRule type="aboveAverage" dxfId="820" priority="116"/>
  </conditionalFormatting>
  <conditionalFormatting sqref="F11 G10">
    <cfRule type="aboveAverage" dxfId="819" priority="115"/>
  </conditionalFormatting>
  <conditionalFormatting sqref="I21:I25">
    <cfRule type="expression" dxfId="818" priority="113">
      <formula>FIND(2,I21,1)</formula>
    </cfRule>
    <cfRule type="expression" dxfId="817" priority="114">
      <formula>FIND(1,I21,1)</formula>
    </cfRule>
  </conditionalFormatting>
  <conditionalFormatting sqref="D21 C22">
    <cfRule type="aboveAverage" dxfId="816" priority="112"/>
  </conditionalFormatting>
  <conditionalFormatting sqref="E21 C23">
    <cfRule type="aboveAverage" dxfId="815" priority="111"/>
  </conditionalFormatting>
  <conditionalFormatting sqref="F21 C24">
    <cfRule type="aboveAverage" dxfId="814" priority="110"/>
  </conditionalFormatting>
  <conditionalFormatting sqref="E22 D23">
    <cfRule type="aboveAverage" dxfId="813" priority="109"/>
  </conditionalFormatting>
  <conditionalFormatting sqref="G21 C25">
    <cfRule type="aboveAverage" dxfId="812" priority="108"/>
  </conditionalFormatting>
  <conditionalFormatting sqref="F22 D24">
    <cfRule type="aboveAverage" dxfId="811" priority="107"/>
  </conditionalFormatting>
  <conditionalFormatting sqref="G22 D25">
    <cfRule type="aboveAverage" dxfId="810" priority="106"/>
  </conditionalFormatting>
  <conditionalFormatting sqref="F23 E24">
    <cfRule type="aboveAverage" dxfId="809" priority="105"/>
  </conditionalFormatting>
  <conditionalFormatting sqref="G23 E25">
    <cfRule type="aboveAverage" dxfId="808" priority="104"/>
  </conditionalFormatting>
  <conditionalFormatting sqref="F25 G24">
    <cfRule type="aboveAverage" dxfId="807" priority="103"/>
  </conditionalFormatting>
  <conditionalFormatting sqref="K14:K18">
    <cfRule type="expression" dxfId="806" priority="95">
      <formula>AND(J14=3,IF(COUNTIF(J$14:J$18,"=3")&gt;=2,TRUE))</formula>
    </cfRule>
    <cfRule type="expression" dxfId="805" priority="101">
      <formula>AND(J14=1,IF(COUNTIF(J$14:J$18,"=1")&gt;=2,TRUE))</formula>
    </cfRule>
    <cfRule type="expression" dxfId="804" priority="102">
      <formula>AND(J14=2,IF(COUNTIF(J$14:J$18,"=2")&gt;=2,TRUE))</formula>
    </cfRule>
  </conditionalFormatting>
  <conditionalFormatting sqref="K21:K25">
    <cfRule type="expression" dxfId="803" priority="94">
      <formula>AND(J21=3,IF(COUNTIF(J$21:J$25,"=3")&gt;=2,TRUE))</formula>
    </cfRule>
    <cfRule type="expression" dxfId="802" priority="99">
      <formula>AND(J21=1,IF(COUNTIF(J$21:J$25,"=1")&gt;=2,TRUE))</formula>
    </cfRule>
    <cfRule type="expression" dxfId="801" priority="100">
      <formula>AND(J21=2,IF(COUNTIF(J$21:J$25,"=2")&gt;=2,TRUE))</formula>
    </cfRule>
  </conditionalFormatting>
  <conditionalFormatting sqref="K7:K11">
    <cfRule type="expression" dxfId="800" priority="96">
      <formula>AND(J7=3,IF(COUNTIF(J$7:J$11,"=3")&gt;=2,TRUE))</formula>
    </cfRule>
    <cfRule type="expression" dxfId="799" priority="97">
      <formula>AND(J7=1,IF(COUNTIF(J$7:J$11,"=1")&gt;=2,TRUE))</formula>
    </cfRule>
    <cfRule type="expression" dxfId="798" priority="98">
      <formula>AND(J7=2,IF(COUNTIF(J$7:J$11,"=2")&gt;=2,TRUE))</formula>
    </cfRule>
  </conditionalFormatting>
  <conditionalFormatting sqref="L14:L18">
    <cfRule type="expression" dxfId="797" priority="88">
      <formula>OR(J14=0,J14=4)</formula>
    </cfRule>
    <cfRule type="expression" dxfId="796" priority="92">
      <formula>AND(J14=1,IF(COUNTIF(J$14:J$18,"=1")=1,TRUE))</formula>
    </cfRule>
    <cfRule type="expression" dxfId="795" priority="93">
      <formula>AND(J14=3,IF(COUNTIF(J$14:J$18,"=3")=1,TRUE))</formula>
    </cfRule>
  </conditionalFormatting>
  <conditionalFormatting sqref="L21:L25">
    <cfRule type="expression" dxfId="794" priority="89">
      <formula>OR(J21=0,J21=4)</formula>
    </cfRule>
    <cfRule type="expression" dxfId="793" priority="90">
      <formula>AND(J21=1,IF(COUNTIF(J$21:J$25,"=1")=1,TRUE))</formula>
    </cfRule>
    <cfRule type="expression" dxfId="792" priority="91">
      <formula>AND(J21=3,IF(COUNTIF(J$21:J$25,"=3")=1,TRUE))</formula>
    </cfRule>
  </conditionalFormatting>
  <conditionalFormatting sqref="L7:L11">
    <cfRule type="expression" dxfId="791" priority="85">
      <formula>OR(J7=0,J7=4)</formula>
    </cfRule>
    <cfRule type="expression" dxfId="790" priority="86">
      <formula>AND(J7=1,IF(COUNTIF(J$7:J$11,"=1")=1,TRUE))</formula>
    </cfRule>
    <cfRule type="expression" dxfId="789" priority="87">
      <formula>AND(J7=3,IF(COUNTIF(J$7:J$11,"=3")=1,TRUE))</formula>
    </cfRule>
  </conditionalFormatting>
  <conditionalFormatting sqref="H7:H11">
    <cfRule type="expression" dxfId="788" priority="76">
      <formula>AND(J7=1,IF(COUNTIF(J$7:J$11,"=1")&gt;=2,TRUE))</formula>
    </cfRule>
    <cfRule type="expression" dxfId="787" priority="83">
      <formula>AND(J7=3,IF(COUNTIF(J$7:J$11,"=3")&gt;=2,TRUE))</formula>
    </cfRule>
    <cfRule type="expression" dxfId="786" priority="84">
      <formula>AND(J7=2,IF(COUNTIF(J$7:J$11,"=2")&gt;=2,TRUE))</formula>
    </cfRule>
  </conditionalFormatting>
  <conditionalFormatting sqref="H14:H18">
    <cfRule type="expression" dxfId="785" priority="77">
      <formula>AND(J14=1,IF(COUNTIF(J$14:J$18,"=1")&gt;=2,TRUE))</formula>
    </cfRule>
    <cfRule type="expression" dxfId="784" priority="81">
      <formula>AND(J14=3,IF(COUNTIF(J$14:J$18,"=3")&gt;=2,TRUE))</formula>
    </cfRule>
    <cfRule type="expression" dxfId="783" priority="82">
      <formula>AND(J14=2,IF(COUNTIF(J$14:J$18,"=2")&gt;=2,TRUE))</formula>
    </cfRule>
  </conditionalFormatting>
  <conditionalFormatting sqref="H21:H25">
    <cfRule type="expression" dxfId="782" priority="78">
      <formula>AND(J21=1,IF(COUNTIF(J$21:J$25,"=1")&gt;=2,TRUE))</formula>
    </cfRule>
    <cfRule type="expression" dxfId="781" priority="79">
      <formula>AND(J21=3,IF(COUNTIF(J$21:J$25,"=3")&gt;=2,TRUE))</formula>
    </cfRule>
    <cfRule type="expression" dxfId="780" priority="80">
      <formula>AND(J21=2,IF(COUNTIF(J$21:J$25,"=2")&gt;=2,TRUE))</formula>
    </cfRule>
  </conditionalFormatting>
  <conditionalFormatting sqref="A102:A116">
    <cfRule type="cellIs" dxfId="779" priority="60" operator="equal">
      <formula>"-"</formula>
    </cfRule>
    <cfRule type="duplicateValues" dxfId="778" priority="75"/>
  </conditionalFormatting>
  <conditionalFormatting sqref="E123 E125">
    <cfRule type="aboveAverage" dxfId="777" priority="74"/>
  </conditionalFormatting>
  <conditionalFormatting sqref="E127 E129">
    <cfRule type="aboveAverage" dxfId="776" priority="73"/>
  </conditionalFormatting>
  <conditionalFormatting sqref="G124 G128">
    <cfRule type="aboveAverage" dxfId="775" priority="72"/>
  </conditionalFormatting>
  <conditionalFormatting sqref="G131 G133">
    <cfRule type="aboveAverage" dxfId="774" priority="71"/>
  </conditionalFormatting>
  <conditionalFormatting sqref="E123 E125 E127 E129 G124 G128 G131 G133">
    <cfRule type="containsBlanks" dxfId="773" priority="70">
      <formula>LEN(TRIM(E123))=0</formula>
    </cfRule>
  </conditionalFormatting>
  <conditionalFormatting sqref="C102 C104">
    <cfRule type="aboveAverage" dxfId="772" priority="69"/>
  </conditionalFormatting>
  <conditionalFormatting sqref="C106 C108">
    <cfRule type="aboveAverage" dxfId="771" priority="68"/>
  </conditionalFormatting>
  <conditionalFormatting sqref="E103 E107">
    <cfRule type="aboveAverage" dxfId="770" priority="67"/>
  </conditionalFormatting>
  <conditionalFormatting sqref="C110 C112">
    <cfRule type="aboveAverage" dxfId="769" priority="66"/>
  </conditionalFormatting>
  <conditionalFormatting sqref="C114 C116">
    <cfRule type="aboveAverage" dxfId="768" priority="65"/>
  </conditionalFormatting>
  <conditionalFormatting sqref="E111 E115">
    <cfRule type="aboveAverage" dxfId="767" priority="64"/>
  </conditionalFormatting>
  <conditionalFormatting sqref="G105 G113">
    <cfRule type="aboveAverage" dxfId="766" priority="63"/>
  </conditionalFormatting>
  <conditionalFormatting sqref="G117 G119">
    <cfRule type="aboveAverage" dxfId="765" priority="62"/>
  </conditionalFormatting>
  <conditionalFormatting sqref="C102 C104 C106 C108 C110 C112 C114 C116 E103 E107 E111 E115 G105 G113 G117 G119">
    <cfRule type="containsBlanks" dxfId="764" priority="61">
      <formula>LEN(TRIM(C102))=0</formula>
    </cfRule>
  </conditionalFormatting>
  <conditionalFormatting sqref="C41 C45:C46">
    <cfRule type="aboveAverage" dxfId="763" priority="59"/>
  </conditionalFormatting>
  <conditionalFormatting sqref="D41 D45:D46">
    <cfRule type="aboveAverage" dxfId="762" priority="58"/>
  </conditionalFormatting>
  <conditionalFormatting sqref="D28 C29">
    <cfRule type="aboveAverage" dxfId="761" priority="57"/>
  </conditionalFormatting>
  <conditionalFormatting sqref="E28 C30">
    <cfRule type="aboveAverage" dxfId="760" priority="56"/>
  </conditionalFormatting>
  <conditionalFormatting sqref="F28 C31">
    <cfRule type="aboveAverage" dxfId="759" priority="55"/>
  </conditionalFormatting>
  <conditionalFormatting sqref="E29 D30">
    <cfRule type="aboveAverage" dxfId="758" priority="54"/>
  </conditionalFormatting>
  <conditionalFormatting sqref="G28 C32">
    <cfRule type="aboveAverage" dxfId="757" priority="53"/>
  </conditionalFormatting>
  <conditionalFormatting sqref="F29 D31">
    <cfRule type="aboveAverage" dxfId="756" priority="52"/>
  </conditionalFormatting>
  <conditionalFormatting sqref="G29 D32">
    <cfRule type="aboveAverage" dxfId="755" priority="51"/>
  </conditionalFormatting>
  <conditionalFormatting sqref="F30 E31">
    <cfRule type="aboveAverage" dxfId="754" priority="50"/>
  </conditionalFormatting>
  <conditionalFormatting sqref="G30 E32">
    <cfRule type="aboveAverage" dxfId="753" priority="49"/>
  </conditionalFormatting>
  <conditionalFormatting sqref="F32 G31">
    <cfRule type="aboveAverage" dxfId="752" priority="48"/>
  </conditionalFormatting>
  <conditionalFormatting sqref="I28:I32">
    <cfRule type="expression" dxfId="751" priority="46">
      <formula>FIND(2,I28,1)</formula>
    </cfRule>
    <cfRule type="expression" dxfId="750" priority="47">
      <formula>FIND(1,I28,1)</formula>
    </cfRule>
  </conditionalFormatting>
  <conditionalFormatting sqref="K28:K32">
    <cfRule type="expression" dxfId="749" priority="43">
      <formula>AND(J28=3,IF(COUNTIF(J$28:J$32,"=3")&gt;=2,TRUE))</formula>
    </cfRule>
    <cfRule type="expression" dxfId="748" priority="44">
      <formula>AND(J28=1,IF(COUNTIF(J$28:J$32,"=1")&gt;=2,TRUE))</formula>
    </cfRule>
    <cfRule type="expression" dxfId="747" priority="45">
      <formula>AND(J28=2,IF(COUNTIF(J$28:J$32,"=2")&gt;=2,TRUE))</formula>
    </cfRule>
  </conditionalFormatting>
  <conditionalFormatting sqref="L28:L32">
    <cfRule type="expression" dxfId="746" priority="40">
      <formula>OR(J28=0,J28=4)</formula>
    </cfRule>
    <cfRule type="expression" dxfId="745" priority="41">
      <formula>AND(J28=1,IF(COUNTIF(J$28:J$32,"=1")=1,TRUE))</formula>
    </cfRule>
    <cfRule type="expression" dxfId="744" priority="42">
      <formula>AND(J28=3,IF(COUNTIF(J$28:J$32,"=3")=1,TRUE))</formula>
    </cfRule>
  </conditionalFormatting>
  <conditionalFormatting sqref="H28:H32">
    <cfRule type="expression" dxfId="743" priority="37">
      <formula>AND(J28=1,IF(COUNTIF(J$28:J$32,"=1")&gt;=2,TRUE))</formula>
    </cfRule>
    <cfRule type="expression" dxfId="742" priority="38">
      <formula>AND(J28=3,IF(COUNTIF(J$28:J$32,"=3")&gt;=2,TRUE))</formula>
    </cfRule>
    <cfRule type="expression" dxfId="741" priority="39">
      <formula>AND(J28=2,IF(COUNTIF(J$28:J$32,"=2")&gt;=2,TRUE))</formula>
    </cfRule>
  </conditionalFormatting>
  <conditionalFormatting sqref="B28:B29 B9 B14 B16">
    <cfRule type="duplicateValues" dxfId="740" priority="150"/>
  </conditionalFormatting>
  <conditionalFormatting sqref="B300:B315">
    <cfRule type="containsBlanks" dxfId="739" priority="151">
      <formula>LEN(TRIM(B300))=0</formula>
    </cfRule>
    <cfRule type="duplicateValues" dxfId="738" priority="152"/>
  </conditionalFormatting>
  <conditionalFormatting sqref="A140:A154">
    <cfRule type="cellIs" dxfId="737" priority="1" operator="equal">
      <formula>"-"</formula>
    </cfRule>
    <cfRule type="duplicateValues" dxfId="736" priority="16"/>
  </conditionalFormatting>
  <conditionalFormatting sqref="E161 E163">
    <cfRule type="aboveAverage" dxfId="735" priority="15"/>
  </conditionalFormatting>
  <conditionalFormatting sqref="E165 E167">
    <cfRule type="aboveAverage" dxfId="734" priority="14"/>
  </conditionalFormatting>
  <conditionalFormatting sqref="G162 G166">
    <cfRule type="aboveAverage" dxfId="733" priority="13"/>
  </conditionalFormatting>
  <conditionalFormatting sqref="G169 G171">
    <cfRule type="aboveAverage" dxfId="732" priority="12"/>
  </conditionalFormatting>
  <conditionalFormatting sqref="E161 E163 E165 E167 G162 G166 G169 G171">
    <cfRule type="containsBlanks" dxfId="731" priority="11">
      <formula>LEN(TRIM(E161))=0</formula>
    </cfRule>
  </conditionalFormatting>
  <conditionalFormatting sqref="C140 C142">
    <cfRule type="aboveAverage" dxfId="730" priority="10"/>
  </conditionalFormatting>
  <conditionalFormatting sqref="C144 C146">
    <cfRule type="aboveAverage" dxfId="729" priority="9"/>
  </conditionalFormatting>
  <conditionalFormatting sqref="E141 E145">
    <cfRule type="aboveAverage" dxfId="728" priority="8"/>
  </conditionalFormatting>
  <conditionalFormatting sqref="C148 C150">
    <cfRule type="aboveAverage" dxfId="727" priority="7"/>
  </conditionalFormatting>
  <conditionalFormatting sqref="C152 C154">
    <cfRule type="aboveAverage" dxfId="726" priority="6"/>
  </conditionalFormatting>
  <conditionalFormatting sqref="E149 E153">
    <cfRule type="aboveAverage" dxfId="725" priority="5"/>
  </conditionalFormatting>
  <conditionalFormatting sqref="G143 G151">
    <cfRule type="aboveAverage" dxfId="724" priority="4"/>
  </conditionalFormatting>
  <conditionalFormatting sqref="G155 G157">
    <cfRule type="aboveAverage" dxfId="723" priority="3"/>
  </conditionalFormatting>
  <conditionalFormatting sqref="C140 C142 C144 C146 C148 C150 C152 C154 E141 E145 E149 E153 G143 G151 G155 G157">
    <cfRule type="containsBlanks" dxfId="722" priority="2">
      <formula>LEN(TRIM(C140))=0</formula>
    </cfRule>
  </conditionalFormatting>
  <pageMargins left="0.78740157480314965" right="0.39370078740157483" top="0.78740157480314965" bottom="0.31496062992125984" header="0.59055118110236227" footer="0"/>
  <pageSetup paperSize="9" fitToHeight="0" orientation="landscape" horizontalDpi="1200" verticalDpi="1200" r:id="rId1"/>
  <headerFooter>
    <oddHeader>&amp;R&amp;"Arial,Regular"&amp;9Page &amp;P of &amp;N</oddHeader>
  </headerFooter>
  <rowBreaks count="3" manualBreakCount="3">
    <brk id="40" max="16383" man="1"/>
    <brk id="136" max="16383" man="1"/>
    <brk id="174" max="16383" man="1"/>
  </rowBreaks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CFFCC"/>
    <pageSetUpPr fitToPage="1"/>
  </sheetPr>
  <dimension ref="A1:AB314"/>
  <sheetViews>
    <sheetView showGridLines="0" showRowColHeaders="0" zoomScaleNormal="100" workbookViewId="0">
      <pane ySplit="2" topLeftCell="A3" activePane="bottomLeft" state="frozen"/>
      <selection activeCell="G1" sqref="G1"/>
      <selection pane="bottomLeft" activeCell="I1" sqref="I1"/>
    </sheetView>
  </sheetViews>
  <sheetFormatPr defaultRowHeight="12.75" x14ac:dyDescent="0.2"/>
  <cols>
    <col min="1" max="1" width="5.5703125" style="139" customWidth="1"/>
    <col min="2" max="2" width="35.5703125" style="139" bestFit="1" customWidth="1"/>
    <col min="3" max="8" width="6.7109375" style="139" customWidth="1"/>
    <col min="9" max="9" width="5.140625" style="139" bestFit="1" customWidth="1"/>
    <col min="10" max="10" width="4.5703125" style="139" hidden="1" customWidth="1"/>
    <col min="11" max="11" width="2.28515625" style="139" customWidth="1"/>
    <col min="12" max="12" width="3.5703125" style="139" customWidth="1"/>
    <col min="13" max="13" width="6" style="139" hidden="1" customWidth="1"/>
    <col min="14" max="14" width="4.28515625" style="139" customWidth="1"/>
    <col min="15" max="15" width="5.5703125" style="139" customWidth="1"/>
    <col min="16" max="16" width="8.5703125" style="139" bestFit="1" customWidth="1"/>
    <col min="17" max="17" width="9.140625" style="139"/>
    <col min="18" max="18" width="7.7109375" style="139" hidden="1" customWidth="1"/>
    <col min="19" max="19" width="17.140625" style="139" hidden="1" customWidth="1"/>
    <col min="20" max="20" width="6" style="139" hidden="1" customWidth="1"/>
    <col min="21" max="21" width="32.7109375" style="139" hidden="1" customWidth="1"/>
    <col min="22" max="22" width="6" style="139" hidden="1" customWidth="1"/>
    <col min="23" max="23" width="17.28515625" style="139" hidden="1" customWidth="1"/>
    <col min="24" max="24" width="6" style="139" hidden="1" customWidth="1"/>
    <col min="25" max="25" width="13.85546875" style="139" hidden="1" customWidth="1"/>
    <col min="26" max="26" width="6" style="139" hidden="1" customWidth="1"/>
    <col min="27" max="16384" width="9.140625" style="139"/>
  </cols>
  <sheetData>
    <row r="1" spans="1:27" x14ac:dyDescent="0.2">
      <c r="A1" s="86" t="str">
        <f>UPPER((Kalend!E40)&amp;" - "&amp;(Kalend!C40)&amp;" - "&amp;(Kalend!D40))</f>
        <v>V13 - VOKA 1. SISE-KV 13. ETAPP - DUO</v>
      </c>
      <c r="F1" s="51" t="str">
        <f>HYPERLINK("#'Kalend'!I1","Kalender")</f>
        <v>Kalender</v>
      </c>
      <c r="H1" s="51" t="str">
        <f>HYPERLINK("#'V'!AE1","Reiting")</f>
        <v>Reiting</v>
      </c>
      <c r="I1" s="88"/>
      <c r="J1" s="502" t="s">
        <v>380</v>
      </c>
      <c r="L1" s="585"/>
      <c r="M1" s="504"/>
      <c r="R1" s="502" t="s">
        <v>380</v>
      </c>
      <c r="S1" s="504"/>
      <c r="T1" s="504"/>
      <c r="U1" s="503"/>
      <c r="V1" s="504"/>
      <c r="W1" s="504"/>
      <c r="X1" s="504"/>
      <c r="Y1" s="504"/>
      <c r="Z1" s="504"/>
    </row>
    <row r="2" spans="1:27" x14ac:dyDescent="0.2">
      <c r="A2" s="186" t="str">
        <f>"Toimumisaeg: "&amp;(Kalend!A40)&amp;" kell "&amp;(Kalend!B40)</f>
        <v>Toimumisaeg: L, 07.04.2018 kell 11:00</v>
      </c>
      <c r="S2" s="314"/>
      <c r="U2" s="314"/>
    </row>
    <row r="3" spans="1:27" x14ac:dyDescent="0.2">
      <c r="A3" s="186" t="str">
        <f>"Toimumiskoht: "&amp;(Kalend!F40)</f>
        <v>Toimumiskoht: Voka petangihall</v>
      </c>
      <c r="N3" s="32"/>
      <c r="S3" s="505" t="s">
        <v>381</v>
      </c>
      <c r="U3" s="314"/>
      <c r="W3" s="261"/>
    </row>
    <row r="4" spans="1:27" x14ac:dyDescent="0.2">
      <c r="A4" s="186" t="str">
        <f>"Korraldaja: "&amp;(Kalend!G40)</f>
        <v>Korraldaja: Johannes Neiland</v>
      </c>
      <c r="N4" s="186"/>
      <c r="R4" s="506" t="s">
        <v>36</v>
      </c>
      <c r="S4" s="507"/>
      <c r="T4" s="508"/>
      <c r="U4" s="509"/>
      <c r="V4" s="508"/>
      <c r="W4" s="508"/>
      <c r="X4" s="508"/>
      <c r="Y4" s="508"/>
      <c r="Z4" s="508"/>
    </row>
    <row r="5" spans="1:27" x14ac:dyDescent="0.2">
      <c r="N5" s="32"/>
      <c r="R5" s="506" t="s">
        <v>382</v>
      </c>
      <c r="S5" s="510" t="s">
        <v>383</v>
      </c>
      <c r="T5" s="510"/>
      <c r="U5" s="511" t="s">
        <v>384</v>
      </c>
      <c r="V5" s="510"/>
      <c r="W5" s="510" t="s">
        <v>385</v>
      </c>
      <c r="X5" s="510"/>
      <c r="Y5" s="510" t="s">
        <v>386</v>
      </c>
      <c r="Z5" s="512"/>
    </row>
    <row r="6" spans="1:27" s="188" customFormat="1" x14ac:dyDescent="0.2">
      <c r="A6" s="126" t="s">
        <v>66</v>
      </c>
      <c r="B6" s="438"/>
      <c r="C6" s="91">
        <v>1</v>
      </c>
      <c r="D6" s="91">
        <v>2</v>
      </c>
      <c r="E6" s="91">
        <v>3</v>
      </c>
      <c r="F6" s="91"/>
      <c r="G6" s="91"/>
      <c r="H6" s="91" t="s">
        <v>73</v>
      </c>
      <c r="I6" s="438" t="s">
        <v>46</v>
      </c>
      <c r="J6" s="577" t="s">
        <v>273</v>
      </c>
      <c r="K6" s="649" t="s">
        <v>273</v>
      </c>
      <c r="L6" s="650" t="s">
        <v>430</v>
      </c>
      <c r="M6" s="188" t="b">
        <f>OR(AND(COUNTA(B7:B11)=3,COUNTA(C7:G11)=6),AND(COUNTA(B7:B11)=4,COUNTA(C7:G11)=12),AND(COUNTA(B7:B11)=5,COUNTA(C7:G11)=20))</f>
        <v>1</v>
      </c>
      <c r="N6" s="186"/>
      <c r="O6" s="186"/>
      <c r="P6" s="186"/>
      <c r="Q6" s="139"/>
      <c r="R6" s="506" t="s">
        <v>387</v>
      </c>
      <c r="S6" s="507"/>
      <c r="T6" s="508"/>
      <c r="U6" s="507"/>
      <c r="V6" s="508"/>
      <c r="W6" s="513"/>
      <c r="X6" s="513"/>
      <c r="Y6" s="513"/>
      <c r="Z6" s="513"/>
    </row>
    <row r="7" spans="1:27" s="188" customFormat="1" x14ac:dyDescent="0.2">
      <c r="A7" s="126">
        <v>1</v>
      </c>
      <c r="B7" s="164" t="s">
        <v>115</v>
      </c>
      <c r="C7" s="127"/>
      <c r="D7" s="93">
        <v>10</v>
      </c>
      <c r="E7" s="93">
        <v>13</v>
      </c>
      <c r="F7" s="93"/>
      <c r="G7" s="93"/>
      <c r="H7" s="576" t="str">
        <f>(IF(D7-C8&gt;0,1)+IF(E7-C9&gt;0,1)+IF(F7-C10&gt;0,1)+IF(G7-C11&gt;0,1))&amp;"-"&amp;(IF(D7-C8&lt;0,1)+IF(E7-C9&lt;0,1)+IF(F7-C10&lt;0,1)+IF(G7-C11&lt;0,1))</f>
        <v>1-1</v>
      </c>
      <c r="I7" s="93" t="str">
        <f>IF(AND(B7&lt;&gt;"",M$6=TRUE),A$6&amp;RANK(M7,M$7:M$11,0),"")</f>
        <v>A2</v>
      </c>
      <c r="J7" s="584">
        <f>VALUE(LEFT(H7,1))</f>
        <v>1</v>
      </c>
      <c r="K7" s="651">
        <f>IF(AND(J7=1,J8=1,D7&gt;C8),1)+IF(AND(J7=1,J9=1,E7&gt;C9),1)+IF(AND(J7=1,J10=1,F7&gt;C10),1)+IF(AND(J7=1,J11=1,G7&gt;C11),1)+IF(AND(J7=2,J8=2,D7&gt;C8),1)+IF(AND(J7=2,J9=2,E7&gt;C9),1)+IF(AND(J7=2,J10=2,F7&gt;C10),1)+IF(AND(J7=2,J11=2,G7&gt;C11),1)+IF(AND(J7=3,J8=3,D7&gt;C8),1)+IF(AND(J7=3,J9=3,E7&gt;C9),1)+IF(AND(J7=3,J10=3,F7&gt;C10),1)+IF(AND(J7=3,J11=3,G7&gt;C11),1)</f>
        <v>1</v>
      </c>
      <c r="L7" s="652">
        <f>IF(AND(J7=1,J8=1),D7-C8)+IF(AND(J7=1,J9=1),E7-C9)+IF(AND(J7=1,J10=1),F7-C10)+IF(AND(J7=1,J11=1),G7-C11)+IF(AND(J7=2,J8=2),D7-C8)+IF(AND(J7=2,J9=2),E7-C9)+IF(AND(J7=2,J10=2),F7-C10)+IF(AND(J7=2,J11=2),G7-C11)+IF(AND(J7=3,J8=3),D7-C8)+IF(AND(J7=3,J9=3),E7-C9)+IF(AND(J7=3,J10=3),F7-C10)+IF(AND(J7=3,J11=3),G7-C11)</f>
        <v>-1</v>
      </c>
      <c r="M7" s="668">
        <f>10000*J7+K7*100+L7</f>
        <v>10099</v>
      </c>
      <c r="N7" s="212"/>
      <c r="P7" s="186"/>
      <c r="Q7" s="140"/>
      <c r="R7" s="512">
        <f>SUM(T7:Z7)</f>
        <v>162</v>
      </c>
      <c r="S7" s="514" t="str">
        <f t="shared" ref="S7:S32" si="0">IFERROR(LEFT($B7,(FIND(",",$B7,1)-1)),"")</f>
        <v>Andres Veski</v>
      </c>
      <c r="T7" s="515">
        <f>IFERROR(INDEX(V!$O:$O,MATCH(S7,V!$J:$J,0)),"")</f>
        <v>76</v>
      </c>
      <c r="U7" s="514" t="str">
        <f t="shared" ref="U7:U32" si="1">IFERROR(MID($B7,FIND(", ",$B7)+2,256),"")</f>
        <v>Svetlana Veski</v>
      </c>
      <c r="V7" s="515">
        <f>IFERROR(INDEX(V!$O:$O,MATCH(U7,V!$J:$J,0)),"")</f>
        <v>86</v>
      </c>
      <c r="W7" s="516" t="str">
        <f t="shared" ref="W7:W32" si="2">IFERROR(MID($B7,FIND("^",SUBSTITUTE($B7,", ","^",1))+2,FIND("^",SUBSTITUTE($B7,", ","^",2))-FIND("^",SUBSTITUTE($B7,", ","^",1))-2),"")</f>
        <v/>
      </c>
      <c r="X7" s="515" t="str">
        <f>IFERROR(INDEX(V!$O:$O,MATCH(W7,V!$J:$J,0)),"")</f>
        <v/>
      </c>
      <c r="Y7" s="516" t="str">
        <f t="shared" ref="Y7:Y25" si="3">IFERROR(MID($B7,FIND(", ",$B7,FIND(", ",$B7,FIND(", ",$B7))+1)+2,30000),"")</f>
        <v/>
      </c>
      <c r="Z7" s="515" t="str">
        <f>IFERROR(INDEX(V!$O:$O,MATCH(Y7,V!$J:$J,0)),"")</f>
        <v/>
      </c>
    </row>
    <row r="8" spans="1:27" s="188" customFormat="1" x14ac:dyDescent="0.2">
      <c r="A8" s="126">
        <v>2</v>
      </c>
      <c r="B8" s="581" t="s">
        <v>287</v>
      </c>
      <c r="C8" s="93">
        <v>13</v>
      </c>
      <c r="D8" s="127"/>
      <c r="E8" s="93">
        <v>7</v>
      </c>
      <c r="F8" s="93"/>
      <c r="G8" s="93"/>
      <c r="H8" s="576" t="str">
        <f>(IF(C8-D7&gt;0,1)+IF(E8-D9&gt;0,1)+IF(F8-D10&gt;0,1)+IF(G8-D11&gt;0,1))&amp;"-"&amp;(IF(C8-D7&lt;0,1)+IF(E8-D9&lt;0,1)+IF(F8-D10&lt;0,1)+IF(G8-D11&lt;0,1))</f>
        <v>1-1</v>
      </c>
      <c r="I8" s="93" t="str">
        <f>IF(AND(B8&lt;&gt;"",M$6=TRUE),A$6&amp;RANK(M8,M$7:M$11,0),"")</f>
        <v>A3</v>
      </c>
      <c r="J8" s="584">
        <f t="shared" ref="J8:J11" si="4">VALUE(LEFT(H8,1))</f>
        <v>1</v>
      </c>
      <c r="K8" s="653">
        <f>IF(AND(J8=1,J7=1,C8&gt;D7),1)+IF(AND(J8=1,J9=1,E8&gt;D9),1)+IF(AND(J8=1,J10=1,F8&gt;D10),1)+IF(AND(J8=1,J11=1,G8&gt;D11),1)+IF(AND(J8=2,J7=2,C8&gt;D7),1)+IF(AND(J8=2,J9=2,E8&gt;D9),1)+IF(AND(J8=2,J10=2,F8&gt;D10),1)+IF(AND(J8=2,J11=2,G8&gt;D11),1)+IF(AND(J8=3,J7=3,C8&gt;D7),1)+IF(AND(J8=3,J9=3,E8&gt;D9),1)+IF(AND(J8=3,J10=3,F8&gt;D10),1)+IF(AND(J8=3,J11=3,G8&gt;D11),1)</f>
        <v>1</v>
      </c>
      <c r="L8" s="652">
        <f>IF(AND(J8=1,J7=1),C8-D7)+IF(AND(J8=1,J9=1),E8-D9)+IF(AND(J8=1,J10=1),F8-D10)+IF(AND(J8=1,J11=1),G8-D11)+IF(AND(J8=2,J7=2),C8-D7)+IF(AND(J8=2,J9=2),E8-D9)+IF(AND(J8=2,J10=2),F8-D10)+IF(AND(J8=2,J11=2),G8-D11)+IF(AND(J8=3,J7=3),C8-D7)+IF(AND(J8=3,J9=3),E8-D9)+IF(AND(J8=3,J10=3),F8-D10)+IF(AND(J8=3,J11=3),G8-D11)</f>
        <v>-3</v>
      </c>
      <c r="M8" s="668">
        <f t="shared" ref="M8:M11" si="5">10000*J8+K8*100+L8</f>
        <v>10097</v>
      </c>
      <c r="P8" s="186"/>
      <c r="Q8" s="140"/>
      <c r="R8" s="512">
        <f t="shared" ref="R8:R11" si="6">SUM(T8:Z8)</f>
        <v>95.5</v>
      </c>
      <c r="S8" s="514" t="str">
        <f t="shared" si="0"/>
        <v>Margus Vasser</v>
      </c>
      <c r="T8" s="515">
        <f>IFERROR(INDEX(V!$O:$O,MATCH(S8,V!$J:$J,0)),"")</f>
        <v>25</v>
      </c>
      <c r="U8" s="514" t="str">
        <f t="shared" si="1"/>
        <v>Vello Vasser</v>
      </c>
      <c r="V8" s="515">
        <f>IFERROR(INDEX(V!$O:$O,MATCH(U8,V!$J:$J,0)),"")</f>
        <v>70.5</v>
      </c>
      <c r="W8" s="516" t="str">
        <f t="shared" si="2"/>
        <v/>
      </c>
      <c r="X8" s="515" t="str">
        <f>IFERROR(INDEX(V!$O:$O,MATCH(W8,V!$J:$J,0)),"")</f>
        <v/>
      </c>
      <c r="Y8" s="516" t="str">
        <f t="shared" si="3"/>
        <v/>
      </c>
      <c r="Z8" s="515" t="str">
        <f>IFERROR(INDEX(V!$O:$O,MATCH(Y8,V!$J:$J,0)),"")</f>
        <v/>
      </c>
    </row>
    <row r="9" spans="1:27" s="188" customFormat="1" x14ac:dyDescent="0.2">
      <c r="A9" s="126">
        <v>3</v>
      </c>
      <c r="B9" s="581" t="s">
        <v>117</v>
      </c>
      <c r="C9" s="93">
        <v>11</v>
      </c>
      <c r="D9" s="548">
        <v>13</v>
      </c>
      <c r="E9" s="127"/>
      <c r="F9" s="93"/>
      <c r="G9" s="93"/>
      <c r="H9" s="576" t="str">
        <f>(IF(C9-E7&gt;0,1)+IF(D9-E8&gt;0,1)+IF(F9-E10&gt;0,1)+IF(G9-E11&gt;0,1))&amp;"-"&amp;(IF(C9-E7&lt;0,1)+IF(D9-E8&lt;0,1)+IF(F9-E10&lt;0,1)+IF(G9-E11&lt;0,1))</f>
        <v>1-1</v>
      </c>
      <c r="I9" s="93" t="str">
        <f>IF(AND(B9&lt;&gt;"",M$6=TRUE),A$6&amp;RANK(M9,M$7:M$11,0),"")</f>
        <v>A1</v>
      </c>
      <c r="J9" s="584">
        <f t="shared" si="4"/>
        <v>1</v>
      </c>
      <c r="K9" s="653">
        <f>IF(AND(J9=1,J7=1,C9&gt;E7),1)+IF(AND(J9=1,J8=1,D9&gt;E8),1)+IF(AND(J9=1,J10=1,F9&gt;E10),1)+IF(AND(J9=1,J11=1,G9&gt;E11),1)+IF(AND(J9=2,J7=2,C9&gt;E7),1)+IF(AND(J9=2,J8=2,D9&gt;E8),1)+IF(AND(J9=2,J10=2,F9&gt;E10),1)+IF(AND(J9=2,J11=2,G9&gt;E11),1)+IF(AND(J9=3,J7=3,C9&gt;E7),1)+IF(AND(J9=3,J8=3,D9&gt;E8),1)+IF(AND(J9=3,J10=3,F9&gt;E10),1)+IF(AND(J9=3,J11=3,G9&gt;E11),1)</f>
        <v>1</v>
      </c>
      <c r="L9" s="652">
        <f>IF(AND(J9=1,J7=1),C9-E7)+IF(AND(J9=1,J8=1),D9-E8)+IF(AND(J9=1,J10=1),F9-E10)+IF(AND(J9=1,J11=1),G9-E11)+IF(AND(J9=2,J7=2),C9-E7)+IF(AND(J9=2,J8=2),D9-E8)+IF(AND(J9=2,J10=2),F9-E10)+IF(AND(J9=2,J11=2),G9-E11)+IF(AND(J9=3,J7=3),C9-E7)+IF(AND(J9=3,J8=3),D9-E8)+IF(AND(J9=3,J10=3),F9-E10)+IF(AND(J9=3,J11=3),G9-E11)</f>
        <v>4</v>
      </c>
      <c r="M9" s="668">
        <f t="shared" si="5"/>
        <v>10104</v>
      </c>
      <c r="P9" s="186"/>
      <c r="Q9" s="140"/>
      <c r="R9" s="512">
        <f t="shared" si="6"/>
        <v>102</v>
      </c>
      <c r="S9" s="514" t="str">
        <f t="shared" si="0"/>
        <v>Ljudmila Varendi</v>
      </c>
      <c r="T9" s="515">
        <f>IFERROR(INDEX(V!$O:$O,MATCH(S9,V!$J:$J,0)),"")</f>
        <v>51</v>
      </c>
      <c r="U9" s="514" t="str">
        <f t="shared" si="1"/>
        <v>Viktor Švarõgin</v>
      </c>
      <c r="V9" s="515">
        <f>IFERROR(INDEX(V!$O:$O,MATCH(U9,V!$J:$J,0)),"")</f>
        <v>51</v>
      </c>
      <c r="W9" s="516" t="str">
        <f t="shared" si="2"/>
        <v/>
      </c>
      <c r="X9" s="515" t="str">
        <f>IFERROR(INDEX(V!$O:$O,MATCH(W9,V!$J:$J,0)),"")</f>
        <v/>
      </c>
      <c r="Y9" s="516" t="str">
        <f t="shared" si="3"/>
        <v/>
      </c>
      <c r="Z9" s="515" t="str">
        <f>IFERROR(INDEX(V!$O:$O,MATCH(Y9,V!$J:$J,0)),"")</f>
        <v/>
      </c>
    </row>
    <row r="10" spans="1:27" s="188" customFormat="1" hidden="1" x14ac:dyDescent="0.2">
      <c r="A10" s="126">
        <v>4</v>
      </c>
      <c r="B10" s="582"/>
      <c r="C10" s="93"/>
      <c r="D10" s="548"/>
      <c r="E10" s="93"/>
      <c r="F10" s="127"/>
      <c r="G10" s="128"/>
      <c r="H10" s="576" t="str">
        <f>(IF(C10-F7&gt;0,1)+IF(D10-F8&gt;0,1)+IF(E10-F9&gt;0,1)+IF(G10-F11&gt;0,1))&amp;"-"&amp;(IF(C10-F7&lt;0,1)+IF(D10-F8&lt;0,1)+IF(E10-F9&lt;0,1)+IF(G10-F11&lt;0,1))</f>
        <v>0-0</v>
      </c>
      <c r="I10" s="93" t="str">
        <f t="shared" ref="I10:I11" si="7">IF(AND(B10&lt;&gt;"",M$6=TRUE),A$6&amp;RANK(M10,M$7:M$11,0),"")</f>
        <v/>
      </c>
      <c r="J10" s="584">
        <f t="shared" si="4"/>
        <v>0</v>
      </c>
      <c r="K10" s="653">
        <f>IF(AND(J10=1,J7=1,C10&gt;F7),1)+IF(AND(J10=1,J8=1,D10&gt;F8),1)+IF(AND(J10=1,J9=1,E10&gt;F9),1)+IF(AND(J10=1,J11=1,G10&gt;F11),1)+IF(AND(J10=2,J7=2,C10&gt;F7),1)+IF(AND(J10=2,J8=2,D10&gt;F8),1)+IF(AND(J10=2,J9=2,E10&gt;F9),1)+IF(AND(J10=2,J11=2,G10&gt;F11),1)+IF(AND(J10=3,J7=3,C10&gt;F7),1)+IF(AND(J10=3,J8=3,D10&gt;F8),1)+IF(AND(J10=3,J9=3,E10&gt;F9),1)+IF(AND(J10=3,J11=3,G10&gt;F11),1)</f>
        <v>0</v>
      </c>
      <c r="L10" s="652">
        <f>IF(AND(J10=1,J7=1),C10-F7)+IF(AND(J10=1,J8=1),D10-F8)+IF(AND(J10=1,J9=1),E10-F9)+IF(AND(J10=1,J11=1),G10-F11)+IF(AND(J10=2,J7=2),C10-F7)+IF(AND(J10=2,J8=2),D10-F8)+IF(AND(J10=2,J9=2),E10-F9)+IF(AND(J10=2,J11=2),G10-F11)+IF(AND(J10=3,J7=3),C10-F7)+IF(AND(J10=3,J8=3),D10-F8)+IF(AND(J10=3,J9=3),E10-F9)+IF(AND(J10=3,J11=3),G10-F11)</f>
        <v>0</v>
      </c>
      <c r="M10" s="668">
        <f t="shared" si="5"/>
        <v>0</v>
      </c>
      <c r="N10" s="32"/>
      <c r="P10" s="186"/>
      <c r="Q10" s="140"/>
      <c r="R10" s="512">
        <f t="shared" si="6"/>
        <v>0</v>
      </c>
      <c r="S10" s="514" t="str">
        <f t="shared" si="0"/>
        <v/>
      </c>
      <c r="T10" s="515" t="str">
        <f>IFERROR(INDEX(V!$O:$O,MATCH(S10,V!$J:$J,0)),"")</f>
        <v/>
      </c>
      <c r="U10" s="514" t="str">
        <f t="shared" si="1"/>
        <v/>
      </c>
      <c r="V10" s="515" t="str">
        <f>IFERROR(INDEX(V!$O:$O,MATCH(U10,V!$J:$J,0)),"")</f>
        <v/>
      </c>
      <c r="W10" s="516" t="str">
        <f t="shared" si="2"/>
        <v/>
      </c>
      <c r="X10" s="515" t="str">
        <f>IFERROR(INDEX(V!$O:$O,MATCH(W10,V!$J:$J,0)),"")</f>
        <v/>
      </c>
      <c r="Y10" s="516" t="str">
        <f t="shared" si="3"/>
        <v/>
      </c>
      <c r="Z10" s="515" t="str">
        <f>IFERROR(INDEX(V!$O:$O,MATCH(Y10,V!$J:$J,0)),"")</f>
        <v/>
      </c>
    </row>
    <row r="11" spans="1:27" s="188" customFormat="1" hidden="1" x14ac:dyDescent="0.2">
      <c r="A11" s="126">
        <v>5</v>
      </c>
      <c r="B11" s="582"/>
      <c r="C11" s="93"/>
      <c r="D11" s="93"/>
      <c r="E11" s="93"/>
      <c r="F11" s="93"/>
      <c r="G11" s="127"/>
      <c r="H11" s="576" t="str">
        <f>(IF(C11-G7&gt;0,1)+IF(D11-G8&gt;0,1)+IF(E11-G9&gt;0,1)+IF(F11-G10&gt;0,1))&amp;"-"&amp;(IF(C11-G7&lt;0,1)+IF(D11-G8&lt;0,1)+IF(E11-G9&lt;0,1)+IF(F11-G10&lt;0,1))</f>
        <v>0-0</v>
      </c>
      <c r="I11" s="93" t="str">
        <f t="shared" si="7"/>
        <v/>
      </c>
      <c r="J11" s="584">
        <f t="shared" si="4"/>
        <v>0</v>
      </c>
      <c r="K11" s="653">
        <f>IF(AND(J11=1,J7=1,C11&gt;G7),1)+IF(AND(J11=1,J8=1,D11&gt;G8),1)+IF(AND(J11=1,J9=1,E11&gt;G9),1)+IF(AND(J11=1,J10=1,F11&gt;G10),1)+IF(AND(J11=2,J7=2,C11&gt;G7),1)+IF(AND(J11=2,J8=2,D11&gt;G8),1)+IF(AND(J11=2,J9=2,E11&gt;G9),1)+IF(AND(J11=2,J10=2,F11&gt;G10),1)+IF(AND(J11=3,J7=3,C11&gt;G7),1)+IF(AND(J11=3,J8=3,D11&gt;G8),1)+IF(AND(J11=3,J9=3,E11&gt;G9),1)+IF(AND(J11=3,J10=3,F11&gt;G10),1)</f>
        <v>0</v>
      </c>
      <c r="L11" s="652">
        <f>IF(AND(J11=1,J7=1),C11-G7)+IF(AND(J11=1,J8=1),D11-G8)+IF(AND(J11=1,J9=1),E11-G9)+IF(AND(J11=1,J10=1),F11-G10)+IF(AND(J11=2,J7=2),C11-G7)+IF(AND(J11=2,J8=2),D11-G8)+IF(AND(J11=2,J9=2),E11-G9)+IF(AND(J11=2,J10=2),F11-G10)+IF(AND(J11=3,J7=3),C11-G7)+IF(AND(J11=3,J8=3),D11-G8)+IF(AND(J11=3,J9=3),E11-G9)+IF(AND(J11=3,J10=3),F11-G10)</f>
        <v>0</v>
      </c>
      <c r="M11" s="668">
        <f t="shared" si="5"/>
        <v>0</v>
      </c>
      <c r="P11" s="186"/>
      <c r="Q11" s="140"/>
      <c r="R11" s="512">
        <f t="shared" si="6"/>
        <v>0</v>
      </c>
      <c r="S11" s="514" t="str">
        <f t="shared" si="0"/>
        <v/>
      </c>
      <c r="T11" s="515" t="str">
        <f>IFERROR(INDEX(V!$O:$O,MATCH(S11,V!$J:$J,0)),"")</f>
        <v/>
      </c>
      <c r="U11" s="514" t="str">
        <f t="shared" si="1"/>
        <v/>
      </c>
      <c r="V11" s="515" t="str">
        <f>IFERROR(INDEX(V!$O:$O,MATCH(U11,V!$J:$J,0)),"")</f>
        <v/>
      </c>
      <c r="W11" s="516" t="str">
        <f t="shared" si="2"/>
        <v/>
      </c>
      <c r="X11" s="515" t="str">
        <f>IFERROR(INDEX(V!$O:$O,MATCH(W11,V!$J:$J,0)),"")</f>
        <v/>
      </c>
      <c r="Y11" s="516" t="str">
        <f t="shared" si="3"/>
        <v/>
      </c>
      <c r="Z11" s="515" t="str">
        <f>IFERROR(INDEX(V!$O:$O,MATCH(Y11,V!$J:$J,0)),"")</f>
        <v/>
      </c>
    </row>
    <row r="12" spans="1:27" s="188" customFormat="1" x14ac:dyDescent="0.2">
      <c r="A12" s="121"/>
      <c r="B12" s="677"/>
      <c r="C12" s="96"/>
      <c r="D12" s="312"/>
      <c r="E12" s="96"/>
      <c r="F12" s="97"/>
      <c r="H12" s="402"/>
      <c r="I12" s="580"/>
      <c r="J12" s="585"/>
      <c r="K12" s="654"/>
      <c r="L12" s="655"/>
      <c r="M12" s="585"/>
      <c r="N12" s="569"/>
      <c r="P12" s="186"/>
      <c r="Q12" s="139"/>
      <c r="R12" s="186"/>
      <c r="S12" s="186"/>
      <c r="T12" s="186"/>
      <c r="U12" s="186"/>
      <c r="V12" s="186"/>
      <c r="W12" s="186"/>
      <c r="X12" s="186"/>
      <c r="Y12" s="186"/>
      <c r="Z12" s="186"/>
      <c r="AA12" s="88"/>
    </row>
    <row r="13" spans="1:27" s="186" customFormat="1" x14ac:dyDescent="0.2">
      <c r="A13" s="126" t="s">
        <v>90</v>
      </c>
      <c r="B13" s="438"/>
      <c r="C13" s="91">
        <v>1</v>
      </c>
      <c r="D13" s="91">
        <v>2</v>
      </c>
      <c r="E13" s="91">
        <v>3</v>
      </c>
      <c r="F13" s="91">
        <v>4</v>
      </c>
      <c r="G13" s="91"/>
      <c r="H13" s="438" t="s">
        <v>73</v>
      </c>
      <c r="I13" s="438" t="s">
        <v>46</v>
      </c>
      <c r="J13" s="586" t="s">
        <v>273</v>
      </c>
      <c r="K13" s="649" t="s">
        <v>273</v>
      </c>
      <c r="L13" s="656" t="s">
        <v>430</v>
      </c>
      <c r="M13" s="588" t="b">
        <f>OR(AND(COUNTA(B14:B18)=3,COUNTA(C14:G18)=6),AND(COUNTA(B14:B18)=4,COUNTA(C14:G18)=12),AND(COUNTA(B14:B18)=5,COUNTA(C14:G18)=20))</f>
        <v>1</v>
      </c>
      <c r="N13" s="517"/>
      <c r="Q13" s="139"/>
      <c r="AA13" s="88"/>
    </row>
    <row r="14" spans="1:27" s="186" customFormat="1" x14ac:dyDescent="0.2">
      <c r="A14" s="126">
        <v>1</v>
      </c>
      <c r="B14" s="581" t="s">
        <v>547</v>
      </c>
      <c r="C14" s="127"/>
      <c r="D14" s="93">
        <v>13</v>
      </c>
      <c r="E14" s="93">
        <v>13</v>
      </c>
      <c r="F14" s="93">
        <v>13</v>
      </c>
      <c r="G14" s="93"/>
      <c r="H14" s="576" t="str">
        <f>(IF(D14-C15&gt;0,1)+IF(E14-C16&gt;0,1)+IF(F14-C17&gt;0,1)+IF(G14-C18&gt;0,1))&amp;"-"&amp;(IF(D14-C15&lt;0,1)+IF(E14-C16&lt;0,1)+IF(F14-C17&lt;0,1)+IF(G14-C18&lt;0,1))</f>
        <v>3-0</v>
      </c>
      <c r="I14" s="93" t="str">
        <f t="shared" ref="I14:I18" si="8">IF(AND(B14&lt;&gt;"",M$13=TRUE),A$13&amp;RANK(M14,M$14:M$18,0),"")</f>
        <v>B1</v>
      </c>
      <c r="J14" s="584">
        <f>VALUE(LEFT(H14,1))</f>
        <v>3</v>
      </c>
      <c r="K14" s="651">
        <f>IF(AND(J14=1,J15=1,D14&gt;C15),1)+IF(AND(J14=1,J16=1,E14&gt;C16),1)+IF(AND(J14=1,J17=1,F14&gt;C17),1)+IF(AND(J14=1,J18=1,G14&gt;C18),1)+IF(AND(J14=2,J15=2,D14&gt;C15),1)+IF(AND(J14=2,J16=2,E14&gt;C16),1)+IF(AND(J14=2,J17=2,F14&gt;C17),1)+IF(AND(J14=2,J18=2,G14&gt;C18),1)+IF(AND(J14=3,J15=3,D14&gt;C15),1)+IF(AND(J14=3,J16=3,E14&gt;C16),1)+IF(AND(J14=3,J17=3,F14&gt;C17),1)+IF(AND(J14=3,J18=3,G14&gt;C18),1)</f>
        <v>0</v>
      </c>
      <c r="L14" s="652"/>
      <c r="M14" s="668">
        <f>10000*J14+K14*100+L14</f>
        <v>30000</v>
      </c>
      <c r="N14"/>
      <c r="Q14" s="139"/>
      <c r="R14" s="512">
        <f t="shared" ref="R14" si="9">SUM(T14:Z14)</f>
        <v>217</v>
      </c>
      <c r="S14" s="514" t="str">
        <f t="shared" si="0"/>
        <v>Johannes Neiland</v>
      </c>
      <c r="T14" s="515">
        <f>IFERROR(INDEX(V!$O:$O,MATCH(S14,V!$J:$J,0)),"")</f>
        <v>94</v>
      </c>
      <c r="U14" s="514" t="str">
        <f t="shared" si="1"/>
        <v>Kati Tuzberg, Ülo Piik</v>
      </c>
      <c r="V14" s="515" t="str">
        <f>IFERROR(INDEX(V!$O:$O,MATCH(U14,V!$J:$J,0)),"")</f>
        <v/>
      </c>
      <c r="W14" s="516" t="str">
        <f t="shared" si="2"/>
        <v>Kati Tuzberg</v>
      </c>
      <c r="X14" s="515">
        <f>IFERROR(INDEX(V!$O:$O,MATCH(W14,V!$J:$J,0)),"")</f>
        <v>61</v>
      </c>
      <c r="Y14" s="516" t="str">
        <f t="shared" si="3"/>
        <v>Ülo Piik</v>
      </c>
      <c r="Z14" s="515">
        <f>IFERROR(INDEX(V!$O:$O,MATCH(Y14,V!$J:$J,0)),"")</f>
        <v>62</v>
      </c>
    </row>
    <row r="15" spans="1:27" s="186" customFormat="1" x14ac:dyDescent="0.2">
      <c r="A15" s="126">
        <v>2</v>
      </c>
      <c r="B15" s="581" t="s">
        <v>170</v>
      </c>
      <c r="C15" s="93">
        <v>2</v>
      </c>
      <c r="D15" s="127"/>
      <c r="E15" s="93">
        <v>13</v>
      </c>
      <c r="F15" s="93">
        <v>13</v>
      </c>
      <c r="G15" s="93"/>
      <c r="H15" s="576" t="str">
        <f>(IF(C15-D14&gt;0,1)+IF(E15-D16&gt;0,1)+IF(F15-D17&gt;0,1)+IF(G15-D18&gt;0,1))&amp;"-"&amp;(IF(C15-D14&lt;0,1)+IF(E15-D16&lt;0,1)+IF(F15-D17&lt;0,1)+IF(G15-D18&lt;0,1))</f>
        <v>2-1</v>
      </c>
      <c r="I15" s="93" t="str">
        <f t="shared" si="8"/>
        <v>B2</v>
      </c>
      <c r="J15" s="584">
        <f t="shared" ref="J15:J18" si="10">VALUE(LEFT(H15,1))</f>
        <v>2</v>
      </c>
      <c r="K15" s="653">
        <f>IF(AND(J15=1,J14=1,C15&gt;D14),1)+IF(AND(J15=1,J16=1,E15&gt;D16),1)+IF(AND(J15=1,J17=1,F15&gt;D17),1)+IF(AND(J15=1,J18=1,G15&gt;D18),1)+IF(AND(J15=2,J14=2,C15&gt;D14),1)+IF(AND(J15=2,J16=2,E15&gt;D16),1)+IF(AND(J15=2,J17=2,F15&gt;D17),1)+IF(AND(J15=2,J18=2,G15&gt;D18),1)+IF(AND(J15=3,J14=3,C15&gt;D14),1)+IF(AND(J15=3,J16=3,E15&gt;D16),1)+IF(AND(J15=3,J17=3,F15&gt;D17),1)+IF(AND(J15=3,J18=3,G15&gt;D18),1)</f>
        <v>0</v>
      </c>
      <c r="L15" s="652">
        <f>IF(AND(J15=1,J14=1),C15-D14)+IF(AND(J15=1,J16=1),E15-D16)+IF(AND(J15=1,J17=1),F15-D17)+IF(AND(J15=1,J18=1),G15-D18)+IF(AND(J15=2,J14=2),C15-D14)+IF(AND(J15=2,J16=2),E15-D16)+IF(AND(J15=2,J17=2),F15-D17)+IF(AND(J15=2,J18=2),G15-D18)+IF(AND(J15=3,J14=3),C15-D14)+IF(AND(J15=3,J16=3),E15-D16)+IF(AND(J15=3,J17=3),F15-D17)+IF(AND(J15=3,J18=3),G15-D18)</f>
        <v>0</v>
      </c>
      <c r="M15" s="668">
        <f t="shared" ref="M15:M18" si="11">10000*J15+K15*100+L15</f>
        <v>20000</v>
      </c>
      <c r="N15"/>
      <c r="Q15" s="139"/>
      <c r="R15" s="512">
        <f t="shared" ref="R15:R18" si="12">SUM(T15:Z15)</f>
        <v>118</v>
      </c>
      <c r="S15" s="514" t="str">
        <f t="shared" si="0"/>
        <v>Karla Purgats</v>
      </c>
      <c r="T15" s="515">
        <f>IFERROR(INDEX(V!$O:$O,MATCH(S15,V!$J:$J,0)),"")</f>
        <v>66</v>
      </c>
      <c r="U15" s="514" t="str">
        <f t="shared" si="1"/>
        <v>Lemmit Toomra</v>
      </c>
      <c r="V15" s="515">
        <f>IFERROR(INDEX(V!$O:$O,MATCH(U15,V!$J:$J,0)),"")</f>
        <v>52</v>
      </c>
      <c r="W15" s="516" t="str">
        <f t="shared" si="2"/>
        <v/>
      </c>
      <c r="X15" s="515" t="str">
        <f>IFERROR(INDEX(V!$O:$O,MATCH(W15,V!$J:$J,0)),"")</f>
        <v/>
      </c>
      <c r="Y15" s="516" t="str">
        <f t="shared" si="3"/>
        <v/>
      </c>
      <c r="Z15" s="515" t="str">
        <f>IFERROR(INDEX(V!$O:$O,MATCH(Y15,V!$J:$J,0)),"")</f>
        <v/>
      </c>
    </row>
    <row r="16" spans="1:27" s="186" customFormat="1" x14ac:dyDescent="0.2">
      <c r="A16" s="126">
        <v>3</v>
      </c>
      <c r="B16" s="581" t="s">
        <v>480</v>
      </c>
      <c r="C16" s="93">
        <v>5</v>
      </c>
      <c r="D16" s="548">
        <v>11</v>
      </c>
      <c r="E16" s="127"/>
      <c r="F16" s="93">
        <v>13</v>
      </c>
      <c r="G16" s="93"/>
      <c r="H16" s="576" t="str">
        <f>(IF(C16-E14&gt;0,1)+IF(D16-E15&gt;0,1)+IF(F16-E17&gt;0,1)+IF(G16-E18&gt;0,1))&amp;"-"&amp;(IF(C16-E14&lt;0,1)+IF(D16-E15&lt;0,1)+IF(F16-E17&lt;0,1)+IF(G16-E18&lt;0,1))</f>
        <v>1-2</v>
      </c>
      <c r="I16" s="93" t="str">
        <f t="shared" si="8"/>
        <v>B3</v>
      </c>
      <c r="J16" s="584">
        <f t="shared" si="10"/>
        <v>1</v>
      </c>
      <c r="K16" s="653">
        <f>IF(AND(J16=1,J14=1,C16&gt;E14),1)+IF(AND(J16=1,J15=1,D16&gt;E15),1)+IF(AND(J16=1,J17=1,F16&gt;E17),1)+IF(AND(J16=1,J18=1,G16&gt;E18),1)+IF(AND(J16=2,J14=2,C16&gt;E14),1)+IF(AND(J16=2,J15=2,D16&gt;E15),1)+IF(AND(J16=2,J17=2,F16&gt;E17),1)+IF(AND(J16=2,J18=2,G16&gt;E18),1)+IF(AND(J16=3,J14=3,C16&gt;E14),1)+IF(AND(J16=3,J15=3,D16&gt;E15),1)+IF(AND(J16=3,J17=3,F16&gt;E17),1)+IF(AND(J16=3,J18=3,G16&gt;E18),1)</f>
        <v>0</v>
      </c>
      <c r="L16" s="652">
        <f>IF(AND(J16=1,J14=1),C16-E14)+IF(AND(J16=1,J15=1),D16-E15)+IF(AND(J16=1,J17=1),F16-E17)+IF(AND(J16=1,J18=1),G16-E18)+IF(AND(J16=2,J14=2),C16-E14)+IF(AND(J16=2,J15=2),D16-E15)+IF(AND(J16=2,J17=2),F16-E17)+IF(AND(J16=2,J18=2),G16-E18)+IF(AND(J16=3,J14=3),C16-E14)+IF(AND(J16=3,J15=3),D16-E15)+IF(AND(J16=3,J17=3),F16-E17)+IF(AND(J16=3,J18=3),G16-E18)</f>
        <v>0</v>
      </c>
      <c r="M16" s="668">
        <f t="shared" si="11"/>
        <v>10000</v>
      </c>
      <c r="N16"/>
      <c r="Q16" s="139"/>
      <c r="R16" s="512">
        <f t="shared" si="12"/>
        <v>91</v>
      </c>
      <c r="S16" s="514" t="str">
        <f t="shared" si="0"/>
        <v>Argo Sepp</v>
      </c>
      <c r="T16" s="515">
        <f>IFERROR(INDEX(V!$O:$O,MATCH(S16,V!$J:$J,0)),"")</f>
        <v>18</v>
      </c>
      <c r="U16" s="514" t="str">
        <f t="shared" si="1"/>
        <v>Tõnu Piik</v>
      </c>
      <c r="V16" s="515">
        <f>IFERROR(INDEX(V!$O:$O,MATCH(U16,V!$J:$J,0)),"")</f>
        <v>73</v>
      </c>
      <c r="W16" s="516" t="str">
        <f t="shared" si="2"/>
        <v/>
      </c>
      <c r="X16" s="515" t="str">
        <f>IFERROR(INDEX(V!$O:$O,MATCH(W16,V!$J:$J,0)),"")</f>
        <v/>
      </c>
      <c r="Y16" s="516" t="str">
        <f t="shared" si="3"/>
        <v/>
      </c>
      <c r="Z16" s="515" t="str">
        <f>IFERROR(INDEX(V!$O:$O,MATCH(Y16,V!$J:$J,0)),"")</f>
        <v/>
      </c>
    </row>
    <row r="17" spans="1:28" s="186" customFormat="1" x14ac:dyDescent="0.2">
      <c r="A17" s="126">
        <v>4</v>
      </c>
      <c r="B17" s="581" t="s">
        <v>548</v>
      </c>
      <c r="C17" s="93">
        <v>1</v>
      </c>
      <c r="D17" s="548">
        <v>4</v>
      </c>
      <c r="E17" s="93">
        <v>5</v>
      </c>
      <c r="F17" s="127"/>
      <c r="G17" s="128"/>
      <c r="H17" s="576" t="str">
        <f>(IF(C17-F14&gt;0,1)+IF(D17-F15&gt;0,1)+IF(E17-F16&gt;0,1)+IF(G17-F18&gt;0,1))&amp;"-"&amp;(IF(C17-F14&lt;0,1)+IF(D17-F15&lt;0,1)+IF(E17-F16&lt;0,1)+IF(G17-F18&lt;0,1))</f>
        <v>0-3</v>
      </c>
      <c r="I17" s="93" t="str">
        <f t="shared" si="8"/>
        <v>B4</v>
      </c>
      <c r="J17" s="584">
        <f t="shared" si="10"/>
        <v>0</v>
      </c>
      <c r="K17" s="653">
        <f>IF(AND(J17=1,J14=1,C17&gt;F14),1)+IF(AND(J17=1,J15=1,D17&gt;F15),1)+IF(AND(J17=1,J16=1,E17&gt;F16),1)+IF(AND(J17=1,J18=1,G17&gt;F18),1)+IF(AND(J17=2,J14=2,C17&gt;F14),1)+IF(AND(J17=2,J15=2,D17&gt;F15),1)+IF(AND(J17=2,J16=2,E17&gt;F16),1)+IF(AND(J17=2,J18=2,G17&gt;F18),1)+IF(AND(J17=3,J14=3,C17&gt;F14),1)+IF(AND(J17=3,J15=3,D17&gt;F15),1)+IF(AND(J17=3,J16=3,E17&gt;F16),1)+IF(AND(J17=3,J18=3,G17&gt;F18),1)</f>
        <v>0</v>
      </c>
      <c r="L17" s="652">
        <f>IF(AND(J17=1,J14=1),C17-F14)+IF(AND(J17=1,J15=1),D17-F15)+IF(AND(J17=1,J16=1),E17-F16)+IF(AND(J17=1,J18=1),G17-F18)+IF(AND(J17=2,J14=2),C17-F14)+IF(AND(J17=2,J15=2),D17-F15)+IF(AND(J17=2,J16=2),E17-F16)+IF(AND(J17=2,J18=2),G17-F18)+IF(AND(J17=3,J14=3),C17-F14)+IF(AND(J17=3,J15=3),D17-F15)+IF(AND(J17=3,J16=3),E17-F16)+IF(AND(J17=3,J18=3),G17-F18)</f>
        <v>0</v>
      </c>
      <c r="M17" s="668">
        <f t="shared" si="11"/>
        <v>0</v>
      </c>
      <c r="Q17" s="139"/>
      <c r="R17" s="512">
        <f t="shared" si="12"/>
        <v>4</v>
      </c>
      <c r="S17" s="514" t="str">
        <f t="shared" si="0"/>
        <v>Antonina Maksimova</v>
      </c>
      <c r="T17" s="515">
        <f>IFERROR(INDEX(V!$O:$O,MATCH(S17,V!$J:$J,0)),"")</f>
        <v>2</v>
      </c>
      <c r="U17" s="514" t="str">
        <f t="shared" si="1"/>
        <v>Juhan Enniko</v>
      </c>
      <c r="V17" s="515">
        <f>IFERROR(INDEX(V!$O:$O,MATCH(U17,V!$J:$J,0)),"")</f>
        <v>2</v>
      </c>
      <c r="W17" s="516" t="str">
        <f t="shared" si="2"/>
        <v/>
      </c>
      <c r="X17" s="515" t="str">
        <f>IFERROR(INDEX(V!$O:$O,MATCH(W17,V!$J:$J,0)),"")</f>
        <v/>
      </c>
      <c r="Y17" s="516" t="str">
        <f t="shared" si="3"/>
        <v/>
      </c>
      <c r="Z17" s="515" t="str">
        <f>IFERROR(INDEX(V!$O:$O,MATCH(Y17,V!$J:$J,0)),"")</f>
        <v/>
      </c>
    </row>
    <row r="18" spans="1:28" s="186" customFormat="1" hidden="1" x14ac:dyDescent="0.2">
      <c r="A18" s="126">
        <v>5</v>
      </c>
      <c r="B18" s="582"/>
      <c r="C18" s="93"/>
      <c r="D18" s="93"/>
      <c r="E18" s="93"/>
      <c r="F18" s="93"/>
      <c r="G18" s="127"/>
      <c r="H18" s="576" t="str">
        <f>(IF(C18-G14&gt;0,1)+IF(D18-G15&gt;0,1)+IF(E18-G16&gt;0,1)+IF(F18-G17&gt;0,1))&amp;"-"&amp;(IF(C18-G14&lt;0,1)+IF(D18-G15&lt;0,1)+IF(E18-G16&lt;0,1)+IF(F18-G17&lt;0,1))</f>
        <v>0-0</v>
      </c>
      <c r="I18" s="93" t="str">
        <f t="shared" si="8"/>
        <v/>
      </c>
      <c r="J18" s="584">
        <f t="shared" si="10"/>
        <v>0</v>
      </c>
      <c r="K18" s="653">
        <f>IF(AND(J18=1,J14=1,C18&gt;G14),1)+IF(AND(J18=1,J15=1,D18&gt;G15),1)+IF(AND(J18=1,J16=1,E18&gt;G16),1)+IF(AND(J18=1,J17=1,F18&gt;G17),1)+IF(AND(J18=2,J14=2,C18&gt;G14),1)+IF(AND(J18=2,J15=2,D18&gt;G15),1)+IF(AND(J18=2,J16=2,E18&gt;G16),1)+IF(AND(J18=2,J17=2,F18&gt;G17),1)+IF(AND(J18=3,J14=3,C18&gt;G14),1)+IF(AND(J18=3,J15=3,D18&gt;G15),1)+IF(AND(J18=3,J16=3,E18&gt;G16),1)+IF(AND(J18=3,J17=3,F18&gt;G17),1)</f>
        <v>0</v>
      </c>
      <c r="L18" s="652">
        <f>IF(AND(J18=1,J14=1),C18-G14)+IF(AND(J18=1,J15=1),D18-G15)+IF(AND(J18=1,J16=1),E18-G16)+IF(AND(J18=1,J17=1),F18-G17)+IF(AND(J18=2,J14=2),C18-G14)+IF(AND(J18=2,J15=2),D18-G15)+IF(AND(J18=2,J16=2),E18-G16)+IF(AND(J18=2,J17=2),F18-G17)+IF(AND(J18=3,J14=3),C18-G14)+IF(AND(J18=3,J15=3),D18-G15)+IF(AND(J18=3,J16=3),E18-G16)+IF(AND(J18=3,J17=3),F18-G17)</f>
        <v>0</v>
      </c>
      <c r="M18" s="668">
        <f t="shared" si="11"/>
        <v>0</v>
      </c>
      <c r="Q18" s="139"/>
      <c r="R18" s="512">
        <f t="shared" si="12"/>
        <v>0</v>
      </c>
      <c r="S18" s="514" t="str">
        <f t="shared" si="0"/>
        <v/>
      </c>
      <c r="T18" s="515" t="str">
        <f>IFERROR(INDEX(V!$O:$O,MATCH(S18,V!$J:$J,0)),"")</f>
        <v/>
      </c>
      <c r="U18" s="514" t="str">
        <f t="shared" si="1"/>
        <v/>
      </c>
      <c r="V18" s="515" t="str">
        <f>IFERROR(INDEX(V!$O:$O,MATCH(U18,V!$J:$J,0)),"")</f>
        <v/>
      </c>
      <c r="W18" s="516" t="str">
        <f t="shared" si="2"/>
        <v/>
      </c>
      <c r="X18" s="515" t="str">
        <f>IFERROR(INDEX(V!$O:$O,MATCH(W18,V!$J:$J,0)),"")</f>
        <v/>
      </c>
      <c r="Y18" s="516" t="str">
        <f t="shared" si="3"/>
        <v/>
      </c>
      <c r="Z18" s="515" t="str">
        <f>IFERROR(INDEX(V!$O:$O,MATCH(Y18,V!$J:$J,0)),"")</f>
        <v/>
      </c>
    </row>
    <row r="19" spans="1:28" s="188" customFormat="1" x14ac:dyDescent="0.2">
      <c r="A19" s="121"/>
      <c r="B19" s="677"/>
      <c r="C19" s="96"/>
      <c r="D19" s="312"/>
      <c r="E19" s="96"/>
      <c r="F19" s="97"/>
      <c r="H19" s="402"/>
      <c r="I19" s="580"/>
      <c r="J19" s="585"/>
      <c r="K19" s="657"/>
      <c r="L19" s="655"/>
      <c r="M19" s="585"/>
      <c r="N19"/>
      <c r="P19" s="186"/>
      <c r="Q19" s="139"/>
      <c r="R19" s="186"/>
      <c r="S19" s="186"/>
      <c r="T19" s="186"/>
      <c r="U19" s="186"/>
      <c r="V19" s="186"/>
      <c r="W19" s="186"/>
      <c r="X19" s="186"/>
      <c r="Y19" s="186"/>
      <c r="Z19" s="186"/>
      <c r="AA19" s="88"/>
    </row>
    <row r="20" spans="1:28" s="186" customFormat="1" x14ac:dyDescent="0.2">
      <c r="A20" s="126" t="s">
        <v>166</v>
      </c>
      <c r="B20" s="438"/>
      <c r="C20" s="91">
        <v>1</v>
      </c>
      <c r="D20" s="91">
        <v>2</v>
      </c>
      <c r="E20" s="91">
        <v>3</v>
      </c>
      <c r="F20" s="91">
        <v>4</v>
      </c>
      <c r="G20" s="91"/>
      <c r="H20" s="438" t="s">
        <v>73</v>
      </c>
      <c r="I20" s="438" t="s">
        <v>46</v>
      </c>
      <c r="J20" s="586" t="s">
        <v>273</v>
      </c>
      <c r="K20" s="649" t="s">
        <v>273</v>
      </c>
      <c r="L20" s="656" t="s">
        <v>430</v>
      </c>
      <c r="M20" s="588" t="b">
        <f>OR(AND(COUNTA(B21:B25)=3,COUNTA(C21:G25)=6),AND(COUNTA(B21:B25)=4,COUNTA(C21:G25)=12),AND(COUNTA(B21:B25)=5,COUNTA(C21:G25)=20))</f>
        <v>1</v>
      </c>
      <c r="Q20" s="139"/>
      <c r="AA20" s="88"/>
    </row>
    <row r="21" spans="1:28" s="186" customFormat="1" x14ac:dyDescent="0.2">
      <c r="A21" s="126">
        <v>1</v>
      </c>
      <c r="B21" s="582" t="s">
        <v>471</v>
      </c>
      <c r="C21" s="127"/>
      <c r="D21" s="93">
        <v>13</v>
      </c>
      <c r="E21" s="93">
        <v>13</v>
      </c>
      <c r="F21" s="93">
        <v>5</v>
      </c>
      <c r="G21" s="93"/>
      <c r="H21" s="576" t="str">
        <f>(IF(D21-C22&gt;0,1)+IF(E21-C23&gt;0,1)+IF(F21-C24&gt;0,1)+IF(G21-C25&gt;0,1))&amp;"-"&amp;(IF(D21-C22&lt;0,1)+IF(E21-C23&lt;0,1)+IF(F21-C24&lt;0,1)+IF(G21-C25&lt;0,1))</f>
        <v>2-1</v>
      </c>
      <c r="I21" s="93" t="str">
        <f>IF(AND(B21&lt;&gt;"",M$20=TRUE),A$20&amp;RANK(M21,M$21:M$25,0),"")</f>
        <v>C2</v>
      </c>
      <c r="J21" s="584">
        <f>VALUE(LEFT(H21,1))</f>
        <v>2</v>
      </c>
      <c r="K21" s="651">
        <f>IF(AND(J21=1,J22=1,D21&gt;C22),1)+IF(AND(J21=1,J23=1,E21&gt;C23),1)+IF(AND(J21=1,J24=1,F21&gt;C24),1)+IF(AND(J21=1,J25=1,G21&gt;C25),1)+IF(AND(J21=2,J22=2,D21&gt;C22),1)+IF(AND(J21=2,J23=2,E21&gt;C23),1)+IF(AND(J21=2,J24=2,F21&gt;C24),1)+IF(AND(J21=2,J25=2,G21&gt;C25),1)+IF(AND(J21=3,J22=3,D21&gt;C22),1)+IF(AND(J21=3,J23=3,E21&gt;C23),1)+IF(AND(J21=3,J24=3,F21&gt;C24),1)+IF(AND(J21=3,J25=3,G21&gt;C25),1)</f>
        <v>0</v>
      </c>
      <c r="L21" s="652">
        <f>IF(AND(J21=1,J22=1),D21-C22)+IF(AND(J21=1,J23=1),E21-C23)+IF(AND(J21=1,J24=1),F21-C24)+IF(AND(J21=1,J25=1),G21-C25)+IF(AND(J21=2,J22=2),D21-C22)+IF(AND(J21=2,J23=2),E21-C23)+IF(AND(J21=2,J24=2),F21-C24)+IF(AND(J21=2,J25=2),G21-C25)+IF(AND(J21=3,J22=3),D21-C22)+IF(AND(J21=3,J23=3),E21-C23)+IF(AND(J21=3,J24=3),F21-C24)+IF(AND(J21=3,J25=3),G21-C25)</f>
        <v>0</v>
      </c>
      <c r="M21" s="668">
        <f>10000*J21+K21*100+L21</f>
        <v>20000</v>
      </c>
      <c r="N21"/>
      <c r="Q21" s="139"/>
      <c r="R21" s="512">
        <f t="shared" ref="R21" si="13">SUM(T21:Z21)</f>
        <v>148</v>
      </c>
      <c r="S21" s="514" t="str">
        <f t="shared" si="0"/>
        <v>Boriss Klubov</v>
      </c>
      <c r="T21" s="515">
        <f>IFERROR(INDEX(V!$O:$O,MATCH(S21,V!$J:$J,0)),"")</f>
        <v>89</v>
      </c>
      <c r="U21" s="514" t="str">
        <f t="shared" si="1"/>
        <v>Mait Metsla</v>
      </c>
      <c r="V21" s="515">
        <f>IFERROR(INDEX(V!$O:$O,MATCH(U21,V!$J:$J,0)),"")</f>
        <v>59</v>
      </c>
      <c r="W21" s="516" t="str">
        <f t="shared" si="2"/>
        <v/>
      </c>
      <c r="X21" s="515" t="str">
        <f>IFERROR(INDEX(V!$O:$O,MATCH(W21,V!$J:$J,0)),"")</f>
        <v/>
      </c>
      <c r="Y21" s="516" t="str">
        <f t="shared" si="3"/>
        <v/>
      </c>
      <c r="Z21" s="515" t="str">
        <f>IFERROR(INDEX(V!$O:$O,MATCH(Y21,V!$J:$J,0)),"")</f>
        <v/>
      </c>
    </row>
    <row r="22" spans="1:28" s="186" customFormat="1" x14ac:dyDescent="0.2">
      <c r="A22" s="126">
        <v>2</v>
      </c>
      <c r="B22" s="581" t="s">
        <v>549</v>
      </c>
      <c r="C22" s="93">
        <v>6</v>
      </c>
      <c r="D22" s="127"/>
      <c r="E22" s="93">
        <v>13</v>
      </c>
      <c r="F22" s="93">
        <v>7</v>
      </c>
      <c r="G22" s="93"/>
      <c r="H22" s="576" t="str">
        <f>(IF(C22-D21&gt;0,1)+IF(E22-D23&gt;0,1)+IF(F22-D24&gt;0,1)+IF(G22-D25&gt;0,1))&amp;"-"&amp;(IF(C22-D21&lt;0,1)+IF(E22-D23&lt;0,1)+IF(F22-D24&lt;0,1)+IF(G22-D25&lt;0,1))</f>
        <v>1-2</v>
      </c>
      <c r="I22" s="93" t="str">
        <f>IF(AND(B22&lt;&gt;"",M$20=TRUE),A$20&amp;RANK(M22,M$21:M$25,0),"")</f>
        <v>C3</v>
      </c>
      <c r="J22" s="584">
        <f t="shared" ref="J22:J25" si="14">VALUE(LEFT(H22,1))</f>
        <v>1</v>
      </c>
      <c r="K22" s="653">
        <f>IF(AND(J22=1,J21=1,C22&gt;D21),1)+IF(AND(J22=1,J23=1,E22&gt;D23),1)+IF(AND(J22=1,J24=1,F22&gt;D24),1)+IF(AND(J22=1,J25=1,G22&gt;D25),1)+IF(AND(J22=2,J21=2,C22&gt;D21),1)+IF(AND(J22=2,J23=2,E22&gt;D23),1)+IF(AND(J22=2,J24=2,F22&gt;D24),1)+IF(AND(J22=2,J25=2,G22&gt;D25),1)+IF(AND(J22=3,J21=3,C22&gt;D21),1)+IF(AND(J22=3,J23=3,E22&gt;D23),1)+IF(AND(J22=3,J24=3,F22&gt;D24),1)+IF(AND(J22=3,J25=3,G22&gt;D25),1)</f>
        <v>0</v>
      </c>
      <c r="L22" s="652">
        <f>IF(AND(J22=1,J21=1),C22-D21)+IF(AND(J22=1,J23=1),E22-D23)+IF(AND(J22=1,J24=1),F22-D24)+IF(AND(J22=1,J25=1),G22-D25)+IF(AND(J22=2,J21=2),C22-D21)+IF(AND(J22=2,J23=2),E22-D23)+IF(AND(J22=2,J24=2),F22-D24)+IF(AND(J22=2,J25=2),G22-D25)+IF(AND(J22=3,J21=3),C22-D21)+IF(AND(J22=3,J23=3),E22-D23)+IF(AND(J22=3,J24=3),F22-D24)+IF(AND(J22=3,J25=3),G22-D25)</f>
        <v>0</v>
      </c>
      <c r="M22" s="668">
        <f t="shared" ref="M22:M25" si="15">10000*J22+K22*100+L22</f>
        <v>10000</v>
      </c>
      <c r="Q22" s="139"/>
      <c r="R22" s="512">
        <f t="shared" ref="R22:R25" si="16">SUM(T22:Z22)</f>
        <v>116</v>
      </c>
      <c r="S22" s="514" t="str">
        <f t="shared" si="0"/>
        <v>Klavdia Piik</v>
      </c>
      <c r="T22" s="515">
        <f>IFERROR(INDEX(V!$O:$O,MATCH(S22,V!$J:$J,0)),"")</f>
        <v>72</v>
      </c>
      <c r="U22" s="514" t="str">
        <f t="shared" si="1"/>
        <v>Taavi Press</v>
      </c>
      <c r="V22" s="515">
        <f>IFERROR(INDEX(V!$O:$O,MATCH(U22,V!$J:$J,0)),"")</f>
        <v>44</v>
      </c>
      <c r="W22" s="516" t="str">
        <f t="shared" si="2"/>
        <v/>
      </c>
      <c r="X22" s="515" t="str">
        <f>IFERROR(INDEX(V!$O:$O,MATCH(W22,V!$J:$J,0)),"")</f>
        <v/>
      </c>
      <c r="Y22" s="516" t="str">
        <f t="shared" si="3"/>
        <v/>
      </c>
      <c r="Z22" s="515" t="str">
        <f>IFERROR(INDEX(V!$O:$O,MATCH(Y22,V!$J:$J,0)),"")</f>
        <v/>
      </c>
    </row>
    <row r="23" spans="1:28" s="186" customFormat="1" x14ac:dyDescent="0.2">
      <c r="A23" s="126">
        <v>3</v>
      </c>
      <c r="B23" s="581" t="s">
        <v>130</v>
      </c>
      <c r="C23" s="93">
        <v>8</v>
      </c>
      <c r="D23" s="548">
        <v>3</v>
      </c>
      <c r="E23" s="127"/>
      <c r="F23" s="93">
        <v>1</v>
      </c>
      <c r="G23" s="93"/>
      <c r="H23" s="576" t="str">
        <f>(IF(C23-E21&gt;0,1)+IF(D23-E22&gt;0,1)+IF(F23-E24&gt;0,1)+IF(G23-E25&gt;0,1))&amp;"-"&amp;(IF(C23-E21&lt;0,1)+IF(D23-E22&lt;0,1)+IF(F23-E24&lt;0,1)+IF(G23-E25&lt;0,1))</f>
        <v>0-3</v>
      </c>
      <c r="I23" s="93" t="str">
        <f>IF(AND(B23&lt;&gt;"",M$20=TRUE),A$20&amp;RANK(M23,M$21:M$25,0),"")</f>
        <v>C4</v>
      </c>
      <c r="J23" s="584">
        <f t="shared" si="14"/>
        <v>0</v>
      </c>
      <c r="K23" s="653">
        <f>IF(AND(J23=1,J21=1,C23&gt;E21),1)+IF(AND(J23=1,J22=1,D23&gt;E22),1)+IF(AND(J23=1,J24=1,F23&gt;E24),1)+IF(AND(J23=1,J25=1,G23&gt;E25),1)+IF(AND(J23=2,J21=2,C23&gt;E21),1)+IF(AND(J23=2,J22=2,D23&gt;E22),1)+IF(AND(J23=2,J24=2,F23&gt;E24),1)+IF(AND(J23=2,J25=2,G23&gt;E25),1)+IF(AND(J23=3,J21=3,C23&gt;E21),1)+IF(AND(J23=3,J22=3,D23&gt;E22),1)+IF(AND(J23=3,J24=3,F23&gt;E24),1)+IF(AND(J23=3,J25=3,G23&gt;E25),1)</f>
        <v>0</v>
      </c>
      <c r="L23" s="652">
        <f>IF(AND(J23=1,J21=1),C23-E21)+IF(AND(J23=1,J22=1),D23-E22)+IF(AND(J23=1,J24=1),F23-E24)+IF(AND(J23=1,J25=1),G23-E25)+IF(AND(J23=2,J21=2),C23-E21)+IF(AND(J23=2,J22=2),D23-E22)+IF(AND(J23=2,J24=2),F23-E24)+IF(AND(J23=2,J25=2),G23-E25)+IF(AND(J23=3,J21=3),C23-E21)+IF(AND(J23=3,J22=3),D23-E22)+IF(AND(J23=3,J24=3),F23-E24)+IF(AND(J23=3,J25=3),G23-E25)</f>
        <v>0</v>
      </c>
      <c r="M23" s="668">
        <f t="shared" si="15"/>
        <v>0</v>
      </c>
      <c r="N23" s="517"/>
      <c r="Q23" s="139"/>
      <c r="R23" s="512">
        <f t="shared" si="16"/>
        <v>73</v>
      </c>
      <c r="S23" s="514" t="str">
        <f t="shared" si="0"/>
        <v>Enn Tokman</v>
      </c>
      <c r="T23" s="515">
        <f>IFERROR(INDEX(V!$O:$O,MATCH(S23,V!$J:$J,0)),"")</f>
        <v>41</v>
      </c>
      <c r="U23" s="514" t="str">
        <f t="shared" si="1"/>
        <v>Tarmo Bombe</v>
      </c>
      <c r="V23" s="515">
        <f>IFERROR(INDEX(V!$O:$O,MATCH(U23,V!$J:$J,0)),"")</f>
        <v>32</v>
      </c>
      <c r="W23" s="516" t="str">
        <f t="shared" si="2"/>
        <v/>
      </c>
      <c r="X23" s="515" t="str">
        <f>IFERROR(INDEX(V!$O:$O,MATCH(W23,V!$J:$J,0)),"")</f>
        <v/>
      </c>
      <c r="Y23" s="516" t="str">
        <f t="shared" si="3"/>
        <v/>
      </c>
      <c r="Z23" s="515" t="str">
        <f>IFERROR(INDEX(V!$O:$O,MATCH(Y23,V!$J:$J,0)),"")</f>
        <v/>
      </c>
    </row>
    <row r="24" spans="1:28" s="186" customFormat="1" x14ac:dyDescent="0.2">
      <c r="A24" s="126">
        <v>4</v>
      </c>
      <c r="B24" s="739" t="s">
        <v>550</v>
      </c>
      <c r="C24" s="93">
        <v>13</v>
      </c>
      <c r="D24" s="548">
        <v>13</v>
      </c>
      <c r="E24" s="93">
        <v>13</v>
      </c>
      <c r="F24" s="127"/>
      <c r="G24" s="128"/>
      <c r="H24" s="576" t="str">
        <f>(IF(C24-F21&gt;0,1)+IF(D24-F22&gt;0,1)+IF(E24-F23&gt;0,1)+IF(G24-F25&gt;0,1))&amp;"-"&amp;(IF(C24-F21&lt;0,1)+IF(D24-F22&lt;0,1)+IF(E24-F23&lt;0,1)+IF(G24-F25&lt;0,1))</f>
        <v>3-0</v>
      </c>
      <c r="I24" s="93" t="str">
        <f>IF(AND(B24&lt;&gt;"",M$20=TRUE),A$20&amp;RANK(M24,M$21:M$25,0),"")</f>
        <v>C1</v>
      </c>
      <c r="J24" s="584">
        <f t="shared" si="14"/>
        <v>3</v>
      </c>
      <c r="K24" s="653">
        <f>IF(AND(J24=1,J21=1,C24&gt;F21),1)+IF(AND(J24=1,J22=1,D24&gt;F22),1)+IF(AND(J24=1,J23=1,E24&gt;F23),1)+IF(AND(J24=1,J25=1,G24&gt;F25),1)+IF(AND(J24=2,J21=2,C24&gt;F21),1)+IF(AND(J24=2,J22=2,D24&gt;F22),1)+IF(AND(J24=2,J23=2,E24&gt;F23),1)+IF(AND(J24=2,J25=2,G24&gt;F25),1)+IF(AND(J24=3,J21=3,C24&gt;F21),1)+IF(AND(J24=3,J22=3,D24&gt;F22),1)+IF(AND(J24=3,J23=3,E24&gt;F23),1)+IF(AND(J24=3,J25=3,G24&gt;F25),1)</f>
        <v>0</v>
      </c>
      <c r="L24" s="652">
        <f>IF(AND(J24=1,J21=1),C24-F21)+IF(AND(J24=1,J22=1),D24-F22)+IF(AND(J24=1,J23=1),E24-F23)+IF(AND(J24=1,J25=1),G24-F25)+IF(AND(J24=2,J21=2),C24-F21)+IF(AND(J24=2,J22=2),D24-F22)+IF(AND(J24=2,J23=2),E24-F23)+IF(AND(J24=2,J25=2),G24-F25)+IF(AND(J24=3,J21=3),C24-F21)+IF(AND(J24=3,J22=3),D24-F22)+IF(AND(J24=3,J23=3),E24-F23)+IF(AND(J24=3,J25=3),G24-F25)</f>
        <v>0</v>
      </c>
      <c r="M24" s="668">
        <f t="shared" si="15"/>
        <v>30000</v>
      </c>
      <c r="N24"/>
      <c r="Q24" s="139"/>
      <c r="R24" s="512">
        <f t="shared" si="16"/>
        <v>21</v>
      </c>
      <c r="S24" s="514" t="str">
        <f t="shared" si="0"/>
        <v>Janek Tarto</v>
      </c>
      <c r="T24" s="515">
        <f>IFERROR(INDEX(V!$O:$O,MATCH(S24,V!$J:$J,0)),"")</f>
        <v>8</v>
      </c>
      <c r="U24" s="514" t="str">
        <f t="shared" si="1"/>
        <v>Urmas Jõeäär</v>
      </c>
      <c r="V24" s="515">
        <f>IFERROR(INDEX(V!$O:$O,MATCH(U24,V!$J:$J,0)),"")</f>
        <v>13</v>
      </c>
      <c r="W24" s="516" t="str">
        <f t="shared" si="2"/>
        <v/>
      </c>
      <c r="X24" s="515" t="str">
        <f>IFERROR(INDEX(V!$O:$O,MATCH(W24,V!$J:$J,0)),"")</f>
        <v/>
      </c>
      <c r="Y24" s="516" t="str">
        <f t="shared" si="3"/>
        <v/>
      </c>
      <c r="Z24" s="515" t="str">
        <f>IFERROR(INDEX(V!$O:$O,MATCH(Y24,V!$J:$J,0)),"")</f>
        <v/>
      </c>
    </row>
    <row r="25" spans="1:28" s="186" customFormat="1" hidden="1" x14ac:dyDescent="0.2">
      <c r="A25" s="126">
        <v>5</v>
      </c>
      <c r="B25" s="582"/>
      <c r="C25" s="93"/>
      <c r="D25" s="93"/>
      <c r="E25" s="93"/>
      <c r="F25" s="93"/>
      <c r="G25" s="93"/>
      <c r="H25" s="576" t="str">
        <f>(IF(C25-G21&gt;0,1)+IF(D25-G22&gt;0,1)+IF(E25-G23&gt;0,1)+IF(F25-G24&gt;0,1))&amp;"-"&amp;(IF(C25-G21&lt;0,1)+IF(D25-G22&lt;0,1)+IF(E25-G23&lt;0,1)+IF(F25-G24&lt;0,1))</f>
        <v>0-0</v>
      </c>
      <c r="I25" s="93" t="str">
        <f>IF(AND(B25&lt;&gt;"",M$20=TRUE),A$20&amp;RANK(M25,M$21:M$25,0),"")</f>
        <v/>
      </c>
      <c r="J25" s="584">
        <f t="shared" si="14"/>
        <v>0</v>
      </c>
      <c r="K25" s="653">
        <f>IF(AND(J25=1,J21=1,C25&gt;G21),1)+IF(AND(J25=1,J22=1,D25&gt;G22),1)+IF(AND(J25=1,J23=1,E25&gt;G23),1)+IF(AND(J25=1,J24=1,F25&gt;G24),1)+IF(AND(J25=2,J21=2,C25&gt;G21),1)+IF(AND(J25=2,J22=2,D25&gt;G22),1)+IF(AND(J25=2,J23=2,E25&gt;G23),1)+IF(AND(J25=2,J24=2,F25&gt;G24),1)+IF(AND(J25=3,J21=3,C25&gt;G21),1)+IF(AND(J25=3,J22=3,D25&gt;G22),1)+IF(AND(J25=3,J23=3,E25&gt;G23),1)+IF(AND(J25=3,J24=3,F25&gt;G24),1)</f>
        <v>0</v>
      </c>
      <c r="L25" s="652">
        <f>IF(AND(J25=1,J21=1),C25-G21)+IF(AND(J25=1,J22=1),D25-G22)+IF(AND(J25=1,J23=1),E25-G23)+IF(AND(J25=1,J24=1),F25-G24)+IF(AND(J25=2,J21=2),C25-G21)+IF(AND(J25=2,J22=2),D25-G22)+IF(AND(J25=2,J23=2),E25-G23)+IF(AND(J25=2,J24=2),F25-G24)+IF(AND(J25=3,J21=3),C25-G21)+IF(AND(J25=3,J22=3),D25-G22)+IF(AND(J25=3,J23=3),E25-G23)+IF(AND(J25=3,J24=3),F25-G24)</f>
        <v>0</v>
      </c>
      <c r="M25" s="668">
        <f t="shared" si="15"/>
        <v>0</v>
      </c>
      <c r="Q25" s="139"/>
      <c r="R25" s="512">
        <f t="shared" si="16"/>
        <v>0</v>
      </c>
      <c r="S25" s="514" t="str">
        <f t="shared" si="0"/>
        <v/>
      </c>
      <c r="T25" s="515" t="str">
        <f>IFERROR(INDEX(V!$O:$O,MATCH(S25,V!$J:$J,0)),"")</f>
        <v/>
      </c>
      <c r="U25" s="514" t="str">
        <f t="shared" si="1"/>
        <v/>
      </c>
      <c r="V25" s="515" t="str">
        <f>IFERROR(INDEX(V!$O:$O,MATCH(U25,V!$J:$J,0)),"")</f>
        <v/>
      </c>
      <c r="W25" s="516" t="str">
        <f t="shared" si="2"/>
        <v/>
      </c>
      <c r="X25" s="515" t="str">
        <f>IFERROR(INDEX(V!$O:$O,MATCH(W25,V!$J:$J,0)),"")</f>
        <v/>
      </c>
      <c r="Y25" s="516" t="str">
        <f t="shared" si="3"/>
        <v/>
      </c>
      <c r="Z25" s="515" t="str">
        <f>IFERROR(INDEX(V!$O:$O,MATCH(Y25,V!$J:$J,0)),"")</f>
        <v/>
      </c>
    </row>
    <row r="26" spans="1:28" s="186" customFormat="1" x14ac:dyDescent="0.2">
      <c r="A26" s="87"/>
      <c r="B26" s="407"/>
      <c r="C26" s="309"/>
      <c r="D26" s="309"/>
      <c r="E26" s="309"/>
      <c r="H26" s="589"/>
      <c r="I26" s="590"/>
      <c r="J26" s="591"/>
      <c r="K26" s="654"/>
      <c r="L26" s="658"/>
      <c r="M26" s="591"/>
      <c r="N26" s="56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88"/>
    </row>
    <row r="27" spans="1:28" s="188" customFormat="1" x14ac:dyDescent="0.2">
      <c r="A27" s="126" t="s">
        <v>323</v>
      </c>
      <c r="B27" s="438"/>
      <c r="C27" s="91">
        <v>1</v>
      </c>
      <c r="D27" s="91">
        <v>2</v>
      </c>
      <c r="E27" s="91">
        <v>3</v>
      </c>
      <c r="F27" s="91">
        <v>4</v>
      </c>
      <c r="G27" s="91"/>
      <c r="H27" s="438" t="s">
        <v>73</v>
      </c>
      <c r="I27" s="438" t="s">
        <v>46</v>
      </c>
      <c r="J27" s="586" t="s">
        <v>273</v>
      </c>
      <c r="K27" s="649" t="s">
        <v>273</v>
      </c>
      <c r="L27" s="656" t="s">
        <v>430</v>
      </c>
      <c r="M27" s="588" t="b">
        <f>OR(AND(COUNTA(B28:B32)=3,COUNTA(C28:G32)=6),AND(COUNTA(B28:B32)=4,COUNTA(C28:G32)=12),AND(COUNTA(B28:B32)=5,COUNTA(C28:G32)=20))</f>
        <v>1</v>
      </c>
      <c r="N27"/>
      <c r="O27" s="186"/>
      <c r="P27" s="186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</row>
    <row r="28" spans="1:28" s="188" customFormat="1" x14ac:dyDescent="0.2">
      <c r="A28" s="126">
        <v>1</v>
      </c>
      <c r="B28" s="581" t="s">
        <v>116</v>
      </c>
      <c r="C28" s="127"/>
      <c r="D28" s="93">
        <v>13</v>
      </c>
      <c r="E28" s="93">
        <v>7</v>
      </c>
      <c r="F28" s="93">
        <v>13</v>
      </c>
      <c r="G28" s="128"/>
      <c r="H28" s="576" t="str">
        <f>(IF(D28-C29&gt;0,1)+IF(E28-C30&gt;0,1)+IF(F28-C31&gt;0,1)+IF(G28-C32&gt;0,1))&amp;"-"&amp;(IF(D28-C29&lt;0,1)+IF(E28-C30&lt;0,1)+IF(F28-C31&lt;0,1)+IF(G28-C32&lt;0,1))</f>
        <v>2-1</v>
      </c>
      <c r="I28" s="93" t="str">
        <f t="shared" ref="I28:I32" si="17">IF(AND(B28&lt;&gt;"",M$27=TRUE),A$27&amp;RANK(M28,M$28:M$32,0),"")</f>
        <v>D1</v>
      </c>
      <c r="J28" s="584">
        <f>VALUE(LEFT(H28,1))</f>
        <v>2</v>
      </c>
      <c r="K28" s="651">
        <f>IF(AND(J28=1,J29=1,D28&gt;C29),1)+IF(AND(J28=1,J30=1,E28&gt;C30),1)+IF(AND(J28=1,J31=1,F28&gt;C31),1)+IF(AND(J28=1,J32=1,G28&gt;C32),1)+IF(AND(J28=2,J29=2,D28&gt;C29),1)+IF(AND(J28=2,J30=2,E28&gt;C30),1)+IF(AND(J28=2,J31=2,F28&gt;C31),1)+IF(AND(J28=2,J32=2,G28&gt;C32),1)+IF(AND(J28=3,J29=3,D28&gt;C29),1)+IF(AND(J28=3,J30=3,E28&gt;C30),1)+IF(AND(J28=3,J31=3,F28&gt;C31),1)+IF(AND(J28=3,J32=3,G28&gt;C32),1)</f>
        <v>1</v>
      </c>
      <c r="L28" s="652">
        <f>IF(AND(J28=1,J29=1),D28-C29)+IF(AND(J28=1,J30=1),E28-C30)+IF(AND(J28=1,J31=1),F28-C31)+IF(AND(J28=1,J32=1),G28-C32)+IF(AND(J28=2,J29=2),D28-C29)+IF(AND(J28=2,J30=2),E28-C30)+IF(AND(J28=2,J31=2),F28-C31)+IF(AND(J28=2,J32=2),G28-C32)+IF(AND(J28=3,J29=3),D28-C29)+IF(AND(J28=3,J30=3),E28-C30)+IF(AND(J28=3,J31=3),F28-C31)+IF(AND(J28=3,J32=3),G28-C32)</f>
        <v>2</v>
      </c>
      <c r="M28" s="668">
        <f>10000*J28+K28*100+L28</f>
        <v>20102</v>
      </c>
      <c r="N28"/>
      <c r="O28" s="517"/>
      <c r="P28" s="186"/>
      <c r="Q28" s="139"/>
      <c r="R28" s="512">
        <f t="shared" ref="R28" si="18">SUM(T28:Z28)</f>
        <v>139</v>
      </c>
      <c r="S28" s="514" t="str">
        <f t="shared" si="0"/>
        <v>Jaan Sepp</v>
      </c>
      <c r="T28" s="515">
        <f>IFERROR(INDEX(V!$O:$O,MATCH(S28,V!$J:$J,0)),"")</f>
        <v>82.5</v>
      </c>
      <c r="U28" s="514" t="str">
        <f t="shared" si="1"/>
        <v>Oskar Sepp</v>
      </c>
      <c r="V28" s="515">
        <f>IFERROR(INDEX(V!$O:$O,MATCH(U28,V!$J:$J,0)),"")</f>
        <v>56.5</v>
      </c>
      <c r="W28" s="516" t="str">
        <f t="shared" si="2"/>
        <v/>
      </c>
      <c r="X28" s="515" t="str">
        <f>IFERROR(INDEX(V!$O:$O,MATCH(W28,V!$J:$J,0)),"")</f>
        <v/>
      </c>
      <c r="Y28" s="516" t="str">
        <f>IFERROR(MID(#REF!,FIND(", ",#REF!,FIND(", ",#REF!,FIND(", ",#REF!))+1)+2,30000),"")</f>
        <v/>
      </c>
      <c r="Z28" s="515" t="str">
        <f>IFERROR(INDEX(V!$O:$O,MATCH(Y28,V!$J:$J,0)),"")</f>
        <v/>
      </c>
      <c r="AA28" s="139"/>
      <c r="AB28" s="139"/>
    </row>
    <row r="29" spans="1:28" s="188" customFormat="1" x14ac:dyDescent="0.2">
      <c r="A29" s="126">
        <v>2</v>
      </c>
      <c r="B29" s="581" t="s">
        <v>611</v>
      </c>
      <c r="C29" s="131">
        <v>11</v>
      </c>
      <c r="D29" s="127"/>
      <c r="E29" s="93">
        <v>13</v>
      </c>
      <c r="F29" s="93">
        <v>13</v>
      </c>
      <c r="G29" s="128"/>
      <c r="H29" s="576" t="str">
        <f>(IF(C29-D28&gt;0,1)+IF(E29-D30&gt;0,1)+IF(F29-D31&gt;0,1)+IF(G29-D32&gt;0,1))&amp;"-"&amp;(IF(C29-D28&lt;0,1)+IF(E29-D30&lt;0,1)+IF(F29-D31&lt;0,1)+IF(G29-D32&lt;0,1))</f>
        <v>2-1</v>
      </c>
      <c r="I29" s="93" t="str">
        <f t="shared" si="17"/>
        <v>D2</v>
      </c>
      <c r="J29" s="584">
        <f t="shared" ref="J29:J32" si="19">VALUE(LEFT(H29,1))</f>
        <v>2</v>
      </c>
      <c r="K29" s="653">
        <f>IF(AND(J29=1,J28=1,C29&gt;D28),1)+IF(AND(J29=1,J30=1,E29&gt;D30),1)+IF(AND(J29=1,J31=1,F29&gt;D31),1)+IF(AND(J29=1,J32=1,G29&gt;D32),1)+IF(AND(J29=2,J28=2,C29&gt;D28),1)+IF(AND(J29=2,J30=2,E29&gt;D30),1)+IF(AND(J29=2,J31=2,F29&gt;D31),1)+IF(AND(J29=2,J32=2,G29&gt;D32),1)+IF(AND(J29=3,J28=3,C29&gt;D28),1)+IF(AND(J29=3,J30=3,E29&gt;D30),1)+IF(AND(J29=3,J31=3,F29&gt;D31),1)+IF(AND(J29=3,J32=3,G29&gt;D32),1)</f>
        <v>0</v>
      </c>
      <c r="L29" s="652">
        <f>IF(AND(J29=1,J28=1),C29-D28)+IF(AND(J29=1,J30=1),E29-D30)+IF(AND(J29=1,J31=1),F29-D31)+IF(AND(J29=1,J32=1),G29-D32)+IF(AND(J29=2,J28=2),C29-D28)+IF(AND(J29=2,J30=2),E29-D30)+IF(AND(J29=2,J31=2),F29-D31)+IF(AND(J29=2,J32=2),G29-D32)+IF(AND(J29=3,J28=3),C29-D28)+IF(AND(J29=3,J30=3),E29-D30)+IF(AND(J29=3,J31=3),F29-D31)+IF(AND(J29=3,J32=3),G29-D32)</f>
        <v>-2</v>
      </c>
      <c r="M29" s="668">
        <f t="shared" ref="M29:M32" si="20">10000*J29+K29*100+L29</f>
        <v>19998</v>
      </c>
      <c r="N29"/>
      <c r="O29" s="517"/>
      <c r="P29" s="186"/>
      <c r="Q29" s="139"/>
      <c r="R29" s="512">
        <f t="shared" ref="R29:R32" si="21">SUM(T29:Z29)</f>
        <v>134</v>
      </c>
      <c r="S29" s="514" t="str">
        <f t="shared" si="0"/>
        <v>Kenneth Muusikus</v>
      </c>
      <c r="T29" s="515">
        <f>IFERROR(INDEX(V!$O:$O,MATCH(S29,V!$J:$J,0)),"")</f>
        <v>80</v>
      </c>
      <c r="U29" s="514" t="str">
        <f t="shared" si="1"/>
        <v>Peep Peenema</v>
      </c>
      <c r="V29" s="515">
        <f>IFERROR(INDEX(V!$O:$O,MATCH(U29,V!$J:$J,0)),"")</f>
        <v>54</v>
      </c>
      <c r="W29" s="516" t="str">
        <f t="shared" si="2"/>
        <v/>
      </c>
      <c r="X29" s="515" t="str">
        <f>IFERROR(INDEX(V!$O:$O,MATCH(W29,V!$J:$J,0)),"")</f>
        <v/>
      </c>
      <c r="Y29" s="516" t="str">
        <f>IFERROR(MID(#REF!,FIND(", ",#REF!,FIND(", ",#REF!,FIND(", ",#REF!))+1)+2,30000),"")</f>
        <v/>
      </c>
      <c r="Z29" s="515" t="str">
        <f>IFERROR(INDEX(V!$O:$O,MATCH(Y29,V!$J:$J,0)),"")</f>
        <v/>
      </c>
      <c r="AA29" s="139"/>
      <c r="AB29" s="139"/>
    </row>
    <row r="30" spans="1:28" s="188" customFormat="1" x14ac:dyDescent="0.2">
      <c r="A30" s="126">
        <v>3</v>
      </c>
      <c r="B30" s="189" t="s">
        <v>515</v>
      </c>
      <c r="C30" s="93">
        <v>13</v>
      </c>
      <c r="D30" s="548">
        <v>8</v>
      </c>
      <c r="E30" s="127"/>
      <c r="F30" s="93">
        <v>2</v>
      </c>
      <c r="G30" s="128"/>
      <c r="H30" s="576" t="str">
        <f>(IF(C30-E28&gt;0,1)+IF(D30-E29&gt;0,1)+IF(F30-E31&gt;0,1)+IF(G30-E32&gt;0,1))&amp;"-"&amp;(IF(C30-E28&lt;0,1)+IF(D30-E29&lt;0,1)+IF(F30-E31&lt;0,1)+IF(G30-E32&lt;0,1))</f>
        <v>1-2</v>
      </c>
      <c r="I30" s="93" t="str">
        <f t="shared" si="17"/>
        <v>D4</v>
      </c>
      <c r="J30" s="584">
        <f t="shared" si="19"/>
        <v>1</v>
      </c>
      <c r="K30" s="653">
        <f>IF(AND(J30=1,J28=1,C30&gt;E28),1)+IF(AND(J30=1,J29=1,D30&gt;E29),1)+IF(AND(J30=1,J31=1,F30&gt;E31),1)+IF(AND(J30=1,J32=1,G30&gt;E32),1)+IF(AND(J30=2,J28=2,C30&gt;E28),1)+IF(AND(J30=2,J29=2,D30&gt;E29),1)+IF(AND(J30=2,J31=2,F30&gt;E31),1)+IF(AND(J30=2,J32=2,G30&gt;E32),1)+IF(AND(J30=3,J28=3,C30&gt;E28),1)+IF(AND(J30=3,J29=3,D30&gt;E29),1)+IF(AND(J30=3,J31=3,F30&gt;E31),1)+IF(AND(J30=3,J32=3,G30&gt;E32),1)</f>
        <v>0</v>
      </c>
      <c r="L30" s="652">
        <f>IF(AND(J30=1,J28=1),C30-E28)+IF(AND(J30=1,J29=1),D30-E29)+IF(AND(J30=1,J31=1),F30-E31)+IF(AND(J30=1,J32=1),G30-E32)+IF(AND(J30=2,J28=2),C30-E28)+IF(AND(J30=2,J29=2),D30-E29)+IF(AND(J30=2,J31=2),F30-E31)+IF(AND(J30=2,J32=2),G30-E32)+IF(AND(J30=3,J28=3),C30-E28)+IF(AND(J30=3,J29=3),D30-E29)+IF(AND(J30=3,J31=3),F30-E31)+IF(AND(J30=3,J32=3),G30-E32)</f>
        <v>-11</v>
      </c>
      <c r="M30" s="668">
        <f t="shared" si="20"/>
        <v>9989</v>
      </c>
      <c r="N30" s="569"/>
      <c r="P30" s="186"/>
      <c r="Q30" s="139"/>
      <c r="R30" s="512">
        <f t="shared" si="21"/>
        <v>68</v>
      </c>
      <c r="S30" s="514" t="str">
        <f t="shared" si="0"/>
        <v>Einar Juhkam</v>
      </c>
      <c r="T30" s="515">
        <f>IFERROR(INDEX(V!$O:$O,MATCH(S30,V!$J:$J,0)),"")</f>
        <v>53</v>
      </c>
      <c r="U30" s="514" t="str">
        <f t="shared" si="1"/>
        <v>Aleksander Korikov</v>
      </c>
      <c r="V30" s="515">
        <f>IFERROR(INDEX(V!$O:$O,MATCH(U30,V!$J:$J,0)),"")</f>
        <v>15</v>
      </c>
      <c r="W30" s="516" t="str">
        <f t="shared" si="2"/>
        <v/>
      </c>
      <c r="X30" s="515" t="str">
        <f>IFERROR(INDEX(V!$O:$O,MATCH(W30,V!$J:$J,0)),"")</f>
        <v/>
      </c>
      <c r="Y30" s="516" t="str">
        <f>IFERROR(MID(#REF!,FIND(", ",#REF!,FIND(", ",#REF!,FIND(", ",#REF!))+1)+2,30000),"")</f>
        <v/>
      </c>
      <c r="Z30" s="515" t="str">
        <f>IFERROR(INDEX(V!$O:$O,MATCH(Y30,V!$J:$J,0)),"")</f>
        <v/>
      </c>
      <c r="AA30" s="139"/>
      <c r="AB30" s="139"/>
    </row>
    <row r="31" spans="1:28" s="188" customFormat="1" x14ac:dyDescent="0.2">
      <c r="A31" s="126">
        <v>4</v>
      </c>
      <c r="B31" s="164" t="s">
        <v>167</v>
      </c>
      <c r="C31" s="93">
        <v>10</v>
      </c>
      <c r="D31" s="548">
        <v>8</v>
      </c>
      <c r="E31" s="93">
        <v>13</v>
      </c>
      <c r="F31" s="127"/>
      <c r="G31" s="128"/>
      <c r="H31" s="576" t="str">
        <f>(IF(C31-F28&gt;0,1)+IF(D31-F29&gt;0,1)+IF(E31-F30&gt;0,1)+IF(G31-F32&gt;0,1))&amp;"-"&amp;(IF(C31-F28&lt;0,1)+IF(D31-F29&lt;0,1)+IF(E31-F30&lt;0,1)+IF(G31-F32&lt;0,1))</f>
        <v>1-2</v>
      </c>
      <c r="I31" s="93" t="str">
        <f t="shared" si="17"/>
        <v>D3</v>
      </c>
      <c r="J31" s="584">
        <f t="shared" si="19"/>
        <v>1</v>
      </c>
      <c r="K31" s="653">
        <f>IF(AND(J31=1,J28=1,C31&gt;F28),1)+IF(AND(J31=1,J29=1,D31&gt;F29),1)+IF(AND(J31=1,J30=1,E31&gt;F30),1)+IF(AND(J31=1,J32=1,G31&gt;F32),1)+IF(AND(J31=2,J28=2,C31&gt;F28),1)+IF(AND(J31=2,J29=2,D31&gt;F29),1)+IF(AND(J31=2,J30=2,E31&gt;F30),1)+IF(AND(J31=2,J32=2,G31&gt;F32),1)+IF(AND(J31=3,J28=3,C31&gt;F28),1)+IF(AND(J31=3,J29=3,D31&gt;F29),1)+IF(AND(J31=3,J30=3,E31&gt;F30),1)+IF(AND(J31=3,J32=3,G31&gt;F32),1)</f>
        <v>1</v>
      </c>
      <c r="L31" s="652">
        <f>IF(AND(J31=1,J28=1),C31-F28)+IF(AND(J31=1,J29=1),D31-F29)+IF(AND(J31=1,J30=1),E31-F30)+IF(AND(J31=1,J32=1),G31-F32)+IF(AND(J31=2,J28=2),C31-F28)+IF(AND(J31=2,J29=2),D31-F29)+IF(AND(J31=2,J30=2),E31-F30)+IF(AND(J31=2,J32=2),G31-F32)+IF(AND(J31=3,J28=3),C31-F28)+IF(AND(J31=3,J29=3),D31-F29)+IF(AND(J31=3,J30=3),E31-F30)+IF(AND(J31=3,J32=3),G31-F32)</f>
        <v>11</v>
      </c>
      <c r="M31" s="668">
        <f t="shared" si="20"/>
        <v>10111</v>
      </c>
      <c r="N31"/>
      <c r="P31" s="186"/>
      <c r="Q31" s="139"/>
      <c r="R31" s="512">
        <f t="shared" si="21"/>
        <v>66</v>
      </c>
      <c r="S31" s="514" t="str">
        <f t="shared" si="0"/>
        <v>Illar Tõnurist</v>
      </c>
      <c r="T31" s="515">
        <f>IFERROR(INDEX(V!$O:$O,MATCH(S31,V!$J:$J,0)),"")</f>
        <v>41</v>
      </c>
      <c r="U31" s="514" t="str">
        <f t="shared" si="1"/>
        <v>Jaan Saar</v>
      </c>
      <c r="V31" s="515">
        <f>IFERROR(INDEX(V!$O:$O,MATCH(U31,V!$J:$J,0)),"")</f>
        <v>25</v>
      </c>
      <c r="W31" s="516" t="str">
        <f t="shared" si="2"/>
        <v/>
      </c>
      <c r="X31" s="515" t="str">
        <f>IFERROR(INDEX(V!$O:$O,MATCH(W31,V!$J:$J,0)),"")</f>
        <v/>
      </c>
      <c r="Y31" s="516" t="str">
        <f>IFERROR(MID(#REF!,FIND(", ",#REF!,FIND(", ",#REF!,FIND(", ",#REF!))+1)+2,30000),"")</f>
        <v/>
      </c>
      <c r="Z31" s="515" t="str">
        <f>IFERROR(INDEX(V!$O:$O,MATCH(Y31,V!$J:$J,0)),"")</f>
        <v/>
      </c>
      <c r="AA31" s="139"/>
      <c r="AB31" s="139"/>
    </row>
    <row r="32" spans="1:28" s="188" customFormat="1" hidden="1" x14ac:dyDescent="0.2">
      <c r="A32" s="126">
        <v>5</v>
      </c>
      <c r="B32" s="164"/>
      <c r="C32" s="93"/>
      <c r="D32" s="93"/>
      <c r="E32" s="93"/>
      <c r="F32" s="93"/>
      <c r="G32" s="127"/>
      <c r="H32" s="576" t="str">
        <f>(IF(C32-G28&gt;0,1)+IF(D32-G29&gt;0,1)+IF(E32-G30&gt;0,1)+IF(F32-G31&gt;0,1))&amp;"-"&amp;(IF(C32-G28&lt;0,1)+IF(D32-G29&lt;0,1)+IF(E32-G30&lt;0,1)+IF(F32-G31&lt;0,1))</f>
        <v>0-0</v>
      </c>
      <c r="I32" s="93" t="str">
        <f t="shared" si="17"/>
        <v/>
      </c>
      <c r="J32" s="584">
        <f t="shared" si="19"/>
        <v>0</v>
      </c>
      <c r="K32" s="653">
        <f>IF(AND(J32=1,J28=1,C32&gt;G28),1)+IF(AND(J32=1,J29=1,D32&gt;G29),1)+IF(AND(J32=1,J30=1,E32&gt;G30),1)+IF(AND(J32=1,J31=1,F32&gt;G31),1)+IF(AND(J32=2,J28=2,C32&gt;G28),1)+IF(AND(J32=2,J29=2,D32&gt;G29),1)+IF(AND(J32=2,J30=2,E32&gt;G30),1)+IF(AND(J32=2,J31=2,F32&gt;G31),1)+IF(AND(J32=3,J28=3,C32&gt;G28),1)+IF(AND(J32=3,J29=3,D32&gt;G29),1)+IF(AND(J32=3,J30=3,E32&gt;G30),1)+IF(AND(J32=3,J31=3,F32&gt;G31),1)</f>
        <v>0</v>
      </c>
      <c r="L32" s="652">
        <f>IF(AND(J32=1,J28=1),C32-G28)+IF(AND(J32=1,J29=1),D32-G29)+IF(AND(J32=1,J30=1),E32-G30)+IF(AND(J32=1,J31=1),F32-G31)+IF(AND(J32=2,J28=2),C32-G28)+IF(AND(J32=2,J29=2),D32-G29)+IF(AND(J32=2,J30=2),E32-G30)+IF(AND(J32=2,J31=2),F32-G31)+IF(AND(J32=3,J28=3),C32-G28)+IF(AND(J32=3,J29=3),D32-G29)+IF(AND(J32=3,J30=3),E32-G30)+IF(AND(J32=3,J31=3),F32-G31)</f>
        <v>0</v>
      </c>
      <c r="M32" s="668">
        <f t="shared" si="20"/>
        <v>0</v>
      </c>
      <c r="N32" s="186"/>
      <c r="P32" s="186"/>
      <c r="Q32" s="139"/>
      <c r="R32" s="512">
        <f t="shared" si="21"/>
        <v>0</v>
      </c>
      <c r="S32" s="514" t="str">
        <f t="shared" si="0"/>
        <v/>
      </c>
      <c r="T32" s="515" t="str">
        <f>IFERROR(INDEX(V!$O:$O,MATCH(S32,V!$J:$J,0)),"")</f>
        <v/>
      </c>
      <c r="U32" s="514" t="str">
        <f t="shared" si="1"/>
        <v/>
      </c>
      <c r="V32" s="515" t="str">
        <f>IFERROR(INDEX(V!$O:$O,MATCH(U32,V!$J:$J,0)),"")</f>
        <v/>
      </c>
      <c r="W32" s="516" t="str">
        <f t="shared" si="2"/>
        <v/>
      </c>
      <c r="X32" s="515" t="str">
        <f>IFERROR(INDEX(V!$O:$O,MATCH(W32,V!$J:$J,0)),"")</f>
        <v/>
      </c>
      <c r="Y32" s="516" t="str">
        <f>IFERROR(MID(#REF!,FIND(", ",#REF!,FIND(", ",#REF!,FIND(", ",#REF!))+1)+2,30000),"")</f>
        <v/>
      </c>
      <c r="Z32" s="515" t="str">
        <f>IFERROR(INDEX(V!$O:$O,MATCH(Y32,V!$J:$J,0)),"")</f>
        <v/>
      </c>
      <c r="AA32" s="139"/>
      <c r="AB32" s="139"/>
    </row>
    <row r="33" spans="1:28" s="188" customFormat="1" hidden="1" x14ac:dyDescent="0.2">
      <c r="A33" s="121"/>
      <c r="F33" s="94"/>
      <c r="H33" s="592"/>
      <c r="I33" s="593"/>
      <c r="J33" s="588"/>
      <c r="K33" s="590"/>
      <c r="L33" s="660"/>
      <c r="M33" s="588"/>
      <c r="N33" s="186"/>
      <c r="O33" s="186"/>
      <c r="P33" s="186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</row>
    <row r="34" spans="1:28" s="188" customFormat="1" hidden="1" x14ac:dyDescent="0.2">
      <c r="B34" s="213" t="s">
        <v>98</v>
      </c>
      <c r="C34" s="98" t="s">
        <v>102</v>
      </c>
      <c r="D34" s="98"/>
      <c r="O34" s="186"/>
      <c r="P34" s="186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</row>
    <row r="35" spans="1:28" s="188" customFormat="1" hidden="1" x14ac:dyDescent="0.2">
      <c r="B35" s="213" t="s">
        <v>101</v>
      </c>
      <c r="C35" s="98" t="s">
        <v>100</v>
      </c>
      <c r="O35" s="186"/>
      <c r="P35" s="186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</row>
    <row r="36" spans="1:28" s="188" customFormat="1" hidden="1" x14ac:dyDescent="0.2">
      <c r="B36" s="213" t="s">
        <v>104</v>
      </c>
      <c r="C36" s="98" t="s">
        <v>92</v>
      </c>
      <c r="O36" s="186"/>
      <c r="P36" s="186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</row>
    <row r="37" spans="1:28" s="188" customFormat="1" x14ac:dyDescent="0.2">
      <c r="N37" s="186"/>
      <c r="O37" s="186"/>
      <c r="P37" s="186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</row>
    <row r="38" spans="1:28" s="188" customFormat="1" x14ac:dyDescent="0.2">
      <c r="B38" s="213" t="s">
        <v>98</v>
      </c>
      <c r="C38" s="98" t="s">
        <v>99</v>
      </c>
      <c r="D38" s="98" t="s">
        <v>100</v>
      </c>
      <c r="N38"/>
      <c r="O38" s="186"/>
      <c r="P38" s="186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</row>
    <row r="39" spans="1:28" s="188" customFormat="1" x14ac:dyDescent="0.2">
      <c r="B39" s="213" t="s">
        <v>101</v>
      </c>
      <c r="C39" s="98" t="s">
        <v>102</v>
      </c>
      <c r="D39" s="98" t="s">
        <v>103</v>
      </c>
      <c r="N39" s="569"/>
      <c r="O39" s="186"/>
      <c r="P39" s="186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</row>
    <row r="40" spans="1:28" s="188" customFormat="1" x14ac:dyDescent="0.2">
      <c r="A40" s="121"/>
      <c r="B40" s="213" t="s">
        <v>104</v>
      </c>
      <c r="C40" s="98" t="s">
        <v>92</v>
      </c>
      <c r="D40" s="98" t="s">
        <v>105</v>
      </c>
      <c r="E40" s="97"/>
      <c r="F40" s="97"/>
      <c r="G40" s="97"/>
      <c r="H40" s="639"/>
      <c r="I40" s="97"/>
      <c r="J40" s="584"/>
      <c r="K40" s="663"/>
      <c r="L40" s="584"/>
      <c r="M40" s="584"/>
      <c r="N40" s="186"/>
      <c r="O40" s="310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</row>
    <row r="41" spans="1:28" s="188" customFormat="1" hidden="1" x14ac:dyDescent="0.2">
      <c r="B41" s="217"/>
      <c r="C41" s="97"/>
      <c r="D41" s="97"/>
      <c r="N41" t="s">
        <v>177</v>
      </c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</row>
    <row r="42" spans="1:28" s="188" customFormat="1" hidden="1" x14ac:dyDescent="0.2">
      <c r="B42" s="213" t="s">
        <v>98</v>
      </c>
      <c r="C42" s="98" t="s">
        <v>106</v>
      </c>
      <c r="D42" s="98" t="s">
        <v>103</v>
      </c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</row>
    <row r="43" spans="1:28" s="188" customFormat="1" hidden="1" x14ac:dyDescent="0.2">
      <c r="B43" s="213" t="s">
        <v>101</v>
      </c>
      <c r="C43" s="98" t="s">
        <v>102</v>
      </c>
      <c r="D43" s="98" t="s">
        <v>107</v>
      </c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</row>
    <row r="44" spans="1:28" s="188" customFormat="1" hidden="1" x14ac:dyDescent="0.2">
      <c r="B44" s="213" t="s">
        <v>104</v>
      </c>
      <c r="C44" s="98" t="s">
        <v>108</v>
      </c>
      <c r="D44" s="98" t="s">
        <v>105</v>
      </c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</row>
    <row r="45" spans="1:28" s="188" customFormat="1" hidden="1" x14ac:dyDescent="0.2">
      <c r="B45" s="213" t="s">
        <v>109</v>
      </c>
      <c r="C45" s="98" t="s">
        <v>91</v>
      </c>
      <c r="D45" s="98" t="s">
        <v>110</v>
      </c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</row>
    <row r="46" spans="1:28" s="188" customFormat="1" hidden="1" x14ac:dyDescent="0.2">
      <c r="B46" s="213" t="s">
        <v>111</v>
      </c>
      <c r="C46" s="98" t="s">
        <v>100</v>
      </c>
      <c r="D46" s="98" t="s">
        <v>99</v>
      </c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</row>
    <row r="47" spans="1:28" s="188" customFormat="1" hidden="1" x14ac:dyDescent="0.2"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</row>
    <row r="48" spans="1:28" s="188" customFormat="1" hidden="1" x14ac:dyDescent="0.2">
      <c r="A48" s="121"/>
      <c r="G48" s="97"/>
      <c r="H48" s="639"/>
      <c r="I48" s="97"/>
      <c r="J48" s="584"/>
      <c r="K48" s="663"/>
      <c r="L48" s="584"/>
      <c r="M48" s="584"/>
      <c r="N48" s="569"/>
      <c r="O48" s="310"/>
      <c r="P48" s="57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</row>
    <row r="49" spans="1:28" s="188" customFormat="1" hidden="1" x14ac:dyDescent="0.2">
      <c r="A49" s="121"/>
      <c r="G49" s="97"/>
      <c r="H49" s="639"/>
      <c r="I49" s="97"/>
      <c r="J49" s="584"/>
      <c r="K49" s="579"/>
      <c r="L49" s="584"/>
      <c r="M49" s="584"/>
      <c r="N49" s="569"/>
      <c r="O49" s="310"/>
      <c r="P49" s="57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</row>
    <row r="50" spans="1:28" s="188" customFormat="1" hidden="1" x14ac:dyDescent="0.2">
      <c r="A50" s="121"/>
      <c r="G50" s="97"/>
      <c r="H50" s="639"/>
      <c r="I50" s="97"/>
      <c r="J50" s="584"/>
      <c r="K50" s="579"/>
      <c r="L50" s="584"/>
      <c r="M50" s="584"/>
      <c r="N50" s="569"/>
      <c r="O50" s="310"/>
      <c r="P50" s="57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</row>
    <row r="51" spans="1:28" s="188" customFormat="1" hidden="1" x14ac:dyDescent="0.2">
      <c r="A51" s="121"/>
      <c r="G51" s="97"/>
      <c r="H51" s="639"/>
      <c r="I51" s="97"/>
      <c r="J51" s="584"/>
      <c r="K51" s="579"/>
      <c r="L51" s="584"/>
      <c r="M51" s="584"/>
      <c r="N51" s="569"/>
      <c r="O51" s="310"/>
      <c r="P51" s="57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</row>
    <row r="52" spans="1:28" s="188" customFormat="1" hidden="1" x14ac:dyDescent="0.2">
      <c r="A52" s="121"/>
      <c r="G52" s="97"/>
      <c r="H52" s="639"/>
      <c r="I52" s="97"/>
      <c r="J52" s="584"/>
      <c r="K52" s="579"/>
      <c r="L52" s="584"/>
      <c r="M52" s="584"/>
      <c r="N52" s="569"/>
      <c r="O52" s="310"/>
      <c r="P52" s="57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</row>
    <row r="53" spans="1:28" s="188" customFormat="1" hidden="1" x14ac:dyDescent="0.2">
      <c r="A53" s="121"/>
      <c r="G53" s="97"/>
      <c r="H53" s="639"/>
      <c r="I53" s="97"/>
      <c r="J53" s="584"/>
      <c r="K53" s="579"/>
      <c r="L53" s="584"/>
      <c r="M53" s="584"/>
      <c r="N53" s="569"/>
      <c r="O53" s="310"/>
      <c r="P53" s="57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</row>
    <row r="54" spans="1:28" s="188" customFormat="1" hidden="1" x14ac:dyDescent="0.2">
      <c r="A54" s="314"/>
      <c r="G54" s="314"/>
      <c r="K54" s="579"/>
      <c r="N54" s="88"/>
      <c r="O54" s="88"/>
      <c r="P54" s="57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</row>
    <row r="55" spans="1:28" s="188" customFormat="1" hidden="1" x14ac:dyDescent="0.2">
      <c r="A55" s="314"/>
      <c r="G55" s="314"/>
      <c r="K55" s="579"/>
      <c r="N55" s="88"/>
      <c r="O55" s="88"/>
      <c r="P55" s="57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</row>
    <row r="56" spans="1:28" s="188" customFormat="1" hidden="1" x14ac:dyDescent="0.2">
      <c r="A56" s="88"/>
      <c r="G56" s="88"/>
      <c r="H56" s="88"/>
      <c r="I56" s="88"/>
      <c r="J56" s="88"/>
      <c r="K56" s="88"/>
      <c r="L56" s="88"/>
      <c r="M56" s="88"/>
      <c r="N56" s="88"/>
      <c r="O56" s="88"/>
      <c r="P56" s="57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</row>
    <row r="57" spans="1:28" s="188" customFormat="1" hidden="1" x14ac:dyDescent="0.2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</row>
    <row r="58" spans="1:28" s="88" customFormat="1" hidden="1" x14ac:dyDescent="0.2"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</row>
    <row r="59" spans="1:28" s="88" customFormat="1" hidden="1" x14ac:dyDescent="0.2"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</row>
    <row r="60" spans="1:28" s="88" customFormat="1" hidden="1" x14ac:dyDescent="0.2"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</row>
    <row r="61" spans="1:28" s="88" customFormat="1" hidden="1" x14ac:dyDescent="0.2"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</row>
    <row r="62" spans="1:28" s="88" customFormat="1" hidden="1" x14ac:dyDescent="0.2"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</row>
    <row r="63" spans="1:28" s="88" customFormat="1" hidden="1" x14ac:dyDescent="0.2"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</row>
    <row r="64" spans="1:28" s="88" customFormat="1" hidden="1" x14ac:dyDescent="0.2"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</row>
    <row r="65" spans="17:28" s="88" customFormat="1" hidden="1" x14ac:dyDescent="0.2"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</row>
    <row r="66" spans="17:28" s="88" customFormat="1" hidden="1" x14ac:dyDescent="0.2"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</row>
    <row r="67" spans="17:28" s="88" customFormat="1" hidden="1" x14ac:dyDescent="0.2"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</row>
    <row r="68" spans="17:28" s="88" customFormat="1" hidden="1" x14ac:dyDescent="0.2"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</row>
    <row r="69" spans="17:28" s="88" customFormat="1" hidden="1" x14ac:dyDescent="0.2"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</row>
    <row r="70" spans="17:28" s="88" customFormat="1" hidden="1" x14ac:dyDescent="0.2"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</row>
    <row r="71" spans="17:28" s="88" customFormat="1" hidden="1" x14ac:dyDescent="0.2"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</row>
    <row r="72" spans="17:28" s="88" customFormat="1" hidden="1" x14ac:dyDescent="0.2"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</row>
    <row r="73" spans="17:28" s="88" customFormat="1" hidden="1" x14ac:dyDescent="0.2"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</row>
    <row r="74" spans="17:28" s="88" customFormat="1" hidden="1" x14ac:dyDescent="0.2"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</row>
    <row r="75" spans="17:28" s="88" customFormat="1" hidden="1" x14ac:dyDescent="0.2"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</row>
    <row r="76" spans="17:28" s="88" customFormat="1" hidden="1" x14ac:dyDescent="0.2"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</row>
    <row r="77" spans="17:28" s="88" customFormat="1" hidden="1" x14ac:dyDescent="0.2"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</row>
    <row r="78" spans="17:28" s="88" customFormat="1" hidden="1" x14ac:dyDescent="0.2"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</row>
    <row r="79" spans="17:28" s="88" customFormat="1" hidden="1" x14ac:dyDescent="0.2"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</row>
    <row r="80" spans="17:28" s="88" customFormat="1" hidden="1" x14ac:dyDescent="0.2"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39"/>
      <c r="AB80" s="139"/>
    </row>
    <row r="81" spans="1:28" s="88" customFormat="1" hidden="1" x14ac:dyDescent="0.2"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</row>
    <row r="82" spans="1:28" s="88" customFormat="1" hidden="1" x14ac:dyDescent="0.2"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</row>
    <row r="83" spans="1:28" s="88" customFormat="1" hidden="1" x14ac:dyDescent="0.2">
      <c r="Q83" s="139"/>
      <c r="R83" s="139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</row>
    <row r="84" spans="1:28" s="88" customFormat="1" hidden="1" x14ac:dyDescent="0.2">
      <c r="Q84" s="139"/>
      <c r="R84" s="139"/>
      <c r="S84" s="139"/>
      <c r="T84" s="139"/>
      <c r="U84" s="139"/>
      <c r="V84" s="139"/>
      <c r="W84" s="139"/>
      <c r="X84" s="139"/>
      <c r="Y84" s="139"/>
      <c r="Z84" s="139"/>
      <c r="AA84" s="139"/>
      <c r="AB84" s="139"/>
    </row>
    <row r="85" spans="1:28" s="88" customFormat="1" hidden="1" x14ac:dyDescent="0.2"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</row>
    <row r="86" spans="1:28" s="88" customFormat="1" hidden="1" x14ac:dyDescent="0.2">
      <c r="Q86" s="139"/>
      <c r="R86" s="139"/>
      <c r="S86" s="139"/>
      <c r="T86" s="139"/>
      <c r="U86" s="139"/>
      <c r="V86" s="139"/>
      <c r="W86" s="139"/>
      <c r="X86" s="139"/>
      <c r="Y86" s="139"/>
      <c r="Z86" s="139"/>
      <c r="AA86" s="139"/>
      <c r="AB86" s="139"/>
    </row>
    <row r="87" spans="1:28" s="88" customFormat="1" hidden="1" x14ac:dyDescent="0.2"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</row>
    <row r="88" spans="1:28" s="88" customFormat="1" hidden="1" x14ac:dyDescent="0.2"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39"/>
      <c r="AB88" s="139"/>
    </row>
    <row r="89" spans="1:28" s="88" customFormat="1" hidden="1" x14ac:dyDescent="0.2"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</row>
    <row r="90" spans="1:28" s="88" customFormat="1" hidden="1" x14ac:dyDescent="0.2"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</row>
    <row r="91" spans="1:28" s="88" customFormat="1" hidden="1" x14ac:dyDescent="0.2"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</row>
    <row r="92" spans="1:28" s="88" customFormat="1" hidden="1" x14ac:dyDescent="0.2">
      <c r="Q92" s="139"/>
      <c r="R92" s="139"/>
      <c r="S92" s="139"/>
      <c r="T92" s="139"/>
      <c r="U92" s="139"/>
      <c r="V92" s="139"/>
      <c r="W92" s="139"/>
      <c r="X92" s="139"/>
      <c r="Y92" s="139"/>
      <c r="Z92" s="139"/>
      <c r="AA92" s="139"/>
      <c r="AB92" s="139"/>
    </row>
    <row r="93" spans="1:28" s="88" customFormat="1" hidden="1" x14ac:dyDescent="0.2"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</row>
    <row r="94" spans="1:28" s="88" customFormat="1" hidden="1" x14ac:dyDescent="0.2"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</row>
    <row r="95" spans="1:28" s="349" customFormat="1" hidden="1" x14ac:dyDescent="0.2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</row>
    <row r="96" spans="1:28" hidden="1" x14ac:dyDescent="0.2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</row>
    <row r="97" spans="1:15" hidden="1" x14ac:dyDescent="0.2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</row>
    <row r="98" spans="1:15" hidden="1" x14ac:dyDescent="0.2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</row>
    <row r="99" spans="1:15" x14ac:dyDescent="0.2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</row>
    <row r="100" spans="1:15" x14ac:dyDescent="0.2">
      <c r="A100" s="214" t="s">
        <v>411</v>
      </c>
      <c r="B100" s="99"/>
      <c r="C100" s="96"/>
      <c r="D100" s="96"/>
      <c r="E100" s="96"/>
      <c r="F100" s="97"/>
      <c r="G100" s="98"/>
      <c r="H100" s="88"/>
      <c r="I100" s="88"/>
      <c r="J100" s="88"/>
      <c r="K100" s="88"/>
      <c r="L100" s="88"/>
      <c r="M100" s="88"/>
      <c r="N100" s="88"/>
      <c r="O100" s="88"/>
    </row>
    <row r="101" spans="1:15" x14ac:dyDescent="0.2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</row>
    <row r="102" spans="1:15" x14ac:dyDescent="0.2">
      <c r="A102" s="106" t="s">
        <v>84</v>
      </c>
      <c r="B102" s="404" t="str">
        <f>IFERROR(INDEX(B$1:B$100,MATCH(A102,I$1:I$100,0)),"")</f>
        <v>Ljudmila Varendi, Viktor Švarõgin</v>
      </c>
      <c r="C102" s="120">
        <v>6</v>
      </c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</row>
    <row r="103" spans="1:15" x14ac:dyDescent="0.2">
      <c r="A103" s="107"/>
      <c r="B103" s="405"/>
      <c r="C103" s="524" t="str">
        <f>IF(COUNT(C102,C104)=2,IF(C102&gt;C104,B102,B104),"")</f>
        <v>Kenneth Muusikus, Peep Peenema</v>
      </c>
      <c r="D103" s="88"/>
      <c r="E103" s="120">
        <v>12</v>
      </c>
      <c r="F103" s="88"/>
      <c r="G103" s="88"/>
      <c r="H103" s="88"/>
      <c r="I103" s="88"/>
      <c r="J103" s="88"/>
      <c r="K103" s="88"/>
      <c r="L103" s="88"/>
      <c r="M103" s="88"/>
      <c r="N103" s="88"/>
      <c r="O103" s="88"/>
    </row>
    <row r="104" spans="1:15" x14ac:dyDescent="0.2">
      <c r="A104" s="107" t="s">
        <v>406</v>
      </c>
      <c r="B104" s="525" t="str">
        <f>IFERROR(INDEX(B$1:B$100,MATCH(A104,I$1:I$100,0)),"")</f>
        <v>Kenneth Muusikus, Peep Peenema</v>
      </c>
      <c r="C104" s="110">
        <v>13</v>
      </c>
      <c r="D104" s="111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</row>
    <row r="105" spans="1:15" x14ac:dyDescent="0.2">
      <c r="A105" s="107"/>
      <c r="B105" s="407"/>
      <c r="C105" s="88"/>
      <c r="D105" s="112"/>
      <c r="E105" s="524" t="str">
        <f>IF(COUNT(E103,E107)=2,IF(E103&gt;E107,C103,C107),"")</f>
        <v>Johannes Neiland, Kati Tuzberg, Ülo Piik</v>
      </c>
      <c r="F105" s="88"/>
      <c r="G105" s="120">
        <v>12</v>
      </c>
      <c r="H105" s="88"/>
      <c r="I105" s="88"/>
      <c r="J105" s="88"/>
      <c r="K105" s="88"/>
      <c r="L105" s="88"/>
      <c r="M105" s="88"/>
      <c r="N105" s="88"/>
      <c r="O105" s="88"/>
    </row>
    <row r="106" spans="1:15" x14ac:dyDescent="0.2">
      <c r="A106" s="107" t="s">
        <v>86</v>
      </c>
      <c r="B106" s="404" t="str">
        <f>IFERROR(INDEX(B$1:B$100,MATCH(A106,I$1:I$100,0)),"")</f>
        <v>Johannes Neiland, Kati Tuzberg, Ülo Piik</v>
      </c>
      <c r="C106" s="120">
        <v>13</v>
      </c>
      <c r="D106" s="112"/>
      <c r="E106" s="216"/>
      <c r="F106" s="111"/>
      <c r="G106" s="88"/>
      <c r="H106" s="88"/>
      <c r="I106" s="88"/>
      <c r="J106" s="88"/>
      <c r="K106" s="88"/>
      <c r="L106" s="88"/>
      <c r="M106" s="88"/>
      <c r="N106" s="88"/>
      <c r="O106" s="88"/>
    </row>
    <row r="107" spans="1:15" x14ac:dyDescent="0.2">
      <c r="A107" s="107"/>
      <c r="B107" s="672"/>
      <c r="C107" s="524" t="str">
        <f>IF(COUNT(C106,C108)=2,IF(C106&gt;C108,B106,B108),"")</f>
        <v>Johannes Neiland, Kati Tuzberg, Ülo Piik</v>
      </c>
      <c r="D107" s="234"/>
      <c r="E107" s="110">
        <v>13</v>
      </c>
      <c r="F107" s="112"/>
      <c r="G107" s="88"/>
      <c r="H107" s="88"/>
      <c r="I107" s="88"/>
      <c r="J107" s="88"/>
      <c r="K107" s="88"/>
      <c r="L107" s="88"/>
      <c r="M107" s="88"/>
      <c r="N107" s="88"/>
      <c r="O107" s="88"/>
    </row>
    <row r="108" spans="1:15" x14ac:dyDescent="0.2">
      <c r="A108" s="107" t="s">
        <v>75</v>
      </c>
      <c r="B108" s="525" t="str">
        <f>IFERROR(INDEX(B$1:B$100,MATCH(A108,I$1:I$100,0)),"")</f>
        <v>Boriss Klubov, Mait Metsla</v>
      </c>
      <c r="C108" s="110">
        <v>8</v>
      </c>
      <c r="D108" s="88"/>
      <c r="E108" s="99"/>
      <c r="F108" s="112"/>
      <c r="G108" s="88"/>
      <c r="H108" s="88"/>
      <c r="I108" s="88"/>
      <c r="J108" s="88"/>
      <c r="K108" s="88"/>
      <c r="L108" s="88"/>
      <c r="M108" s="88"/>
      <c r="N108" s="88"/>
      <c r="O108" s="88"/>
    </row>
    <row r="109" spans="1:15" ht="13.5" thickBot="1" x14ac:dyDescent="0.25">
      <c r="A109" s="87"/>
      <c r="B109" s="407"/>
      <c r="C109" s="88"/>
      <c r="D109" s="88"/>
      <c r="E109" s="99"/>
      <c r="F109" s="112"/>
      <c r="G109" s="88"/>
      <c r="H109" s="184" t="str">
        <f>IF(COUNT(G105,G113)=2,IF(G105&gt;G113,E105,E113),"")</f>
        <v>Andres Veski, Svetlana Veski</v>
      </c>
      <c r="I109" s="88"/>
      <c r="J109" s="88"/>
      <c r="K109" s="88"/>
      <c r="L109" s="88"/>
      <c r="M109" s="88"/>
      <c r="N109" s="88"/>
      <c r="O109" s="88"/>
    </row>
    <row r="110" spans="1:15" x14ac:dyDescent="0.2">
      <c r="A110" s="106" t="s">
        <v>85</v>
      </c>
      <c r="B110" s="404" t="str">
        <f>IFERROR(INDEX(B$1:B$100,MATCH(A110,I$1:I$100,0)),"")</f>
        <v>Janek Tarto, Urmas Jõeäär</v>
      </c>
      <c r="C110" s="120">
        <v>5</v>
      </c>
      <c r="D110" s="88"/>
      <c r="E110" s="88"/>
      <c r="F110" s="112"/>
      <c r="G110" s="114"/>
      <c r="H110" s="379" t="s">
        <v>275</v>
      </c>
      <c r="I110" s="378"/>
      <c r="J110" s="88"/>
      <c r="K110" s="88"/>
      <c r="L110" s="88"/>
      <c r="M110" s="88"/>
      <c r="N110" s="88"/>
      <c r="O110" s="88"/>
    </row>
    <row r="111" spans="1:15" x14ac:dyDescent="0.2">
      <c r="A111" s="107"/>
      <c r="B111" s="672"/>
      <c r="C111" s="524" t="str">
        <f>IF(COUNT(C110,C112)=2,IF(C110&gt;C112,B110,B112),"")</f>
        <v>Karla Purgats, Lemmit Toomra</v>
      </c>
      <c r="D111" s="88"/>
      <c r="E111" s="120">
        <v>12</v>
      </c>
      <c r="F111" s="112"/>
      <c r="G111" s="99"/>
      <c r="H111" s="88"/>
      <c r="I111" s="88"/>
      <c r="J111" s="88"/>
      <c r="K111" s="88"/>
      <c r="L111" s="88"/>
      <c r="M111" s="88"/>
      <c r="N111" s="88"/>
      <c r="O111" s="88"/>
    </row>
    <row r="112" spans="1:15" x14ac:dyDescent="0.2">
      <c r="A112" s="107" t="s">
        <v>71</v>
      </c>
      <c r="B112" s="525" t="str">
        <f>IFERROR(INDEX(B$1:B$100,MATCH(A112,I$1:I$100,0)),"")</f>
        <v>Karla Purgats, Lemmit Toomra</v>
      </c>
      <c r="C112" s="110">
        <v>13</v>
      </c>
      <c r="D112" s="111"/>
      <c r="E112" s="88"/>
      <c r="F112" s="112"/>
      <c r="G112" s="99"/>
      <c r="H112" s="88"/>
      <c r="I112" s="88"/>
      <c r="J112" s="88"/>
      <c r="K112" s="88"/>
      <c r="L112" s="88"/>
      <c r="M112" s="88"/>
      <c r="N112" s="88"/>
      <c r="O112" s="88"/>
    </row>
    <row r="113" spans="1:15" x14ac:dyDescent="0.2">
      <c r="A113" s="107"/>
      <c r="B113" s="407"/>
      <c r="C113" s="88"/>
      <c r="D113" s="112"/>
      <c r="E113" s="524" t="str">
        <f>IF(COUNT(E111,E115)=2,IF(E111&gt;E115,C111,C115),"")</f>
        <v>Andres Veski, Svetlana Veski</v>
      </c>
      <c r="F113" s="234"/>
      <c r="G113" s="110">
        <v>13</v>
      </c>
      <c r="H113" s="88"/>
      <c r="I113" s="88"/>
      <c r="J113" s="88"/>
      <c r="K113" s="88"/>
      <c r="L113" s="88"/>
      <c r="M113" s="88"/>
      <c r="N113" s="88"/>
      <c r="O113" s="88"/>
    </row>
    <row r="114" spans="1:15" ht="13.5" thickBot="1" x14ac:dyDescent="0.25">
      <c r="A114" s="107" t="s">
        <v>76</v>
      </c>
      <c r="B114" s="404" t="str">
        <f>IFERROR(INDEX(B$1:B$100,MATCH(A114,I$1:I$100,0)),"")</f>
        <v>Andres Veski, Svetlana Veski</v>
      </c>
      <c r="C114" s="120">
        <v>13</v>
      </c>
      <c r="D114" s="112"/>
      <c r="E114" s="216"/>
      <c r="F114" s="99"/>
      <c r="G114" s="99"/>
      <c r="H114" s="184" t="str">
        <f>IF(COUNT(G105,G113)=2,IF(G105&lt;G113,E105,E113),"")</f>
        <v>Johannes Neiland, Kati Tuzberg, Ülo Piik</v>
      </c>
      <c r="I114" s="119"/>
      <c r="J114" s="88"/>
      <c r="K114" s="88"/>
      <c r="L114" s="88"/>
      <c r="M114" s="88"/>
      <c r="N114" s="88"/>
      <c r="O114" s="88"/>
    </row>
    <row r="115" spans="1:15" x14ac:dyDescent="0.2">
      <c r="A115" s="107"/>
      <c r="B115" s="672"/>
      <c r="C115" s="524" t="str">
        <f>IF(COUNT(C114,C116)=2,IF(C114&gt;C116,B114,B116),"")</f>
        <v>Andres Veski, Svetlana Veski</v>
      </c>
      <c r="D115" s="234"/>
      <c r="E115" s="110">
        <v>13</v>
      </c>
      <c r="F115" s="88"/>
      <c r="G115" s="99"/>
      <c r="H115" s="379" t="s">
        <v>276</v>
      </c>
      <c r="I115" s="99"/>
      <c r="J115" s="88"/>
      <c r="K115" s="88"/>
      <c r="L115" s="88"/>
      <c r="M115" s="88"/>
      <c r="N115" s="88"/>
      <c r="O115" s="88"/>
    </row>
    <row r="116" spans="1:15" x14ac:dyDescent="0.2">
      <c r="A116" s="107" t="s">
        <v>407</v>
      </c>
      <c r="B116" s="525" t="str">
        <f>IFERROR(INDEX(B$1:B$100,MATCH(A116,I$1:I$100,0)),"")</f>
        <v>Jaan Sepp, Oskar Sepp</v>
      </c>
      <c r="C116" s="110">
        <v>10</v>
      </c>
      <c r="D116" s="88"/>
      <c r="E116" s="99"/>
      <c r="F116" s="99"/>
      <c r="G116" s="99"/>
      <c r="H116" s="88"/>
      <c r="I116" s="88"/>
      <c r="J116" s="88"/>
      <c r="K116" s="88"/>
      <c r="L116" s="88"/>
      <c r="M116" s="88"/>
      <c r="N116" s="88"/>
      <c r="O116" s="88"/>
    </row>
    <row r="117" spans="1:15" x14ac:dyDescent="0.2">
      <c r="A117" s="87"/>
      <c r="B117" s="407"/>
      <c r="C117" s="88"/>
      <c r="D117" s="88"/>
      <c r="E117" s="217" t="str">
        <f>IF(COUNT(E103,E107)=2,IF(E103&lt;E107,C103,C107),"")</f>
        <v>Kenneth Muusikus, Peep Peenema</v>
      </c>
      <c r="F117" s="88"/>
      <c r="G117" s="120">
        <v>13</v>
      </c>
      <c r="H117" s="88"/>
      <c r="I117" s="88"/>
      <c r="J117" s="88"/>
      <c r="K117" s="88"/>
      <c r="L117" s="88"/>
      <c r="M117" s="88"/>
      <c r="N117" s="88"/>
      <c r="O117" s="88"/>
    </row>
    <row r="118" spans="1:15" ht="13.5" thickBot="1" x14ac:dyDescent="0.25">
      <c r="A118" s="88"/>
      <c r="B118" s="88"/>
      <c r="C118" s="88"/>
      <c r="D118" s="88"/>
      <c r="E118" s="108"/>
      <c r="F118" s="111"/>
      <c r="G118" s="119"/>
      <c r="H118" s="184" t="str">
        <f>IF(COUNT(G117,G119)=2,IF(G117&gt;G119,E117,E119),"")</f>
        <v>Kenneth Muusikus, Peep Peenema</v>
      </c>
      <c r="I118" s="119"/>
      <c r="J118" s="88"/>
      <c r="K118" s="88"/>
      <c r="L118" s="88"/>
      <c r="M118" s="88"/>
      <c r="N118" s="88"/>
      <c r="O118" s="88"/>
    </row>
    <row r="119" spans="1:15" x14ac:dyDescent="0.2">
      <c r="A119" s="88"/>
      <c r="B119" s="88"/>
      <c r="C119" s="88"/>
      <c r="D119" s="88"/>
      <c r="E119" s="528" t="str">
        <f>IF(COUNT(E111,E115)=2,IF(E111&lt;E115,C111,C115),"")</f>
        <v>Karla Purgats, Lemmit Toomra</v>
      </c>
      <c r="F119" s="234"/>
      <c r="G119" s="110">
        <v>1</v>
      </c>
      <c r="H119" s="121" t="s">
        <v>277</v>
      </c>
      <c r="I119" s="99"/>
      <c r="J119" s="88"/>
      <c r="K119" s="88"/>
      <c r="L119" s="88"/>
      <c r="M119" s="88"/>
      <c r="N119" s="88"/>
      <c r="O119" s="88"/>
    </row>
    <row r="120" spans="1:15" x14ac:dyDescent="0.2">
      <c r="A120" s="88"/>
      <c r="B120" s="88"/>
      <c r="C120" s="88"/>
      <c r="D120" s="88"/>
      <c r="E120" s="88"/>
      <c r="F120" s="88"/>
      <c r="G120" s="88"/>
      <c r="H120" s="99"/>
      <c r="I120" s="99"/>
      <c r="J120" s="88"/>
      <c r="K120" s="88"/>
      <c r="L120" s="88"/>
      <c r="M120" s="88"/>
      <c r="N120" s="88"/>
      <c r="O120" s="88"/>
    </row>
    <row r="121" spans="1:15" ht="13.5" thickBot="1" x14ac:dyDescent="0.25">
      <c r="A121" s="88"/>
      <c r="B121" s="88"/>
      <c r="C121" s="88"/>
      <c r="D121" s="88"/>
      <c r="E121" s="99"/>
      <c r="F121" s="99"/>
      <c r="G121" s="88"/>
      <c r="H121" s="184" t="str">
        <f>IF(COUNT(G117,G119)=2,IF(G117&lt;G119,E117,E119),"")</f>
        <v>Karla Purgats, Lemmit Toomra</v>
      </c>
      <c r="I121" s="119"/>
      <c r="J121" s="88"/>
      <c r="K121" s="88"/>
      <c r="L121" s="88"/>
      <c r="M121" s="88"/>
      <c r="N121" s="88"/>
      <c r="O121" s="88"/>
    </row>
    <row r="122" spans="1:15" x14ac:dyDescent="0.2">
      <c r="A122" s="88"/>
      <c r="B122" s="88"/>
      <c r="C122" s="88"/>
      <c r="D122" s="88"/>
      <c r="E122" s="88"/>
      <c r="F122" s="88"/>
      <c r="G122" s="88"/>
      <c r="H122" s="87" t="s">
        <v>50</v>
      </c>
      <c r="I122" s="88"/>
      <c r="J122" s="88"/>
      <c r="K122" s="88"/>
      <c r="L122" s="88"/>
      <c r="M122" s="88"/>
      <c r="N122" s="88"/>
      <c r="O122" s="88"/>
    </row>
    <row r="123" spans="1:15" x14ac:dyDescent="0.2">
      <c r="A123" s="88"/>
      <c r="B123" s="88"/>
      <c r="C123" s="528" t="str">
        <f>IF(COUNT(C102,C104)=2,IF(C102&lt;C104,B102,B104),"")</f>
        <v>Ljudmila Varendi, Viktor Švarõgin</v>
      </c>
      <c r="D123" s="88"/>
      <c r="E123" s="120">
        <v>1</v>
      </c>
      <c r="F123" s="120"/>
      <c r="G123" s="120"/>
      <c r="H123" s="88"/>
      <c r="I123" s="88"/>
      <c r="J123" s="88"/>
      <c r="K123" s="88"/>
      <c r="L123" s="88"/>
      <c r="M123" s="88"/>
      <c r="N123" s="88"/>
      <c r="O123" s="88"/>
    </row>
    <row r="124" spans="1:15" x14ac:dyDescent="0.2">
      <c r="A124" s="88"/>
      <c r="B124" s="88"/>
      <c r="C124" s="219"/>
      <c r="D124" s="220"/>
      <c r="E124" s="524" t="str">
        <f>IF(COUNT(E123,E125)=2,IF(E123&gt;E125,C123,C125),"")</f>
        <v>Boriss Klubov, Mait Metsla</v>
      </c>
      <c r="F124" s="88"/>
      <c r="G124" s="120">
        <v>13</v>
      </c>
      <c r="H124" s="88"/>
      <c r="I124" s="88"/>
      <c r="J124" s="88"/>
      <c r="K124" s="88"/>
      <c r="L124" s="88"/>
      <c r="M124" s="88"/>
      <c r="N124" s="88"/>
      <c r="O124" s="88"/>
    </row>
    <row r="125" spans="1:15" x14ac:dyDescent="0.2">
      <c r="A125" s="88"/>
      <c r="B125" s="88"/>
      <c r="C125" s="528" t="str">
        <f>IF(COUNT(C106,C108)=2,IF(C106&lt;C108,B106,B108),"")</f>
        <v>Boriss Klubov, Mait Metsla</v>
      </c>
      <c r="D125" s="529"/>
      <c r="E125" s="110">
        <v>13</v>
      </c>
      <c r="F125" s="220"/>
      <c r="G125" s="120"/>
      <c r="H125" s="88"/>
      <c r="I125" s="88"/>
      <c r="J125" s="88"/>
      <c r="K125" s="88"/>
      <c r="L125" s="88"/>
      <c r="M125" s="88"/>
      <c r="N125" s="88"/>
      <c r="O125" s="88"/>
    </row>
    <row r="126" spans="1:15" ht="13.5" thickBot="1" x14ac:dyDescent="0.25">
      <c r="A126" s="88"/>
      <c r="B126" s="88"/>
      <c r="C126" s="120"/>
      <c r="D126" s="120"/>
      <c r="E126" s="113"/>
      <c r="F126" s="221"/>
      <c r="G126" s="120"/>
      <c r="H126" s="184" t="str">
        <f>IF(COUNT(G124,G128)=2,IF(G124&gt;G128,E124,E128),"")</f>
        <v>Boriss Klubov, Mait Metsla</v>
      </c>
      <c r="I126" s="88"/>
      <c r="J126" s="88"/>
      <c r="K126" s="88"/>
      <c r="L126" s="88"/>
      <c r="M126" s="88"/>
      <c r="N126" s="88"/>
      <c r="O126" s="88"/>
    </row>
    <row r="127" spans="1:15" x14ac:dyDescent="0.2">
      <c r="A127" s="88"/>
      <c r="B127" s="88"/>
      <c r="C127" s="528" t="str">
        <f>IF(COUNT(C110,C112)=2,IF(C110&lt;C112,B110,B112),"")</f>
        <v>Janek Tarto, Urmas Jõeäär</v>
      </c>
      <c r="D127" s="120"/>
      <c r="E127" s="120">
        <v>7</v>
      </c>
      <c r="F127" s="221"/>
      <c r="G127" s="222"/>
      <c r="H127" s="379" t="s">
        <v>51</v>
      </c>
      <c r="I127" s="378"/>
      <c r="J127" s="88"/>
      <c r="K127" s="88"/>
      <c r="L127" s="88"/>
      <c r="M127" s="88"/>
      <c r="N127" s="88"/>
      <c r="O127" s="88"/>
    </row>
    <row r="128" spans="1:15" x14ac:dyDescent="0.2">
      <c r="A128" s="88"/>
      <c r="B128" s="88"/>
      <c r="C128" s="219"/>
      <c r="D128" s="220"/>
      <c r="E128" s="524" t="str">
        <f>IF(COUNT(E127,E129)=2,IF(E127&gt;E129,C127,C129),"")</f>
        <v>Jaan Sepp, Oskar Sepp</v>
      </c>
      <c r="F128" s="234"/>
      <c r="G128" s="110">
        <v>1</v>
      </c>
      <c r="H128" s="88"/>
      <c r="I128" s="88"/>
      <c r="J128" s="88"/>
      <c r="K128" s="88"/>
      <c r="L128" s="88"/>
      <c r="M128" s="88"/>
      <c r="N128" s="88"/>
      <c r="O128" s="88"/>
    </row>
    <row r="129" spans="1:15" ht="13.5" thickBot="1" x14ac:dyDescent="0.25">
      <c r="A129" s="88"/>
      <c r="B129" s="88"/>
      <c r="C129" s="528" t="str">
        <f>IF(COUNT(C114,C116)=2,IF(C114&lt;C116,B114,B116),"")</f>
        <v>Jaan Sepp, Oskar Sepp</v>
      </c>
      <c r="D129" s="529"/>
      <c r="E129" s="110">
        <v>13</v>
      </c>
      <c r="F129" s="120"/>
      <c r="G129" s="113"/>
      <c r="H129" s="184" t="str">
        <f>IF(COUNT(G124,G128)=2,IF(G124&lt;G128,E124,E128),"")</f>
        <v>Jaan Sepp, Oskar Sepp</v>
      </c>
      <c r="I129" s="119"/>
      <c r="J129" s="88"/>
      <c r="K129" s="88"/>
      <c r="L129" s="88"/>
      <c r="M129" s="88"/>
      <c r="N129" s="88"/>
      <c r="O129" s="88"/>
    </row>
    <row r="130" spans="1:15" x14ac:dyDescent="0.2">
      <c r="A130" s="88"/>
      <c r="B130" s="88"/>
      <c r="C130" s="120"/>
      <c r="D130" s="120"/>
      <c r="E130" s="120"/>
      <c r="F130" s="120"/>
      <c r="G130" s="113"/>
      <c r="H130" s="379" t="s">
        <v>52</v>
      </c>
      <c r="I130" s="99"/>
      <c r="J130" s="88"/>
      <c r="K130" s="88"/>
      <c r="L130" s="88"/>
      <c r="M130" s="88"/>
      <c r="N130" s="88"/>
      <c r="O130" s="88"/>
    </row>
    <row r="131" spans="1:15" x14ac:dyDescent="0.2">
      <c r="A131" s="88"/>
      <c r="B131" s="88"/>
      <c r="C131" s="120"/>
      <c r="D131" s="113"/>
      <c r="E131" s="217" t="str">
        <f>IF(COUNT(E123,E125)=2,IF(E123&lt;E125,C123,C125),"")</f>
        <v>Ljudmila Varendi, Viktor Švarõgin</v>
      </c>
      <c r="F131" s="88"/>
      <c r="G131" s="120">
        <v>13</v>
      </c>
      <c r="H131" s="99"/>
      <c r="I131" s="99"/>
    </row>
    <row r="132" spans="1:15" ht="13.5" thickBot="1" x14ac:dyDescent="0.25">
      <c r="A132" s="88"/>
      <c r="B132" s="88"/>
      <c r="C132" s="120"/>
      <c r="D132" s="113"/>
      <c r="E132" s="674"/>
      <c r="F132" s="111"/>
      <c r="G132" s="119"/>
      <c r="H132" s="184" t="str">
        <f>IF(COUNT(G131,G133)=2,IF(G131&gt;G133,E131,E133),"")</f>
        <v>Ljudmila Varendi, Viktor Švarõgin</v>
      </c>
      <c r="I132" s="119"/>
    </row>
    <row r="133" spans="1:15" x14ac:dyDescent="0.2">
      <c r="A133" s="88"/>
      <c r="B133" s="88"/>
      <c r="C133" s="120"/>
      <c r="D133" s="113"/>
      <c r="E133" s="528" t="str">
        <f>IF(COUNT(E127,E129)=2,IF(E127&lt;E129,C127,C129),"")</f>
        <v>Janek Tarto, Urmas Jõeäär</v>
      </c>
      <c r="F133" s="234"/>
      <c r="G133" s="110">
        <v>1</v>
      </c>
      <c r="H133" s="121" t="s">
        <v>53</v>
      </c>
      <c r="I133" s="99"/>
    </row>
    <row r="134" spans="1:15" x14ac:dyDescent="0.2">
      <c r="A134" s="88"/>
      <c r="B134" s="88"/>
      <c r="C134" s="88"/>
      <c r="D134" s="99"/>
      <c r="E134" s="88"/>
      <c r="F134" s="88"/>
      <c r="G134" s="88"/>
      <c r="H134" s="99"/>
      <c r="I134" s="99"/>
    </row>
    <row r="135" spans="1:15" ht="13.5" thickBot="1" x14ac:dyDescent="0.25">
      <c r="A135" s="88"/>
      <c r="B135" s="88"/>
      <c r="C135" s="88"/>
      <c r="D135" s="88"/>
      <c r="E135" s="99"/>
      <c r="F135" s="99"/>
      <c r="G135" s="88"/>
      <c r="H135" s="119" t="str">
        <f>IF(COUNT(G131,G133)=2,IF(G131&lt;G133,E131,E133),"")</f>
        <v>Janek Tarto, Urmas Jõeäär</v>
      </c>
      <c r="I135" s="119"/>
    </row>
    <row r="136" spans="1:15" x14ac:dyDescent="0.2">
      <c r="A136" s="95"/>
      <c r="B136" s="410"/>
      <c r="C136" s="88"/>
      <c r="D136" s="88"/>
      <c r="E136" s="99"/>
      <c r="F136" s="99"/>
      <c r="G136" s="88"/>
      <c r="H136" s="121" t="s">
        <v>54</v>
      </c>
      <c r="I136" s="88"/>
    </row>
    <row r="138" spans="1:15" x14ac:dyDescent="0.2">
      <c r="A138" s="214" t="s">
        <v>517</v>
      </c>
      <c r="B138" s="99"/>
      <c r="C138" s="96"/>
      <c r="D138" s="96"/>
      <c r="E138" s="96"/>
      <c r="F138" s="97"/>
      <c r="G138" s="98"/>
      <c r="H138" s="88"/>
      <c r="I138" s="88"/>
    </row>
    <row r="140" spans="1:15" x14ac:dyDescent="0.2">
      <c r="A140" s="106" t="s">
        <v>93</v>
      </c>
      <c r="B140" s="404" t="str">
        <f>IFERROR(INDEX(B$1:B$100,MATCH(A140,I$1:I$100,0)),"")</f>
        <v>Margus Vasser, Vello Vasser</v>
      </c>
      <c r="C140" s="120">
        <v>13</v>
      </c>
      <c r="D140" s="88"/>
      <c r="E140" s="88"/>
      <c r="F140" s="88"/>
      <c r="G140" s="88"/>
      <c r="H140" s="88"/>
      <c r="I140" s="88"/>
    </row>
    <row r="141" spans="1:15" x14ac:dyDescent="0.2">
      <c r="A141" s="107"/>
      <c r="B141" s="405"/>
      <c r="C141" s="524" t="str">
        <f>IF(COUNT(C140,C142)=2,IF(C140&gt;C142,B140,B142),"")</f>
        <v>Margus Vasser, Vello Vasser</v>
      </c>
      <c r="D141" s="88"/>
      <c r="E141" s="120">
        <v>9</v>
      </c>
      <c r="F141" s="88"/>
      <c r="G141" s="88"/>
      <c r="H141" s="88"/>
      <c r="I141" s="88"/>
    </row>
    <row r="142" spans="1:15" x14ac:dyDescent="0.2">
      <c r="A142" s="107" t="s">
        <v>409</v>
      </c>
      <c r="B142" s="525" t="str">
        <f>IFERROR(INDEX(B$1:B$100,MATCH(A142,I$1:I$100,0)),"")</f>
        <v>Einar Juhkam, Aleksander Korikov</v>
      </c>
      <c r="C142" s="110">
        <v>12</v>
      </c>
      <c r="D142" s="111"/>
      <c r="E142" s="88"/>
      <c r="F142" s="88"/>
      <c r="G142" s="88"/>
      <c r="H142" s="88"/>
      <c r="I142" s="88"/>
    </row>
    <row r="143" spans="1:15" x14ac:dyDescent="0.2">
      <c r="A143" s="107"/>
      <c r="B143" s="407"/>
      <c r="C143" s="88"/>
      <c r="D143" s="112"/>
      <c r="E143" s="524" t="str">
        <f>IF(COUNT(E141,E145)=2,IF(E141&gt;E145,C141,C145),"")</f>
        <v>Argo Sepp, Tõnu Piik</v>
      </c>
      <c r="F143" s="88"/>
      <c r="G143" s="120">
        <v>13</v>
      </c>
      <c r="H143" s="88"/>
      <c r="I143" s="88"/>
    </row>
    <row r="144" spans="1:15" x14ac:dyDescent="0.2">
      <c r="A144" s="107" t="s">
        <v>94</v>
      </c>
      <c r="B144" s="404" t="str">
        <f>IFERROR(INDEX(B$1:B$100,MATCH(A144,I$1:I$100,0)),"")</f>
        <v>Argo Sepp, Tõnu Piik</v>
      </c>
      <c r="C144" s="120">
        <v>13</v>
      </c>
      <c r="D144" s="112"/>
      <c r="E144" s="216"/>
      <c r="F144" s="111"/>
      <c r="G144" s="88"/>
      <c r="H144" s="88"/>
      <c r="I144" s="88"/>
    </row>
    <row r="145" spans="1:9" x14ac:dyDescent="0.2">
      <c r="A145" s="107"/>
      <c r="B145" s="672"/>
      <c r="C145" s="524" t="str">
        <f>IF(COUNT(C144,C146)=2,IF(C144&gt;C146,B144,B146),"")</f>
        <v>Argo Sepp, Tõnu Piik</v>
      </c>
      <c r="D145" s="234"/>
      <c r="E145" s="110">
        <v>13</v>
      </c>
      <c r="F145" s="112"/>
      <c r="G145" s="88"/>
      <c r="H145" s="88"/>
      <c r="I145" s="88"/>
    </row>
    <row r="146" spans="1:9" x14ac:dyDescent="0.2">
      <c r="A146" s="107" t="s">
        <v>122</v>
      </c>
      <c r="B146" s="525" t="str">
        <f>IFERROR(INDEX(B$1:B$100,MATCH(A146,I$1:I$100,0)),"")</f>
        <v>Enn Tokman, Tarmo Bombe</v>
      </c>
      <c r="C146" s="110">
        <v>9</v>
      </c>
      <c r="D146" s="88"/>
      <c r="E146" s="99"/>
      <c r="F146" s="112"/>
      <c r="G146" s="88"/>
      <c r="H146" s="88"/>
      <c r="I146" s="88"/>
    </row>
    <row r="147" spans="1:9" ht="13.5" thickBot="1" x14ac:dyDescent="0.25">
      <c r="A147" s="87"/>
      <c r="B147" s="407"/>
      <c r="C147" s="88"/>
      <c r="D147" s="88"/>
      <c r="E147" s="99"/>
      <c r="F147" s="112"/>
      <c r="G147" s="88"/>
      <c r="H147" s="526" t="str">
        <f>IF(COUNT(G143,G151)=2,IF(G143&gt;G151,E143,E151),"")</f>
        <v>Argo Sepp, Tõnu Piik</v>
      </c>
      <c r="I147" s="88"/>
    </row>
    <row r="148" spans="1:9" x14ac:dyDescent="0.2">
      <c r="A148" s="106" t="s">
        <v>118</v>
      </c>
      <c r="B148" s="404" t="str">
        <f>IFERROR(INDEX(B$1:B$100,MATCH(A148,I$1:I$100,0)),"")</f>
        <v>Klavdia Piik, Taavi Press</v>
      </c>
      <c r="C148" s="120">
        <v>13</v>
      </c>
      <c r="D148" s="88"/>
      <c r="E148" s="88"/>
      <c r="F148" s="112"/>
      <c r="G148" s="114"/>
      <c r="H148" s="379" t="s">
        <v>55</v>
      </c>
      <c r="I148" s="378"/>
    </row>
    <row r="149" spans="1:9" x14ac:dyDescent="0.2">
      <c r="A149" s="107"/>
      <c r="B149" s="672"/>
      <c r="C149" s="524" t="str">
        <f>IF(COUNT(C148,C150)=2,IF(C148&gt;C150,B148,B150),"")</f>
        <v>Klavdia Piik, Taavi Press</v>
      </c>
      <c r="D149" s="88"/>
      <c r="E149" s="120">
        <v>13</v>
      </c>
      <c r="F149" s="112"/>
      <c r="G149" s="99"/>
      <c r="H149" s="88"/>
      <c r="I149" s="88"/>
    </row>
    <row r="150" spans="1:9" x14ac:dyDescent="0.2">
      <c r="A150" s="107" t="s">
        <v>189</v>
      </c>
      <c r="B150" s="525" t="str">
        <f>IFERROR(INDEX(B$1:B$100,MATCH(A150,I$1:I$100,0)),"")</f>
        <v>Antonina Maksimova, Juhan Enniko</v>
      </c>
      <c r="C150" s="110">
        <v>2</v>
      </c>
      <c r="D150" s="111"/>
      <c r="E150" s="88"/>
      <c r="F150" s="112"/>
      <c r="G150" s="99"/>
      <c r="H150" s="88"/>
      <c r="I150" s="88"/>
    </row>
    <row r="151" spans="1:9" x14ac:dyDescent="0.2">
      <c r="A151" s="107"/>
      <c r="B151" s="407"/>
      <c r="C151" s="88"/>
      <c r="D151" s="112"/>
      <c r="E151" s="524" t="str">
        <f>IF(COUNT(E149,E153)=2,IF(E149&gt;E153,C149,C153),"")</f>
        <v>Klavdia Piik, Taavi Press</v>
      </c>
      <c r="F151" s="234"/>
      <c r="G151" s="110">
        <v>5</v>
      </c>
      <c r="H151" s="88"/>
      <c r="I151" s="88"/>
    </row>
    <row r="152" spans="1:9" ht="13.5" thickBot="1" x14ac:dyDescent="0.25">
      <c r="A152" s="107" t="s">
        <v>95</v>
      </c>
      <c r="B152" s="404" t="s">
        <v>70</v>
      </c>
      <c r="C152" s="120">
        <v>0</v>
      </c>
      <c r="D152" s="112"/>
      <c r="E152" s="216"/>
      <c r="F152" s="99"/>
      <c r="G152" s="99"/>
      <c r="H152" s="526" t="str">
        <f>IF(COUNT(G143,G151)=2,IF(G143&lt;G151,E143,E151),"")</f>
        <v>Klavdia Piik, Taavi Press</v>
      </c>
      <c r="I152" s="527"/>
    </row>
    <row r="153" spans="1:9" x14ac:dyDescent="0.2">
      <c r="A153" s="107"/>
      <c r="B153" s="672"/>
      <c r="C153" s="524" t="str">
        <f>IF(COUNT(C152,C154)=2,IF(C152&gt;C154,B152,B154),"")</f>
        <v>Illar Tõnurist, Jaan Saar</v>
      </c>
      <c r="D153" s="234"/>
      <c r="E153" s="110">
        <v>4</v>
      </c>
      <c r="F153" s="88"/>
      <c r="G153" s="99"/>
      <c r="H153" s="379" t="s">
        <v>56</v>
      </c>
      <c r="I153" s="99"/>
    </row>
    <row r="154" spans="1:9" x14ac:dyDescent="0.2">
      <c r="A154" s="107" t="s">
        <v>408</v>
      </c>
      <c r="B154" s="525" t="str">
        <f>IFERROR(INDEX(B$1:B$100,MATCH(A154,I$1:I$100,0)),"")</f>
        <v>Illar Tõnurist, Jaan Saar</v>
      </c>
      <c r="C154" s="110">
        <v>13</v>
      </c>
      <c r="D154" s="88"/>
      <c r="E154" s="99"/>
      <c r="F154" s="99"/>
      <c r="G154" s="99"/>
      <c r="H154" s="88"/>
      <c r="I154" s="88"/>
    </row>
    <row r="155" spans="1:9" x14ac:dyDescent="0.2">
      <c r="A155" s="87"/>
      <c r="B155" s="407"/>
      <c r="C155" s="88"/>
      <c r="D155" s="88"/>
      <c r="E155" s="217" t="str">
        <f>IF(COUNT(E141,E145)=2,IF(E141&lt;E145,C141,C145),"")</f>
        <v>Margus Vasser, Vello Vasser</v>
      </c>
      <c r="F155" s="88"/>
      <c r="G155" s="120">
        <v>13</v>
      </c>
      <c r="H155" s="88"/>
      <c r="I155" s="88"/>
    </row>
    <row r="156" spans="1:9" ht="13.5" thickBot="1" x14ac:dyDescent="0.25">
      <c r="A156" s="88"/>
      <c r="B156" s="88"/>
      <c r="C156" s="88"/>
      <c r="D156" s="88"/>
      <c r="E156" s="108"/>
      <c r="F156" s="111"/>
      <c r="G156" s="119"/>
      <c r="H156" s="526" t="str">
        <f>IF(COUNT(G155,G157)=2,IF(G155&gt;G157,E155,E157),"")</f>
        <v>Margus Vasser, Vello Vasser</v>
      </c>
      <c r="I156" s="527"/>
    </row>
    <row r="157" spans="1:9" x14ac:dyDescent="0.2">
      <c r="A157" s="88"/>
      <c r="B157" s="88"/>
      <c r="C157" s="88"/>
      <c r="D157" s="88"/>
      <c r="E157" s="528" t="str">
        <f>IF(COUNT(E149,E153)=2,IF(E149&lt;E153,C149,C153),"")</f>
        <v>Illar Tõnurist, Jaan Saar</v>
      </c>
      <c r="F157" s="234"/>
      <c r="G157" s="110">
        <v>10</v>
      </c>
      <c r="H157" s="121" t="s">
        <v>57</v>
      </c>
      <c r="I157" s="99"/>
    </row>
    <row r="158" spans="1:9" x14ac:dyDescent="0.2">
      <c r="A158" s="88"/>
      <c r="B158" s="88"/>
      <c r="C158" s="88"/>
      <c r="D158" s="88"/>
      <c r="E158" s="88"/>
      <c r="F158" s="88"/>
      <c r="G158" s="88"/>
      <c r="H158" s="99"/>
      <c r="I158" s="99"/>
    </row>
    <row r="159" spans="1:9" ht="13.5" thickBot="1" x14ac:dyDescent="0.25">
      <c r="A159" s="88"/>
      <c r="B159" s="88"/>
      <c r="C159" s="88"/>
      <c r="D159" s="88"/>
      <c r="E159" s="99"/>
      <c r="F159" s="99"/>
      <c r="G159" s="88"/>
      <c r="H159" s="526" t="str">
        <f>IF(COUNT(G155,G157)=2,IF(G155&lt;G157,E155,E157),"")</f>
        <v>Illar Tõnurist, Jaan Saar</v>
      </c>
      <c r="I159" s="527"/>
    </row>
    <row r="160" spans="1:9" x14ac:dyDescent="0.2">
      <c r="A160" s="88"/>
      <c r="B160" s="88"/>
      <c r="C160" s="88"/>
      <c r="D160" s="88"/>
      <c r="E160" s="88"/>
      <c r="F160" s="88"/>
      <c r="G160" s="88"/>
      <c r="H160" s="87" t="s">
        <v>58</v>
      </c>
      <c r="I160" s="88"/>
    </row>
    <row r="161" spans="1:9" x14ac:dyDescent="0.2">
      <c r="A161" s="88"/>
      <c r="B161" s="88"/>
      <c r="C161" s="528" t="str">
        <f>IF(COUNT(C140,C142)=2,IF(C140&lt;C142,B140,B142),"")</f>
        <v>Einar Juhkam, Aleksander Korikov</v>
      </c>
      <c r="D161" s="88"/>
      <c r="E161" s="120">
        <v>13</v>
      </c>
      <c r="F161" s="120"/>
      <c r="G161" s="120"/>
      <c r="H161" s="88"/>
      <c r="I161" s="88"/>
    </row>
    <row r="162" spans="1:9" x14ac:dyDescent="0.2">
      <c r="A162" s="88"/>
      <c r="B162" s="88"/>
      <c r="C162" s="219"/>
      <c r="D162" s="220"/>
      <c r="E162" s="524" t="str">
        <f>IF(COUNT(E161,E163)=2,IF(E161&gt;E163,C161,C163),"")</f>
        <v>Einar Juhkam, Aleksander Korikov</v>
      </c>
      <c r="F162" s="88"/>
      <c r="G162" s="120">
        <v>13</v>
      </c>
      <c r="H162" s="88"/>
      <c r="I162" s="88"/>
    </row>
    <row r="163" spans="1:9" x14ac:dyDescent="0.2">
      <c r="A163" s="88"/>
      <c r="B163" s="88"/>
      <c r="C163" s="528" t="str">
        <f>IF(COUNT(C144,C146)=2,IF(C144&lt;C146,B144,B146),"")</f>
        <v>Enn Tokman, Tarmo Bombe</v>
      </c>
      <c r="D163" s="529"/>
      <c r="E163" s="110">
        <v>11</v>
      </c>
      <c r="F163" s="220"/>
      <c r="G163" s="120"/>
      <c r="H163" s="88"/>
      <c r="I163" s="88"/>
    </row>
    <row r="164" spans="1:9" ht="13.5" thickBot="1" x14ac:dyDescent="0.25">
      <c r="A164" s="88"/>
      <c r="B164" s="88"/>
      <c r="C164" s="120"/>
      <c r="D164" s="120"/>
      <c r="E164" s="88"/>
      <c r="F164" s="221"/>
      <c r="G164" s="120"/>
      <c r="H164" s="526" t="str">
        <f>IF(COUNT(G162,G166)=2,IF(G162&gt;G166,E162,E166),"")</f>
        <v>Einar Juhkam, Aleksander Korikov</v>
      </c>
      <c r="I164" s="88"/>
    </row>
    <row r="165" spans="1:9" x14ac:dyDescent="0.2">
      <c r="A165" s="88"/>
      <c r="B165" s="88"/>
      <c r="C165" s="528" t="str">
        <f>IF(COUNT(C148,C150)=2,IF(C148&lt;C150,B148,B150),"")</f>
        <v>Antonina Maksimova, Juhan Enniko</v>
      </c>
      <c r="D165" s="120"/>
      <c r="E165" s="120">
        <f>IF(C165="-",0,IF(C167="-",13,""))</f>
        <v>13</v>
      </c>
      <c r="F165" s="221"/>
      <c r="G165" s="222"/>
      <c r="H165" s="379" t="s">
        <v>59</v>
      </c>
      <c r="I165" s="378"/>
    </row>
    <row r="166" spans="1:9" x14ac:dyDescent="0.2">
      <c r="A166" s="88"/>
      <c r="B166" s="88"/>
      <c r="C166" s="219"/>
      <c r="D166" s="220"/>
      <c r="E166" s="524" t="str">
        <f>IF(COUNT(E165,E167)=2,IF(E165&gt;E167,C165,C167),"")</f>
        <v>Antonina Maksimova, Juhan Enniko</v>
      </c>
      <c r="F166" s="234"/>
      <c r="G166" s="110">
        <v>8</v>
      </c>
      <c r="H166" s="88"/>
      <c r="I166" s="88"/>
    </row>
    <row r="167" spans="1:9" ht="13.5" thickBot="1" x14ac:dyDescent="0.25">
      <c r="A167" s="88"/>
      <c r="B167" s="88"/>
      <c r="C167" s="528" t="str">
        <f>IF(COUNT(C152,C154)=2,IF(C152&lt;C154,B152,B154),"")</f>
        <v>-</v>
      </c>
      <c r="D167" s="529"/>
      <c r="E167" s="110">
        <f>IF(C167="-",0,IF(C165="-",13,""))</f>
        <v>0</v>
      </c>
      <c r="F167" s="120"/>
      <c r="G167" s="113"/>
      <c r="H167" s="526" t="str">
        <f>IF(COUNT(G162,G166)=2,IF(G162&lt;G166,E162,E166),"")</f>
        <v>Antonina Maksimova, Juhan Enniko</v>
      </c>
      <c r="I167" s="527"/>
    </row>
    <row r="168" spans="1:9" x14ac:dyDescent="0.2">
      <c r="A168" s="88"/>
      <c r="B168" s="88"/>
      <c r="C168" s="120"/>
      <c r="D168" s="120"/>
      <c r="E168" s="120"/>
      <c r="F168" s="120"/>
      <c r="G168" s="113"/>
      <c r="H168" s="379" t="s">
        <v>496</v>
      </c>
      <c r="I168" s="99"/>
    </row>
    <row r="169" spans="1:9" x14ac:dyDescent="0.2">
      <c r="A169" s="88"/>
      <c r="B169" s="88"/>
      <c r="C169" s="120"/>
      <c r="D169" s="113"/>
      <c r="E169" s="217" t="str">
        <f>IF(COUNT(E161,E163)=2,IF(E161&lt;E163,C161,C163),"")</f>
        <v>Enn Tokman, Tarmo Bombe</v>
      </c>
      <c r="F169" s="88"/>
      <c r="G169" s="120">
        <f>IF(E169="-",0,IF(E171="-",13,""))</f>
        <v>13</v>
      </c>
      <c r="H169" s="99"/>
      <c r="I169" s="99"/>
    </row>
    <row r="170" spans="1:9" ht="13.5" thickBot="1" x14ac:dyDescent="0.25">
      <c r="A170" s="88"/>
      <c r="B170" s="88"/>
      <c r="C170" s="120"/>
      <c r="D170" s="113"/>
      <c r="E170" s="108"/>
      <c r="F170" s="111"/>
      <c r="G170" s="119"/>
      <c r="H170" s="526" t="str">
        <f>IF(COUNT(G169,G171)=2,IF(G169&gt;G171,E169,E171),"")</f>
        <v>Enn Tokman, Tarmo Bombe</v>
      </c>
      <c r="I170" s="527"/>
    </row>
    <row r="171" spans="1:9" x14ac:dyDescent="0.2">
      <c r="A171" s="88"/>
      <c r="B171" s="88"/>
      <c r="C171" s="120"/>
      <c r="D171" s="113"/>
      <c r="E171" s="528" t="str">
        <f>IF(COUNT(E165,E167)=2,IF(E165&lt;E167,C165,C167),"")</f>
        <v>-</v>
      </c>
      <c r="F171" s="234"/>
      <c r="G171" s="110">
        <f>IF(E171="-",0,IF(E169="-",13,""))</f>
        <v>0</v>
      </c>
      <c r="H171" s="379" t="s">
        <v>497</v>
      </c>
      <c r="I171" s="99"/>
    </row>
    <row r="172" spans="1:9" x14ac:dyDescent="0.2">
      <c r="A172" s="88"/>
      <c r="B172" s="88"/>
      <c r="C172" s="88"/>
      <c r="D172" s="99"/>
      <c r="E172" s="88"/>
      <c r="F172" s="88"/>
      <c r="G172" s="88"/>
      <c r="H172" s="99"/>
      <c r="I172" s="99"/>
    </row>
    <row r="173" spans="1:9" ht="13.5" thickBot="1" x14ac:dyDescent="0.25">
      <c r="A173" s="88"/>
      <c r="B173" s="88"/>
      <c r="C173" s="88"/>
      <c r="D173" s="88"/>
      <c r="E173" s="99"/>
      <c r="F173" s="99"/>
      <c r="G173" s="88"/>
      <c r="H173" s="527" t="str">
        <f>IF(COUNT(G169,G171)=2,IF(G169&lt;G171,E169,E171),"")</f>
        <v>-</v>
      </c>
      <c r="I173" s="527"/>
    </row>
    <row r="174" spans="1:9" x14ac:dyDescent="0.2">
      <c r="A174" s="95"/>
      <c r="B174" s="410"/>
      <c r="C174" s="88"/>
      <c r="D174" s="88"/>
      <c r="E174" s="99"/>
      <c r="F174" s="99"/>
      <c r="G174" s="88"/>
      <c r="H174" s="379"/>
      <c r="I174" s="88"/>
    </row>
    <row r="176" spans="1:9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spans="1:3" hidden="1" x14ac:dyDescent="0.2"/>
    <row r="290" spans="1:3" hidden="1" x14ac:dyDescent="0.2"/>
    <row r="291" spans="1:3" hidden="1" x14ac:dyDescent="0.2"/>
    <row r="292" spans="1:3" hidden="1" x14ac:dyDescent="0.2"/>
    <row r="293" spans="1:3" hidden="1" x14ac:dyDescent="0.2"/>
    <row r="294" spans="1:3" hidden="1" x14ac:dyDescent="0.2"/>
    <row r="295" spans="1:3" hidden="1" x14ac:dyDescent="0.2"/>
    <row r="296" spans="1:3" hidden="1" x14ac:dyDescent="0.2"/>
    <row r="297" spans="1:3" hidden="1" x14ac:dyDescent="0.2"/>
    <row r="298" spans="1:3" hidden="1" x14ac:dyDescent="0.2"/>
    <row r="299" spans="1:3" x14ac:dyDescent="0.2">
      <c r="C299" s="264" t="s">
        <v>263</v>
      </c>
    </row>
    <row r="300" spans="1:3" x14ac:dyDescent="0.2">
      <c r="A300" s="424">
        <v>1</v>
      </c>
      <c r="B300" s="124" t="str">
        <f t="shared" ref="B300:B307" si="22">IFERROR(INDEX(H$100:H$300,MATCH(A300&amp;". koht",H$101:H$301,0)),"")</f>
        <v>Andres Veski, Svetlana Veski</v>
      </c>
      <c r="C300" s="88">
        <f>MAX(A300:A385)</f>
        <v>15</v>
      </c>
    </row>
    <row r="301" spans="1:3" x14ac:dyDescent="0.2">
      <c r="A301" s="424">
        <v>2</v>
      </c>
      <c r="B301" s="615" t="str">
        <f t="shared" si="22"/>
        <v>Johannes Neiland, Kati Tuzberg, Ülo Piik</v>
      </c>
      <c r="C301" s="88">
        <f t="shared" ref="C301:C314" si="23">C300-1</f>
        <v>14</v>
      </c>
    </row>
    <row r="302" spans="1:3" x14ac:dyDescent="0.2">
      <c r="A302" s="424">
        <v>3</v>
      </c>
      <c r="B302" s="616" t="str">
        <f t="shared" si="22"/>
        <v>Kenneth Muusikus, Peep Peenema</v>
      </c>
      <c r="C302" s="88">
        <f t="shared" si="23"/>
        <v>13</v>
      </c>
    </row>
    <row r="303" spans="1:3" x14ac:dyDescent="0.2">
      <c r="A303" s="424">
        <v>4</v>
      </c>
      <c r="B303" s="665" t="str">
        <f t="shared" si="22"/>
        <v>Karla Purgats, Lemmit Toomra</v>
      </c>
      <c r="C303" s="88">
        <f t="shared" si="23"/>
        <v>12</v>
      </c>
    </row>
    <row r="304" spans="1:3" x14ac:dyDescent="0.2">
      <c r="A304" s="424">
        <v>5</v>
      </c>
      <c r="B304" s="665" t="str">
        <f t="shared" si="22"/>
        <v>Boriss Klubov, Mait Metsla</v>
      </c>
      <c r="C304" s="88">
        <f t="shared" si="23"/>
        <v>11</v>
      </c>
    </row>
    <row r="305" spans="1:6" x14ac:dyDescent="0.2">
      <c r="A305" s="424">
        <v>6</v>
      </c>
      <c r="B305" s="665" t="str">
        <f t="shared" si="22"/>
        <v>Jaan Sepp, Oskar Sepp</v>
      </c>
      <c r="C305" s="88">
        <f t="shared" si="23"/>
        <v>10</v>
      </c>
    </row>
    <row r="306" spans="1:6" x14ac:dyDescent="0.2">
      <c r="A306" s="424">
        <v>7</v>
      </c>
      <c r="B306" s="665" t="str">
        <f t="shared" si="22"/>
        <v>Ljudmila Varendi, Viktor Švarõgin</v>
      </c>
      <c r="C306" s="88">
        <f t="shared" si="23"/>
        <v>9</v>
      </c>
    </row>
    <row r="307" spans="1:6" x14ac:dyDescent="0.2">
      <c r="A307" s="424">
        <v>8</v>
      </c>
      <c r="B307" s="665" t="str">
        <f t="shared" si="22"/>
        <v>Janek Tarto, Urmas Jõeäär</v>
      </c>
      <c r="C307" s="88">
        <f t="shared" si="23"/>
        <v>8</v>
      </c>
      <c r="E307" s="188"/>
      <c r="F307" s="188"/>
    </row>
    <row r="308" spans="1:6" x14ac:dyDescent="0.2">
      <c r="A308" s="424">
        <v>9</v>
      </c>
      <c r="B308" s="665" t="str">
        <f t="shared" ref="B308:B314" si="24">IFERROR(INDEX(H$100:H$300,MATCH(A308&amp;". koht",H$101:H$301,0)),"")</f>
        <v>Argo Sepp, Tõnu Piik</v>
      </c>
      <c r="C308" s="88">
        <f t="shared" si="23"/>
        <v>7</v>
      </c>
      <c r="E308" s="188"/>
      <c r="F308" s="188"/>
    </row>
    <row r="309" spans="1:6" x14ac:dyDescent="0.2">
      <c r="A309" s="424">
        <v>10</v>
      </c>
      <c r="B309" s="665" t="str">
        <f t="shared" si="24"/>
        <v>Klavdia Piik, Taavi Press</v>
      </c>
      <c r="C309" s="88">
        <f t="shared" si="23"/>
        <v>6</v>
      </c>
      <c r="E309" s="188"/>
      <c r="F309" s="215"/>
    </row>
    <row r="310" spans="1:6" x14ac:dyDescent="0.2">
      <c r="A310" s="424">
        <v>11</v>
      </c>
      <c r="B310" s="665" t="str">
        <f t="shared" si="24"/>
        <v>Margus Vasser, Vello Vasser</v>
      </c>
      <c r="C310" s="88">
        <f t="shared" si="23"/>
        <v>5</v>
      </c>
      <c r="E310" s="188"/>
      <c r="F310" s="212"/>
    </row>
    <row r="311" spans="1:6" x14ac:dyDescent="0.2">
      <c r="A311" s="424">
        <v>12</v>
      </c>
      <c r="B311" s="665" t="str">
        <f t="shared" si="24"/>
        <v>Illar Tõnurist, Jaan Saar</v>
      </c>
      <c r="C311" s="88">
        <f t="shared" si="23"/>
        <v>4</v>
      </c>
    </row>
    <row r="312" spans="1:6" x14ac:dyDescent="0.2">
      <c r="A312" s="424">
        <v>13</v>
      </c>
      <c r="B312" s="665" t="str">
        <f t="shared" si="24"/>
        <v>Einar Juhkam, Aleksander Korikov</v>
      </c>
      <c r="C312" s="88">
        <f t="shared" si="23"/>
        <v>3</v>
      </c>
    </row>
    <row r="313" spans="1:6" x14ac:dyDescent="0.2">
      <c r="A313" s="424">
        <v>14</v>
      </c>
      <c r="B313" s="665" t="str">
        <f t="shared" si="24"/>
        <v>Antonina Maksimova, Juhan Enniko</v>
      </c>
      <c r="C313" s="88">
        <f t="shared" si="23"/>
        <v>2</v>
      </c>
    </row>
    <row r="314" spans="1:6" x14ac:dyDescent="0.2">
      <c r="A314" s="424">
        <v>15</v>
      </c>
      <c r="B314" s="665" t="str">
        <f t="shared" si="24"/>
        <v>Enn Tokman, Tarmo Bombe</v>
      </c>
      <c r="C314" s="88">
        <f t="shared" si="23"/>
        <v>1</v>
      </c>
    </row>
  </sheetData>
  <conditionalFormatting sqref="W7:W11 Y7:Y11 S7:S11 S21:S25 Y21:Y25 Y28:Y32 S14:S18 W14:W18 Y14:Y18 S28:S32 W21:W25 W28:W32">
    <cfRule type="expression" dxfId="721" priority="217">
      <formula>AND(T7="",COUNTIF(S7,"*,*")=0)</formula>
    </cfRule>
  </conditionalFormatting>
  <conditionalFormatting sqref="U7:U11 U21:U25 U14:U18 U28:U32">
    <cfRule type="expression" dxfId="720" priority="215">
      <formula>AND(V7="",FIND(",",U7))</formula>
    </cfRule>
    <cfRule type="expression" dxfId="719" priority="216">
      <formula>AND(V7="",COUNTIF(U7,"*,*")=0)</formula>
    </cfRule>
  </conditionalFormatting>
  <conditionalFormatting sqref="E40">
    <cfRule type="aboveAverage" dxfId="718" priority="214"/>
  </conditionalFormatting>
  <conditionalFormatting sqref="F40">
    <cfRule type="aboveAverage" dxfId="717" priority="213"/>
  </conditionalFormatting>
  <conditionalFormatting sqref="I10:I11">
    <cfRule type="expression" dxfId="716" priority="211">
      <formula>FIND(2,I10,1)</formula>
    </cfRule>
    <cfRule type="expression" dxfId="715" priority="212">
      <formula>FIND(1,I10,1)</formula>
    </cfRule>
  </conditionalFormatting>
  <conditionalFormatting sqref="I40 I48:I53">
    <cfRule type="expression" dxfId="714" priority="209">
      <formula>FIND(2,I40,1)</formula>
    </cfRule>
    <cfRule type="expression" dxfId="713" priority="210">
      <formula>FIND(1,I40,1)</formula>
    </cfRule>
  </conditionalFormatting>
  <conditionalFormatting sqref="I7:I9">
    <cfRule type="expression" dxfId="712" priority="207">
      <formula>FIND(2,I7,1)</formula>
    </cfRule>
    <cfRule type="expression" dxfId="711" priority="208">
      <formula>FIND(1,I7,1)</formula>
    </cfRule>
  </conditionalFormatting>
  <conditionalFormatting sqref="I14:I18">
    <cfRule type="expression" dxfId="710" priority="205">
      <formula>FIND(2,I14,1)</formula>
    </cfRule>
    <cfRule type="expression" dxfId="709" priority="206">
      <formula>FIND(1,I14,1)</formula>
    </cfRule>
  </conditionalFormatting>
  <conditionalFormatting sqref="G40 G48:G53">
    <cfRule type="expression" dxfId="708" priority="203">
      <formula>FIND(2,G40,1)</formula>
    </cfRule>
    <cfRule type="expression" dxfId="707" priority="204">
      <formula>FIND(1,G40,1)</formula>
    </cfRule>
  </conditionalFormatting>
  <conditionalFormatting sqref="D14 C15">
    <cfRule type="aboveAverage" dxfId="706" priority="202"/>
  </conditionalFormatting>
  <conditionalFormatting sqref="E14 C16">
    <cfRule type="aboveAverage" dxfId="705" priority="201"/>
  </conditionalFormatting>
  <conditionalFormatting sqref="F14 C17">
    <cfRule type="aboveAverage" dxfId="704" priority="200"/>
  </conditionalFormatting>
  <conditionalFormatting sqref="E15 D16">
    <cfRule type="aboveAverage" dxfId="703" priority="199"/>
  </conditionalFormatting>
  <conditionalFormatting sqref="G14 C18">
    <cfRule type="aboveAverage" dxfId="702" priority="198"/>
  </conditionalFormatting>
  <conditionalFormatting sqref="F15 D17">
    <cfRule type="aboveAverage" dxfId="701" priority="197"/>
  </conditionalFormatting>
  <conditionalFormatting sqref="G15 D18">
    <cfRule type="aboveAverage" dxfId="700" priority="196"/>
  </conditionalFormatting>
  <conditionalFormatting sqref="F16 E17">
    <cfRule type="aboveAverage" dxfId="699" priority="195"/>
  </conditionalFormatting>
  <conditionalFormatting sqref="G16 E18">
    <cfRule type="aboveAverage" dxfId="698" priority="194"/>
  </conditionalFormatting>
  <conditionalFormatting sqref="F18 G17">
    <cfRule type="aboveAverage" dxfId="697" priority="193"/>
  </conditionalFormatting>
  <conditionalFormatting sqref="D7 C8">
    <cfRule type="aboveAverage" dxfId="696" priority="192"/>
  </conditionalFormatting>
  <conditionalFormatting sqref="E7 C9">
    <cfRule type="aboveAverage" dxfId="695" priority="191"/>
  </conditionalFormatting>
  <conditionalFormatting sqref="F7 C10">
    <cfRule type="aboveAverage" dxfId="694" priority="190"/>
  </conditionalFormatting>
  <conditionalFormatting sqref="E8 D9">
    <cfRule type="aboveAverage" dxfId="693" priority="189"/>
  </conditionalFormatting>
  <conditionalFormatting sqref="G7 C11">
    <cfRule type="aboveAverage" dxfId="692" priority="188"/>
  </conditionalFormatting>
  <conditionalFormatting sqref="F8 D10">
    <cfRule type="aboveAverage" dxfId="691" priority="187"/>
  </conditionalFormatting>
  <conditionalFormatting sqref="G8 D11">
    <cfRule type="aboveAverage" dxfId="690" priority="186"/>
  </conditionalFormatting>
  <conditionalFormatting sqref="F9 E10">
    <cfRule type="aboveAverage" dxfId="689" priority="185"/>
  </conditionalFormatting>
  <conditionalFormatting sqref="G9 E11">
    <cfRule type="aboveAverage" dxfId="688" priority="184"/>
  </conditionalFormatting>
  <conditionalFormatting sqref="F11 G10">
    <cfRule type="aboveAverage" dxfId="687" priority="183"/>
  </conditionalFormatting>
  <conditionalFormatting sqref="I21:I25">
    <cfRule type="expression" dxfId="686" priority="181">
      <formula>FIND(2,I21,1)</formula>
    </cfRule>
    <cfRule type="expression" dxfId="685" priority="182">
      <formula>FIND(1,I21,1)</formula>
    </cfRule>
  </conditionalFormatting>
  <conditionalFormatting sqref="D21 C22">
    <cfRule type="aboveAverage" dxfId="684" priority="180"/>
  </conditionalFormatting>
  <conditionalFormatting sqref="E21 C23">
    <cfRule type="aboveAverage" dxfId="683" priority="179"/>
  </conditionalFormatting>
  <conditionalFormatting sqref="F21 C24">
    <cfRule type="aboveAverage" dxfId="682" priority="178"/>
  </conditionalFormatting>
  <conditionalFormatting sqref="E22 D23">
    <cfRule type="aboveAverage" dxfId="681" priority="177"/>
  </conditionalFormatting>
  <conditionalFormatting sqref="G21 C25">
    <cfRule type="aboveAverage" dxfId="680" priority="176"/>
  </conditionalFormatting>
  <conditionalFormatting sqref="F22 D24">
    <cfRule type="aboveAverage" dxfId="679" priority="175"/>
  </conditionalFormatting>
  <conditionalFormatting sqref="G22 D25">
    <cfRule type="aboveAverage" dxfId="678" priority="174"/>
  </conditionalFormatting>
  <conditionalFormatting sqref="F23 E24">
    <cfRule type="aboveAverage" dxfId="677" priority="173"/>
  </conditionalFormatting>
  <conditionalFormatting sqref="G23 E25">
    <cfRule type="aboveAverage" dxfId="676" priority="172"/>
  </conditionalFormatting>
  <conditionalFormatting sqref="F25 G24">
    <cfRule type="aboveAverage" dxfId="675" priority="171"/>
  </conditionalFormatting>
  <conditionalFormatting sqref="K14:K18">
    <cfRule type="expression" dxfId="674" priority="163">
      <formula>AND(J14=3,IF(COUNTIF(J$14:J$18,"=3")&gt;=2,TRUE))</formula>
    </cfRule>
    <cfRule type="expression" dxfId="673" priority="169">
      <formula>AND(J14=1,IF(COUNTIF(J$14:J$18,"=1")&gt;=2,TRUE))</formula>
    </cfRule>
    <cfRule type="expression" dxfId="672" priority="170">
      <formula>AND(J14=2,IF(COUNTIF(J$14:J$18,"=2")&gt;=2,TRUE))</formula>
    </cfRule>
  </conditionalFormatting>
  <conditionalFormatting sqref="K21:K25">
    <cfRule type="expression" dxfId="671" priority="162">
      <formula>AND(J21=3,IF(COUNTIF(J$21:J$25,"=3")&gt;=2,TRUE))</formula>
    </cfRule>
    <cfRule type="expression" dxfId="670" priority="167">
      <formula>AND(J21=1,IF(COUNTIF(J$21:J$25,"=1")&gt;=2,TRUE))</formula>
    </cfRule>
    <cfRule type="expression" dxfId="669" priority="168">
      <formula>AND(J21=2,IF(COUNTIF(J$21:J$25,"=2")&gt;=2,TRUE))</formula>
    </cfRule>
  </conditionalFormatting>
  <conditionalFormatting sqref="K7:K11">
    <cfRule type="expression" dxfId="668" priority="164">
      <formula>AND(J7=3,IF(COUNTIF(J$7:J$11,"=3")&gt;=2,TRUE))</formula>
    </cfRule>
    <cfRule type="expression" dxfId="667" priority="165">
      <formula>AND(J7=1,IF(COUNTIF(J$7:J$11,"=1")&gt;=2,TRUE))</formula>
    </cfRule>
    <cfRule type="expression" dxfId="666" priority="166">
      <formula>AND(J7=2,IF(COUNTIF(J$7:J$11,"=2")&gt;=2,TRUE))</formula>
    </cfRule>
  </conditionalFormatting>
  <conditionalFormatting sqref="L14:L18">
    <cfRule type="expression" dxfId="665" priority="156">
      <formula>OR(J14=0,J14=4)</formula>
    </cfRule>
    <cfRule type="expression" dxfId="664" priority="160">
      <formula>AND(J14=1,IF(COUNTIF(J$14:J$18,"=1")=1,TRUE))</formula>
    </cfRule>
    <cfRule type="expression" dxfId="663" priority="161">
      <formula>AND(J14=3,IF(COUNTIF(J$14:J$18,"=3")=1,TRUE))</formula>
    </cfRule>
  </conditionalFormatting>
  <conditionalFormatting sqref="L21:L25">
    <cfRule type="expression" dxfId="662" priority="157">
      <formula>OR(J21=0,J21=4)</formula>
    </cfRule>
    <cfRule type="expression" dxfId="661" priority="158">
      <formula>AND(J21=1,IF(COUNTIF(J$21:J$25,"=1")=1,TRUE))</formula>
    </cfRule>
    <cfRule type="expression" dxfId="660" priority="159">
      <formula>AND(J21=3,IF(COUNTIF(J$21:J$25,"=3")=1,TRUE))</formula>
    </cfRule>
  </conditionalFormatting>
  <conditionalFormatting sqref="L7:L11">
    <cfRule type="expression" dxfId="659" priority="153">
      <formula>OR(J7=0,J7=4)</formula>
    </cfRule>
    <cfRule type="expression" dxfId="658" priority="154">
      <formula>AND(J7=1,IF(COUNTIF(J$7:J$11,"=1")=1,TRUE))</formula>
    </cfRule>
    <cfRule type="expression" dxfId="657" priority="155">
      <formula>AND(J7=3,IF(COUNTIF(J$7:J$11,"=3")=1,TRUE))</formula>
    </cfRule>
  </conditionalFormatting>
  <conditionalFormatting sqref="H7:H11">
    <cfRule type="expression" dxfId="656" priority="144">
      <formula>AND(J7=1,IF(COUNTIF(J$7:J$11,"=1")&gt;=2,TRUE))</formula>
    </cfRule>
    <cfRule type="expression" dxfId="655" priority="151">
      <formula>AND(J7=3,IF(COUNTIF(J$7:J$11,"=3")&gt;=2,TRUE))</formula>
    </cfRule>
    <cfRule type="expression" dxfId="654" priority="152">
      <formula>AND(J7=2,IF(COUNTIF(J$7:J$11,"=2")&gt;=2,TRUE))</formula>
    </cfRule>
  </conditionalFormatting>
  <conditionalFormatting sqref="H14:H18">
    <cfRule type="expression" dxfId="653" priority="145">
      <formula>AND(J14=1,IF(COUNTIF(J$14:J$18,"=1")&gt;=2,TRUE))</formula>
    </cfRule>
    <cfRule type="expression" dxfId="652" priority="149">
      <formula>AND(J14=3,IF(COUNTIF(J$14:J$18,"=3")&gt;=2,TRUE))</formula>
    </cfRule>
    <cfRule type="expression" dxfId="651" priority="150">
      <formula>AND(J14=2,IF(COUNTIF(J$14:J$18,"=2")&gt;=2,TRUE))</formula>
    </cfRule>
  </conditionalFormatting>
  <conditionalFormatting sqref="H21:H25">
    <cfRule type="expression" dxfId="650" priority="146">
      <formula>AND(J21=1,IF(COUNTIF(J$21:J$25,"=1")&gt;=2,TRUE))</formula>
    </cfRule>
    <cfRule type="expression" dxfId="649" priority="147">
      <formula>AND(J21=3,IF(COUNTIF(J$21:J$25,"=3")&gt;=2,TRUE))</formula>
    </cfRule>
    <cfRule type="expression" dxfId="648" priority="148">
      <formula>AND(J21=2,IF(COUNTIF(J$21:J$25,"=2")&gt;=2,TRUE))</formula>
    </cfRule>
  </conditionalFormatting>
  <conditionalFormatting sqref="A102:A116">
    <cfRule type="cellIs" dxfId="647" priority="128" operator="equal">
      <formula>"-"</formula>
    </cfRule>
    <cfRule type="duplicateValues" dxfId="646" priority="143"/>
  </conditionalFormatting>
  <conditionalFormatting sqref="C102">
    <cfRule type="containsBlanks" dxfId="645" priority="75">
      <formula>LEN(TRIM(C102))=0</formula>
    </cfRule>
  </conditionalFormatting>
  <conditionalFormatting sqref="C41 C45:C46">
    <cfRule type="aboveAverage" dxfId="644" priority="127"/>
  </conditionalFormatting>
  <conditionalFormatting sqref="D41 D45:D46">
    <cfRule type="aboveAverage" dxfId="643" priority="126"/>
  </conditionalFormatting>
  <conditionalFormatting sqref="D28 C29">
    <cfRule type="aboveAverage" dxfId="642" priority="125"/>
  </conditionalFormatting>
  <conditionalFormatting sqref="E28 C30">
    <cfRule type="aboveAverage" dxfId="641" priority="124"/>
  </conditionalFormatting>
  <conditionalFormatting sqref="F28 C31">
    <cfRule type="aboveAverage" dxfId="640" priority="123"/>
  </conditionalFormatting>
  <conditionalFormatting sqref="E29 D30">
    <cfRule type="aboveAverage" dxfId="639" priority="122"/>
  </conditionalFormatting>
  <conditionalFormatting sqref="G28 C32">
    <cfRule type="aboveAverage" dxfId="638" priority="121"/>
  </conditionalFormatting>
  <conditionalFormatting sqref="F29 D31">
    <cfRule type="aboveAverage" dxfId="637" priority="120"/>
  </conditionalFormatting>
  <conditionalFormatting sqref="G29 D32">
    <cfRule type="aboveAverage" dxfId="636" priority="119"/>
  </conditionalFormatting>
  <conditionalFormatting sqref="F30 E31">
    <cfRule type="aboveAverage" dxfId="635" priority="118"/>
  </conditionalFormatting>
  <conditionalFormatting sqref="G30 E32">
    <cfRule type="aboveAverage" dxfId="634" priority="117"/>
  </conditionalFormatting>
  <conditionalFormatting sqref="F32 G31">
    <cfRule type="aboveAverage" dxfId="633" priority="116"/>
  </conditionalFormatting>
  <conditionalFormatting sqref="I28:I32">
    <cfRule type="expression" dxfId="632" priority="114">
      <formula>FIND(2,I28,1)</formula>
    </cfRule>
    <cfRule type="expression" dxfId="631" priority="115">
      <formula>FIND(1,I28,1)</formula>
    </cfRule>
  </conditionalFormatting>
  <conditionalFormatting sqref="K28:K32">
    <cfRule type="expression" dxfId="630" priority="111">
      <formula>AND(J28=3,IF(COUNTIF(J$28:J$32,"=3")&gt;=2,TRUE))</formula>
    </cfRule>
    <cfRule type="expression" dxfId="629" priority="112">
      <formula>AND(J28=1,IF(COUNTIF(J$28:J$32,"=1")&gt;=2,TRUE))</formula>
    </cfRule>
    <cfRule type="expression" dxfId="628" priority="113">
      <formula>AND(J28=2,IF(COUNTIF(J$28:J$32,"=2")&gt;=2,TRUE))</formula>
    </cfRule>
  </conditionalFormatting>
  <conditionalFormatting sqref="L28:L32">
    <cfRule type="expression" dxfId="627" priority="108">
      <formula>OR(J28=0,J28=4)</formula>
    </cfRule>
    <cfRule type="expression" dxfId="626" priority="109">
      <formula>AND(J28=1,IF(COUNTIF(J$28:J$32,"=1")=1,TRUE))</formula>
    </cfRule>
    <cfRule type="expression" dxfId="625" priority="110">
      <formula>AND(J28=3,IF(COUNTIF(J$28:J$32,"=3")=1,TRUE))</formula>
    </cfRule>
  </conditionalFormatting>
  <conditionalFormatting sqref="H28:H32">
    <cfRule type="expression" dxfId="624" priority="105">
      <formula>AND(J28=1,IF(COUNTIF(J$28:J$32,"=1")&gt;=2,TRUE))</formula>
    </cfRule>
    <cfRule type="expression" dxfId="623" priority="106">
      <formula>AND(J28=3,IF(COUNTIF(J$28:J$32,"=3")&gt;=2,TRUE))</formula>
    </cfRule>
    <cfRule type="expression" dxfId="622" priority="107">
      <formula>AND(J28=2,IF(COUNTIF(J$28:J$32,"=2")&gt;=2,TRUE))</formula>
    </cfRule>
  </conditionalFormatting>
  <conditionalFormatting sqref="B28:B29 B9 B14 B16">
    <cfRule type="duplicateValues" dxfId="621" priority="218"/>
  </conditionalFormatting>
  <conditionalFormatting sqref="A140:A154">
    <cfRule type="cellIs" dxfId="620" priority="89" operator="equal">
      <formula>"-"</formula>
    </cfRule>
    <cfRule type="duplicateValues" dxfId="619" priority="104"/>
  </conditionalFormatting>
  <conditionalFormatting sqref="E103">
    <cfRule type="containsBlanks" dxfId="618" priority="63">
      <formula>LEN(TRIM(E103))=0</formula>
    </cfRule>
  </conditionalFormatting>
  <conditionalFormatting sqref="N21:N24">
    <cfRule type="duplicateValues" dxfId="617" priority="86"/>
  </conditionalFormatting>
  <conditionalFormatting sqref="N26:N31">
    <cfRule type="duplicateValues" dxfId="616" priority="85"/>
  </conditionalFormatting>
  <conditionalFormatting sqref="N37:N41">
    <cfRule type="duplicateValues" dxfId="615" priority="84"/>
  </conditionalFormatting>
  <conditionalFormatting sqref="E107">
    <cfRule type="containsBlanks" dxfId="614" priority="59">
      <formula>LEN(TRIM(E107))=0</formula>
    </cfRule>
  </conditionalFormatting>
  <conditionalFormatting sqref="G124 G128">
    <cfRule type="aboveAverage" dxfId="613" priority="83"/>
  </conditionalFormatting>
  <conditionalFormatting sqref="G131 G133">
    <cfRule type="aboveAverage" dxfId="612" priority="82"/>
  </conditionalFormatting>
  <conditionalFormatting sqref="G124 G128 G131 G133">
    <cfRule type="containsBlanks" dxfId="611" priority="81">
      <formula>LEN(TRIM(G124))=0</formula>
    </cfRule>
  </conditionalFormatting>
  <conditionalFormatting sqref="C116">
    <cfRule type="aboveAverage" dxfId="610" priority="78"/>
  </conditionalFormatting>
  <conditionalFormatting sqref="C116">
    <cfRule type="containsBlanks" dxfId="609" priority="77">
      <formula>LEN(TRIM(C116))=0</formula>
    </cfRule>
  </conditionalFormatting>
  <conditionalFormatting sqref="C102">
    <cfRule type="aboveAverage" dxfId="608" priority="76"/>
  </conditionalFormatting>
  <conditionalFormatting sqref="G117 G119">
    <cfRule type="aboveAverage" dxfId="607" priority="70"/>
  </conditionalFormatting>
  <conditionalFormatting sqref="G117 G119">
    <cfRule type="containsBlanks" dxfId="606" priority="69">
      <formula>LEN(TRIM(G117))=0</formula>
    </cfRule>
  </conditionalFormatting>
  <conditionalFormatting sqref="G105">
    <cfRule type="aboveAverage" dxfId="605" priority="68"/>
  </conditionalFormatting>
  <conditionalFormatting sqref="G105">
    <cfRule type="containsBlanks" dxfId="604" priority="67">
      <formula>LEN(TRIM(G105))=0</formula>
    </cfRule>
  </conditionalFormatting>
  <conditionalFormatting sqref="G113">
    <cfRule type="aboveAverage" dxfId="603" priority="66"/>
  </conditionalFormatting>
  <conditionalFormatting sqref="G113">
    <cfRule type="containsBlanks" dxfId="602" priority="65">
      <formula>LEN(TRIM(G113))=0</formula>
    </cfRule>
  </conditionalFormatting>
  <conditionalFormatting sqref="E103">
    <cfRule type="aboveAverage" dxfId="601" priority="64"/>
  </conditionalFormatting>
  <conditionalFormatting sqref="E111">
    <cfRule type="aboveAverage" dxfId="600" priority="62"/>
  </conditionalFormatting>
  <conditionalFormatting sqref="E111">
    <cfRule type="containsBlanks" dxfId="599" priority="61">
      <formula>LEN(TRIM(E111))=0</formula>
    </cfRule>
  </conditionalFormatting>
  <conditionalFormatting sqref="E107">
    <cfRule type="aboveAverage" dxfId="598" priority="60"/>
  </conditionalFormatting>
  <conditionalFormatting sqref="E115">
    <cfRule type="aboveAverage" dxfId="597" priority="58"/>
  </conditionalFormatting>
  <conditionalFormatting sqref="E115">
    <cfRule type="containsBlanks" dxfId="596" priority="57">
      <formula>LEN(TRIM(E115))=0</formula>
    </cfRule>
  </conditionalFormatting>
  <conditionalFormatting sqref="G162 G166">
    <cfRule type="aboveAverage" dxfId="595" priority="56"/>
  </conditionalFormatting>
  <conditionalFormatting sqref="G169 G171">
    <cfRule type="aboveAverage" dxfId="594" priority="55"/>
  </conditionalFormatting>
  <conditionalFormatting sqref="G162 G166 G169 G171">
    <cfRule type="containsBlanks" dxfId="593" priority="54">
      <formula>LEN(TRIM(G162))=0</formula>
    </cfRule>
  </conditionalFormatting>
  <conditionalFormatting sqref="E161 E163">
    <cfRule type="aboveAverage" dxfId="592" priority="47"/>
  </conditionalFormatting>
  <conditionalFormatting sqref="E161 E163">
    <cfRule type="containsBlanks" dxfId="591" priority="46">
      <formula>LEN(TRIM(E161))=0</formula>
    </cfRule>
  </conditionalFormatting>
  <conditionalFormatting sqref="E165 E167">
    <cfRule type="aboveAverage" dxfId="590" priority="45"/>
  </conditionalFormatting>
  <conditionalFormatting sqref="E165 E167">
    <cfRule type="containsBlanks" dxfId="589" priority="44">
      <formula>LEN(TRIM(E165))=0</formula>
    </cfRule>
  </conditionalFormatting>
  <conditionalFormatting sqref="G155 G157">
    <cfRule type="aboveAverage" dxfId="588" priority="43"/>
  </conditionalFormatting>
  <conditionalFormatting sqref="G155 G157">
    <cfRule type="containsBlanks" dxfId="587" priority="42">
      <formula>LEN(TRIM(G155))=0</formula>
    </cfRule>
  </conditionalFormatting>
  <conditionalFormatting sqref="G143">
    <cfRule type="aboveAverage" dxfId="586" priority="41"/>
  </conditionalFormatting>
  <conditionalFormatting sqref="G143">
    <cfRule type="containsBlanks" dxfId="585" priority="40">
      <formula>LEN(TRIM(G143))=0</formula>
    </cfRule>
  </conditionalFormatting>
  <conditionalFormatting sqref="G151">
    <cfRule type="aboveAverage" dxfId="584" priority="39"/>
  </conditionalFormatting>
  <conditionalFormatting sqref="G151">
    <cfRule type="containsBlanks" dxfId="583" priority="38">
      <formula>LEN(TRIM(G151))=0</formula>
    </cfRule>
  </conditionalFormatting>
  <conditionalFormatting sqref="E141">
    <cfRule type="aboveAverage" dxfId="582" priority="37"/>
  </conditionalFormatting>
  <conditionalFormatting sqref="E141">
    <cfRule type="containsBlanks" dxfId="581" priority="36">
      <formula>LEN(TRIM(E141))=0</formula>
    </cfRule>
  </conditionalFormatting>
  <conditionalFormatting sqref="E149">
    <cfRule type="aboveAverage" dxfId="580" priority="35"/>
  </conditionalFormatting>
  <conditionalFormatting sqref="E149">
    <cfRule type="containsBlanks" dxfId="579" priority="34">
      <formula>LEN(TRIM(E149))=0</formula>
    </cfRule>
  </conditionalFormatting>
  <conditionalFormatting sqref="E145">
    <cfRule type="aboveAverage" dxfId="578" priority="33"/>
  </conditionalFormatting>
  <conditionalFormatting sqref="E145">
    <cfRule type="containsBlanks" dxfId="577" priority="32">
      <formula>LEN(TRIM(E145))=0</formula>
    </cfRule>
  </conditionalFormatting>
  <conditionalFormatting sqref="E153">
    <cfRule type="aboveAverage" dxfId="576" priority="31"/>
  </conditionalFormatting>
  <conditionalFormatting sqref="E153">
    <cfRule type="containsBlanks" dxfId="575" priority="30">
      <formula>LEN(TRIM(E153))=0</formula>
    </cfRule>
  </conditionalFormatting>
  <conditionalFormatting sqref="N15:N17 N19:N20">
    <cfRule type="duplicateValues" dxfId="574" priority="952"/>
  </conditionalFormatting>
  <conditionalFormatting sqref="N10 N3:N6 N12:N14">
    <cfRule type="duplicateValues" dxfId="573" priority="955"/>
  </conditionalFormatting>
  <conditionalFormatting sqref="C104">
    <cfRule type="aboveAverage" dxfId="572" priority="29"/>
  </conditionalFormatting>
  <conditionalFormatting sqref="C106 C108">
    <cfRule type="aboveAverage" dxfId="571" priority="28"/>
  </conditionalFormatting>
  <conditionalFormatting sqref="C110 C112">
    <cfRule type="aboveAverage" dxfId="570" priority="27"/>
  </conditionalFormatting>
  <conditionalFormatting sqref="C114">
    <cfRule type="aboveAverage" dxfId="569" priority="26"/>
  </conditionalFormatting>
  <conditionalFormatting sqref="C104 C106 C108 C110 C112 C114">
    <cfRule type="containsBlanks" dxfId="568" priority="25">
      <formula>LEN(TRIM(C104))=0</formula>
    </cfRule>
  </conditionalFormatting>
  <conditionalFormatting sqref="E123 E125">
    <cfRule type="aboveAverage" dxfId="567" priority="24"/>
  </conditionalFormatting>
  <conditionalFormatting sqref="E127 E129">
    <cfRule type="aboveAverage" dxfId="566" priority="23"/>
  </conditionalFormatting>
  <conditionalFormatting sqref="E123 E125 E127 E129">
    <cfRule type="containsBlanks" dxfId="565" priority="22">
      <formula>LEN(TRIM(E123))=0</formula>
    </cfRule>
  </conditionalFormatting>
  <conditionalFormatting sqref="C152">
    <cfRule type="containsBlanks" dxfId="564" priority="1">
      <formula>LEN(TRIM(C152))=0</formula>
    </cfRule>
  </conditionalFormatting>
  <conditionalFormatting sqref="C144 C146">
    <cfRule type="aboveAverage" dxfId="563" priority="6"/>
  </conditionalFormatting>
  <conditionalFormatting sqref="C148 C150">
    <cfRule type="aboveAverage" dxfId="562" priority="5"/>
  </conditionalFormatting>
  <conditionalFormatting sqref="C140 C142 C144 C146 C148 C150 C154">
    <cfRule type="containsBlanks" dxfId="561" priority="3">
      <formula>LEN(TRIM(C140))=0</formula>
    </cfRule>
  </conditionalFormatting>
  <conditionalFormatting sqref="C140 C142">
    <cfRule type="aboveAverage" dxfId="560" priority="7"/>
  </conditionalFormatting>
  <conditionalFormatting sqref="C154">
    <cfRule type="aboveAverage" dxfId="559" priority="4"/>
  </conditionalFormatting>
  <conditionalFormatting sqref="C152">
    <cfRule type="aboveAverage" dxfId="558" priority="2"/>
  </conditionalFormatting>
  <conditionalFormatting sqref="B300:B314">
    <cfRule type="containsBlanks" dxfId="557" priority="956">
      <formula>LEN(TRIM(B300))=0</formula>
    </cfRule>
    <cfRule type="duplicateValues" dxfId="556" priority="957"/>
  </conditionalFormatting>
  <pageMargins left="0.78740157480314965" right="0.39370078740157483" top="0.78740157480314965" bottom="0.31496062992125984" header="0.59055118110236227" footer="0"/>
  <pageSetup paperSize="9" fitToHeight="0" orientation="landscape" horizontalDpi="1200" verticalDpi="1200" r:id="rId1"/>
  <headerFooter>
    <oddHeader>&amp;R&amp;"Arial,Regular"&amp;9Page &amp;P of &amp;N</oddHeader>
  </headerFooter>
  <rowBreaks count="3" manualBreakCount="3">
    <brk id="40" max="16383" man="1"/>
    <brk id="136" max="16383" man="1"/>
    <brk id="174" max="16383" man="1"/>
  </rowBreaks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9FF99"/>
    <pageSetUpPr fitToPage="1"/>
  </sheetPr>
  <dimension ref="A1:AG307"/>
  <sheetViews>
    <sheetView showGridLines="0" showRowColHeaders="0" zoomScaleNormal="100" workbookViewId="0">
      <pane ySplit="2" topLeftCell="A3" activePane="bottomLeft" state="frozen"/>
      <selection activeCell="X1" sqref="X1"/>
      <selection pane="bottomLeft" activeCell="H1" sqref="H1"/>
    </sheetView>
  </sheetViews>
  <sheetFormatPr defaultRowHeight="12.75" x14ac:dyDescent="0.2"/>
  <cols>
    <col min="1" max="1" width="3.28515625" style="88" customWidth="1"/>
    <col min="2" max="2" width="50.140625" style="87" customWidth="1"/>
    <col min="3" max="9" width="6.5703125" style="88" customWidth="1"/>
    <col min="10" max="13" width="0" style="88" hidden="1" customWidth="1"/>
    <col min="14" max="14" width="2.85546875" style="88" customWidth="1"/>
    <col min="15" max="17" width="9.140625" style="88"/>
    <col min="18" max="26" width="0" style="88" hidden="1" customWidth="1"/>
    <col min="27" max="16384" width="9.140625" style="88"/>
  </cols>
  <sheetData>
    <row r="1" spans="1:33" x14ac:dyDescent="0.2">
      <c r="A1" s="86" t="str">
        <f>UPPER((Kalend!E44)&amp;" - "&amp;(Kalend!C44)&amp;" - "&amp;(Kalend!D44))</f>
        <v>V-FIN - VOKA 1. SISE-KV FINAAL - LOOSITRIO</v>
      </c>
      <c r="D1" s="51" t="str">
        <f>HYPERLINK("#'Kalend'!I1","Kalender")</f>
        <v>Kalender</v>
      </c>
      <c r="E1" s="186"/>
      <c r="F1" s="51" t="str">
        <f>HYPERLINK("#'Reit'!m1","Reiting")</f>
        <v>Reiting</v>
      </c>
      <c r="G1" s="186"/>
    </row>
    <row r="2" spans="1:33" s="186" customFormat="1" x14ac:dyDescent="0.2">
      <c r="A2" s="186" t="str">
        <f>"Toimumisaeg: "&amp;(Kalend!A44)&amp;" kell "&amp;(Kalend!B44)</f>
        <v>Toimumisaeg: L, 21.04.2018 kell 11:00</v>
      </c>
    </row>
    <row r="3" spans="1:33" s="186" customFormat="1" x14ac:dyDescent="0.2">
      <c r="A3" s="186" t="str">
        <f>"Toimumiskoht: "&amp;(Kalend!F44)</f>
        <v>Toimumiskoht: Voka petangihall</v>
      </c>
    </row>
    <row r="4" spans="1:33" s="186" customFormat="1" x14ac:dyDescent="0.2">
      <c r="A4" s="186" t="str">
        <f>"Korraldaja: "&amp;(Kalend!G44)</f>
        <v>Korraldaja: Johannes Neiland</v>
      </c>
    </row>
    <row r="6" spans="1:33" x14ac:dyDescent="0.2">
      <c r="A6" s="126" t="s">
        <v>66</v>
      </c>
      <c r="B6" s="438"/>
      <c r="C6" s="91">
        <v>1</v>
      </c>
      <c r="D6" s="91">
        <v>2</v>
      </c>
      <c r="E6" s="91">
        <v>3</v>
      </c>
      <c r="F6" s="91">
        <v>4</v>
      </c>
      <c r="G6" s="91"/>
      <c r="H6" s="91" t="s">
        <v>73</v>
      </c>
      <c r="I6" s="438" t="s">
        <v>46</v>
      </c>
      <c r="J6" s="577" t="s">
        <v>273</v>
      </c>
      <c r="K6" s="649" t="s">
        <v>273</v>
      </c>
      <c r="L6" s="650" t="s">
        <v>430</v>
      </c>
      <c r="M6" s="188" t="b">
        <f>OR(AND(COUNTA(B7:B11)=3,COUNTA(C7:G11)=6),AND(COUNTA(B7:B11)=4,COUNTA(C7:G11)=12),AND(COUNTA(B7:B11)=5,COUNTA(C7:G11)=20))</f>
        <v>1</v>
      </c>
      <c r="N6" s="188"/>
      <c r="O6" s="186"/>
      <c r="P6" s="186"/>
      <c r="Q6" s="139"/>
      <c r="R6" s="506" t="s">
        <v>387</v>
      </c>
      <c r="S6" s="507"/>
      <c r="T6" s="508"/>
      <c r="U6" s="507"/>
      <c r="V6" s="508"/>
      <c r="W6" s="513"/>
      <c r="X6" s="513"/>
      <c r="Y6" s="513"/>
      <c r="Z6" s="513"/>
      <c r="AA6" s="188"/>
      <c r="AB6" s="188"/>
      <c r="AC6" s="188"/>
      <c r="AD6" s="188"/>
      <c r="AE6" s="188"/>
      <c r="AF6" s="188"/>
      <c r="AG6" s="188"/>
    </row>
    <row r="7" spans="1:33" x14ac:dyDescent="0.2">
      <c r="A7" s="126">
        <v>1</v>
      </c>
      <c r="B7" s="164" t="s">
        <v>585</v>
      </c>
      <c r="C7" s="127"/>
      <c r="D7" s="93">
        <v>4</v>
      </c>
      <c r="E7" s="93">
        <v>5</v>
      </c>
      <c r="F7" s="93">
        <v>13</v>
      </c>
      <c r="G7" s="93"/>
      <c r="H7" s="576" t="str">
        <f>(IF(D7-C8&gt;0,1)+IF(E7-C9&gt;0,1)+IF(F7-C10&gt;0,1)+IF(G7-C11&gt;0,1))&amp;"-"&amp;(IF(D7-C8&lt;0,1)+IF(E7-C9&lt;0,1)+IF(F7-C10&lt;0,1)+IF(G7-C11&lt;0,1))</f>
        <v>1-2</v>
      </c>
      <c r="I7" s="93" t="str">
        <f>IF(AND(B7&lt;&gt;"",M$6=TRUE),A$6&amp;RANK(M7,M$7:M$11,0),"")</f>
        <v>A3</v>
      </c>
      <c r="J7" s="584">
        <f>VALUE(LEFT(H7,1))</f>
        <v>1</v>
      </c>
      <c r="K7" s="651">
        <f>IF(AND(J7=1,J8=1,D7&gt;C8),1)+IF(AND(J7=1,J9=1,E7&gt;C9),1)+IF(AND(J7=1,J10=1,F7&gt;C10),1)+IF(AND(J7=1,J11=1,G7&gt;C11),1)+IF(AND(J7=2,J8=2,D7&gt;C8),1)+IF(AND(J7=2,J9=2,E7&gt;C9),1)+IF(AND(J7=2,J10=2,F7&gt;C10),1)+IF(AND(J7=2,J11=2,G7&gt;C11),1)+IF(AND(J7=3,J8=3,D7&gt;C8),1)+IF(AND(J7=3,J9=3,E7&gt;C9),1)+IF(AND(J7=3,J10=3,F7&gt;C10),1)+IF(AND(J7=3,J11=3,G7&gt;C11),1)</f>
        <v>0</v>
      </c>
      <c r="L7" s="652">
        <f>IF(AND(J7=1,J8=1),D7-C8)+IF(AND(J7=1,J9=1),E7-C9)+IF(AND(J7=1,J10=1),F7-C10)+IF(AND(J7=1,J11=1),G7-C11)+IF(AND(J7=2,J8=2),D7-C8)+IF(AND(J7=2,J9=2),E7-C9)+IF(AND(J7=2,J10=2),F7-C10)+IF(AND(J7=2,J11=2),G7-C11)+IF(AND(J7=3,J8=3),D7-C8)+IF(AND(J7=3,J9=3),E7-C9)+IF(AND(J7=3,J10=3),F7-C10)+IF(AND(J7=3,J11=3),G7-C11)</f>
        <v>0</v>
      </c>
      <c r="M7" s="668">
        <f>10000*J7+K7*100+L7</f>
        <v>10000</v>
      </c>
      <c r="N7" s="569"/>
      <c r="O7" s="517"/>
      <c r="P7" s="186"/>
      <c r="Q7" s="140"/>
      <c r="R7" s="512">
        <f>SUM(T7:Z7)</f>
        <v>78</v>
      </c>
      <c r="S7" s="514" t="str">
        <f t="shared" ref="S7:S32" si="0">IFERROR(LEFT($B7,(FIND(",",$B7,1)-1)),"")</f>
        <v>Einar Juhkam</v>
      </c>
      <c r="T7" s="515">
        <f>IFERROR(INDEX(V!$O:$O,MATCH(S7,V!$J:$J,0)),"")</f>
        <v>53</v>
      </c>
      <c r="U7" s="514" t="str">
        <f t="shared" ref="U7:U32" si="1">IFERROR(MID($B7,FIND(", ",$B7)+2,256),"")</f>
        <v>Jaan Saar, Johannes Neiland, Tarmo Bombe</v>
      </c>
      <c r="V7" s="515" t="str">
        <f>IFERROR(INDEX(V!$O:$O,MATCH(U7,V!$J:$J,0)),"")</f>
        <v/>
      </c>
      <c r="W7" s="516" t="str">
        <f t="shared" ref="W7:W32" si="2">IFERROR(MID($B7,FIND("^",SUBSTITUTE($B7,", ","^",1))+2,FIND("^",SUBSTITUTE($B7,", ","^",2))-FIND("^",SUBSTITUTE($B7,", ","^",1))-2),"")</f>
        <v>Jaan Saar</v>
      </c>
      <c r="X7" s="515">
        <f>IFERROR(INDEX(V!$O:$O,MATCH(W7,V!$J:$J,0)),"")</f>
        <v>25</v>
      </c>
      <c r="Y7" s="516" t="str">
        <f t="shared" ref="Y7:Y25" si="3">IFERROR(MID($B7,FIND(", ",$B7,FIND(", ",$B7,FIND(", ",$B7))+1)+2,30000),"")</f>
        <v>Johannes Neiland, Tarmo Bombe</v>
      </c>
      <c r="Z7" s="515" t="str">
        <f>IFERROR(INDEX(V!$O:$O,MATCH(Y7,V!$J:$J,0)),"")</f>
        <v/>
      </c>
      <c r="AA7" s="188"/>
      <c r="AB7" s="188"/>
      <c r="AC7" s="188"/>
      <c r="AD7" s="188"/>
      <c r="AE7" s="188"/>
      <c r="AF7" s="188"/>
      <c r="AG7" s="188"/>
    </row>
    <row r="8" spans="1:33" x14ac:dyDescent="0.2">
      <c r="A8" s="126">
        <v>2</v>
      </c>
      <c r="B8" s="581" t="s">
        <v>586</v>
      </c>
      <c r="C8" s="93">
        <v>13</v>
      </c>
      <c r="D8" s="127"/>
      <c r="E8" s="93">
        <v>13</v>
      </c>
      <c r="F8" s="93">
        <v>13</v>
      </c>
      <c r="G8" s="93"/>
      <c r="H8" s="576" t="str">
        <f>(IF(C8-D7&gt;0,1)+IF(E8-D9&gt;0,1)+IF(F8-D10&gt;0,1)+IF(G8-D11&gt;0,1))&amp;"-"&amp;(IF(C8-D7&lt;0,1)+IF(E8-D9&lt;0,1)+IF(F8-D10&lt;0,1)+IF(G8-D11&lt;0,1))</f>
        <v>3-0</v>
      </c>
      <c r="I8" s="93" t="str">
        <f>IF(AND(B8&lt;&gt;"",M$6=TRUE),A$6&amp;RANK(M8,M$7:M$11,0),"")</f>
        <v>A1</v>
      </c>
      <c r="J8" s="584">
        <f t="shared" ref="J8:J11" si="4">VALUE(LEFT(H8,1))</f>
        <v>3</v>
      </c>
      <c r="K8" s="653">
        <f>IF(AND(J8=1,J7=1,C8&gt;D7),1)+IF(AND(J8=1,J9=1,E8&gt;D9),1)+IF(AND(J8=1,J10=1,F8&gt;D10),1)+IF(AND(J8=1,J11=1,G8&gt;D11),1)+IF(AND(J8=2,J7=2,C8&gt;D7),1)+IF(AND(J8=2,J9=2,E8&gt;D9),1)+IF(AND(J8=2,J10=2,F8&gt;D10),1)+IF(AND(J8=2,J11=2,G8&gt;D11),1)+IF(AND(J8=3,J7=3,C8&gt;D7),1)+IF(AND(J8=3,J9=3,E8&gt;D9),1)+IF(AND(J8=3,J10=3,F8&gt;D10),1)+IF(AND(J8=3,J11=3,G8&gt;D11),1)</f>
        <v>0</v>
      </c>
      <c r="L8" s="652">
        <f>IF(AND(J8=1,J7=1),C8-D7)+IF(AND(J8=1,J9=1),E8-D9)+IF(AND(J8=1,J10=1),F8-D10)+IF(AND(J8=1,J11=1),G8-D11)+IF(AND(J8=2,J7=2),C8-D7)+IF(AND(J8=2,J9=2),E8-D9)+IF(AND(J8=2,J10=2),F8-D10)+IF(AND(J8=2,J11=2),G8-D11)+IF(AND(J8=3,J7=3),C8-D7)+IF(AND(J8=3,J9=3),E8-D9)+IF(AND(J8=3,J10=3),F8-D10)+IF(AND(J8=3,J11=3),G8-D11)</f>
        <v>0</v>
      </c>
      <c r="M8" s="668">
        <f t="shared" ref="M8:M11" si="5">10000*J8+K8*100+L8</f>
        <v>30000</v>
      </c>
      <c r="N8" s="569"/>
      <c r="O8" s="517"/>
      <c r="P8" s="186"/>
      <c r="Q8" s="140"/>
      <c r="R8" s="512">
        <f t="shared" ref="R8:R11" si="6">SUM(T8:Z8)</f>
        <v>147</v>
      </c>
      <c r="S8" s="514" t="str">
        <f t="shared" si="0"/>
        <v>Aarne Välja</v>
      </c>
      <c r="T8" s="515">
        <f>IFERROR(INDEX(V!$O:$O,MATCH(S8,V!$J:$J,0)),"")</f>
        <v>15</v>
      </c>
      <c r="U8" s="514" t="str">
        <f t="shared" si="1"/>
        <v>Kenneth Muusikus, Lemmit Toomra</v>
      </c>
      <c r="V8" s="515" t="str">
        <f>IFERROR(INDEX(V!$O:$O,MATCH(U8,V!$J:$J,0)),"")</f>
        <v/>
      </c>
      <c r="W8" s="516" t="str">
        <f t="shared" si="2"/>
        <v>Kenneth Muusikus</v>
      </c>
      <c r="X8" s="515">
        <f>IFERROR(INDEX(V!$O:$O,MATCH(W8,V!$J:$J,0)),"")</f>
        <v>80</v>
      </c>
      <c r="Y8" s="516" t="str">
        <f t="shared" si="3"/>
        <v>Lemmit Toomra</v>
      </c>
      <c r="Z8" s="515">
        <f>IFERROR(INDEX(V!$O:$O,MATCH(Y8,V!$J:$J,0)),"")</f>
        <v>52</v>
      </c>
      <c r="AA8" s="188"/>
      <c r="AB8" s="188"/>
      <c r="AC8" s="188"/>
      <c r="AD8" s="188"/>
      <c r="AE8" s="188"/>
      <c r="AF8" s="188"/>
      <c r="AG8" s="188"/>
    </row>
    <row r="9" spans="1:33" x14ac:dyDescent="0.2">
      <c r="A9" s="126">
        <v>3</v>
      </c>
      <c r="B9" s="581" t="s">
        <v>587</v>
      </c>
      <c r="C9" s="93">
        <v>13</v>
      </c>
      <c r="D9" s="548">
        <v>10</v>
      </c>
      <c r="E9" s="127"/>
      <c r="F9" s="93">
        <v>13</v>
      </c>
      <c r="G9" s="93"/>
      <c r="H9" s="576" t="str">
        <f>(IF(C9-E7&gt;0,1)+IF(D9-E8&gt;0,1)+IF(F9-E10&gt;0,1)+IF(G9-E11&gt;0,1))&amp;"-"&amp;(IF(C9-E7&lt;0,1)+IF(D9-E8&lt;0,1)+IF(F9-E10&lt;0,1)+IF(G9-E11&lt;0,1))</f>
        <v>2-1</v>
      </c>
      <c r="I9" s="93" t="str">
        <f>IF(AND(B9&lt;&gt;"",M$6=TRUE),A$6&amp;RANK(M9,M$7:M$11,0),"")</f>
        <v>A2</v>
      </c>
      <c r="J9" s="584">
        <f t="shared" si="4"/>
        <v>2</v>
      </c>
      <c r="K9" s="653">
        <f>IF(AND(J9=1,J7=1,C9&gt;E7),1)+IF(AND(J9=1,J8=1,D9&gt;E8),1)+IF(AND(J9=1,J10=1,F9&gt;E10),1)+IF(AND(J9=1,J11=1,G9&gt;E11),1)+IF(AND(J9=2,J7=2,C9&gt;E7),1)+IF(AND(J9=2,J8=2,D9&gt;E8),1)+IF(AND(J9=2,J10=2,F9&gt;E10),1)+IF(AND(J9=2,J11=2,G9&gt;E11),1)+IF(AND(J9=3,J7=3,C9&gt;E7),1)+IF(AND(J9=3,J8=3,D9&gt;E8),1)+IF(AND(J9=3,J10=3,F9&gt;E10),1)+IF(AND(J9=3,J11=3,G9&gt;E11),1)</f>
        <v>0</v>
      </c>
      <c r="L9" s="652">
        <f>IF(AND(J9=1,J7=1),C9-E7)+IF(AND(J9=1,J8=1),D9-E8)+IF(AND(J9=1,J10=1),F9-E10)+IF(AND(J9=1,J11=1),G9-E11)+IF(AND(J9=2,J7=2),C9-E7)+IF(AND(J9=2,J8=2),D9-E8)+IF(AND(J9=2,J10=2),F9-E10)+IF(AND(J9=2,J11=2),G9-E11)+IF(AND(J9=3,J7=3),C9-E7)+IF(AND(J9=3,J8=3),D9-E8)+IF(AND(J9=3,J10=3),F9-E10)+IF(AND(J9=3,J11=3),G9-E11)</f>
        <v>0</v>
      </c>
      <c r="M9" s="668">
        <f t="shared" si="5"/>
        <v>20000</v>
      </c>
      <c r="N9" s="569"/>
      <c r="O9" s="186"/>
      <c r="P9" s="186"/>
      <c r="Q9" s="140"/>
      <c r="R9" s="512">
        <f t="shared" si="6"/>
        <v>148</v>
      </c>
      <c r="S9" s="514" t="str">
        <f t="shared" si="0"/>
        <v>Elmo Lageda</v>
      </c>
      <c r="T9" s="515">
        <f>IFERROR(INDEX(V!$O:$O,MATCH(S9,V!$J:$J,0)),"")</f>
        <v>76</v>
      </c>
      <c r="U9" s="514" t="str">
        <f t="shared" si="1"/>
        <v>Mait Metsla, Urmas Jõeäär</v>
      </c>
      <c r="V9" s="515" t="str">
        <f>IFERROR(INDEX(V!$O:$O,MATCH(U9,V!$J:$J,0)),"")</f>
        <v/>
      </c>
      <c r="W9" s="516" t="str">
        <f t="shared" si="2"/>
        <v>Mait Metsla</v>
      </c>
      <c r="X9" s="515">
        <f>IFERROR(INDEX(V!$O:$O,MATCH(W9,V!$J:$J,0)),"")</f>
        <v>59</v>
      </c>
      <c r="Y9" s="516" t="str">
        <f t="shared" si="3"/>
        <v>Urmas Jõeäär</v>
      </c>
      <c r="Z9" s="515">
        <f>IFERROR(INDEX(V!$O:$O,MATCH(Y9,V!$J:$J,0)),"")</f>
        <v>13</v>
      </c>
      <c r="AA9" s="188"/>
      <c r="AB9" s="188"/>
      <c r="AC9" s="188"/>
      <c r="AD9" s="188"/>
      <c r="AE9" s="188"/>
      <c r="AF9" s="188"/>
      <c r="AG9" s="188"/>
    </row>
    <row r="10" spans="1:33" x14ac:dyDescent="0.2">
      <c r="A10" s="126">
        <v>4</v>
      </c>
      <c r="B10" s="582" t="s">
        <v>588</v>
      </c>
      <c r="C10" s="93">
        <v>11</v>
      </c>
      <c r="D10" s="548">
        <v>8</v>
      </c>
      <c r="E10" s="93">
        <v>10</v>
      </c>
      <c r="F10" s="127"/>
      <c r="G10" s="128"/>
      <c r="H10" s="576" t="str">
        <f>(IF(C10-F7&gt;0,1)+IF(D10-F8&gt;0,1)+IF(E10-F9&gt;0,1)+IF(G10-F11&gt;0,1))&amp;"-"&amp;(IF(C10-F7&lt;0,1)+IF(D10-F8&lt;0,1)+IF(E10-F9&lt;0,1)+IF(G10-F11&lt;0,1))</f>
        <v>0-3</v>
      </c>
      <c r="I10" s="93" t="str">
        <f t="shared" ref="I10:I11" si="7">IF(AND(B10&lt;&gt;"",M$6=TRUE),A$6&amp;RANK(M10,M$7:M$11,0),"")</f>
        <v>A4</v>
      </c>
      <c r="J10" s="584">
        <f t="shared" si="4"/>
        <v>0</v>
      </c>
      <c r="K10" s="653">
        <f>IF(AND(J10=1,J7=1,C10&gt;F7),1)+IF(AND(J10=1,J8=1,D10&gt;F8),1)+IF(AND(J10=1,J9=1,E10&gt;F9),1)+IF(AND(J10=1,J11=1,G10&gt;F11),1)+IF(AND(J10=2,J7=2,C10&gt;F7),1)+IF(AND(J10=2,J8=2,D10&gt;F8),1)+IF(AND(J10=2,J9=2,E10&gt;F9),1)+IF(AND(J10=2,J11=2,G10&gt;F11),1)+IF(AND(J10=3,J7=3,C10&gt;F7),1)+IF(AND(J10=3,J8=3,D10&gt;F8),1)+IF(AND(J10=3,J9=3,E10&gt;F9),1)+IF(AND(J10=3,J11=3,G10&gt;F11),1)</f>
        <v>0</v>
      </c>
      <c r="L10" s="652">
        <f>IF(AND(J10=1,J7=1),C10-F7)+IF(AND(J10=1,J8=1),D10-F8)+IF(AND(J10=1,J9=1),E10-F9)+IF(AND(J10=1,J11=1),G10-F11)+IF(AND(J10=2,J7=2),C10-F7)+IF(AND(J10=2,J8=2),D10-F8)+IF(AND(J10=2,J9=2),E10-F9)+IF(AND(J10=2,J11=2),G10-F11)+IF(AND(J10=3,J7=3),C10-F7)+IF(AND(J10=3,J8=3),D10-F8)+IF(AND(J10=3,J9=3),E10-F9)+IF(AND(J10=3,J11=3),G10-F11)</f>
        <v>0</v>
      </c>
      <c r="M10" s="668">
        <f t="shared" si="5"/>
        <v>0</v>
      </c>
      <c r="N10" s="569"/>
      <c r="O10" s="186"/>
      <c r="P10" s="186"/>
      <c r="Q10" s="140"/>
      <c r="R10" s="512">
        <f t="shared" si="6"/>
        <v>164</v>
      </c>
      <c r="S10" s="514" t="str">
        <f t="shared" si="0"/>
        <v>Enn Tokman</v>
      </c>
      <c r="T10" s="515">
        <f>IFERROR(INDEX(V!$O:$O,MATCH(S10,V!$J:$J,0)),"")</f>
        <v>41</v>
      </c>
      <c r="U10" s="514" t="str">
        <f t="shared" si="1"/>
        <v>Kati Tuzberg, Ülo Piik</v>
      </c>
      <c r="V10" s="515" t="str">
        <f>IFERROR(INDEX(V!$O:$O,MATCH(U10,V!$J:$J,0)),"")</f>
        <v/>
      </c>
      <c r="W10" s="516" t="str">
        <f t="shared" si="2"/>
        <v>Kati Tuzberg</v>
      </c>
      <c r="X10" s="515">
        <f>IFERROR(INDEX(V!$O:$O,MATCH(W10,V!$J:$J,0)),"")</f>
        <v>61</v>
      </c>
      <c r="Y10" s="516" t="str">
        <f t="shared" si="3"/>
        <v>Ülo Piik</v>
      </c>
      <c r="Z10" s="515">
        <f>IFERROR(INDEX(V!$O:$O,MATCH(Y10,V!$J:$J,0)),"")</f>
        <v>62</v>
      </c>
      <c r="AA10" s="188"/>
      <c r="AB10" s="188"/>
      <c r="AC10" s="188"/>
      <c r="AD10" s="188"/>
      <c r="AE10" s="188"/>
      <c r="AF10" s="188"/>
      <c r="AG10" s="188"/>
    </row>
    <row r="11" spans="1:33" hidden="1" x14ac:dyDescent="0.2">
      <c r="A11" s="126">
        <v>5</v>
      </c>
      <c r="B11" s="582"/>
      <c r="C11" s="93"/>
      <c r="D11" s="93"/>
      <c r="E11" s="93"/>
      <c r="F11" s="93"/>
      <c r="G11" s="127"/>
      <c r="H11" s="576" t="str">
        <f>(IF(C11-G7&gt;0,1)+IF(D11-G8&gt;0,1)+IF(E11-G9&gt;0,1)+IF(F11-G10&gt;0,1))&amp;"-"&amp;(IF(C11-G7&lt;0,1)+IF(D11-G8&lt;0,1)+IF(E11-G9&lt;0,1)+IF(F11-G10&lt;0,1))</f>
        <v>0-0</v>
      </c>
      <c r="I11" s="93" t="str">
        <f t="shared" si="7"/>
        <v/>
      </c>
      <c r="J11" s="584">
        <f t="shared" si="4"/>
        <v>0</v>
      </c>
      <c r="K11" s="653">
        <f>IF(AND(J11=1,J7=1,C11&gt;G7),1)+IF(AND(J11=1,J8=1,D11&gt;G8),1)+IF(AND(J11=1,J9=1,E11&gt;G9),1)+IF(AND(J11=1,J10=1,F11&gt;G10),1)+IF(AND(J11=2,J7=2,C11&gt;G7),1)+IF(AND(J11=2,J8=2,D11&gt;G8),1)+IF(AND(J11=2,J9=2,E11&gt;G9),1)+IF(AND(J11=2,J10=2,F11&gt;G10),1)+IF(AND(J11=3,J7=3,C11&gt;G7),1)+IF(AND(J11=3,J8=3,D11&gt;G8),1)+IF(AND(J11=3,J9=3,E11&gt;G9),1)+IF(AND(J11=3,J10=3,F11&gt;G10),1)</f>
        <v>0</v>
      </c>
      <c r="L11" s="652">
        <f>IF(AND(J11=1,J7=1),C11-G7)+IF(AND(J11=1,J8=1),D11-G8)+IF(AND(J11=1,J9=1),E11-G9)+IF(AND(J11=1,J10=1),F11-G10)+IF(AND(J11=2,J7=2),C11-G7)+IF(AND(J11=2,J8=2),D11-G8)+IF(AND(J11=2,J9=2),E11-G9)+IF(AND(J11=2,J10=2),F11-G10)+IF(AND(J11=3,J7=3),C11-G7)+IF(AND(J11=3,J8=3),D11-G8)+IF(AND(J11=3,J9=3),E11-G9)+IF(AND(J11=3,J10=3),F11-G10)</f>
        <v>0</v>
      </c>
      <c r="M11" s="668">
        <f t="shared" si="5"/>
        <v>0</v>
      </c>
      <c r="N11" s="569"/>
      <c r="O11" s="186"/>
      <c r="P11" s="186"/>
      <c r="Q11" s="140"/>
      <c r="R11" s="512">
        <f t="shared" si="6"/>
        <v>0</v>
      </c>
      <c r="S11" s="514" t="str">
        <f t="shared" si="0"/>
        <v/>
      </c>
      <c r="T11" s="515" t="str">
        <f>IFERROR(INDEX(V!$O:$O,MATCH(S11,V!$J:$J,0)),"")</f>
        <v/>
      </c>
      <c r="U11" s="514" t="str">
        <f t="shared" si="1"/>
        <v/>
      </c>
      <c r="V11" s="515" t="str">
        <f>IFERROR(INDEX(V!$O:$O,MATCH(U11,V!$J:$J,0)),"")</f>
        <v/>
      </c>
      <c r="W11" s="516" t="str">
        <f t="shared" si="2"/>
        <v/>
      </c>
      <c r="X11" s="515" t="str">
        <f>IFERROR(INDEX(V!$O:$O,MATCH(W11,V!$J:$J,0)),"")</f>
        <v/>
      </c>
      <c r="Y11" s="516" t="str">
        <f t="shared" si="3"/>
        <v/>
      </c>
      <c r="Z11" s="515" t="str">
        <f>IFERROR(INDEX(V!$O:$O,MATCH(Y11,V!$J:$J,0)),"")</f>
        <v/>
      </c>
      <c r="AA11" s="188"/>
      <c r="AB11" s="188"/>
      <c r="AC11" s="188"/>
      <c r="AD11" s="188"/>
      <c r="AE11" s="188"/>
      <c r="AF11" s="188"/>
      <c r="AG11" s="188"/>
    </row>
    <row r="12" spans="1:33" x14ac:dyDescent="0.2">
      <c r="A12" s="121"/>
      <c r="B12" s="677"/>
      <c r="C12" s="96"/>
      <c r="D12" s="312"/>
      <c r="E12" s="96"/>
      <c r="F12" s="97"/>
      <c r="G12" s="188"/>
      <c r="H12" s="402"/>
      <c r="I12" s="580"/>
      <c r="J12" s="585"/>
      <c r="K12" s="654"/>
      <c r="L12" s="655"/>
      <c r="M12" s="585"/>
      <c r="N12" s="569"/>
      <c r="O12" s="186"/>
      <c r="P12" s="186"/>
      <c r="Q12" s="139"/>
      <c r="R12" s="186"/>
      <c r="S12" s="186"/>
      <c r="T12" s="186"/>
      <c r="U12" s="186"/>
      <c r="V12" s="186"/>
      <c r="W12" s="186"/>
      <c r="X12" s="186"/>
      <c r="Y12" s="186"/>
      <c r="Z12" s="186"/>
      <c r="AB12" s="188"/>
      <c r="AC12" s="188"/>
      <c r="AD12" s="188"/>
      <c r="AE12" s="188"/>
      <c r="AF12" s="188"/>
      <c r="AG12" s="188"/>
    </row>
    <row r="13" spans="1:33" x14ac:dyDescent="0.2">
      <c r="A13" s="126" t="s">
        <v>90</v>
      </c>
      <c r="B13" s="438"/>
      <c r="C13" s="91">
        <v>1</v>
      </c>
      <c r="D13" s="91">
        <v>2</v>
      </c>
      <c r="E13" s="91">
        <v>3</v>
      </c>
      <c r="F13" s="91">
        <v>4</v>
      </c>
      <c r="G13" s="91"/>
      <c r="H13" s="438" t="s">
        <v>73</v>
      </c>
      <c r="I13" s="438" t="s">
        <v>46</v>
      </c>
      <c r="J13" s="586" t="s">
        <v>273</v>
      </c>
      <c r="K13" s="649" t="s">
        <v>273</v>
      </c>
      <c r="L13" s="656" t="s">
        <v>430</v>
      </c>
      <c r="M13" s="588" t="b">
        <f>OR(AND(COUNTA(B14:B18)=3,COUNTA(C14:G18)=6),AND(COUNTA(B14:B18)=4,COUNTA(C14:G18)=12),AND(COUNTA(B14:B18)=5,COUNTA(C14:G18)=20))</f>
        <v>1</v>
      </c>
      <c r="N13" s="186"/>
      <c r="O13" s="186"/>
      <c r="P13" s="186"/>
      <c r="Q13" s="139"/>
      <c r="R13" s="186"/>
      <c r="S13" s="186"/>
      <c r="T13" s="186"/>
      <c r="U13" s="186"/>
      <c r="V13" s="186"/>
      <c r="W13" s="186"/>
      <c r="X13" s="186"/>
      <c r="Y13" s="186"/>
      <c r="Z13" s="186"/>
      <c r="AB13" s="186"/>
      <c r="AC13" s="186"/>
      <c r="AD13" s="186"/>
      <c r="AE13" s="186"/>
      <c r="AF13" s="186"/>
      <c r="AG13" s="186"/>
    </row>
    <row r="14" spans="1:33" x14ac:dyDescent="0.2">
      <c r="A14" s="126">
        <v>1</v>
      </c>
      <c r="B14" s="581" t="s">
        <v>589</v>
      </c>
      <c r="C14" s="127"/>
      <c r="D14" s="93">
        <v>9</v>
      </c>
      <c r="E14" s="93">
        <v>13</v>
      </c>
      <c r="F14" s="93">
        <v>13</v>
      </c>
      <c r="G14" s="93"/>
      <c r="H14" s="576" t="str">
        <f>(IF(D14-C15&gt;0,1)+IF(E14-C16&gt;0,1)+IF(F14-C17&gt;0,1)+IF(G14-C18&gt;0,1))&amp;"-"&amp;(IF(D14-C15&lt;0,1)+IF(E14-C16&lt;0,1)+IF(F14-C17&lt;0,1)+IF(G14-C18&lt;0,1))</f>
        <v>2-1</v>
      </c>
      <c r="I14" s="93" t="str">
        <f t="shared" ref="I14:I18" si="8">IF(AND(B14&lt;&gt;"",M$13=TRUE),A$13&amp;RANK(M14,M$14:M$18,0),"")</f>
        <v>B1</v>
      </c>
      <c r="J14" s="584">
        <f>VALUE(LEFT(H14,1))</f>
        <v>2</v>
      </c>
      <c r="K14" s="651">
        <f>IF(AND(J14=1,J15=1,D14&gt;C15),1)+IF(AND(J14=1,J16=1,E14&gt;C16),1)+IF(AND(J14=1,J17=1,F14&gt;C17),1)+IF(AND(J14=1,J18=1,G14&gt;C18),1)+IF(AND(J14=2,J15=2,D14&gt;C15),1)+IF(AND(J14=2,J16=2,E14&gt;C16),1)+IF(AND(J14=2,J17=2,F14&gt;C17),1)+IF(AND(J14=2,J18=2,G14&gt;C18),1)+IF(AND(J14=3,J15=3,D14&gt;C15),1)+IF(AND(J14=3,J16=3,E14&gt;C16),1)+IF(AND(J14=3,J17=3,F14&gt;C17),1)+IF(AND(J14=3,J18=3,G14&gt;C18),1)</f>
        <v>1</v>
      </c>
      <c r="L14" s="652"/>
      <c r="M14" s="668">
        <f>10000*J14+K14*100+L14</f>
        <v>20100</v>
      </c>
      <c r="N14" s="1303" t="s">
        <v>312</v>
      </c>
      <c r="O14" s="517"/>
      <c r="P14" s="186"/>
      <c r="Q14" s="139"/>
      <c r="R14" s="512">
        <f t="shared" ref="R14" si="9">SUM(T14:Z14)</f>
        <v>141</v>
      </c>
      <c r="S14" s="514" t="str">
        <f t="shared" si="0"/>
        <v>Boriss Klubov</v>
      </c>
      <c r="T14" s="515">
        <f>IFERROR(INDEX(V!$O:$O,MATCH(S14,V!$J:$J,0)),"")</f>
        <v>89</v>
      </c>
      <c r="U14" s="514" t="str">
        <f t="shared" si="1"/>
        <v>Janek Tarto, Taavi Press</v>
      </c>
      <c r="V14" s="515" t="str">
        <f>IFERROR(INDEX(V!$O:$O,MATCH(U14,V!$J:$J,0)),"")</f>
        <v/>
      </c>
      <c r="W14" s="516" t="str">
        <f t="shared" si="2"/>
        <v>Janek Tarto</v>
      </c>
      <c r="X14" s="515">
        <f>IFERROR(INDEX(V!$O:$O,MATCH(W14,V!$J:$J,0)),"")</f>
        <v>8</v>
      </c>
      <c r="Y14" s="516" t="str">
        <f t="shared" si="3"/>
        <v>Taavi Press</v>
      </c>
      <c r="Z14" s="515">
        <f>IFERROR(INDEX(V!$O:$O,MATCH(Y14,V!$J:$J,0)),"")</f>
        <v>44</v>
      </c>
      <c r="AA14" s="186"/>
      <c r="AB14" s="186"/>
      <c r="AC14" s="186"/>
      <c r="AD14" s="186"/>
      <c r="AE14" s="186"/>
      <c r="AF14" s="186"/>
      <c r="AG14" s="186"/>
    </row>
    <row r="15" spans="1:33" x14ac:dyDescent="0.2">
      <c r="A15" s="126">
        <v>2</v>
      </c>
      <c r="B15" s="581" t="s">
        <v>590</v>
      </c>
      <c r="C15" s="93">
        <v>13</v>
      </c>
      <c r="D15" s="127"/>
      <c r="E15" s="93">
        <v>12</v>
      </c>
      <c r="F15" s="93">
        <v>4</v>
      </c>
      <c r="G15" s="93"/>
      <c r="H15" s="576" t="str">
        <f>(IF(C15-D14&gt;0,1)+IF(E15-D16&gt;0,1)+IF(F15-D17&gt;0,1)+IF(G15-D18&gt;0,1))&amp;"-"&amp;(IF(C15-D14&lt;0,1)+IF(E15-D16&lt;0,1)+IF(F15-D17&lt;0,1)+IF(G15-D18&lt;0,1))</f>
        <v>1-2</v>
      </c>
      <c r="I15" s="93" t="str">
        <f t="shared" si="8"/>
        <v>B4</v>
      </c>
      <c r="J15" s="584">
        <f t="shared" ref="J15:J18" si="10">VALUE(LEFT(H15,1))</f>
        <v>1</v>
      </c>
      <c r="K15" s="653">
        <f>IF(AND(J15=1,J14=1,C15&gt;D14),1)+IF(AND(J15=1,J16=1,E15&gt;D16),1)+IF(AND(J15=1,J17=1,F15&gt;D17),1)+IF(AND(J15=1,J18=1,G15&gt;D18),1)+IF(AND(J15=2,J14=2,C15&gt;D14),1)+IF(AND(J15=2,J16=2,E15&gt;D16),1)+IF(AND(J15=2,J17=2,F15&gt;D17),1)+IF(AND(J15=2,J18=2,G15&gt;D18),1)+IF(AND(J15=3,J14=3,C15&gt;D14),1)+IF(AND(J15=3,J16=3,E15&gt;D16),1)+IF(AND(J15=3,J17=3,F15&gt;D17),1)+IF(AND(J15=3,J18=3,G15&gt;D18),1)</f>
        <v>0</v>
      </c>
      <c r="L15" s="652">
        <f>IF(AND(J15=1,J14=1),C15-D14)+IF(AND(J15=1,J16=1),E15-D16)+IF(AND(J15=1,J17=1),F15-D17)+IF(AND(J15=1,J18=1),G15-D18)+IF(AND(J15=2,J14=2),C15-D14)+IF(AND(J15=2,J16=2),E15-D16)+IF(AND(J15=2,J17=2),F15-D17)+IF(AND(J15=2,J18=2),G15-D18)+IF(AND(J15=3,J14=3),C15-D14)+IF(AND(J15=3,J16=3),E15-D16)+IF(AND(J15=3,J17=3),F15-D17)+IF(AND(J15=3,J18=3),G15-D18)</f>
        <v>-1</v>
      </c>
      <c r="M15" s="668">
        <f t="shared" ref="M15:M18" si="11">10000*J15+K15*100+L15</f>
        <v>9999</v>
      </c>
      <c r="N15" s="1304" t="s">
        <v>230</v>
      </c>
      <c r="O15" s="186"/>
      <c r="P15" s="186"/>
      <c r="Q15" s="139"/>
      <c r="R15" s="512">
        <f t="shared" ref="R15:R18" si="12">SUM(T15:Z15)</f>
        <v>195.5</v>
      </c>
      <c r="S15" s="514" t="str">
        <f t="shared" si="0"/>
        <v>Illar Tõnurist</v>
      </c>
      <c r="T15" s="515">
        <f>IFERROR(INDEX(V!$O:$O,MATCH(S15,V!$J:$J,0)),"")</f>
        <v>41</v>
      </c>
      <c r="U15" s="514" t="str">
        <f t="shared" si="1"/>
        <v>Jaan Sepp, Klavdia Piik</v>
      </c>
      <c r="V15" s="515" t="str">
        <f>IFERROR(INDEX(V!$O:$O,MATCH(U15,V!$J:$J,0)),"")</f>
        <v/>
      </c>
      <c r="W15" s="516" t="str">
        <f t="shared" si="2"/>
        <v>Jaan Sepp</v>
      </c>
      <c r="X15" s="515">
        <f>IFERROR(INDEX(V!$O:$O,MATCH(W15,V!$J:$J,0)),"")</f>
        <v>82.5</v>
      </c>
      <c r="Y15" s="516" t="str">
        <f t="shared" si="3"/>
        <v>Klavdia Piik</v>
      </c>
      <c r="Z15" s="515">
        <f>IFERROR(INDEX(V!$O:$O,MATCH(Y15,V!$J:$J,0)),"")</f>
        <v>72</v>
      </c>
      <c r="AA15" s="186"/>
      <c r="AB15" s="186"/>
      <c r="AC15" s="186"/>
      <c r="AD15" s="186"/>
      <c r="AE15" s="186"/>
      <c r="AF15" s="186"/>
      <c r="AG15" s="186"/>
    </row>
    <row r="16" spans="1:33" x14ac:dyDescent="0.2">
      <c r="A16" s="126">
        <v>3</v>
      </c>
      <c r="B16" s="581" t="s">
        <v>591</v>
      </c>
      <c r="C16" s="93">
        <v>8</v>
      </c>
      <c r="D16" s="548">
        <v>13</v>
      </c>
      <c r="E16" s="127"/>
      <c r="F16" s="93">
        <v>10</v>
      </c>
      <c r="G16" s="93"/>
      <c r="H16" s="576" t="str">
        <f>(IF(C16-E14&gt;0,1)+IF(D16-E15&gt;0,1)+IF(F16-E17&gt;0,1)+IF(G16-E18&gt;0,1))&amp;"-"&amp;(IF(C16-E14&lt;0,1)+IF(D16-E15&lt;0,1)+IF(F16-E17&lt;0,1)+IF(G16-E18&lt;0,1))</f>
        <v>1-2</v>
      </c>
      <c r="I16" s="93" t="str">
        <f t="shared" si="8"/>
        <v>B3</v>
      </c>
      <c r="J16" s="584">
        <f t="shared" si="10"/>
        <v>1</v>
      </c>
      <c r="K16" s="653">
        <f>IF(AND(J16=1,J14=1,C16&gt;E14),1)+IF(AND(J16=1,J15=1,D16&gt;E15),1)+IF(AND(J16=1,J17=1,F16&gt;E17),1)+IF(AND(J16=1,J18=1,G16&gt;E18),1)+IF(AND(J16=2,J14=2,C16&gt;E14),1)+IF(AND(J16=2,J15=2,D16&gt;E15),1)+IF(AND(J16=2,J17=2,F16&gt;E17),1)+IF(AND(J16=2,J18=2,G16&gt;E18),1)+IF(AND(J16=3,J14=3,C16&gt;E14),1)+IF(AND(J16=3,J15=3,D16&gt;E15),1)+IF(AND(J16=3,J17=3,F16&gt;E17),1)+IF(AND(J16=3,J18=3,G16&gt;E18),1)</f>
        <v>1</v>
      </c>
      <c r="L16" s="652">
        <f>IF(AND(J16=1,J14=1),C16-E14)+IF(AND(J16=1,J15=1),D16-E15)+IF(AND(J16=1,J17=1),F16-E17)+IF(AND(J16=1,J18=1),G16-E18)+IF(AND(J16=2,J14=2),C16-E14)+IF(AND(J16=2,J15=2),D16-E15)+IF(AND(J16=2,J17=2),F16-E17)+IF(AND(J16=2,J18=2),G16-E18)+IF(AND(J16=3,J14=3),C16-E14)+IF(AND(J16=3,J15=3),D16-E15)+IF(AND(J16=3,J17=3),F16-E17)+IF(AND(J16=3,J18=3),G16-E18)</f>
        <v>1</v>
      </c>
      <c r="M16" s="668">
        <f t="shared" si="11"/>
        <v>10101</v>
      </c>
      <c r="N16" s="1304" t="s">
        <v>312</v>
      </c>
      <c r="O16" s="186"/>
      <c r="P16" s="186"/>
      <c r="Q16" s="139"/>
      <c r="R16" s="512">
        <f t="shared" si="12"/>
        <v>152</v>
      </c>
      <c r="S16" s="514" t="str">
        <f t="shared" si="0"/>
        <v>Henri Mitt</v>
      </c>
      <c r="T16" s="515">
        <f>IFERROR(INDEX(V!$O:$O,MATCH(S16,V!$J:$J,0)),"")</f>
        <v>55</v>
      </c>
      <c r="U16" s="514" t="str">
        <f t="shared" si="1"/>
        <v>Tõnu Piik, Vladimir Ogneštšikov</v>
      </c>
      <c r="V16" s="515" t="str">
        <f>IFERROR(INDEX(V!$O:$O,MATCH(U16,V!$J:$J,0)),"")</f>
        <v/>
      </c>
      <c r="W16" s="516" t="str">
        <f t="shared" si="2"/>
        <v>Tõnu Piik</v>
      </c>
      <c r="X16" s="515">
        <f>IFERROR(INDEX(V!$O:$O,MATCH(W16,V!$J:$J,0)),"")</f>
        <v>73</v>
      </c>
      <c r="Y16" s="516" t="str">
        <f t="shared" si="3"/>
        <v>Vladimir Ogneštšikov</v>
      </c>
      <c r="Z16" s="515">
        <f>IFERROR(INDEX(V!$O:$O,MATCH(Y16,V!$J:$J,0)),"")</f>
        <v>24</v>
      </c>
      <c r="AA16" s="186"/>
      <c r="AB16" s="186"/>
      <c r="AC16" s="186"/>
      <c r="AD16" s="186"/>
      <c r="AE16" s="186"/>
      <c r="AF16" s="186"/>
      <c r="AG16" s="186"/>
    </row>
    <row r="17" spans="1:33" x14ac:dyDescent="0.2">
      <c r="A17" s="126">
        <v>4</v>
      </c>
      <c r="B17" s="581" t="s">
        <v>592</v>
      </c>
      <c r="C17" s="93">
        <v>11</v>
      </c>
      <c r="D17" s="548">
        <v>13</v>
      </c>
      <c r="E17" s="93">
        <v>13</v>
      </c>
      <c r="F17" s="127"/>
      <c r="G17" s="128"/>
      <c r="H17" s="576" t="str">
        <f>(IF(C17-F14&gt;0,1)+IF(D17-F15&gt;0,1)+IF(E17-F16&gt;0,1)+IF(G17-F18&gt;0,1))&amp;"-"&amp;(IF(C17-F14&lt;0,1)+IF(D17-F15&lt;0,1)+IF(E17-F16&lt;0,1)+IF(G17-F18&lt;0,1))</f>
        <v>2-1</v>
      </c>
      <c r="I17" s="93" t="str">
        <f t="shared" si="8"/>
        <v>B2</v>
      </c>
      <c r="J17" s="584">
        <f t="shared" si="10"/>
        <v>2</v>
      </c>
      <c r="K17" s="653">
        <f>IF(AND(J17=1,J14=1,C17&gt;F14),1)+IF(AND(J17=1,J15=1,D17&gt;F15),1)+IF(AND(J17=1,J16=1,E17&gt;F16),1)+IF(AND(J17=1,J18=1,G17&gt;F18),1)+IF(AND(J17=2,J14=2,C17&gt;F14),1)+IF(AND(J17=2,J15=2,D17&gt;F15),1)+IF(AND(J17=2,J16=2,E17&gt;F16),1)+IF(AND(J17=2,J18=2,G17&gt;F18),1)+IF(AND(J17=3,J14=3,C17&gt;F14),1)+IF(AND(J17=3,J15=3,D17&gt;F15),1)+IF(AND(J17=3,J16=3,E17&gt;F16),1)+IF(AND(J17=3,J18=3,G17&gt;F18),1)</f>
        <v>0</v>
      </c>
      <c r="L17" s="652">
        <f>IF(AND(J17=1,J14=1),C17-F14)+IF(AND(J17=1,J15=1),D17-F15)+IF(AND(J17=1,J16=1),E17-F16)+IF(AND(J17=1,J18=1),G17-F18)+IF(AND(J17=2,J14=2),C17-F14)+IF(AND(J17=2,J15=2),D17-F15)+IF(AND(J17=2,J16=2),E17-F16)+IF(AND(J17=2,J18=2),G17-F18)+IF(AND(J17=3,J14=3),C17-F14)+IF(AND(J17=3,J15=3),D17-F15)+IF(AND(J17=3,J16=3),E17-F16)+IF(AND(J17=3,J18=3),G17-F18)</f>
        <v>-2</v>
      </c>
      <c r="M17" s="668">
        <f t="shared" si="11"/>
        <v>19998</v>
      </c>
      <c r="N17" s="1303" t="s">
        <v>230</v>
      </c>
      <c r="O17" s="186"/>
      <c r="P17" s="186"/>
      <c r="Q17" s="139"/>
      <c r="R17" s="512">
        <f t="shared" si="12"/>
        <v>124.5</v>
      </c>
      <c r="S17" s="514" t="str">
        <f t="shared" si="0"/>
        <v>Karla Purgats</v>
      </c>
      <c r="T17" s="515">
        <f>IFERROR(INDEX(V!$O:$O,MATCH(S17,V!$J:$J,0)),"")</f>
        <v>66</v>
      </c>
      <c r="U17" s="514" t="str">
        <f t="shared" si="1"/>
        <v>Melika Lehtla, Oskar Sepp</v>
      </c>
      <c r="V17" s="515" t="str">
        <f>IFERROR(INDEX(V!$O:$O,MATCH(U17,V!$J:$J,0)),"")</f>
        <v/>
      </c>
      <c r="W17" s="516" t="str">
        <f t="shared" si="2"/>
        <v>Melika Lehtla</v>
      </c>
      <c r="X17" s="515">
        <f>IFERROR(INDEX(V!$O:$O,MATCH(W17,V!$J:$J,0)),"")</f>
        <v>2</v>
      </c>
      <c r="Y17" s="516" t="str">
        <f t="shared" si="3"/>
        <v>Oskar Sepp</v>
      </c>
      <c r="Z17" s="515">
        <f>IFERROR(INDEX(V!$O:$O,MATCH(Y17,V!$J:$J,0)),"")</f>
        <v>56.5</v>
      </c>
      <c r="AA17" s="186"/>
      <c r="AB17" s="186"/>
      <c r="AC17" s="186"/>
      <c r="AD17" s="186"/>
      <c r="AE17" s="186"/>
      <c r="AF17" s="186"/>
      <c r="AG17" s="186"/>
    </row>
    <row r="18" spans="1:33" hidden="1" x14ac:dyDescent="0.2">
      <c r="A18" s="126">
        <v>5</v>
      </c>
      <c r="B18" s="582"/>
      <c r="C18" s="93"/>
      <c r="D18" s="93"/>
      <c r="E18" s="93"/>
      <c r="F18" s="93"/>
      <c r="G18" s="127"/>
      <c r="H18" s="576" t="str">
        <f>(IF(C18-G14&gt;0,1)+IF(D18-G15&gt;0,1)+IF(E18-G16&gt;0,1)+IF(F18-G17&gt;0,1))&amp;"-"&amp;(IF(C18-G14&lt;0,1)+IF(D18-G15&lt;0,1)+IF(E18-G16&lt;0,1)+IF(F18-G17&lt;0,1))</f>
        <v>0-0</v>
      </c>
      <c r="I18" s="93" t="str">
        <f t="shared" si="8"/>
        <v/>
      </c>
      <c r="J18" s="584">
        <f t="shared" si="10"/>
        <v>0</v>
      </c>
      <c r="K18" s="653">
        <f>IF(AND(J18=1,J14=1,C18&gt;G14),1)+IF(AND(J18=1,J15=1,D18&gt;G15),1)+IF(AND(J18=1,J16=1,E18&gt;G16),1)+IF(AND(J18=1,J17=1,F18&gt;G17),1)+IF(AND(J18=2,J14=2,C18&gt;G14),1)+IF(AND(J18=2,J15=2,D18&gt;G15),1)+IF(AND(J18=2,J16=2,E18&gt;G16),1)+IF(AND(J18=2,J17=2,F18&gt;G17),1)+IF(AND(J18=3,J14=3,C18&gt;G14),1)+IF(AND(J18=3,J15=3,D18&gt;G15),1)+IF(AND(J18=3,J16=3,E18&gt;G16),1)+IF(AND(J18=3,J17=3,F18&gt;G17),1)</f>
        <v>0</v>
      </c>
      <c r="L18" s="652">
        <f>IF(AND(J18=1,J14=1),C18-G14)+IF(AND(J18=1,J15=1),D18-G15)+IF(AND(J18=1,J16=1),E18-G16)+IF(AND(J18=1,J17=1),F18-G17)+IF(AND(J18=2,J14=2),C18-G14)+IF(AND(J18=2,J15=2),D18-G15)+IF(AND(J18=2,J16=2),E18-G16)+IF(AND(J18=2,J17=2),F18-G17)+IF(AND(J18=3,J14=3),C18-G14)+IF(AND(J18=3,J15=3),D18-G15)+IF(AND(J18=3,J16=3),E18-G16)+IF(AND(J18=3,J17=3),F18-G17)</f>
        <v>0</v>
      </c>
      <c r="M18" s="668">
        <f t="shared" si="11"/>
        <v>0</v>
      </c>
      <c r="N18" s="186"/>
      <c r="O18" s="186"/>
      <c r="P18" s="186"/>
      <c r="Q18" s="139"/>
      <c r="R18" s="512">
        <f t="shared" si="12"/>
        <v>0</v>
      </c>
      <c r="S18" s="514" t="str">
        <f t="shared" si="0"/>
        <v/>
      </c>
      <c r="T18" s="515" t="str">
        <f>IFERROR(INDEX(V!$O:$O,MATCH(S18,V!$J:$J,0)),"")</f>
        <v/>
      </c>
      <c r="U18" s="514" t="str">
        <f t="shared" si="1"/>
        <v/>
      </c>
      <c r="V18" s="515" t="str">
        <f>IFERROR(INDEX(V!$O:$O,MATCH(U18,V!$J:$J,0)),"")</f>
        <v/>
      </c>
      <c r="W18" s="516" t="str">
        <f t="shared" si="2"/>
        <v/>
      </c>
      <c r="X18" s="515" t="str">
        <f>IFERROR(INDEX(V!$O:$O,MATCH(W18,V!$J:$J,0)),"")</f>
        <v/>
      </c>
      <c r="Y18" s="516" t="str">
        <f t="shared" si="3"/>
        <v/>
      </c>
      <c r="Z18" s="515" t="str">
        <f>IFERROR(INDEX(V!$O:$O,MATCH(Y18,V!$J:$J,0)),"")</f>
        <v/>
      </c>
      <c r="AA18" s="186"/>
      <c r="AB18" s="186"/>
      <c r="AC18" s="186"/>
      <c r="AD18" s="186"/>
      <c r="AE18" s="186"/>
      <c r="AF18" s="186"/>
      <c r="AG18" s="186"/>
    </row>
    <row r="19" spans="1:33" hidden="1" x14ac:dyDescent="0.2">
      <c r="A19" s="121"/>
      <c r="B19" s="677"/>
      <c r="C19" s="96"/>
      <c r="D19" s="312"/>
      <c r="E19" s="96"/>
      <c r="F19" s="97"/>
      <c r="G19" s="188"/>
      <c r="H19" s="402"/>
      <c r="I19" s="580"/>
      <c r="J19" s="585"/>
      <c r="K19" s="657"/>
      <c r="L19" s="655"/>
      <c r="M19" s="585"/>
      <c r="N19" s="186"/>
      <c r="O19" s="186"/>
      <c r="P19" s="186"/>
      <c r="Q19" s="139"/>
      <c r="R19" s="186"/>
      <c r="S19" s="186"/>
      <c r="T19" s="186"/>
      <c r="U19" s="186"/>
      <c r="V19" s="186"/>
      <c r="W19" s="186"/>
      <c r="X19" s="186"/>
      <c r="Y19" s="186"/>
      <c r="Z19" s="186"/>
      <c r="AB19" s="188"/>
      <c r="AC19" s="188"/>
      <c r="AD19" s="188"/>
      <c r="AE19" s="188"/>
      <c r="AF19" s="188"/>
      <c r="AG19" s="188"/>
    </row>
    <row r="20" spans="1:33" hidden="1" x14ac:dyDescent="0.2">
      <c r="A20" s="126" t="s">
        <v>166</v>
      </c>
      <c r="B20" s="438"/>
      <c r="C20" s="91">
        <v>1</v>
      </c>
      <c r="D20" s="91">
        <v>2</v>
      </c>
      <c r="E20" s="91">
        <v>3</v>
      </c>
      <c r="F20" s="91">
        <v>4</v>
      </c>
      <c r="G20" s="91"/>
      <c r="H20" s="438" t="s">
        <v>73</v>
      </c>
      <c r="I20" s="438" t="s">
        <v>46</v>
      </c>
      <c r="J20" s="586" t="s">
        <v>273</v>
      </c>
      <c r="K20" s="649" t="s">
        <v>273</v>
      </c>
      <c r="L20" s="656" t="s">
        <v>430</v>
      </c>
      <c r="M20" s="588" t="b">
        <f>OR(AND(COUNTA(B21:B25)=3,COUNTA(C21:G25)=6),AND(COUNTA(B21:B25)=4,COUNTA(C21:G25)=12),AND(COUNTA(B21:B25)=5,COUNTA(C21:G25)=20))</f>
        <v>0</v>
      </c>
      <c r="N20" s="186"/>
      <c r="O20" s="186"/>
      <c r="P20" s="186"/>
      <c r="Q20" s="139"/>
      <c r="R20" s="186"/>
      <c r="S20" s="186"/>
      <c r="T20" s="186"/>
      <c r="U20" s="186"/>
      <c r="V20" s="186"/>
      <c r="W20" s="186"/>
      <c r="X20" s="186"/>
      <c r="Y20" s="186"/>
      <c r="Z20" s="186"/>
      <c r="AB20" s="186"/>
      <c r="AC20" s="186"/>
      <c r="AD20" s="186"/>
      <c r="AE20" s="186"/>
      <c r="AF20" s="186"/>
      <c r="AG20" s="186"/>
    </row>
    <row r="21" spans="1:33" hidden="1" x14ac:dyDescent="0.2">
      <c r="A21" s="126">
        <v>1</v>
      </c>
      <c r="B21" s="582"/>
      <c r="C21" s="127"/>
      <c r="D21" s="93"/>
      <c r="E21" s="93"/>
      <c r="F21" s="93"/>
      <c r="G21" s="93"/>
      <c r="H21" s="576" t="str">
        <f>(IF(D21-C22&gt;0,1)+IF(E21-C23&gt;0,1)+IF(F21-C24&gt;0,1)+IF(G21-C25&gt;0,1))&amp;"-"&amp;(IF(D21-C22&lt;0,1)+IF(E21-C23&lt;0,1)+IF(F21-C24&lt;0,1)+IF(G21-C25&lt;0,1))</f>
        <v>0-0</v>
      </c>
      <c r="I21" s="93" t="str">
        <f>IF(AND(B21&lt;&gt;"",M$20=TRUE),A$20&amp;RANK(M21,M$21:M$25,0),"")</f>
        <v/>
      </c>
      <c r="J21" s="584">
        <f>VALUE(LEFT(H21,1))</f>
        <v>0</v>
      </c>
      <c r="K21" s="651">
        <f>IF(AND(J21=1,J22=1,D21&gt;C22),1)+IF(AND(J21=1,J23=1,E21&gt;C23),1)+IF(AND(J21=1,J24=1,F21&gt;C24),1)+IF(AND(J21=1,J25=1,G21&gt;C25),1)+IF(AND(J21=2,J22=2,D21&gt;C22),1)+IF(AND(J21=2,J23=2,E21&gt;C23),1)+IF(AND(J21=2,J24=2,F21&gt;C24),1)+IF(AND(J21=2,J25=2,G21&gt;C25),1)+IF(AND(J21=3,J22=3,D21&gt;C22),1)+IF(AND(J21=3,J23=3,E21&gt;C23),1)+IF(AND(J21=3,J24=3,F21&gt;C24),1)+IF(AND(J21=3,J25=3,G21&gt;C25),1)</f>
        <v>0</v>
      </c>
      <c r="L21" s="652">
        <f>IF(AND(J21=1,J22=1),D21-C22)+IF(AND(J21=1,J23=1),E21-C23)+IF(AND(J21=1,J24=1),F21-C24)+IF(AND(J21=1,J25=1),G21-C25)+IF(AND(J21=2,J22=2),D21-C22)+IF(AND(J21=2,J23=2),E21-C23)+IF(AND(J21=2,J24=2),F21-C24)+IF(AND(J21=2,J25=2),G21-C25)+IF(AND(J21=3,J22=3),D21-C22)+IF(AND(J21=3,J23=3),E21-C23)+IF(AND(J21=3,J24=3),F21-C24)+IF(AND(J21=3,J25=3),G21-C25)</f>
        <v>0</v>
      </c>
      <c r="M21" s="668">
        <f>10000*J21+K21*100+L21</f>
        <v>0</v>
      </c>
      <c r="N21" s="186"/>
      <c r="O21" s="186"/>
      <c r="P21" s="186"/>
      <c r="Q21" s="139"/>
      <c r="R21" s="512">
        <f t="shared" ref="R21" si="13">SUM(T21:Z21)</f>
        <v>0</v>
      </c>
      <c r="S21" s="514" t="str">
        <f t="shared" si="0"/>
        <v/>
      </c>
      <c r="T21" s="515" t="str">
        <f>IFERROR(INDEX(V!$O:$O,MATCH(S21,V!$J:$J,0)),"")</f>
        <v/>
      </c>
      <c r="U21" s="514" t="str">
        <f t="shared" si="1"/>
        <v/>
      </c>
      <c r="V21" s="515" t="str">
        <f>IFERROR(INDEX(V!$O:$O,MATCH(U21,V!$J:$J,0)),"")</f>
        <v/>
      </c>
      <c r="W21" s="516" t="str">
        <f t="shared" si="2"/>
        <v/>
      </c>
      <c r="X21" s="515" t="str">
        <f>IFERROR(INDEX(V!$O:$O,MATCH(W21,V!$J:$J,0)),"")</f>
        <v/>
      </c>
      <c r="Y21" s="516" t="str">
        <f t="shared" si="3"/>
        <v/>
      </c>
      <c r="Z21" s="515" t="str">
        <f>IFERROR(INDEX(V!$O:$O,MATCH(Y21,V!$J:$J,0)),"")</f>
        <v/>
      </c>
      <c r="AA21" s="186"/>
      <c r="AB21" s="186"/>
      <c r="AC21" s="186"/>
      <c r="AD21" s="186"/>
      <c r="AE21" s="186"/>
      <c r="AF21" s="186"/>
      <c r="AG21" s="186"/>
    </row>
    <row r="22" spans="1:33" hidden="1" x14ac:dyDescent="0.2">
      <c r="A22" s="126">
        <v>2</v>
      </c>
      <c r="B22" s="581"/>
      <c r="C22" s="93"/>
      <c r="D22" s="127"/>
      <c r="E22" s="93"/>
      <c r="F22" s="93"/>
      <c r="G22" s="93"/>
      <c r="H22" s="576" t="str">
        <f>(IF(C22-D21&gt;0,1)+IF(E22-D23&gt;0,1)+IF(F22-D24&gt;0,1)+IF(G22-D25&gt;0,1))&amp;"-"&amp;(IF(C22-D21&lt;0,1)+IF(E22-D23&lt;0,1)+IF(F22-D24&lt;0,1)+IF(G22-D25&lt;0,1))</f>
        <v>0-0</v>
      </c>
      <c r="I22" s="93" t="str">
        <f>IF(AND(B22&lt;&gt;"",M$20=TRUE),A$20&amp;RANK(M22,M$21:M$25,0),"")</f>
        <v/>
      </c>
      <c r="J22" s="584">
        <f t="shared" ref="J22:J25" si="14">VALUE(LEFT(H22,1))</f>
        <v>0</v>
      </c>
      <c r="K22" s="653">
        <f>IF(AND(J22=1,J21=1,C22&gt;D21),1)+IF(AND(J22=1,J23=1,E22&gt;D23),1)+IF(AND(J22=1,J24=1,F22&gt;D24),1)+IF(AND(J22=1,J25=1,G22&gt;D25),1)+IF(AND(J22=2,J21=2,C22&gt;D21),1)+IF(AND(J22=2,J23=2,E22&gt;D23),1)+IF(AND(J22=2,J24=2,F22&gt;D24),1)+IF(AND(J22=2,J25=2,G22&gt;D25),1)+IF(AND(J22=3,J21=3,C22&gt;D21),1)+IF(AND(J22=3,J23=3,E22&gt;D23),1)+IF(AND(J22=3,J24=3,F22&gt;D24),1)+IF(AND(J22=3,J25=3,G22&gt;D25),1)</f>
        <v>0</v>
      </c>
      <c r="L22" s="652">
        <f>IF(AND(J22=1,J21=1),C22-D21)+IF(AND(J22=1,J23=1),E22-D23)+IF(AND(J22=1,J24=1),F22-D24)+IF(AND(J22=1,J25=1),G22-D25)+IF(AND(J22=2,J21=2),C22-D21)+IF(AND(J22=2,J23=2),E22-D23)+IF(AND(J22=2,J24=2),F22-D24)+IF(AND(J22=2,J25=2),G22-D25)+IF(AND(J22=3,J21=3),C22-D21)+IF(AND(J22=3,J23=3),E22-D23)+IF(AND(J22=3,J24=3),F22-D24)+IF(AND(J22=3,J25=3),G22-D25)</f>
        <v>0</v>
      </c>
      <c r="M22" s="668">
        <f t="shared" ref="M22:M25" si="15">10000*J22+K22*100+L22</f>
        <v>0</v>
      </c>
      <c r="N22" s="186"/>
      <c r="O22" s="186"/>
      <c r="P22" s="186"/>
      <c r="Q22" s="139"/>
      <c r="R22" s="512">
        <f t="shared" ref="R22:R25" si="16">SUM(T22:Z22)</f>
        <v>0</v>
      </c>
      <c r="S22" s="514" t="str">
        <f t="shared" si="0"/>
        <v/>
      </c>
      <c r="T22" s="515" t="str">
        <f>IFERROR(INDEX(V!$O:$O,MATCH(S22,V!$J:$J,0)),"")</f>
        <v/>
      </c>
      <c r="U22" s="514" t="str">
        <f t="shared" si="1"/>
        <v/>
      </c>
      <c r="V22" s="515" t="str">
        <f>IFERROR(INDEX(V!$O:$O,MATCH(U22,V!$J:$J,0)),"")</f>
        <v/>
      </c>
      <c r="W22" s="516" t="str">
        <f t="shared" si="2"/>
        <v/>
      </c>
      <c r="X22" s="515" t="str">
        <f>IFERROR(INDEX(V!$O:$O,MATCH(W22,V!$J:$J,0)),"")</f>
        <v/>
      </c>
      <c r="Y22" s="516" t="str">
        <f t="shared" si="3"/>
        <v/>
      </c>
      <c r="Z22" s="515" t="str">
        <f>IFERROR(INDEX(V!$O:$O,MATCH(Y22,V!$J:$J,0)),"")</f>
        <v/>
      </c>
      <c r="AA22" s="186"/>
      <c r="AB22" s="186"/>
      <c r="AC22" s="186"/>
      <c r="AD22" s="186"/>
      <c r="AE22" s="186"/>
      <c r="AF22" s="186"/>
      <c r="AG22" s="186"/>
    </row>
    <row r="23" spans="1:33" hidden="1" x14ac:dyDescent="0.2">
      <c r="A23" s="126">
        <v>3</v>
      </c>
      <c r="B23" s="581"/>
      <c r="C23" s="93"/>
      <c r="D23" s="548"/>
      <c r="E23" s="127"/>
      <c r="F23" s="93"/>
      <c r="G23" s="93"/>
      <c r="H23" s="576" t="str">
        <f>(IF(C23-E21&gt;0,1)+IF(D23-E22&gt;0,1)+IF(F23-E24&gt;0,1)+IF(G23-E25&gt;0,1))&amp;"-"&amp;(IF(C23-E21&lt;0,1)+IF(D23-E22&lt;0,1)+IF(F23-E24&lt;0,1)+IF(G23-E25&lt;0,1))</f>
        <v>0-0</v>
      </c>
      <c r="I23" s="93" t="str">
        <f>IF(AND(B23&lt;&gt;"",M$20=TRUE),A$20&amp;RANK(M23,M$21:M$25,0),"")</f>
        <v/>
      </c>
      <c r="J23" s="584">
        <f t="shared" si="14"/>
        <v>0</v>
      </c>
      <c r="K23" s="653">
        <f>IF(AND(J23=1,J21=1,C23&gt;E21),1)+IF(AND(J23=1,J22=1,D23&gt;E22),1)+IF(AND(J23=1,J24=1,F23&gt;E24),1)+IF(AND(J23=1,J25=1,G23&gt;E25),1)+IF(AND(J23=2,J21=2,C23&gt;E21),1)+IF(AND(J23=2,J22=2,D23&gt;E22),1)+IF(AND(J23=2,J24=2,F23&gt;E24),1)+IF(AND(J23=2,J25=2,G23&gt;E25),1)+IF(AND(J23=3,J21=3,C23&gt;E21),1)+IF(AND(J23=3,J22=3,D23&gt;E22),1)+IF(AND(J23=3,J24=3,F23&gt;E24),1)+IF(AND(J23=3,J25=3,G23&gt;E25),1)</f>
        <v>0</v>
      </c>
      <c r="L23" s="652">
        <f>IF(AND(J23=1,J21=1),C23-E21)+IF(AND(J23=1,J22=1),D23-E22)+IF(AND(J23=1,J24=1),F23-E24)+IF(AND(J23=1,J25=1),G23-E25)+IF(AND(J23=2,J21=2),C23-E21)+IF(AND(J23=2,J22=2),D23-E22)+IF(AND(J23=2,J24=2),F23-E24)+IF(AND(J23=2,J25=2),G23-E25)+IF(AND(J23=3,J21=3),C23-E21)+IF(AND(J23=3,J22=3),D23-E22)+IF(AND(J23=3,J24=3),F23-E24)+IF(AND(J23=3,J25=3),G23-E25)</f>
        <v>0</v>
      </c>
      <c r="M23" s="668">
        <f t="shared" si="15"/>
        <v>0</v>
      </c>
      <c r="N23" s="186"/>
      <c r="O23" s="186"/>
      <c r="P23" s="186"/>
      <c r="Q23" s="139"/>
      <c r="R23" s="512">
        <f t="shared" si="16"/>
        <v>0</v>
      </c>
      <c r="S23" s="514" t="str">
        <f t="shared" si="0"/>
        <v/>
      </c>
      <c r="T23" s="515" t="str">
        <f>IFERROR(INDEX(V!$O:$O,MATCH(S23,V!$J:$J,0)),"")</f>
        <v/>
      </c>
      <c r="U23" s="514" t="str">
        <f t="shared" si="1"/>
        <v/>
      </c>
      <c r="V23" s="515" t="str">
        <f>IFERROR(INDEX(V!$O:$O,MATCH(U23,V!$J:$J,0)),"")</f>
        <v/>
      </c>
      <c r="W23" s="516" t="str">
        <f t="shared" si="2"/>
        <v/>
      </c>
      <c r="X23" s="515" t="str">
        <f>IFERROR(INDEX(V!$O:$O,MATCH(W23,V!$J:$J,0)),"")</f>
        <v/>
      </c>
      <c r="Y23" s="516" t="str">
        <f t="shared" si="3"/>
        <v/>
      </c>
      <c r="Z23" s="515" t="str">
        <f>IFERROR(INDEX(V!$O:$O,MATCH(Y23,V!$J:$J,0)),"")</f>
        <v/>
      </c>
      <c r="AA23" s="186"/>
      <c r="AB23" s="186"/>
      <c r="AC23" s="186"/>
      <c r="AD23" s="186"/>
      <c r="AE23" s="186"/>
      <c r="AF23" s="186"/>
      <c r="AG23" s="186"/>
    </row>
    <row r="24" spans="1:33" hidden="1" x14ac:dyDescent="0.2">
      <c r="A24" s="126">
        <v>4</v>
      </c>
      <c r="B24" s="739"/>
      <c r="C24" s="93"/>
      <c r="D24" s="548"/>
      <c r="E24" s="93"/>
      <c r="F24" s="127"/>
      <c r="G24" s="128"/>
      <c r="H24" s="576" t="str">
        <f>(IF(C24-F21&gt;0,1)+IF(D24-F22&gt;0,1)+IF(E24-F23&gt;0,1)+IF(G24-F25&gt;0,1))&amp;"-"&amp;(IF(C24-F21&lt;0,1)+IF(D24-F22&lt;0,1)+IF(E24-F23&lt;0,1)+IF(G24-F25&lt;0,1))</f>
        <v>0-0</v>
      </c>
      <c r="I24" s="93" t="str">
        <f>IF(AND(B24&lt;&gt;"",M$20=TRUE),A$20&amp;RANK(M24,M$21:M$25,0),"")</f>
        <v/>
      </c>
      <c r="J24" s="584">
        <f t="shared" si="14"/>
        <v>0</v>
      </c>
      <c r="K24" s="653">
        <f>IF(AND(J24=1,J21=1,C24&gt;F21),1)+IF(AND(J24=1,J22=1,D24&gt;F22),1)+IF(AND(J24=1,J23=1,E24&gt;F23),1)+IF(AND(J24=1,J25=1,G24&gt;F25),1)+IF(AND(J24=2,J21=2,C24&gt;F21),1)+IF(AND(J24=2,J22=2,D24&gt;F22),1)+IF(AND(J24=2,J23=2,E24&gt;F23),1)+IF(AND(J24=2,J25=2,G24&gt;F25),1)+IF(AND(J24=3,J21=3,C24&gt;F21),1)+IF(AND(J24=3,J22=3,D24&gt;F22),1)+IF(AND(J24=3,J23=3,E24&gt;F23),1)+IF(AND(J24=3,J25=3,G24&gt;F25),1)</f>
        <v>0</v>
      </c>
      <c r="L24" s="652">
        <f>IF(AND(J24=1,J21=1),C24-F21)+IF(AND(J24=1,J22=1),D24-F22)+IF(AND(J24=1,J23=1),E24-F23)+IF(AND(J24=1,J25=1),G24-F25)+IF(AND(J24=2,J21=2),C24-F21)+IF(AND(J24=2,J22=2),D24-F22)+IF(AND(J24=2,J23=2),E24-F23)+IF(AND(J24=2,J25=2),G24-F25)+IF(AND(J24=3,J21=3),C24-F21)+IF(AND(J24=3,J22=3),D24-F22)+IF(AND(J24=3,J23=3),E24-F23)+IF(AND(J24=3,J25=3),G24-F25)</f>
        <v>0</v>
      </c>
      <c r="M24" s="668">
        <f t="shared" si="15"/>
        <v>0</v>
      </c>
      <c r="N24" s="186"/>
      <c r="O24" s="186"/>
      <c r="P24" s="186"/>
      <c r="Q24" s="139"/>
      <c r="R24" s="512">
        <f t="shared" si="16"/>
        <v>0</v>
      </c>
      <c r="S24" s="514" t="str">
        <f t="shared" si="0"/>
        <v/>
      </c>
      <c r="T24" s="515" t="str">
        <f>IFERROR(INDEX(V!$O:$O,MATCH(S24,V!$J:$J,0)),"")</f>
        <v/>
      </c>
      <c r="U24" s="514" t="str">
        <f t="shared" si="1"/>
        <v/>
      </c>
      <c r="V24" s="515" t="str">
        <f>IFERROR(INDEX(V!$O:$O,MATCH(U24,V!$J:$J,0)),"")</f>
        <v/>
      </c>
      <c r="W24" s="516" t="str">
        <f t="shared" si="2"/>
        <v/>
      </c>
      <c r="X24" s="515" t="str">
        <f>IFERROR(INDEX(V!$O:$O,MATCH(W24,V!$J:$J,0)),"")</f>
        <v/>
      </c>
      <c r="Y24" s="516" t="str">
        <f t="shared" si="3"/>
        <v/>
      </c>
      <c r="Z24" s="515" t="str">
        <f>IFERROR(INDEX(V!$O:$O,MATCH(Y24,V!$J:$J,0)),"")</f>
        <v/>
      </c>
      <c r="AA24" s="186"/>
      <c r="AB24" s="186"/>
      <c r="AC24" s="186"/>
      <c r="AD24" s="186"/>
      <c r="AE24" s="186"/>
      <c r="AF24" s="186"/>
      <c r="AG24" s="186"/>
    </row>
    <row r="25" spans="1:33" hidden="1" x14ac:dyDescent="0.2">
      <c r="A25" s="126">
        <v>5</v>
      </c>
      <c r="B25" s="582"/>
      <c r="C25" s="93"/>
      <c r="D25" s="93"/>
      <c r="E25" s="93"/>
      <c r="F25" s="93"/>
      <c r="G25" s="93"/>
      <c r="H25" s="576" t="str">
        <f>(IF(C25-G21&gt;0,1)+IF(D25-G22&gt;0,1)+IF(E25-G23&gt;0,1)+IF(F25-G24&gt;0,1))&amp;"-"&amp;(IF(C25-G21&lt;0,1)+IF(D25-G22&lt;0,1)+IF(E25-G23&lt;0,1)+IF(F25-G24&lt;0,1))</f>
        <v>0-0</v>
      </c>
      <c r="I25" s="93" t="str">
        <f>IF(AND(B25&lt;&gt;"",M$20=TRUE),A$20&amp;RANK(M25,M$21:M$25,0),"")</f>
        <v/>
      </c>
      <c r="J25" s="584">
        <f t="shared" si="14"/>
        <v>0</v>
      </c>
      <c r="K25" s="653">
        <f>IF(AND(J25=1,J21=1,C25&gt;G21),1)+IF(AND(J25=1,J22=1,D25&gt;G22),1)+IF(AND(J25=1,J23=1,E25&gt;G23),1)+IF(AND(J25=1,J24=1,F25&gt;G24),1)+IF(AND(J25=2,J21=2,C25&gt;G21),1)+IF(AND(J25=2,J22=2,D25&gt;G22),1)+IF(AND(J25=2,J23=2,E25&gt;G23),1)+IF(AND(J25=2,J24=2,F25&gt;G24),1)+IF(AND(J25=3,J21=3,C25&gt;G21),1)+IF(AND(J25=3,J22=3,D25&gt;G22),1)+IF(AND(J25=3,J23=3,E25&gt;G23),1)+IF(AND(J25=3,J24=3,F25&gt;G24),1)</f>
        <v>0</v>
      </c>
      <c r="L25" s="652">
        <f>IF(AND(J25=1,J21=1),C25-G21)+IF(AND(J25=1,J22=1),D25-G22)+IF(AND(J25=1,J23=1),E25-G23)+IF(AND(J25=1,J24=1),F25-G24)+IF(AND(J25=2,J21=2),C25-G21)+IF(AND(J25=2,J22=2),D25-G22)+IF(AND(J25=2,J23=2),E25-G23)+IF(AND(J25=2,J24=2),F25-G24)+IF(AND(J25=3,J21=3),C25-G21)+IF(AND(J25=3,J22=3),D25-G22)+IF(AND(J25=3,J23=3),E25-G23)+IF(AND(J25=3,J24=3),F25-G24)</f>
        <v>0</v>
      </c>
      <c r="M25" s="668">
        <f t="shared" si="15"/>
        <v>0</v>
      </c>
      <c r="N25" s="186"/>
      <c r="O25" s="186"/>
      <c r="P25" s="186"/>
      <c r="Q25" s="139"/>
      <c r="R25" s="512">
        <f t="shared" si="16"/>
        <v>0</v>
      </c>
      <c r="S25" s="514" t="str">
        <f t="shared" si="0"/>
        <v/>
      </c>
      <c r="T25" s="515" t="str">
        <f>IFERROR(INDEX(V!$O:$O,MATCH(S25,V!$J:$J,0)),"")</f>
        <v/>
      </c>
      <c r="U25" s="514" t="str">
        <f t="shared" si="1"/>
        <v/>
      </c>
      <c r="V25" s="515" t="str">
        <f>IFERROR(INDEX(V!$O:$O,MATCH(U25,V!$J:$J,0)),"")</f>
        <v/>
      </c>
      <c r="W25" s="516" t="str">
        <f t="shared" si="2"/>
        <v/>
      </c>
      <c r="X25" s="515" t="str">
        <f>IFERROR(INDEX(V!$O:$O,MATCH(W25,V!$J:$J,0)),"")</f>
        <v/>
      </c>
      <c r="Y25" s="516" t="str">
        <f t="shared" si="3"/>
        <v/>
      </c>
      <c r="Z25" s="515" t="str">
        <f>IFERROR(INDEX(V!$O:$O,MATCH(Y25,V!$J:$J,0)),"")</f>
        <v/>
      </c>
      <c r="AA25" s="186"/>
      <c r="AB25" s="186"/>
      <c r="AC25" s="186"/>
      <c r="AD25" s="186"/>
      <c r="AE25" s="186"/>
      <c r="AF25" s="186"/>
      <c r="AG25" s="186"/>
    </row>
    <row r="26" spans="1:33" hidden="1" x14ac:dyDescent="0.2">
      <c r="A26" s="87"/>
      <c r="B26" s="407"/>
      <c r="C26" s="309"/>
      <c r="D26" s="309"/>
      <c r="E26" s="309"/>
      <c r="F26" s="186"/>
      <c r="G26" s="186"/>
      <c r="H26" s="589"/>
      <c r="I26" s="590"/>
      <c r="J26" s="591"/>
      <c r="K26" s="654"/>
      <c r="L26" s="658"/>
      <c r="M26" s="591"/>
      <c r="N26" s="186"/>
      <c r="O26" s="186"/>
      <c r="P26" s="186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B26" s="186"/>
      <c r="AC26" s="186"/>
      <c r="AD26" s="186"/>
      <c r="AE26" s="186"/>
      <c r="AF26" s="186"/>
      <c r="AG26" s="186"/>
    </row>
    <row r="27" spans="1:33" hidden="1" x14ac:dyDescent="0.2">
      <c r="A27" s="126" t="s">
        <v>323</v>
      </c>
      <c r="B27" s="438"/>
      <c r="C27" s="91">
        <v>1</v>
      </c>
      <c r="D27" s="91">
        <v>2</v>
      </c>
      <c r="E27" s="91">
        <v>3</v>
      </c>
      <c r="F27" s="91">
        <v>4</v>
      </c>
      <c r="G27" s="91"/>
      <c r="H27" s="438" t="s">
        <v>73</v>
      </c>
      <c r="I27" s="438" t="s">
        <v>46</v>
      </c>
      <c r="J27" s="586" t="s">
        <v>273</v>
      </c>
      <c r="K27" s="649" t="s">
        <v>273</v>
      </c>
      <c r="L27" s="656" t="s">
        <v>430</v>
      </c>
      <c r="M27" s="588" t="b">
        <f>OR(AND(COUNTA(B28:B32)=3,COUNTA(C28:G32)=6),AND(COUNTA(B28:B32)=4,COUNTA(C28:G32)=12),AND(COUNTA(B28:B32)=5,COUNTA(C28:G32)=20))</f>
        <v>0</v>
      </c>
      <c r="N27" s="186"/>
      <c r="O27" s="186"/>
      <c r="P27" s="186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88"/>
      <c r="AD27" s="188"/>
      <c r="AE27" s="188"/>
      <c r="AF27" s="188"/>
      <c r="AG27" s="188"/>
    </row>
    <row r="28" spans="1:33" hidden="1" x14ac:dyDescent="0.2">
      <c r="A28" s="126">
        <v>1</v>
      </c>
      <c r="B28" s="581"/>
      <c r="C28" s="127"/>
      <c r="D28" s="93"/>
      <c r="E28" s="93"/>
      <c r="F28" s="93"/>
      <c r="G28" s="128"/>
      <c r="H28" s="576" t="str">
        <f>(IF(D28-C29&gt;0,1)+IF(E28-C30&gt;0,1)+IF(F28-C31&gt;0,1)+IF(G28-C32&gt;0,1))&amp;"-"&amp;(IF(D28-C29&lt;0,1)+IF(E28-C30&lt;0,1)+IF(F28-C31&lt;0,1)+IF(G28-C32&lt;0,1))</f>
        <v>0-0</v>
      </c>
      <c r="I28" s="93" t="str">
        <f t="shared" ref="I28:I32" si="17">IF(AND(B28&lt;&gt;"",M$27=TRUE),A$27&amp;RANK(M28,M$28:M$32,0),"")</f>
        <v/>
      </c>
      <c r="J28" s="584">
        <f>VALUE(LEFT(H28,1))</f>
        <v>0</v>
      </c>
      <c r="K28" s="651">
        <f>IF(AND(J28=1,J29=1,D28&gt;C29),1)+IF(AND(J28=1,J30=1,E28&gt;C30),1)+IF(AND(J28=1,J31=1,F28&gt;C31),1)+IF(AND(J28=1,J32=1,G28&gt;C32),1)+IF(AND(J28=2,J29=2,D28&gt;C29),1)+IF(AND(J28=2,J30=2,E28&gt;C30),1)+IF(AND(J28=2,J31=2,F28&gt;C31),1)+IF(AND(J28=2,J32=2,G28&gt;C32),1)+IF(AND(J28=3,J29=3,D28&gt;C29),1)+IF(AND(J28=3,J30=3,E28&gt;C30),1)+IF(AND(J28=3,J31=3,F28&gt;C31),1)+IF(AND(J28=3,J32=3,G28&gt;C32),1)</f>
        <v>0</v>
      </c>
      <c r="L28" s="652">
        <f>IF(AND(J28=1,J29=1),D28-C29)+IF(AND(J28=1,J30=1),E28-C30)+IF(AND(J28=1,J31=1),F28-C31)+IF(AND(J28=1,J32=1),G28-C32)+IF(AND(J28=2,J29=2),D28-C29)+IF(AND(J28=2,J30=2),E28-C30)+IF(AND(J28=2,J31=2),F28-C31)+IF(AND(J28=2,J32=2),G28-C32)+IF(AND(J28=3,J29=3),D28-C29)+IF(AND(J28=3,J30=3),E28-C30)+IF(AND(J28=3,J31=3),F28-C31)+IF(AND(J28=3,J32=3),G28-C32)</f>
        <v>0</v>
      </c>
      <c r="M28" s="668">
        <f>10000*J28+K28*100+L28</f>
        <v>0</v>
      </c>
      <c r="N28" s="186"/>
      <c r="O28" s="517"/>
      <c r="P28" s="186"/>
      <c r="Q28" s="139"/>
      <c r="R28" s="512">
        <f t="shared" ref="R28" si="18">SUM(T28:Z28)</f>
        <v>0</v>
      </c>
      <c r="S28" s="514" t="str">
        <f t="shared" si="0"/>
        <v/>
      </c>
      <c r="T28" s="515" t="str">
        <f>IFERROR(INDEX(V!$O:$O,MATCH(S28,V!$J:$J,0)),"")</f>
        <v/>
      </c>
      <c r="U28" s="514" t="str">
        <f t="shared" si="1"/>
        <v/>
      </c>
      <c r="V28" s="515" t="str">
        <f>IFERROR(INDEX(V!$O:$O,MATCH(U28,V!$J:$J,0)),"")</f>
        <v/>
      </c>
      <c r="W28" s="516" t="str">
        <f t="shared" si="2"/>
        <v/>
      </c>
      <c r="X28" s="515" t="str">
        <f>IFERROR(INDEX(V!$O:$O,MATCH(W28,V!$J:$J,0)),"")</f>
        <v/>
      </c>
      <c r="Y28" s="516" t="str">
        <f>IFERROR(MID(#REF!,FIND(", ",#REF!,FIND(", ",#REF!,FIND(", ",#REF!))+1)+2,30000),"")</f>
        <v/>
      </c>
      <c r="Z28" s="515" t="str">
        <f>IFERROR(INDEX(V!$O:$O,MATCH(Y28,V!$J:$J,0)),"")</f>
        <v/>
      </c>
      <c r="AA28" s="139"/>
      <c r="AB28" s="139"/>
      <c r="AC28" s="188"/>
      <c r="AD28" s="188"/>
      <c r="AE28" s="188"/>
      <c r="AF28" s="188"/>
      <c r="AG28" s="188"/>
    </row>
    <row r="29" spans="1:33" hidden="1" x14ac:dyDescent="0.2">
      <c r="A29" s="126">
        <v>2</v>
      </c>
      <c r="B29" s="581"/>
      <c r="C29" s="131"/>
      <c r="D29" s="127"/>
      <c r="E29" s="93"/>
      <c r="F29" s="93"/>
      <c r="G29" s="128"/>
      <c r="H29" s="576" t="str">
        <f>(IF(C29-D28&gt;0,1)+IF(E29-D30&gt;0,1)+IF(F29-D31&gt;0,1)+IF(G29-D32&gt;0,1))&amp;"-"&amp;(IF(C29-D28&lt;0,1)+IF(E29-D30&lt;0,1)+IF(F29-D31&lt;0,1)+IF(G29-D32&lt;0,1))</f>
        <v>0-0</v>
      </c>
      <c r="I29" s="93" t="str">
        <f t="shared" si="17"/>
        <v/>
      </c>
      <c r="J29" s="584">
        <f t="shared" ref="J29:J32" si="19">VALUE(LEFT(H29,1))</f>
        <v>0</v>
      </c>
      <c r="K29" s="653">
        <f>IF(AND(J29=1,J28=1,C29&gt;D28),1)+IF(AND(J29=1,J30=1,E29&gt;D30),1)+IF(AND(J29=1,J31=1,F29&gt;D31),1)+IF(AND(J29=1,J32=1,G29&gt;D32),1)+IF(AND(J29=2,J28=2,C29&gt;D28),1)+IF(AND(J29=2,J30=2,E29&gt;D30),1)+IF(AND(J29=2,J31=2,F29&gt;D31),1)+IF(AND(J29=2,J32=2,G29&gt;D32),1)+IF(AND(J29=3,J28=3,C29&gt;D28),1)+IF(AND(J29=3,J30=3,E29&gt;D30),1)+IF(AND(J29=3,J31=3,F29&gt;D31),1)+IF(AND(J29=3,J32=3,G29&gt;D32),1)</f>
        <v>0</v>
      </c>
      <c r="L29" s="652">
        <f>IF(AND(J29=1,J28=1),C29-D28)+IF(AND(J29=1,J30=1),E29-D30)+IF(AND(J29=1,J31=1),F29-D31)+IF(AND(J29=1,J32=1),G29-D32)+IF(AND(J29=2,J28=2),C29-D28)+IF(AND(J29=2,J30=2),E29-D30)+IF(AND(J29=2,J31=2),F29-D31)+IF(AND(J29=2,J32=2),G29-D32)+IF(AND(J29=3,J28=3),C29-D28)+IF(AND(J29=3,J30=3),E29-D30)+IF(AND(J29=3,J31=3),F29-D31)+IF(AND(J29=3,J32=3),G29-D32)</f>
        <v>0</v>
      </c>
      <c r="M29" s="668">
        <f t="shared" ref="M29:M32" si="20">10000*J29+K29*100+L29</f>
        <v>0</v>
      </c>
      <c r="N29" s="186"/>
      <c r="O29" s="517"/>
      <c r="P29" s="186"/>
      <c r="Q29" s="139"/>
      <c r="R29" s="512">
        <f t="shared" ref="R29:R32" si="21">SUM(T29:Z29)</f>
        <v>0</v>
      </c>
      <c r="S29" s="514" t="str">
        <f t="shared" si="0"/>
        <v/>
      </c>
      <c r="T29" s="515" t="str">
        <f>IFERROR(INDEX(V!$O:$O,MATCH(S29,V!$J:$J,0)),"")</f>
        <v/>
      </c>
      <c r="U29" s="514" t="str">
        <f t="shared" si="1"/>
        <v/>
      </c>
      <c r="V29" s="515" t="str">
        <f>IFERROR(INDEX(V!$O:$O,MATCH(U29,V!$J:$J,0)),"")</f>
        <v/>
      </c>
      <c r="W29" s="516" t="str">
        <f t="shared" si="2"/>
        <v/>
      </c>
      <c r="X29" s="515" t="str">
        <f>IFERROR(INDEX(V!$O:$O,MATCH(W29,V!$J:$J,0)),"")</f>
        <v/>
      </c>
      <c r="Y29" s="516" t="str">
        <f>IFERROR(MID(#REF!,FIND(", ",#REF!,FIND(", ",#REF!,FIND(", ",#REF!))+1)+2,30000),"")</f>
        <v/>
      </c>
      <c r="Z29" s="515" t="str">
        <f>IFERROR(INDEX(V!$O:$O,MATCH(Y29,V!$J:$J,0)),"")</f>
        <v/>
      </c>
      <c r="AA29" s="139"/>
      <c r="AB29" s="139"/>
      <c r="AC29" s="188"/>
      <c r="AD29" s="188"/>
      <c r="AE29" s="188"/>
      <c r="AF29" s="188"/>
      <c r="AG29" s="188"/>
    </row>
    <row r="30" spans="1:33" hidden="1" x14ac:dyDescent="0.2">
      <c r="A30" s="126">
        <v>3</v>
      </c>
      <c r="B30" s="189"/>
      <c r="C30" s="93"/>
      <c r="D30" s="548"/>
      <c r="E30" s="127"/>
      <c r="F30" s="93"/>
      <c r="G30" s="128"/>
      <c r="H30" s="576" t="str">
        <f>(IF(C30-E28&gt;0,1)+IF(D30-E29&gt;0,1)+IF(F30-E31&gt;0,1)+IF(G30-E32&gt;0,1))&amp;"-"&amp;(IF(C30-E28&lt;0,1)+IF(D30-E29&lt;0,1)+IF(F30-E31&lt;0,1)+IF(G30-E32&lt;0,1))</f>
        <v>0-0</v>
      </c>
      <c r="I30" s="93" t="str">
        <f t="shared" si="17"/>
        <v/>
      </c>
      <c r="J30" s="584">
        <f t="shared" si="19"/>
        <v>0</v>
      </c>
      <c r="K30" s="653">
        <f>IF(AND(J30=1,J28=1,C30&gt;E28),1)+IF(AND(J30=1,J29=1,D30&gt;E29),1)+IF(AND(J30=1,J31=1,F30&gt;E31),1)+IF(AND(J30=1,J32=1,G30&gt;E32),1)+IF(AND(J30=2,J28=2,C30&gt;E28),1)+IF(AND(J30=2,J29=2,D30&gt;E29),1)+IF(AND(J30=2,J31=2,F30&gt;E31),1)+IF(AND(J30=2,J32=2,G30&gt;E32),1)+IF(AND(J30=3,J28=3,C30&gt;E28),1)+IF(AND(J30=3,J29=3,D30&gt;E29),1)+IF(AND(J30=3,J31=3,F30&gt;E31),1)+IF(AND(J30=3,J32=3,G30&gt;E32),1)</f>
        <v>0</v>
      </c>
      <c r="L30" s="652">
        <f>IF(AND(J30=1,J28=1),C30-E28)+IF(AND(J30=1,J29=1),D30-E29)+IF(AND(J30=1,J31=1),F30-E31)+IF(AND(J30=1,J32=1),G30-E32)+IF(AND(J30=2,J28=2),C30-E28)+IF(AND(J30=2,J29=2),D30-E29)+IF(AND(J30=2,J31=2),F30-E31)+IF(AND(J30=2,J32=2),G30-E32)+IF(AND(J30=3,J28=3),C30-E28)+IF(AND(J30=3,J29=3),D30-E29)+IF(AND(J30=3,J31=3),F30-E31)+IF(AND(J30=3,J32=3),G30-E32)</f>
        <v>0</v>
      </c>
      <c r="M30" s="668">
        <f t="shared" si="20"/>
        <v>0</v>
      </c>
      <c r="N30" s="186"/>
      <c r="O30" s="188"/>
      <c r="P30" s="186"/>
      <c r="Q30" s="139"/>
      <c r="R30" s="512">
        <f t="shared" si="21"/>
        <v>0</v>
      </c>
      <c r="S30" s="514" t="str">
        <f t="shared" si="0"/>
        <v/>
      </c>
      <c r="T30" s="515" t="str">
        <f>IFERROR(INDEX(V!$O:$O,MATCH(S30,V!$J:$J,0)),"")</f>
        <v/>
      </c>
      <c r="U30" s="514" t="str">
        <f t="shared" si="1"/>
        <v/>
      </c>
      <c r="V30" s="515" t="str">
        <f>IFERROR(INDEX(V!$O:$O,MATCH(U30,V!$J:$J,0)),"")</f>
        <v/>
      </c>
      <c r="W30" s="516" t="str">
        <f t="shared" si="2"/>
        <v/>
      </c>
      <c r="X30" s="515" t="str">
        <f>IFERROR(INDEX(V!$O:$O,MATCH(W30,V!$J:$J,0)),"")</f>
        <v/>
      </c>
      <c r="Y30" s="516" t="str">
        <f>IFERROR(MID(#REF!,FIND(", ",#REF!,FIND(", ",#REF!,FIND(", ",#REF!))+1)+2,30000),"")</f>
        <v/>
      </c>
      <c r="Z30" s="515" t="str">
        <f>IFERROR(INDEX(V!$O:$O,MATCH(Y30,V!$J:$J,0)),"")</f>
        <v/>
      </c>
      <c r="AA30" s="139"/>
      <c r="AB30" s="139"/>
      <c r="AC30" s="188"/>
      <c r="AD30" s="188"/>
      <c r="AE30" s="188"/>
      <c r="AF30" s="188"/>
      <c r="AG30" s="188"/>
    </row>
    <row r="31" spans="1:33" hidden="1" x14ac:dyDescent="0.2">
      <c r="A31" s="126">
        <v>4</v>
      </c>
      <c r="B31" s="164"/>
      <c r="C31" s="93"/>
      <c r="D31" s="548"/>
      <c r="E31" s="93"/>
      <c r="F31" s="127"/>
      <c r="G31" s="128"/>
      <c r="H31" s="576" t="str">
        <f>(IF(C31-F28&gt;0,1)+IF(D31-F29&gt;0,1)+IF(E31-F30&gt;0,1)+IF(G31-F32&gt;0,1))&amp;"-"&amp;(IF(C31-F28&lt;0,1)+IF(D31-F29&lt;0,1)+IF(E31-F30&lt;0,1)+IF(G31-F32&lt;0,1))</f>
        <v>0-0</v>
      </c>
      <c r="I31" s="93" t="str">
        <f t="shared" si="17"/>
        <v/>
      </c>
      <c r="J31" s="584">
        <f t="shared" si="19"/>
        <v>0</v>
      </c>
      <c r="K31" s="653">
        <f>IF(AND(J31=1,J28=1,C31&gt;F28),1)+IF(AND(J31=1,J29=1,D31&gt;F29),1)+IF(AND(J31=1,J30=1,E31&gt;F30),1)+IF(AND(J31=1,J32=1,G31&gt;F32),1)+IF(AND(J31=2,J28=2,C31&gt;F28),1)+IF(AND(J31=2,J29=2,D31&gt;F29),1)+IF(AND(J31=2,J30=2,E31&gt;F30),1)+IF(AND(J31=2,J32=2,G31&gt;F32),1)+IF(AND(J31=3,J28=3,C31&gt;F28),1)+IF(AND(J31=3,J29=3,D31&gt;F29),1)+IF(AND(J31=3,J30=3,E31&gt;F30),1)+IF(AND(J31=3,J32=3,G31&gt;F32),1)</f>
        <v>0</v>
      </c>
      <c r="L31" s="652">
        <f>IF(AND(J31=1,J28=1),C31-F28)+IF(AND(J31=1,J29=1),D31-F29)+IF(AND(J31=1,J30=1),E31-F30)+IF(AND(J31=1,J32=1),G31-F32)+IF(AND(J31=2,J28=2),C31-F28)+IF(AND(J31=2,J29=2),D31-F29)+IF(AND(J31=2,J30=2),E31-F30)+IF(AND(J31=2,J32=2),G31-F32)+IF(AND(J31=3,J28=3),C31-F28)+IF(AND(J31=3,J29=3),D31-F29)+IF(AND(J31=3,J30=3),E31-F30)+IF(AND(J31=3,J32=3),G31-F32)</f>
        <v>0</v>
      </c>
      <c r="M31" s="668">
        <f t="shared" si="20"/>
        <v>0</v>
      </c>
      <c r="N31" s="186"/>
      <c r="O31" s="188"/>
      <c r="P31" s="186"/>
      <c r="Q31" s="139"/>
      <c r="R31" s="512">
        <f t="shared" si="21"/>
        <v>0</v>
      </c>
      <c r="S31" s="514" t="str">
        <f t="shared" si="0"/>
        <v/>
      </c>
      <c r="T31" s="515" t="str">
        <f>IFERROR(INDEX(V!$O:$O,MATCH(S31,V!$J:$J,0)),"")</f>
        <v/>
      </c>
      <c r="U31" s="514" t="str">
        <f t="shared" si="1"/>
        <v/>
      </c>
      <c r="V31" s="515" t="str">
        <f>IFERROR(INDEX(V!$O:$O,MATCH(U31,V!$J:$J,0)),"")</f>
        <v/>
      </c>
      <c r="W31" s="516" t="str">
        <f t="shared" si="2"/>
        <v/>
      </c>
      <c r="X31" s="515" t="str">
        <f>IFERROR(INDEX(V!$O:$O,MATCH(W31,V!$J:$J,0)),"")</f>
        <v/>
      </c>
      <c r="Y31" s="516" t="str">
        <f>IFERROR(MID(#REF!,FIND(", ",#REF!,FIND(", ",#REF!,FIND(", ",#REF!))+1)+2,30000),"")</f>
        <v/>
      </c>
      <c r="Z31" s="515" t="str">
        <f>IFERROR(INDEX(V!$O:$O,MATCH(Y31,V!$J:$J,0)),"")</f>
        <v/>
      </c>
      <c r="AA31" s="139"/>
      <c r="AB31" s="139"/>
      <c r="AC31" s="188"/>
      <c r="AD31" s="188"/>
      <c r="AE31" s="188"/>
      <c r="AF31" s="188"/>
      <c r="AG31" s="188"/>
    </row>
    <row r="32" spans="1:33" hidden="1" x14ac:dyDescent="0.2">
      <c r="A32" s="126">
        <v>5</v>
      </c>
      <c r="B32" s="164"/>
      <c r="C32" s="93"/>
      <c r="D32" s="93"/>
      <c r="E32" s="93"/>
      <c r="F32" s="93"/>
      <c r="G32" s="127"/>
      <c r="H32" s="576" t="str">
        <f>(IF(C32-G28&gt;0,1)+IF(D32-G29&gt;0,1)+IF(E32-G30&gt;0,1)+IF(F32-G31&gt;0,1))&amp;"-"&amp;(IF(C32-G28&lt;0,1)+IF(D32-G29&lt;0,1)+IF(E32-G30&lt;0,1)+IF(F32-G31&lt;0,1))</f>
        <v>0-0</v>
      </c>
      <c r="I32" s="93" t="str">
        <f t="shared" si="17"/>
        <v/>
      </c>
      <c r="J32" s="584">
        <f t="shared" si="19"/>
        <v>0</v>
      </c>
      <c r="K32" s="653">
        <f>IF(AND(J32=1,J28=1,C32&gt;G28),1)+IF(AND(J32=1,J29=1,D32&gt;G29),1)+IF(AND(J32=1,J30=1,E32&gt;G30),1)+IF(AND(J32=1,J31=1,F32&gt;G31),1)+IF(AND(J32=2,J28=2,C32&gt;G28),1)+IF(AND(J32=2,J29=2,D32&gt;G29),1)+IF(AND(J32=2,J30=2,E32&gt;G30),1)+IF(AND(J32=2,J31=2,F32&gt;G31),1)+IF(AND(J32=3,J28=3,C32&gt;G28),1)+IF(AND(J32=3,J29=3,D32&gt;G29),1)+IF(AND(J32=3,J30=3,E32&gt;G30),1)+IF(AND(J32=3,J31=3,F32&gt;G31),1)</f>
        <v>0</v>
      </c>
      <c r="L32" s="652">
        <f>IF(AND(J32=1,J28=1),C32-G28)+IF(AND(J32=1,J29=1),D32-G29)+IF(AND(J32=1,J30=1),E32-G30)+IF(AND(J32=1,J31=1),F32-G31)+IF(AND(J32=2,J28=2),C32-G28)+IF(AND(J32=2,J29=2),D32-G29)+IF(AND(J32=2,J30=2),E32-G30)+IF(AND(J32=2,J31=2),F32-G31)+IF(AND(J32=3,J28=3),C32-G28)+IF(AND(J32=3,J29=3),D32-G29)+IF(AND(J32=3,J30=3),E32-G30)+IF(AND(J32=3,J31=3),F32-G31)</f>
        <v>0</v>
      </c>
      <c r="M32" s="668">
        <f t="shared" si="20"/>
        <v>0</v>
      </c>
      <c r="N32" s="186"/>
      <c r="O32" s="188"/>
      <c r="P32" s="186"/>
      <c r="Q32" s="139"/>
      <c r="R32" s="512">
        <f t="shared" si="21"/>
        <v>0</v>
      </c>
      <c r="S32" s="514" t="str">
        <f t="shared" si="0"/>
        <v/>
      </c>
      <c r="T32" s="515" t="str">
        <f>IFERROR(INDEX(V!$O:$O,MATCH(S32,V!$J:$J,0)),"")</f>
        <v/>
      </c>
      <c r="U32" s="514" t="str">
        <f t="shared" si="1"/>
        <v/>
      </c>
      <c r="V32" s="515" t="str">
        <f>IFERROR(INDEX(V!$O:$O,MATCH(U32,V!$J:$J,0)),"")</f>
        <v/>
      </c>
      <c r="W32" s="516" t="str">
        <f t="shared" si="2"/>
        <v/>
      </c>
      <c r="X32" s="515" t="str">
        <f>IFERROR(INDEX(V!$O:$O,MATCH(W32,V!$J:$J,0)),"")</f>
        <v/>
      </c>
      <c r="Y32" s="516" t="str">
        <f>IFERROR(MID(#REF!,FIND(", ",#REF!,FIND(", ",#REF!,FIND(", ",#REF!))+1)+2,30000),"")</f>
        <v/>
      </c>
      <c r="Z32" s="515" t="str">
        <f>IFERROR(INDEX(V!$O:$O,MATCH(Y32,V!$J:$J,0)),"")</f>
        <v/>
      </c>
      <c r="AA32" s="139"/>
      <c r="AB32" s="139"/>
      <c r="AC32" s="188"/>
      <c r="AD32" s="188"/>
      <c r="AE32" s="188"/>
      <c r="AF32" s="188"/>
      <c r="AG32" s="188"/>
    </row>
    <row r="33" spans="1:33" hidden="1" x14ac:dyDescent="0.2">
      <c r="A33" s="121"/>
      <c r="B33" s="188"/>
      <c r="C33" s="188"/>
      <c r="D33" s="188"/>
      <c r="E33" s="188"/>
      <c r="F33" s="94"/>
      <c r="G33" s="188"/>
      <c r="H33" s="592"/>
      <c r="I33" s="593"/>
      <c r="J33" s="588"/>
      <c r="K33" s="590"/>
      <c r="L33" s="660"/>
      <c r="M33" s="588"/>
      <c r="N33" s="186"/>
      <c r="O33" s="186"/>
      <c r="P33" s="186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88"/>
      <c r="AD33" s="188"/>
      <c r="AE33" s="188"/>
      <c r="AF33" s="188"/>
      <c r="AG33" s="188"/>
    </row>
    <row r="34" spans="1:33" hidden="1" x14ac:dyDescent="0.2">
      <c r="A34" s="188"/>
      <c r="B34" s="213" t="s">
        <v>98</v>
      </c>
      <c r="C34" s="98" t="s">
        <v>102</v>
      </c>
      <c r="D34" s="98"/>
      <c r="E34" s="188"/>
      <c r="F34" s="188"/>
      <c r="G34" s="188"/>
      <c r="H34" s="188"/>
      <c r="I34" s="188"/>
      <c r="J34" s="188"/>
      <c r="K34" s="188"/>
      <c r="L34" s="188"/>
      <c r="M34" s="188"/>
      <c r="N34" s="188"/>
      <c r="O34" s="186"/>
      <c r="P34" s="186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88"/>
      <c r="AD34" s="188"/>
      <c r="AE34" s="188"/>
      <c r="AF34" s="188"/>
      <c r="AG34" s="188"/>
    </row>
    <row r="35" spans="1:33" hidden="1" x14ac:dyDescent="0.2">
      <c r="A35" s="188"/>
      <c r="B35" s="213" t="s">
        <v>101</v>
      </c>
      <c r="C35" s="98" t="s">
        <v>100</v>
      </c>
      <c r="D35" s="188"/>
      <c r="E35" s="188"/>
      <c r="F35" s="188"/>
      <c r="G35" s="188"/>
      <c r="H35" s="188"/>
      <c r="I35" s="188"/>
      <c r="J35" s="188"/>
      <c r="K35" s="188"/>
      <c r="L35" s="188"/>
      <c r="M35" s="188"/>
      <c r="N35" s="188"/>
      <c r="O35" s="186"/>
      <c r="P35" s="186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88"/>
      <c r="AD35" s="188"/>
      <c r="AE35" s="188"/>
      <c r="AF35" s="188"/>
      <c r="AG35" s="188"/>
    </row>
    <row r="36" spans="1:33" hidden="1" x14ac:dyDescent="0.2">
      <c r="A36" s="188"/>
      <c r="B36" s="213" t="s">
        <v>104</v>
      </c>
      <c r="C36" s="98" t="s">
        <v>92</v>
      </c>
      <c r="D36" s="188"/>
      <c r="E36" s="188"/>
      <c r="F36" s="188"/>
      <c r="G36" s="188"/>
      <c r="H36" s="188"/>
      <c r="I36" s="188"/>
      <c r="J36" s="188"/>
      <c r="K36" s="188"/>
      <c r="L36" s="188"/>
      <c r="M36" s="188"/>
      <c r="N36" s="188"/>
      <c r="O36" s="186"/>
      <c r="P36" s="186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88"/>
      <c r="AD36" s="188"/>
      <c r="AE36" s="188"/>
      <c r="AF36" s="188"/>
      <c r="AG36" s="188"/>
    </row>
    <row r="37" spans="1:33" x14ac:dyDescent="0.2">
      <c r="A37" s="188"/>
      <c r="B37" s="188"/>
      <c r="C37" s="188"/>
      <c r="D37" s="188"/>
      <c r="E37" s="188"/>
      <c r="F37" s="188"/>
      <c r="G37" s="188"/>
      <c r="H37" s="188"/>
      <c r="I37" s="188"/>
      <c r="J37" s="188"/>
      <c r="K37" s="188"/>
      <c r="L37" s="188"/>
      <c r="M37" s="188"/>
      <c r="N37" s="188"/>
      <c r="O37" s="186"/>
      <c r="P37" s="186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  <c r="AC37" s="188"/>
      <c r="AD37" s="188"/>
      <c r="AE37" s="188"/>
      <c r="AF37" s="188"/>
      <c r="AG37" s="188"/>
    </row>
    <row r="38" spans="1:33" x14ac:dyDescent="0.2">
      <c r="A38" s="188"/>
      <c r="B38" s="213" t="s">
        <v>98</v>
      </c>
      <c r="C38" s="98" t="s">
        <v>99</v>
      </c>
      <c r="D38" s="98" t="s">
        <v>100</v>
      </c>
      <c r="E38" s="188"/>
      <c r="F38" s="188"/>
      <c r="G38" s="188"/>
      <c r="H38" s="188"/>
      <c r="I38" s="188"/>
      <c r="J38" s="188"/>
      <c r="K38" s="188"/>
      <c r="L38" s="188"/>
      <c r="M38" s="188"/>
      <c r="N38" s="188"/>
      <c r="O38" s="186"/>
      <c r="P38" s="186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  <c r="AC38" s="188"/>
      <c r="AD38" s="188"/>
      <c r="AE38" s="188"/>
      <c r="AF38" s="188"/>
      <c r="AG38" s="188"/>
    </row>
    <row r="39" spans="1:33" x14ac:dyDescent="0.2">
      <c r="A39" s="188"/>
      <c r="B39" s="213" t="s">
        <v>101</v>
      </c>
      <c r="C39" s="98" t="s">
        <v>102</v>
      </c>
      <c r="D39" s="98" t="s">
        <v>103</v>
      </c>
      <c r="E39" s="188"/>
      <c r="F39" s="188"/>
      <c r="G39" s="188"/>
      <c r="H39" s="188"/>
      <c r="I39" s="188"/>
      <c r="J39" s="188"/>
      <c r="K39" s="188"/>
      <c r="L39" s="188"/>
      <c r="M39" s="188"/>
      <c r="N39" s="188"/>
      <c r="O39" s="186"/>
      <c r="P39" s="186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88"/>
      <c r="AD39" s="188"/>
      <c r="AE39" s="188"/>
      <c r="AF39" s="188"/>
      <c r="AG39" s="188"/>
    </row>
    <row r="40" spans="1:33" x14ac:dyDescent="0.2">
      <c r="A40" s="121"/>
      <c r="B40" s="213" t="s">
        <v>104</v>
      </c>
      <c r="C40" s="98" t="s">
        <v>92</v>
      </c>
      <c r="D40" s="98" t="s">
        <v>105</v>
      </c>
      <c r="E40" s="97"/>
      <c r="F40" s="97"/>
      <c r="G40" s="97"/>
      <c r="H40" s="639"/>
      <c r="I40" s="97"/>
      <c r="J40" s="584"/>
      <c r="K40" s="663"/>
      <c r="L40" s="584"/>
      <c r="M40" s="584"/>
      <c r="N40" s="569"/>
      <c r="O40" s="310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  <c r="AC40" s="188"/>
      <c r="AD40" s="188"/>
      <c r="AE40" s="188"/>
      <c r="AF40" s="188"/>
      <c r="AG40" s="188"/>
    </row>
    <row r="41" spans="1:33" hidden="1" x14ac:dyDescent="0.2"/>
    <row r="42" spans="1:33" hidden="1" x14ac:dyDescent="0.2"/>
    <row r="43" spans="1:33" hidden="1" x14ac:dyDescent="0.2"/>
    <row r="44" spans="1:33" hidden="1" x14ac:dyDescent="0.2"/>
    <row r="45" spans="1:33" hidden="1" x14ac:dyDescent="0.2"/>
    <row r="46" spans="1:33" hidden="1" x14ac:dyDescent="0.2"/>
    <row r="47" spans="1:33" hidden="1" x14ac:dyDescent="0.2"/>
    <row r="48" spans="1:33" hidden="1" x14ac:dyDescent="0.2"/>
    <row r="49" spans="4:8" hidden="1" x14ac:dyDescent="0.2"/>
    <row r="50" spans="4:8" hidden="1" x14ac:dyDescent="0.2"/>
    <row r="51" spans="4:8" hidden="1" x14ac:dyDescent="0.2">
      <c r="H51" s="188"/>
    </row>
    <row r="52" spans="4:8" hidden="1" x14ac:dyDescent="0.2">
      <c r="D52" s="188"/>
      <c r="E52" s="188"/>
      <c r="F52" s="188"/>
      <c r="G52" s="188"/>
      <c r="H52" s="188"/>
    </row>
    <row r="53" spans="4:8" hidden="1" x14ac:dyDescent="0.2">
      <c r="D53" s="188"/>
      <c r="E53" s="188"/>
      <c r="F53" s="188"/>
      <c r="G53" s="188"/>
      <c r="H53" s="188"/>
    </row>
    <row r="54" spans="4:8" hidden="1" x14ac:dyDescent="0.2">
      <c r="D54" s="188"/>
      <c r="E54" s="188"/>
      <c r="F54" s="188"/>
      <c r="G54" s="188"/>
      <c r="H54" s="188"/>
    </row>
    <row r="55" spans="4:8" hidden="1" x14ac:dyDescent="0.2">
      <c r="D55" s="188"/>
      <c r="E55" s="188"/>
      <c r="F55" s="188"/>
      <c r="G55" s="188"/>
      <c r="H55" s="188"/>
    </row>
    <row r="56" spans="4:8" hidden="1" x14ac:dyDescent="0.2">
      <c r="D56" s="188"/>
      <c r="E56" s="188"/>
      <c r="F56" s="188"/>
      <c r="G56" s="188"/>
      <c r="H56" s="188"/>
    </row>
    <row r="57" spans="4:8" hidden="1" x14ac:dyDescent="0.2">
      <c r="D57" s="188"/>
      <c r="E57" s="188"/>
      <c r="F57" s="188"/>
      <c r="G57" s="188"/>
      <c r="H57" s="188"/>
    </row>
    <row r="58" spans="4:8" hidden="1" x14ac:dyDescent="0.2">
      <c r="D58" s="188"/>
      <c r="E58" s="188"/>
      <c r="F58" s="188"/>
      <c r="G58" s="188"/>
      <c r="H58" s="188"/>
    </row>
    <row r="59" spans="4:8" hidden="1" x14ac:dyDescent="0.2">
      <c r="D59" s="188"/>
      <c r="E59" s="188"/>
      <c r="F59" s="188"/>
      <c r="G59" s="188"/>
      <c r="H59" s="188"/>
    </row>
    <row r="60" spans="4:8" hidden="1" x14ac:dyDescent="0.2"/>
    <row r="61" spans="4:8" hidden="1" x14ac:dyDescent="0.2"/>
    <row r="62" spans="4:8" hidden="1" x14ac:dyDescent="0.2"/>
    <row r="63" spans="4:8" hidden="1" x14ac:dyDescent="0.2"/>
    <row r="64" spans="4:8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spans="1:7" hidden="1" x14ac:dyDescent="0.2"/>
    <row r="98" spans="1:7" hidden="1" x14ac:dyDescent="0.2"/>
    <row r="100" spans="1:7" x14ac:dyDescent="0.2">
      <c r="A100" s="100" t="s">
        <v>60</v>
      </c>
      <c r="B100" s="101"/>
      <c r="C100" s="101"/>
      <c r="D100" s="101"/>
      <c r="E100" s="101"/>
      <c r="F100" s="101"/>
      <c r="G100" s="101"/>
    </row>
    <row r="101" spans="1:7" x14ac:dyDescent="0.2">
      <c r="A101" s="100"/>
      <c r="B101" s="101"/>
      <c r="C101" s="101"/>
      <c r="D101" s="101"/>
      <c r="E101" s="101"/>
      <c r="F101" s="101"/>
      <c r="G101" s="101"/>
    </row>
    <row r="102" spans="1:7" x14ac:dyDescent="0.2">
      <c r="A102" s="106" t="s">
        <v>84</v>
      </c>
      <c r="B102" s="399" t="str">
        <f>IFERROR(INDEX(B$1:B$100,MATCH(A102,I$1:I$100,0)),"")</f>
        <v>Aarne Välja, Kenneth Muusikus, Lemmit Toomra</v>
      </c>
      <c r="C102" s="120">
        <v>1</v>
      </c>
      <c r="D102" s="120"/>
      <c r="E102" s="120"/>
    </row>
    <row r="103" spans="1:7" x14ac:dyDescent="0.2">
      <c r="A103" s="107"/>
      <c r="B103" s="219"/>
      <c r="C103" s="400" t="str">
        <f>IF(COUNT(C102,C104)=2,IF(C102&gt;C104,B102,B104),"")</f>
        <v>Karla Purgats, Melika Lehtla, Oskar Sepp</v>
      </c>
      <c r="E103" s="120">
        <v>10</v>
      </c>
    </row>
    <row r="104" spans="1:7" x14ac:dyDescent="0.2">
      <c r="A104" s="107" t="s">
        <v>71</v>
      </c>
      <c r="B104" s="401" t="str">
        <f>IFERROR(INDEX(B$1:B$100,MATCH(A104,I$1:I$100,0)),"")</f>
        <v>Karla Purgats, Melika Lehtla, Oskar Sepp</v>
      </c>
      <c r="C104" s="110">
        <v>13</v>
      </c>
      <c r="D104" s="220"/>
      <c r="E104" s="120"/>
    </row>
    <row r="105" spans="1:7" ht="13.5" thickBot="1" x14ac:dyDescent="0.25">
      <c r="B105" s="120"/>
      <c r="C105" s="113"/>
      <c r="D105" s="221"/>
      <c r="E105" s="120"/>
      <c r="F105" s="184" t="str">
        <f>IF(COUNT(E103,E107)=2,IF(E103&gt;E107,C103,C107),"")</f>
        <v>Elmo Lageda, Mait Metsla, Urmas Jõeäär</v>
      </c>
    </row>
    <row r="106" spans="1:7" x14ac:dyDescent="0.2">
      <c r="A106" s="107" t="s">
        <v>76</v>
      </c>
      <c r="B106" s="399" t="str">
        <f>IFERROR(INDEX(B$1:B$100,MATCH(A106,I$1:I$100,0)),"")</f>
        <v>Elmo Lageda, Mait Metsla, Urmas Jõeäär</v>
      </c>
      <c r="C106" s="120">
        <v>13</v>
      </c>
      <c r="D106" s="221"/>
      <c r="E106" s="222"/>
      <c r="F106" s="379" t="s">
        <v>275</v>
      </c>
      <c r="G106" s="378"/>
    </row>
    <row r="107" spans="1:7" x14ac:dyDescent="0.2">
      <c r="A107" s="107"/>
      <c r="B107" s="219"/>
      <c r="C107" s="400" t="str">
        <f>IF(COUNT(C106,C108)=2,IF(C106&gt;C108,B106,B108),"")</f>
        <v>Elmo Lageda, Mait Metsla, Urmas Jõeäär</v>
      </c>
      <c r="D107" s="377"/>
      <c r="E107" s="110">
        <v>13</v>
      </c>
    </row>
    <row r="108" spans="1:7" ht="13.5" thickBot="1" x14ac:dyDescent="0.25">
      <c r="A108" s="107" t="s">
        <v>86</v>
      </c>
      <c r="B108" s="401" t="str">
        <f>IFERROR(INDEX(B$1:B$100,MATCH(A108,I$1:I$100,0)),"")</f>
        <v>Boriss Klubov, Janek Tarto, Taavi Press</v>
      </c>
      <c r="C108" s="110">
        <v>10</v>
      </c>
      <c r="D108" s="120"/>
      <c r="E108" s="113"/>
      <c r="F108" s="184" t="str">
        <f>IF(COUNT(E103,E107)=2,IF(E103&lt;E107,C103,C107),"")</f>
        <v>Karla Purgats, Melika Lehtla, Oskar Sepp</v>
      </c>
      <c r="G108" s="119"/>
    </row>
    <row r="109" spans="1:7" x14ac:dyDescent="0.2">
      <c r="A109" s="87"/>
      <c r="B109" s="120"/>
      <c r="C109" s="120"/>
      <c r="D109" s="120"/>
      <c r="E109" s="113"/>
      <c r="F109" s="379" t="s">
        <v>276</v>
      </c>
      <c r="G109" s="99"/>
    </row>
    <row r="110" spans="1:7" x14ac:dyDescent="0.2">
      <c r="A110" s="87"/>
      <c r="B110" s="120"/>
      <c r="C110" s="217" t="str">
        <f>IF(COUNT(C102,C104)=2,IF(C102&lt;C104,B102,B104),"")</f>
        <v>Aarne Välja, Kenneth Muusikus, Lemmit Toomra</v>
      </c>
      <c r="E110" s="120">
        <v>13</v>
      </c>
      <c r="F110" s="99"/>
      <c r="G110" s="99"/>
    </row>
    <row r="111" spans="1:7" ht="13.5" thickBot="1" x14ac:dyDescent="0.25">
      <c r="A111" s="87"/>
      <c r="B111" s="120"/>
      <c r="C111" s="108"/>
      <c r="D111" s="111"/>
      <c r="E111" s="119"/>
      <c r="F111" s="184" t="str">
        <f>IF(COUNT(E110,E112)=2,IF(E110&gt;E112,C110,C112),"")</f>
        <v>Aarne Välja, Kenneth Muusikus, Lemmit Toomra</v>
      </c>
      <c r="G111" s="119"/>
    </row>
    <row r="112" spans="1:7" x14ac:dyDescent="0.2">
      <c r="A112" s="87"/>
      <c r="B112" s="120"/>
      <c r="C112" s="399" t="str">
        <f>IF(COUNT(C106,C108)=2,IF(C106&lt;C108,B106,B108),"")</f>
        <v>Boriss Klubov, Janek Tarto, Taavi Press</v>
      </c>
      <c r="D112" s="377"/>
      <c r="E112" s="110">
        <v>10</v>
      </c>
      <c r="F112" s="121" t="s">
        <v>277</v>
      </c>
      <c r="G112" s="99"/>
    </row>
    <row r="113" spans="1:7" x14ac:dyDescent="0.2">
      <c r="A113" s="87"/>
      <c r="B113" s="88"/>
      <c r="F113" s="99"/>
      <c r="G113" s="99"/>
    </row>
    <row r="114" spans="1:7" ht="13.5" thickBot="1" x14ac:dyDescent="0.25">
      <c r="A114" s="87"/>
      <c r="B114" s="88"/>
      <c r="C114" s="99"/>
      <c r="D114" s="99"/>
      <c r="F114" s="119" t="str">
        <f>IF(COUNT(E110,E112)=2,IF(E110&lt;E112,C110,C112),"")</f>
        <v>Boriss Klubov, Janek Tarto, Taavi Press</v>
      </c>
      <c r="G114" s="119"/>
    </row>
    <row r="115" spans="1:7" x14ac:dyDescent="0.2">
      <c r="A115" s="87"/>
      <c r="B115" s="97"/>
      <c r="C115" s="97"/>
      <c r="D115" s="97"/>
      <c r="E115" s="402"/>
      <c r="F115" s="379" t="s">
        <v>50</v>
      </c>
      <c r="G115" s="188"/>
    </row>
    <row r="116" spans="1:7" x14ac:dyDescent="0.2">
      <c r="A116" s="101"/>
      <c r="B116" s="101"/>
      <c r="C116" s="101"/>
      <c r="E116" s="101"/>
      <c r="F116" s="101"/>
      <c r="G116" s="101"/>
    </row>
    <row r="117" spans="1:7" x14ac:dyDescent="0.2">
      <c r="A117" s="100" t="s">
        <v>61</v>
      </c>
      <c r="B117" s="101"/>
      <c r="C117" s="101"/>
      <c r="E117" s="101"/>
      <c r="F117" s="101"/>
      <c r="G117" s="101"/>
    </row>
    <row r="118" spans="1:7" x14ac:dyDescent="0.2">
      <c r="A118" s="101"/>
      <c r="B118" s="101"/>
      <c r="C118" s="101"/>
      <c r="E118" s="101"/>
      <c r="F118" s="101"/>
      <c r="G118" s="101"/>
    </row>
    <row r="119" spans="1:7" x14ac:dyDescent="0.2">
      <c r="A119" s="106" t="s">
        <v>93</v>
      </c>
      <c r="B119" s="399" t="str">
        <f>IFERROR(INDEX(B$1:B$100,MATCH(A119,I$1:I$100,0)),"")</f>
        <v>Einar Juhkam, Jaan Saar, Johannes Neiland, Tarmo Bombe</v>
      </c>
      <c r="C119" s="120">
        <v>13</v>
      </c>
      <c r="D119" s="120"/>
      <c r="E119" s="120"/>
    </row>
    <row r="120" spans="1:7" x14ac:dyDescent="0.2">
      <c r="A120" s="107"/>
      <c r="B120" s="219"/>
      <c r="C120" s="400" t="str">
        <f>IF(COUNT(C119,C121)=2,IF(C119&gt;C121,B119,B121),"")</f>
        <v>Einar Juhkam, Jaan Saar, Johannes Neiland, Tarmo Bombe</v>
      </c>
      <c r="E120" s="120">
        <v>13</v>
      </c>
    </row>
    <row r="121" spans="1:7" x14ac:dyDescent="0.2">
      <c r="A121" s="107" t="s">
        <v>189</v>
      </c>
      <c r="B121" s="401" t="str">
        <f>IFERROR(INDEX(B$1:B$100,MATCH(A121,I$1:I$100,0)),"")</f>
        <v>Illar Tõnurist, Jaan Sepp, Klavdia Piik</v>
      </c>
      <c r="C121" s="110">
        <v>12</v>
      </c>
      <c r="D121" s="220"/>
      <c r="E121" s="120"/>
    </row>
    <row r="122" spans="1:7" ht="13.5" thickBot="1" x14ac:dyDescent="0.25">
      <c r="A122" s="107"/>
      <c r="B122" s="120"/>
      <c r="C122" s="113"/>
      <c r="D122" s="221"/>
      <c r="E122" s="120"/>
      <c r="F122" s="184" t="str">
        <f>IF(COUNT(E120,E124)=2,IF(E120&gt;E124,C120,C124),"")</f>
        <v>Einar Juhkam, Jaan Saar, Johannes Neiland, Tarmo Bombe</v>
      </c>
    </row>
    <row r="123" spans="1:7" x14ac:dyDescent="0.2">
      <c r="A123" s="107" t="s">
        <v>95</v>
      </c>
      <c r="B123" s="399" t="str">
        <f>IFERROR(INDEX(B$1:B$100,MATCH(A123,I$1:I$100,0)),"")</f>
        <v>Enn Tokman, Kati Tuzberg, Ülo Piik</v>
      </c>
      <c r="C123" s="120">
        <v>13</v>
      </c>
      <c r="D123" s="221"/>
      <c r="E123" s="222"/>
      <c r="F123" s="379" t="s">
        <v>51</v>
      </c>
      <c r="G123" s="378"/>
    </row>
    <row r="124" spans="1:7" x14ac:dyDescent="0.2">
      <c r="A124" s="107"/>
      <c r="B124" s="219"/>
      <c r="C124" s="400" t="str">
        <f>IF(COUNT(C123,C125)=2,IF(C123&gt;C125,B123,B125),"")</f>
        <v>Enn Tokman, Kati Tuzberg, Ülo Piik</v>
      </c>
      <c r="D124" s="377"/>
      <c r="E124" s="110">
        <v>8</v>
      </c>
    </row>
    <row r="125" spans="1:7" ht="13.5" thickBot="1" x14ac:dyDescent="0.25">
      <c r="A125" s="107" t="s">
        <v>94</v>
      </c>
      <c r="B125" s="401" t="str">
        <f>IFERROR(INDEX(B$1:B$100,MATCH(A125,I$1:I$100,0)),"")</f>
        <v>Henri Mitt, Tõnu Piik, Vladimir Ogneštšikov</v>
      </c>
      <c r="C125" s="110">
        <v>8</v>
      </c>
      <c r="D125" s="120"/>
      <c r="E125" s="113"/>
      <c r="F125" s="184" t="str">
        <f>IF(COUNT(E120,E124)=2,IF(E120&lt;E124,C120,C124),"")</f>
        <v>Enn Tokman, Kati Tuzberg, Ülo Piik</v>
      </c>
      <c r="G125" s="119"/>
    </row>
    <row r="126" spans="1:7" x14ac:dyDescent="0.2">
      <c r="B126" s="120"/>
      <c r="C126" s="120"/>
      <c r="D126" s="120"/>
      <c r="E126" s="113"/>
      <c r="F126" s="379" t="s">
        <v>52</v>
      </c>
      <c r="G126" s="99"/>
    </row>
    <row r="127" spans="1:7" x14ac:dyDescent="0.2">
      <c r="B127" s="120"/>
      <c r="C127" s="217" t="str">
        <f>IF(COUNT(C119,C121)=2,IF(C119&lt;C121,B119,B121),"")</f>
        <v>Illar Tõnurist, Jaan Sepp, Klavdia Piik</v>
      </c>
      <c r="E127" s="120">
        <v>1</v>
      </c>
      <c r="F127" s="99"/>
      <c r="G127" s="99"/>
    </row>
    <row r="128" spans="1:7" ht="13.5" thickBot="1" x14ac:dyDescent="0.25">
      <c r="B128" s="120"/>
      <c r="C128" s="108"/>
      <c r="D128" s="111"/>
      <c r="E128" s="119"/>
      <c r="F128" s="184" t="str">
        <f>IF(COUNT(E127,E129)=2,IF(E127&gt;E129,C127,C129),"")</f>
        <v>Henri Mitt, Tõnu Piik, Vladimir Ogneštšikov</v>
      </c>
      <c r="G128" s="119"/>
    </row>
    <row r="129" spans="2:7" x14ac:dyDescent="0.2">
      <c r="B129" s="120"/>
      <c r="C129" s="399" t="str">
        <f>IF(COUNT(C123,C125)=2,IF(C123&lt;C125,B123,B125),"")</f>
        <v>Henri Mitt, Tõnu Piik, Vladimir Ogneštšikov</v>
      </c>
      <c r="D129" s="377"/>
      <c r="E129" s="110">
        <v>13</v>
      </c>
      <c r="F129" s="121" t="s">
        <v>53</v>
      </c>
      <c r="G129" s="99"/>
    </row>
    <row r="130" spans="2:7" x14ac:dyDescent="0.2">
      <c r="B130" s="88"/>
      <c r="F130" s="99"/>
      <c r="G130" s="99"/>
    </row>
    <row r="131" spans="2:7" ht="13.5" thickBot="1" x14ac:dyDescent="0.25">
      <c r="B131" s="88"/>
      <c r="C131" s="99"/>
      <c r="D131" s="99"/>
      <c r="F131" s="119" t="str">
        <f>IF(COUNT(E127,E129)=2,IF(E127&lt;E129,C127,C129),"")</f>
        <v>Illar Tõnurist, Jaan Sepp, Klavdia Piik</v>
      </c>
      <c r="G131" s="119"/>
    </row>
    <row r="132" spans="2:7" x14ac:dyDescent="0.2">
      <c r="B132" s="97"/>
      <c r="C132" s="97"/>
      <c r="D132" s="97"/>
      <c r="E132" s="402"/>
      <c r="F132" s="379" t="s">
        <v>54</v>
      </c>
      <c r="G132" s="188"/>
    </row>
    <row r="133" spans="2:7" x14ac:dyDescent="0.2">
      <c r="D133" s="101"/>
      <c r="E133" s="101"/>
      <c r="F133" s="188"/>
      <c r="G133" s="188"/>
    </row>
    <row r="134" spans="2:7" hidden="1" x14ac:dyDescent="0.2"/>
    <row r="135" spans="2:7" hidden="1" x14ac:dyDescent="0.2"/>
    <row r="136" spans="2:7" hidden="1" x14ac:dyDescent="0.2"/>
    <row r="137" spans="2:7" hidden="1" x14ac:dyDescent="0.2"/>
    <row r="138" spans="2:7" hidden="1" x14ac:dyDescent="0.2"/>
    <row r="139" spans="2:7" hidden="1" x14ac:dyDescent="0.2"/>
    <row r="140" spans="2:7" hidden="1" x14ac:dyDescent="0.2"/>
    <row r="141" spans="2:7" hidden="1" x14ac:dyDescent="0.2"/>
    <row r="142" spans="2:7" hidden="1" x14ac:dyDescent="0.2"/>
    <row r="143" spans="2:7" hidden="1" x14ac:dyDescent="0.2"/>
    <row r="144" spans="2:7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spans="1:3" hidden="1" x14ac:dyDescent="0.2"/>
    <row r="290" spans="1:3" hidden="1" x14ac:dyDescent="0.2"/>
    <row r="291" spans="1:3" hidden="1" x14ac:dyDescent="0.2"/>
    <row r="292" spans="1:3" hidden="1" x14ac:dyDescent="0.2"/>
    <row r="293" spans="1:3" hidden="1" x14ac:dyDescent="0.2"/>
    <row r="294" spans="1:3" hidden="1" x14ac:dyDescent="0.2"/>
    <row r="295" spans="1:3" hidden="1" x14ac:dyDescent="0.2"/>
    <row r="296" spans="1:3" hidden="1" x14ac:dyDescent="0.2"/>
    <row r="297" spans="1:3" hidden="1" x14ac:dyDescent="0.2"/>
    <row r="298" spans="1:3" hidden="1" x14ac:dyDescent="0.2"/>
    <row r="299" spans="1:3" x14ac:dyDescent="0.2">
      <c r="A299" s="101"/>
      <c r="B299" s="101"/>
      <c r="C299" s="130"/>
    </row>
    <row r="300" spans="1:3" x14ac:dyDescent="0.2">
      <c r="A300" s="187">
        <v>1</v>
      </c>
      <c r="B300" s="1391" t="str">
        <f t="shared" ref="B300:B307" si="22">IFERROR(INDEX(F$105:F$131,MATCH(A300&amp;". koht",F$106:F$132,0)),"")</f>
        <v>Elmo Lageda, Mait Metsla, Urmas Jõeäär</v>
      </c>
      <c r="C300" s="188"/>
    </row>
    <row r="301" spans="1:3" x14ac:dyDescent="0.2">
      <c r="A301" s="187">
        <v>2</v>
      </c>
      <c r="B301" s="1392" t="str">
        <f t="shared" si="22"/>
        <v>Karla Purgats, Melika Lehtla, Oskar Sepp</v>
      </c>
      <c r="C301" s="188"/>
    </row>
    <row r="302" spans="1:3" x14ac:dyDescent="0.2">
      <c r="A302" s="187">
        <v>3</v>
      </c>
      <c r="B302" s="1393" t="str">
        <f t="shared" si="22"/>
        <v>Aarne Välja, Kenneth Muusikus, Lemmit Toomra</v>
      </c>
      <c r="C302" s="188"/>
    </row>
    <row r="303" spans="1:3" x14ac:dyDescent="0.2">
      <c r="A303" s="187">
        <v>4</v>
      </c>
      <c r="B303" s="191" t="str">
        <f t="shared" si="22"/>
        <v>Boriss Klubov, Janek Tarto, Taavi Press</v>
      </c>
      <c r="C303" s="188"/>
    </row>
    <row r="304" spans="1:3" x14ac:dyDescent="0.2">
      <c r="A304" s="187">
        <v>5</v>
      </c>
      <c r="B304" s="191" t="str">
        <f t="shared" si="22"/>
        <v>Einar Juhkam, Jaan Saar, Johannes Neiland, Tarmo Bombe</v>
      </c>
      <c r="C304" s="188"/>
    </row>
    <row r="305" spans="1:3" x14ac:dyDescent="0.2">
      <c r="A305" s="187">
        <v>6</v>
      </c>
      <c r="B305" s="191" t="str">
        <f t="shared" si="22"/>
        <v>Enn Tokman, Kati Tuzberg, Ülo Piik</v>
      </c>
      <c r="C305" s="188"/>
    </row>
    <row r="306" spans="1:3" x14ac:dyDescent="0.2">
      <c r="A306" s="187">
        <v>7</v>
      </c>
      <c r="B306" s="191" t="str">
        <f t="shared" si="22"/>
        <v>Henri Mitt, Tõnu Piik, Vladimir Ogneštšikov</v>
      </c>
      <c r="C306" s="188"/>
    </row>
    <row r="307" spans="1:3" x14ac:dyDescent="0.2">
      <c r="A307" s="187">
        <v>8</v>
      </c>
      <c r="B307" s="191" t="str">
        <f t="shared" si="22"/>
        <v>Illar Tõnurist, Jaan Sepp, Klavdia Piik</v>
      </c>
      <c r="C307" s="188"/>
    </row>
  </sheetData>
  <conditionalFormatting sqref="C102 C104">
    <cfRule type="aboveAverage" dxfId="555" priority="150"/>
  </conditionalFormatting>
  <conditionalFormatting sqref="C106 C108">
    <cfRule type="aboveAverage" dxfId="554" priority="149"/>
  </conditionalFormatting>
  <conditionalFormatting sqref="E103 E107">
    <cfRule type="aboveAverage" dxfId="553" priority="148"/>
  </conditionalFormatting>
  <conditionalFormatting sqref="E110 E112">
    <cfRule type="aboveAverage" dxfId="552" priority="147"/>
  </conditionalFormatting>
  <conditionalFormatting sqref="C102 C104 C106 C108 E103 E107 E110 E112">
    <cfRule type="containsBlanks" dxfId="551" priority="146">
      <formula>LEN(TRIM(C102))=0</formula>
    </cfRule>
  </conditionalFormatting>
  <conditionalFormatting sqref="C119 C121">
    <cfRule type="aboveAverage" dxfId="550" priority="145"/>
  </conditionalFormatting>
  <conditionalFormatting sqref="C123 C125">
    <cfRule type="aboveAverage" dxfId="549" priority="144"/>
  </conditionalFormatting>
  <conditionalFormatting sqref="E120 E124">
    <cfRule type="aboveAverage" dxfId="548" priority="143"/>
  </conditionalFormatting>
  <conditionalFormatting sqref="E127 E129">
    <cfRule type="aboveAverage" dxfId="547" priority="142"/>
  </conditionalFormatting>
  <conditionalFormatting sqref="C119 C121 C123 C125 E120 E124 E127 E129">
    <cfRule type="containsBlanks" dxfId="546" priority="141">
      <formula>LEN(TRIM(C119))=0</formula>
    </cfRule>
  </conditionalFormatting>
  <conditionalFormatting sqref="B300:B307">
    <cfRule type="containsBlanks" dxfId="545" priority="139">
      <formula>LEN(TRIM(B300))=0</formula>
    </cfRule>
    <cfRule type="duplicateValues" dxfId="544" priority="140"/>
  </conditionalFormatting>
  <conditionalFormatting sqref="A102:A108">
    <cfRule type="cellIs" dxfId="543" priority="137" operator="equal">
      <formula>"-"</formula>
    </cfRule>
    <cfRule type="duplicateValues" dxfId="542" priority="138"/>
  </conditionalFormatting>
  <conditionalFormatting sqref="A119:A125">
    <cfRule type="cellIs" dxfId="541" priority="135" operator="equal">
      <formula>"-"</formula>
    </cfRule>
    <cfRule type="duplicateValues" dxfId="540" priority="136"/>
  </conditionalFormatting>
  <conditionalFormatting sqref="W7:W11 Y7:Y11 S7:S11 S21:S25 Y21:Y25 Y28:Y32 S14:S18 W14:W18 Y14:Y18 S28:S32 W21:W25 W28:W32">
    <cfRule type="expression" dxfId="539" priority="95">
      <formula>AND(T7="",COUNTIF(S7,"*,*")=0)</formula>
    </cfRule>
  </conditionalFormatting>
  <conditionalFormatting sqref="U7:U11 U21:U25 U14:U18 U28:U32">
    <cfRule type="expression" dxfId="538" priority="93">
      <formula>AND(V7="",FIND(",",U7))</formula>
    </cfRule>
    <cfRule type="expression" dxfId="537" priority="94">
      <formula>AND(V7="",COUNTIF(U7,"*,*")=0)</formula>
    </cfRule>
  </conditionalFormatting>
  <conditionalFormatting sqref="E40">
    <cfRule type="aboveAverage" dxfId="536" priority="92"/>
  </conditionalFormatting>
  <conditionalFormatting sqref="F40">
    <cfRule type="aboveAverage" dxfId="535" priority="91"/>
  </conditionalFormatting>
  <conditionalFormatting sqref="I10:I11">
    <cfRule type="expression" dxfId="534" priority="89">
      <formula>FIND(2,I10,1)</formula>
    </cfRule>
    <cfRule type="expression" dxfId="533" priority="90">
      <formula>FIND(1,I10,1)</formula>
    </cfRule>
  </conditionalFormatting>
  <conditionalFormatting sqref="I40">
    <cfRule type="expression" dxfId="532" priority="87">
      <formula>FIND(2,I40,1)</formula>
    </cfRule>
    <cfRule type="expression" dxfId="531" priority="88">
      <formula>FIND(1,I40,1)</formula>
    </cfRule>
  </conditionalFormatting>
  <conditionalFormatting sqref="I7:I9">
    <cfRule type="expression" dxfId="530" priority="85">
      <formula>FIND(2,I7,1)</formula>
    </cfRule>
    <cfRule type="expression" dxfId="529" priority="86">
      <formula>FIND(1,I7,1)</formula>
    </cfRule>
  </conditionalFormatting>
  <conditionalFormatting sqref="I14:I18">
    <cfRule type="expression" dxfId="528" priority="83">
      <formula>FIND(2,I14,1)</formula>
    </cfRule>
    <cfRule type="expression" dxfId="527" priority="84">
      <formula>FIND(1,I14,1)</formula>
    </cfRule>
  </conditionalFormatting>
  <conditionalFormatting sqref="G40">
    <cfRule type="expression" dxfId="526" priority="81">
      <formula>FIND(2,G40,1)</formula>
    </cfRule>
    <cfRule type="expression" dxfId="525" priority="82">
      <formula>FIND(1,G40,1)</formula>
    </cfRule>
  </conditionalFormatting>
  <conditionalFormatting sqref="D14 C15">
    <cfRule type="aboveAverage" dxfId="524" priority="80"/>
  </conditionalFormatting>
  <conditionalFormatting sqref="E14 C16">
    <cfRule type="aboveAverage" dxfId="523" priority="79"/>
  </conditionalFormatting>
  <conditionalFormatting sqref="F14 C17">
    <cfRule type="aboveAverage" dxfId="522" priority="78"/>
  </conditionalFormatting>
  <conditionalFormatting sqref="E15 D16">
    <cfRule type="aboveAverage" dxfId="521" priority="77"/>
  </conditionalFormatting>
  <conditionalFormatting sqref="G14 C18">
    <cfRule type="aboveAverage" dxfId="520" priority="76"/>
  </conditionalFormatting>
  <conditionalFormatting sqref="F15 D17">
    <cfRule type="aboveAverage" dxfId="519" priority="75"/>
  </conditionalFormatting>
  <conditionalFormatting sqref="G15 D18">
    <cfRule type="aboveAverage" dxfId="518" priority="74"/>
  </conditionalFormatting>
  <conditionalFormatting sqref="F16 E17">
    <cfRule type="aboveAverage" dxfId="517" priority="73"/>
  </conditionalFormatting>
  <conditionalFormatting sqref="G16 E18">
    <cfRule type="aboveAverage" dxfId="516" priority="72"/>
  </conditionalFormatting>
  <conditionalFormatting sqref="F18 G17">
    <cfRule type="aboveAverage" dxfId="515" priority="71"/>
  </conditionalFormatting>
  <conditionalFormatting sqref="D7 C8">
    <cfRule type="aboveAverage" dxfId="514" priority="70"/>
  </conditionalFormatting>
  <conditionalFormatting sqref="E7 C9">
    <cfRule type="aboveAverage" dxfId="513" priority="69"/>
  </conditionalFormatting>
  <conditionalFormatting sqref="F7 C10">
    <cfRule type="aboveAverage" dxfId="512" priority="68"/>
  </conditionalFormatting>
  <conditionalFormatting sqref="E8 D9">
    <cfRule type="aboveAverage" dxfId="511" priority="67"/>
  </conditionalFormatting>
  <conditionalFormatting sqref="G7 C11">
    <cfRule type="aboveAverage" dxfId="510" priority="66"/>
  </conditionalFormatting>
  <conditionalFormatting sqref="F8 D10">
    <cfRule type="aboveAverage" dxfId="509" priority="65"/>
  </conditionalFormatting>
  <conditionalFormatting sqref="G8 D11">
    <cfRule type="aboveAverage" dxfId="508" priority="64"/>
  </conditionalFormatting>
  <conditionalFormatting sqref="F9 E10">
    <cfRule type="aboveAverage" dxfId="507" priority="63"/>
  </conditionalFormatting>
  <conditionalFormatting sqref="G9 E11">
    <cfRule type="aboveAverage" dxfId="506" priority="62"/>
  </conditionalFormatting>
  <conditionalFormatting sqref="F11 G10">
    <cfRule type="aboveAverage" dxfId="505" priority="61"/>
  </conditionalFormatting>
  <conditionalFormatting sqref="I21:I25">
    <cfRule type="expression" dxfId="504" priority="59">
      <formula>FIND(2,I21,1)</formula>
    </cfRule>
    <cfRule type="expression" dxfId="503" priority="60">
      <formula>FIND(1,I21,1)</formula>
    </cfRule>
  </conditionalFormatting>
  <conditionalFormatting sqref="D21 C22">
    <cfRule type="aboveAverage" dxfId="502" priority="58"/>
  </conditionalFormatting>
  <conditionalFormatting sqref="E21 C23">
    <cfRule type="aboveAverage" dxfId="501" priority="57"/>
  </conditionalFormatting>
  <conditionalFormatting sqref="F21 C24">
    <cfRule type="aboveAverage" dxfId="500" priority="56"/>
  </conditionalFormatting>
  <conditionalFormatting sqref="E22 D23">
    <cfRule type="aboveAverage" dxfId="499" priority="55"/>
  </conditionalFormatting>
  <conditionalFormatting sqref="G21 C25">
    <cfRule type="aboveAverage" dxfId="498" priority="54"/>
  </conditionalFormatting>
  <conditionalFormatting sqref="F22 D24">
    <cfRule type="aboveAverage" dxfId="497" priority="53"/>
  </conditionalFormatting>
  <conditionalFormatting sqref="G22 D25">
    <cfRule type="aboveAverage" dxfId="496" priority="52"/>
  </conditionalFormatting>
  <conditionalFormatting sqref="F23 E24">
    <cfRule type="aboveAverage" dxfId="495" priority="51"/>
  </conditionalFormatting>
  <conditionalFormatting sqref="G23 E25">
    <cfRule type="aboveAverage" dxfId="494" priority="50"/>
  </conditionalFormatting>
  <conditionalFormatting sqref="F25 G24">
    <cfRule type="aboveAverage" dxfId="493" priority="49"/>
  </conditionalFormatting>
  <conditionalFormatting sqref="K14:K18">
    <cfRule type="expression" dxfId="492" priority="41">
      <formula>AND(J14=3,IF(COUNTIF(J$14:J$18,"=3")&gt;=2,TRUE))</formula>
    </cfRule>
    <cfRule type="expression" dxfId="491" priority="47">
      <formula>AND(J14=1,IF(COUNTIF(J$14:J$18,"=1")&gt;=2,TRUE))</formula>
    </cfRule>
    <cfRule type="expression" dxfId="490" priority="48">
      <formula>AND(J14=2,IF(COUNTIF(J$14:J$18,"=2")&gt;=2,TRUE))</formula>
    </cfRule>
  </conditionalFormatting>
  <conditionalFormatting sqref="K21:K25">
    <cfRule type="expression" dxfId="489" priority="40">
      <formula>AND(J21=3,IF(COUNTIF(J$21:J$25,"=3")&gt;=2,TRUE))</formula>
    </cfRule>
    <cfRule type="expression" dxfId="488" priority="45">
      <formula>AND(J21=1,IF(COUNTIF(J$21:J$25,"=1")&gt;=2,TRUE))</formula>
    </cfRule>
    <cfRule type="expression" dxfId="487" priority="46">
      <formula>AND(J21=2,IF(COUNTIF(J$21:J$25,"=2")&gt;=2,TRUE))</formula>
    </cfRule>
  </conditionalFormatting>
  <conditionalFormatting sqref="K7:K11">
    <cfRule type="expression" dxfId="486" priority="42">
      <formula>AND(J7=3,IF(COUNTIF(J$7:J$11,"=3")&gt;=2,TRUE))</formula>
    </cfRule>
    <cfRule type="expression" dxfId="485" priority="43">
      <formula>AND(J7=1,IF(COUNTIF(J$7:J$11,"=1")&gt;=2,TRUE))</formula>
    </cfRule>
    <cfRule type="expression" dxfId="484" priority="44">
      <formula>AND(J7=2,IF(COUNTIF(J$7:J$11,"=2")&gt;=2,TRUE))</formula>
    </cfRule>
  </conditionalFormatting>
  <conditionalFormatting sqref="L14:L18">
    <cfRule type="expression" dxfId="483" priority="34">
      <formula>OR(J14=0,J14=4)</formula>
    </cfRule>
    <cfRule type="expression" dxfId="482" priority="38">
      <formula>AND(J14=1,IF(COUNTIF(J$14:J$18,"=1")=1,TRUE))</formula>
    </cfRule>
    <cfRule type="expression" dxfId="481" priority="39">
      <formula>AND(J14=3,IF(COUNTIF(J$14:J$18,"=3")=1,TRUE))</formula>
    </cfRule>
  </conditionalFormatting>
  <conditionalFormatting sqref="L21:L25">
    <cfRule type="expression" dxfId="480" priority="35">
      <formula>OR(J21=0,J21=4)</formula>
    </cfRule>
    <cfRule type="expression" dxfId="479" priority="36">
      <formula>AND(J21=1,IF(COUNTIF(J$21:J$25,"=1")=1,TRUE))</formula>
    </cfRule>
    <cfRule type="expression" dxfId="478" priority="37">
      <formula>AND(J21=3,IF(COUNTIF(J$21:J$25,"=3")=1,TRUE))</formula>
    </cfRule>
  </conditionalFormatting>
  <conditionalFormatting sqref="L7:L11">
    <cfRule type="expression" dxfId="477" priority="31">
      <formula>OR(J7=0,J7=4)</formula>
    </cfRule>
    <cfRule type="expression" dxfId="476" priority="32">
      <formula>AND(J7=1,IF(COUNTIF(J$7:J$11,"=1")=1,TRUE))</formula>
    </cfRule>
    <cfRule type="expression" dxfId="475" priority="33">
      <formula>AND(J7=3,IF(COUNTIF(J$7:J$11,"=3")=1,TRUE))</formula>
    </cfRule>
  </conditionalFormatting>
  <conditionalFormatting sqref="H7:H11">
    <cfRule type="expression" dxfId="474" priority="22">
      <formula>AND(J7=1,IF(COUNTIF(J$7:J$11,"=1")&gt;=2,TRUE))</formula>
    </cfRule>
    <cfRule type="expression" dxfId="473" priority="29">
      <formula>AND(J7=3,IF(COUNTIF(J$7:J$11,"=3")&gt;=2,TRUE))</formula>
    </cfRule>
    <cfRule type="expression" dxfId="472" priority="30">
      <formula>AND(J7=2,IF(COUNTIF(J$7:J$11,"=2")&gt;=2,TRUE))</formula>
    </cfRule>
  </conditionalFormatting>
  <conditionalFormatting sqref="H14:H18">
    <cfRule type="expression" dxfId="471" priority="23">
      <formula>AND(J14=1,IF(COUNTIF(J$14:J$18,"=1")&gt;=2,TRUE))</formula>
    </cfRule>
    <cfRule type="expression" dxfId="470" priority="27">
      <formula>AND(J14=3,IF(COUNTIF(J$14:J$18,"=3")&gt;=2,TRUE))</formula>
    </cfRule>
    <cfRule type="expression" dxfId="469" priority="28">
      <formula>AND(J14=2,IF(COUNTIF(J$14:J$18,"=2")&gt;=2,TRUE))</formula>
    </cfRule>
  </conditionalFormatting>
  <conditionalFormatting sqref="H21:H25">
    <cfRule type="expression" dxfId="468" priority="24">
      <formula>AND(J21=1,IF(COUNTIF(J$21:J$25,"=1")&gt;=2,TRUE))</formula>
    </cfRule>
    <cfRule type="expression" dxfId="467" priority="25">
      <formula>AND(J21=3,IF(COUNTIF(J$21:J$25,"=3")&gt;=2,TRUE))</formula>
    </cfRule>
    <cfRule type="expression" dxfId="466" priority="26">
      <formula>AND(J21=2,IF(COUNTIF(J$21:J$25,"=2")&gt;=2,TRUE))</formula>
    </cfRule>
  </conditionalFormatting>
  <conditionalFormatting sqref="D28 C29">
    <cfRule type="aboveAverage" dxfId="465" priority="21"/>
  </conditionalFormatting>
  <conditionalFormatting sqref="E28 C30">
    <cfRule type="aboveAverage" dxfId="464" priority="20"/>
  </conditionalFormatting>
  <conditionalFormatting sqref="F28 C31">
    <cfRule type="aboveAverage" dxfId="463" priority="19"/>
  </conditionalFormatting>
  <conditionalFormatting sqref="E29 D30">
    <cfRule type="aboveAverage" dxfId="462" priority="18"/>
  </conditionalFormatting>
  <conditionalFormatting sqref="G28 C32">
    <cfRule type="aboveAverage" dxfId="461" priority="17"/>
  </conditionalFormatting>
  <conditionalFormatting sqref="F29 D31">
    <cfRule type="aboveAverage" dxfId="460" priority="16"/>
  </conditionalFormatting>
  <conditionalFormatting sqref="G29 D32">
    <cfRule type="aboveAverage" dxfId="459" priority="15"/>
  </conditionalFormatting>
  <conditionalFormatting sqref="F30 E31">
    <cfRule type="aboveAverage" dxfId="458" priority="14"/>
  </conditionalFormatting>
  <conditionalFormatting sqref="G30 E32">
    <cfRule type="aboveAverage" dxfId="457" priority="13"/>
  </conditionalFormatting>
  <conditionalFormatting sqref="F32 G31">
    <cfRule type="aboveAverage" dxfId="456" priority="12"/>
  </conditionalFormatting>
  <conditionalFormatting sqref="I28:I32">
    <cfRule type="expression" dxfId="455" priority="10">
      <formula>FIND(2,I28,1)</formula>
    </cfRule>
    <cfRule type="expression" dxfId="454" priority="11">
      <formula>FIND(1,I28,1)</formula>
    </cfRule>
  </conditionalFormatting>
  <conditionalFormatting sqref="K28:K32">
    <cfRule type="expression" dxfId="453" priority="7">
      <formula>AND(J28=3,IF(COUNTIF(J$28:J$32,"=3")&gt;=2,TRUE))</formula>
    </cfRule>
    <cfRule type="expression" dxfId="452" priority="8">
      <formula>AND(J28=1,IF(COUNTIF(J$28:J$32,"=1")&gt;=2,TRUE))</formula>
    </cfRule>
    <cfRule type="expression" dxfId="451" priority="9">
      <formula>AND(J28=2,IF(COUNTIF(J$28:J$32,"=2")&gt;=2,TRUE))</formula>
    </cfRule>
  </conditionalFormatting>
  <conditionalFormatting sqref="L28:L32">
    <cfRule type="expression" dxfId="450" priority="4">
      <formula>OR(J28=0,J28=4)</formula>
    </cfRule>
    <cfRule type="expression" dxfId="449" priority="5">
      <formula>AND(J28=1,IF(COUNTIF(J$28:J$32,"=1")=1,TRUE))</formula>
    </cfRule>
    <cfRule type="expression" dxfId="448" priority="6">
      <formula>AND(J28=3,IF(COUNTIF(J$28:J$32,"=3")=1,TRUE))</formula>
    </cfRule>
  </conditionalFormatting>
  <conditionalFormatting sqref="H28:H32">
    <cfRule type="expression" dxfId="447" priority="1">
      <formula>AND(J28=1,IF(COUNTIF(J$28:J$32,"=1")&gt;=2,TRUE))</formula>
    </cfRule>
    <cfRule type="expression" dxfId="446" priority="2">
      <formula>AND(J28=3,IF(COUNTIF(J$28:J$32,"=3")&gt;=2,TRUE))</formula>
    </cfRule>
    <cfRule type="expression" dxfId="445" priority="3">
      <formula>AND(J28=2,IF(COUNTIF(J$28:J$32,"=2")&gt;=2,TRUE))</formula>
    </cfRule>
  </conditionalFormatting>
  <conditionalFormatting sqref="B28:B29 B9 B14 B16">
    <cfRule type="duplicateValues" dxfId="444" priority="96"/>
  </conditionalFormatting>
  <pageMargins left="0.78740157480314965" right="0.39370078740157483" top="0.78740157480314965" bottom="0.39370078740157483" header="0.59055118110236227" footer="0"/>
  <pageSetup paperSize="9" fitToHeight="0" orientation="landscape" verticalDpi="1200" r:id="rId1"/>
  <headerFooter alignWithMargins="0">
    <oddHeader>&amp;R&amp;"Arial,Regular"&amp;9Page &amp;P of &amp;N</oddHeader>
  </headerFooter>
  <rowBreaks count="1" manualBreakCount="1">
    <brk id="115" max="16383" man="1"/>
  </rowBreaks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workbookViewId="0">
      <selection activeCell="H1" sqref="H1"/>
    </sheetView>
  </sheetViews>
  <sheetFormatPr defaultRowHeight="12.75" x14ac:dyDescent="0.2"/>
  <cols>
    <col min="1" max="2" width="9.140625" customWidth="1"/>
  </cols>
  <sheetData>
    <row r="1" spans="1:6" x14ac:dyDescent="0.2">
      <c r="A1" s="473">
        <v>0</v>
      </c>
      <c r="B1" s="473">
        <v>0</v>
      </c>
      <c r="C1" s="32"/>
      <c r="D1" s="32"/>
      <c r="E1" s="32"/>
      <c r="F1" s="32"/>
    </row>
    <row r="2" spans="1:6" s="32" customFormat="1" x14ac:dyDescent="0.2">
      <c r="A2" s="473">
        <v>1</v>
      </c>
      <c r="B2" s="473" t="s">
        <v>66</v>
      </c>
    </row>
    <row r="3" spans="1:6" x14ac:dyDescent="0.2">
      <c r="A3" s="473">
        <v>2</v>
      </c>
      <c r="B3" s="473" t="s">
        <v>90</v>
      </c>
      <c r="C3" s="32"/>
      <c r="D3" s="32"/>
      <c r="E3" s="32"/>
      <c r="F3" s="32"/>
    </row>
    <row r="4" spans="1:6" x14ac:dyDescent="0.2">
      <c r="A4" s="473">
        <v>3</v>
      </c>
      <c r="B4" s="473" t="s">
        <v>166</v>
      </c>
      <c r="C4" s="32"/>
      <c r="D4" s="32"/>
      <c r="E4" s="32"/>
      <c r="F4" s="32"/>
    </row>
    <row r="5" spans="1:6" x14ac:dyDescent="0.2">
      <c r="A5" s="473">
        <v>4</v>
      </c>
      <c r="B5" s="473" t="s">
        <v>323</v>
      </c>
      <c r="C5" s="32"/>
      <c r="D5" s="32"/>
      <c r="E5" s="32"/>
      <c r="F5" s="32"/>
    </row>
    <row r="6" spans="1:6" x14ac:dyDescent="0.2">
      <c r="A6" s="473">
        <v>5</v>
      </c>
      <c r="B6" s="473" t="s">
        <v>324</v>
      </c>
      <c r="C6" s="32"/>
      <c r="D6" s="32"/>
      <c r="E6" s="32"/>
      <c r="F6" s="32"/>
    </row>
    <row r="7" spans="1:6" x14ac:dyDescent="0.2">
      <c r="A7" s="473">
        <v>6</v>
      </c>
      <c r="B7" s="473" t="s">
        <v>325</v>
      </c>
    </row>
    <row r="8" spans="1:6" x14ac:dyDescent="0.2">
      <c r="A8" s="473">
        <v>7</v>
      </c>
      <c r="B8" s="473" t="s">
        <v>326</v>
      </c>
    </row>
    <row r="9" spans="1:6" x14ac:dyDescent="0.2">
      <c r="A9" s="473">
        <v>8</v>
      </c>
      <c r="B9" s="473" t="s">
        <v>166</v>
      </c>
    </row>
    <row r="10" spans="1:6" x14ac:dyDescent="0.2">
      <c r="A10" s="473">
        <v>9</v>
      </c>
      <c r="B10" s="473" t="s">
        <v>323</v>
      </c>
    </row>
    <row r="11" spans="1:6" x14ac:dyDescent="0.2">
      <c r="A11" s="473">
        <v>10</v>
      </c>
      <c r="B11" s="473" t="s">
        <v>324</v>
      </c>
    </row>
    <row r="12" spans="1:6" x14ac:dyDescent="0.2">
      <c r="A12" s="473">
        <v>11</v>
      </c>
      <c r="B12" s="473" t="s">
        <v>325</v>
      </c>
    </row>
    <row r="13" spans="1:6" x14ac:dyDescent="0.2">
      <c r="A13" s="473">
        <v>12</v>
      </c>
      <c r="B13" s="473" t="s">
        <v>326</v>
      </c>
    </row>
    <row r="14" spans="1:6" x14ac:dyDescent="0.2">
      <c r="A14" s="473">
        <v>13</v>
      </c>
      <c r="B14" s="473" t="s">
        <v>327</v>
      </c>
    </row>
    <row r="15" spans="1:6" x14ac:dyDescent="0.2">
      <c r="A15" s="473">
        <v>14</v>
      </c>
      <c r="B15" s="473" t="s">
        <v>80</v>
      </c>
    </row>
    <row r="16" spans="1:6" x14ac:dyDescent="0.2">
      <c r="A16" s="473">
        <v>15</v>
      </c>
      <c r="B16" s="473" t="s">
        <v>328</v>
      </c>
    </row>
    <row r="17" spans="1:2" x14ac:dyDescent="0.2">
      <c r="A17" s="473">
        <v>16</v>
      </c>
      <c r="B17" s="473" t="s">
        <v>21</v>
      </c>
    </row>
    <row r="18" spans="1:2" x14ac:dyDescent="0.2">
      <c r="A18" s="473">
        <v>17</v>
      </c>
      <c r="B18" s="473" t="s">
        <v>329</v>
      </c>
    </row>
    <row r="19" spans="1:2" x14ac:dyDescent="0.2">
      <c r="A19" s="473">
        <v>18</v>
      </c>
      <c r="B19" s="473" t="s">
        <v>330</v>
      </c>
    </row>
    <row r="20" spans="1:2" x14ac:dyDescent="0.2">
      <c r="A20" s="473">
        <v>19</v>
      </c>
      <c r="B20" s="473" t="s">
        <v>331</v>
      </c>
    </row>
    <row r="21" spans="1:2" x14ac:dyDescent="0.2">
      <c r="A21" s="473">
        <v>20</v>
      </c>
      <c r="B21" s="473" t="s">
        <v>332</v>
      </c>
    </row>
    <row r="22" spans="1:2" x14ac:dyDescent="0.2">
      <c r="A22" s="473">
        <v>21</v>
      </c>
      <c r="B22" s="473" t="s">
        <v>133</v>
      </c>
    </row>
    <row r="23" spans="1:2" x14ac:dyDescent="0.2">
      <c r="A23" s="473">
        <v>22</v>
      </c>
      <c r="B23" s="473" t="s">
        <v>333</v>
      </c>
    </row>
    <row r="24" spans="1:2" x14ac:dyDescent="0.2">
      <c r="A24" s="473">
        <v>23</v>
      </c>
      <c r="B24" s="473" t="s">
        <v>29</v>
      </c>
    </row>
    <row r="25" spans="1:2" x14ac:dyDescent="0.2">
      <c r="A25" s="473">
        <v>24</v>
      </c>
      <c r="B25" s="473" t="s">
        <v>334</v>
      </c>
    </row>
    <row r="26" spans="1:2" x14ac:dyDescent="0.2">
      <c r="A26" s="473">
        <v>25</v>
      </c>
      <c r="B26" s="473" t="s">
        <v>335</v>
      </c>
    </row>
    <row r="27" spans="1:2" x14ac:dyDescent="0.2">
      <c r="A27" s="473">
        <v>26</v>
      </c>
      <c r="B27" s="473" t="s">
        <v>336</v>
      </c>
    </row>
    <row r="28" spans="1:2" x14ac:dyDescent="0.2">
      <c r="A28" s="473">
        <v>27</v>
      </c>
      <c r="B28" s="473" t="s">
        <v>273</v>
      </c>
    </row>
    <row r="29" spans="1:2" x14ac:dyDescent="0.2">
      <c r="A29" s="473">
        <v>28</v>
      </c>
      <c r="B29" s="473" t="s">
        <v>337</v>
      </c>
    </row>
    <row r="30" spans="1:2" x14ac:dyDescent="0.2">
      <c r="A30" s="473">
        <v>29</v>
      </c>
      <c r="B30" s="473" t="s">
        <v>338</v>
      </c>
    </row>
    <row r="31" spans="1:2" x14ac:dyDescent="0.2">
      <c r="A31" s="473">
        <v>30</v>
      </c>
      <c r="B31" s="473" t="s">
        <v>339</v>
      </c>
    </row>
    <row r="32" spans="1:2" x14ac:dyDescent="0.2">
      <c r="A32" s="473">
        <v>31</v>
      </c>
      <c r="B32" s="473" t="s">
        <v>340</v>
      </c>
    </row>
    <row r="33" spans="1:2" x14ac:dyDescent="0.2">
      <c r="A33" s="32"/>
      <c r="B33" s="488" t="s">
        <v>363</v>
      </c>
    </row>
    <row r="34" spans="1:2" x14ac:dyDescent="0.2">
      <c r="A34" s="32" t="s">
        <v>364</v>
      </c>
      <c r="B34" s="488"/>
    </row>
    <row r="35" spans="1:2" x14ac:dyDescent="0.2">
      <c r="A35" s="32"/>
      <c r="B35" s="488"/>
    </row>
    <row r="36" spans="1:2" x14ac:dyDescent="0.2">
      <c r="A36" s="32" t="s">
        <v>365</v>
      </c>
      <c r="B36" s="488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H1" sqref="H1"/>
    </sheetView>
  </sheetViews>
  <sheetFormatPr defaultRowHeight="12.75" x14ac:dyDescent="0.2"/>
  <sheetData>
    <row r="1" spans="1:9" x14ac:dyDescent="0.2">
      <c r="A1" s="397">
        <v>40</v>
      </c>
      <c r="E1" s="32" t="s">
        <v>370</v>
      </c>
    </row>
    <row r="2" spans="1:9" x14ac:dyDescent="0.2">
      <c r="A2" s="397">
        <v>34</v>
      </c>
      <c r="E2" s="32"/>
    </row>
    <row r="3" spans="1:9" x14ac:dyDescent="0.2">
      <c r="A3" s="397">
        <v>30</v>
      </c>
      <c r="E3" s="306" t="s">
        <v>369</v>
      </c>
      <c r="F3" s="306"/>
      <c r="G3" s="306"/>
      <c r="H3" s="306"/>
      <c r="I3" s="306"/>
    </row>
    <row r="4" spans="1:9" x14ac:dyDescent="0.2">
      <c r="A4" s="397">
        <v>26</v>
      </c>
    </row>
    <row r="5" spans="1:9" x14ac:dyDescent="0.2">
      <c r="A5" s="397">
        <v>24</v>
      </c>
    </row>
    <row r="6" spans="1:9" x14ac:dyDescent="0.2">
      <c r="A6" s="397">
        <v>22</v>
      </c>
    </row>
    <row r="7" spans="1:9" x14ac:dyDescent="0.2">
      <c r="A7" s="397">
        <v>20</v>
      </c>
    </row>
    <row r="8" spans="1:9" x14ac:dyDescent="0.2">
      <c r="A8" s="397">
        <v>18</v>
      </c>
    </row>
    <row r="9" spans="1:9" x14ac:dyDescent="0.2">
      <c r="A9" s="397">
        <v>16</v>
      </c>
    </row>
    <row r="10" spans="1:9" x14ac:dyDescent="0.2">
      <c r="A10" s="397">
        <v>14</v>
      </c>
    </row>
    <row r="11" spans="1:9" x14ac:dyDescent="0.2">
      <c r="A11" s="397">
        <v>12</v>
      </c>
    </row>
    <row r="12" spans="1:9" x14ac:dyDescent="0.2">
      <c r="A12" s="397">
        <v>10</v>
      </c>
    </row>
    <row r="13" spans="1:9" x14ac:dyDescent="0.2">
      <c r="A13" s="397">
        <v>8</v>
      </c>
    </row>
    <row r="14" spans="1:9" x14ac:dyDescent="0.2">
      <c r="A14" s="397">
        <v>6</v>
      </c>
    </row>
    <row r="15" spans="1:9" x14ac:dyDescent="0.2">
      <c r="A15" s="397">
        <v>4</v>
      </c>
    </row>
    <row r="16" spans="1:9" x14ac:dyDescent="0.2">
      <c r="A16" s="397">
        <v>2</v>
      </c>
    </row>
    <row r="17" spans="1:2" x14ac:dyDescent="0.2">
      <c r="A17" s="397">
        <v>1</v>
      </c>
    </row>
    <row r="18" spans="1:2" x14ac:dyDescent="0.2">
      <c r="A18" s="489">
        <v>0</v>
      </c>
      <c r="B18" s="32" t="s">
        <v>366</v>
      </c>
    </row>
    <row r="19" spans="1:2" x14ac:dyDescent="0.2">
      <c r="A19" s="490" t="s">
        <v>367</v>
      </c>
      <c r="B19" s="32" t="s">
        <v>368</v>
      </c>
    </row>
  </sheetData>
  <conditionalFormatting sqref="A18">
    <cfRule type="duplicateValues" dxfId="443" priority="1"/>
  </conditionalFormatting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H1" sqref="H1"/>
    </sheetView>
  </sheetViews>
  <sheetFormatPr defaultRowHeight="12.75" x14ac:dyDescent="0.2"/>
  <sheetData>
    <row r="1" spans="1:9" x14ac:dyDescent="0.2">
      <c r="A1" s="397">
        <v>17</v>
      </c>
      <c r="E1" s="32" t="s">
        <v>371</v>
      </c>
      <c r="F1" s="32"/>
      <c r="G1" s="32"/>
      <c r="H1" s="32"/>
      <c r="I1" s="32"/>
    </row>
    <row r="2" spans="1:9" x14ac:dyDescent="0.2">
      <c r="A2" s="397">
        <v>16</v>
      </c>
      <c r="E2" s="32"/>
      <c r="F2" s="32"/>
      <c r="G2" s="32"/>
      <c r="H2" s="32"/>
      <c r="I2" s="32"/>
    </row>
    <row r="3" spans="1:9" x14ac:dyDescent="0.2">
      <c r="A3" s="397">
        <v>15</v>
      </c>
      <c r="E3" s="306" t="s">
        <v>369</v>
      </c>
      <c r="F3" s="306"/>
      <c r="G3" s="306"/>
      <c r="H3" s="306"/>
      <c r="I3" s="306"/>
    </row>
    <row r="4" spans="1:9" x14ac:dyDescent="0.2">
      <c r="A4" s="397">
        <v>14</v>
      </c>
    </row>
    <row r="5" spans="1:9" x14ac:dyDescent="0.2">
      <c r="A5" s="397">
        <v>13</v>
      </c>
    </row>
    <row r="6" spans="1:9" x14ac:dyDescent="0.2">
      <c r="A6" s="397">
        <v>12</v>
      </c>
      <c r="E6" t="s">
        <v>374</v>
      </c>
    </row>
    <row r="7" spans="1:9" x14ac:dyDescent="0.2">
      <c r="A7" s="397">
        <v>11</v>
      </c>
    </row>
    <row r="8" spans="1:9" x14ac:dyDescent="0.2">
      <c r="A8" s="397">
        <v>10</v>
      </c>
    </row>
    <row r="9" spans="1:9" x14ac:dyDescent="0.2">
      <c r="A9" s="397">
        <v>9</v>
      </c>
    </row>
    <row r="10" spans="1:9" x14ac:dyDescent="0.2">
      <c r="A10" s="397">
        <v>8</v>
      </c>
    </row>
    <row r="11" spans="1:9" x14ac:dyDescent="0.2">
      <c r="A11" s="397">
        <v>7</v>
      </c>
    </row>
    <row r="12" spans="1:9" x14ac:dyDescent="0.2">
      <c r="A12" s="397">
        <v>6</v>
      </c>
    </row>
    <row r="13" spans="1:9" x14ac:dyDescent="0.2">
      <c r="A13" s="397">
        <v>5</v>
      </c>
    </row>
    <row r="14" spans="1:9" x14ac:dyDescent="0.2">
      <c r="A14" s="397">
        <v>4</v>
      </c>
    </row>
    <row r="15" spans="1:9" x14ac:dyDescent="0.2">
      <c r="A15" s="397">
        <v>3</v>
      </c>
    </row>
    <row r="16" spans="1:9" x14ac:dyDescent="0.2">
      <c r="A16" s="397">
        <v>2</v>
      </c>
    </row>
    <row r="17" spans="1:2" x14ac:dyDescent="0.2">
      <c r="A17" s="397">
        <v>1</v>
      </c>
    </row>
    <row r="18" spans="1:2" x14ac:dyDescent="0.2">
      <c r="A18" s="489">
        <v>0</v>
      </c>
    </row>
    <row r="19" spans="1:2" x14ac:dyDescent="0.2">
      <c r="A19" s="490" t="s">
        <v>367</v>
      </c>
    </row>
    <row r="21" spans="1:2" x14ac:dyDescent="0.2">
      <c r="B21" s="32" t="s">
        <v>366</v>
      </c>
    </row>
    <row r="22" spans="1:2" x14ac:dyDescent="0.2">
      <c r="B22" s="32" t="s">
        <v>368</v>
      </c>
    </row>
  </sheetData>
  <conditionalFormatting sqref="A18">
    <cfRule type="duplicateValues" dxfId="442" priority="1"/>
  </conditionalFormatting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AA315"/>
  <sheetViews>
    <sheetView showGridLines="0" zoomScaleNormal="100" workbookViewId="0">
      <pane ySplit="2" topLeftCell="A132" activePane="bottomLeft" state="frozen"/>
      <selection activeCell="C152" sqref="C152"/>
      <selection pane="bottomLeft" activeCell="C152" sqref="C152"/>
    </sheetView>
  </sheetViews>
  <sheetFormatPr defaultRowHeight="12.75" x14ac:dyDescent="0.2"/>
  <cols>
    <col min="1" max="1" width="5.5703125" style="139" customWidth="1"/>
    <col min="2" max="2" width="31.7109375" style="139" bestFit="1" customWidth="1"/>
    <col min="3" max="9" width="8.28515625" style="139" customWidth="1"/>
    <col min="10" max="10" width="4.5703125" style="139" hidden="1" customWidth="1"/>
    <col min="11" max="11" width="3.5703125" style="139" hidden="1" customWidth="1"/>
    <col min="12" max="12" width="8.5703125" style="139" hidden="1" customWidth="1"/>
    <col min="13" max="13" width="4.28515625" style="139" customWidth="1"/>
    <col min="14" max="14" width="5.5703125" style="139" customWidth="1"/>
    <col min="15" max="15" width="31.7109375" style="139" bestFit="1" customWidth="1"/>
    <col min="16" max="16" width="9.140625" style="139"/>
    <col min="17" max="17" width="7.7109375" style="139" hidden="1" customWidth="1"/>
    <col min="18" max="18" width="17.140625" style="139" hidden="1" customWidth="1"/>
    <col min="19" max="19" width="6" style="139" hidden="1" customWidth="1"/>
    <col min="20" max="20" width="32.7109375" style="139" hidden="1" customWidth="1"/>
    <col min="21" max="21" width="6" style="139" hidden="1" customWidth="1"/>
    <col min="22" max="22" width="17.28515625" style="139" hidden="1" customWidth="1"/>
    <col min="23" max="23" width="6" style="139" hidden="1" customWidth="1"/>
    <col min="24" max="24" width="13.85546875" style="139" hidden="1" customWidth="1"/>
    <col min="25" max="25" width="6" style="139" hidden="1" customWidth="1"/>
    <col min="26" max="16384" width="9.140625" style="139"/>
  </cols>
  <sheetData>
    <row r="1" spans="1:26" x14ac:dyDescent="0.2">
      <c r="A1" s="86" t="str">
        <f>UPPER((Kalend!E32)&amp;" - "&amp;(Kalend!C32)&amp;" - "&amp;(Kalend!D32))</f>
        <v>EV100 - EESTI VABARIIGI 100. AASTAP. TURNIIR - DUO</v>
      </c>
      <c r="F1" s="51" t="str">
        <f>HYPERLINK("#'Kalend'!I1","Kalender")</f>
        <v>Kalender</v>
      </c>
      <c r="H1" s="51" t="str">
        <f>HYPERLINK("#'V'!AE1","Reiting")</f>
        <v>Reiting</v>
      </c>
      <c r="I1" s="88"/>
      <c r="J1" s="502" t="s">
        <v>380</v>
      </c>
      <c r="K1" s="504"/>
      <c r="L1" s="504"/>
      <c r="Q1" s="502" t="s">
        <v>380</v>
      </c>
      <c r="R1" s="504"/>
      <c r="S1" s="504"/>
      <c r="T1" s="503"/>
      <c r="U1" s="504"/>
      <c r="V1" s="504"/>
      <c r="W1" s="504"/>
      <c r="X1" s="504"/>
      <c r="Y1" s="504"/>
    </row>
    <row r="2" spans="1:26" x14ac:dyDescent="0.2">
      <c r="A2" s="186" t="str">
        <f>"Toimumisaeg: "&amp;(Kalend!A32)&amp;" kell "&amp;(Kalend!B32)</f>
        <v>Toimumisaeg: L, 24.02.2018 kell 11:00</v>
      </c>
      <c r="R2" s="314"/>
      <c r="T2" s="314"/>
    </row>
    <row r="3" spans="1:26" x14ac:dyDescent="0.2">
      <c r="A3" s="186" t="str">
        <f>"Toimumiskoht: "&amp;(Kalend!F32)</f>
        <v>Toimumiskoht: Voka petangihall</v>
      </c>
      <c r="R3" s="505" t="s">
        <v>381</v>
      </c>
      <c r="T3" s="314"/>
      <c r="V3" s="261"/>
    </row>
    <row r="4" spans="1:26" x14ac:dyDescent="0.2">
      <c r="A4" s="186" t="str">
        <f>"Korraldaja: "&amp;(Kalend!G32)</f>
        <v>Korraldaja: Johannes Neiland</v>
      </c>
      <c r="Q4" s="506" t="s">
        <v>36</v>
      </c>
      <c r="R4" s="507"/>
      <c r="S4" s="508"/>
      <c r="T4" s="509"/>
      <c r="U4" s="508"/>
      <c r="V4" s="508"/>
      <c r="W4" s="508"/>
      <c r="X4" s="508"/>
      <c r="Y4" s="508"/>
    </row>
    <row r="5" spans="1:26" x14ac:dyDescent="0.2">
      <c r="O5" s="188"/>
      <c r="Q5" s="506" t="s">
        <v>382</v>
      </c>
      <c r="R5" s="510" t="s">
        <v>383</v>
      </c>
      <c r="S5" s="510"/>
      <c r="T5" s="511" t="s">
        <v>384</v>
      </c>
      <c r="U5" s="510"/>
      <c r="V5" s="510" t="s">
        <v>385</v>
      </c>
      <c r="W5" s="510"/>
      <c r="X5" s="510" t="s">
        <v>386</v>
      </c>
      <c r="Y5" s="512"/>
    </row>
    <row r="6" spans="1:26" s="188" customFormat="1" x14ac:dyDescent="0.2">
      <c r="A6" s="126" t="s">
        <v>66</v>
      </c>
      <c r="B6" s="126"/>
      <c r="C6" s="91">
        <v>1</v>
      </c>
      <c r="D6" s="91">
        <v>2</v>
      </c>
      <c r="E6" s="91">
        <v>3</v>
      </c>
      <c r="F6" s="91">
        <v>4</v>
      </c>
      <c r="G6" s="91">
        <v>5</v>
      </c>
      <c r="H6" s="91" t="s">
        <v>73</v>
      </c>
      <c r="I6" s="91" t="s">
        <v>21</v>
      </c>
      <c r="J6" s="577" t="s">
        <v>273</v>
      </c>
      <c r="K6" s="578" t="s">
        <v>430</v>
      </c>
      <c r="L6" s="188" t="b">
        <f>OR(AND(COUNTA(B7:B11)=3,COUNTA(C7:G11)=6),AND(COUNTA(B7:B11)=4,COUNTA(C7:G11)=12),AND(COUNTA(B7:B11)=5,COUNTA(C7:G11)=20))</f>
        <v>0</v>
      </c>
      <c r="Q6" s="506" t="s">
        <v>387</v>
      </c>
      <c r="R6" s="507"/>
      <c r="S6" s="508"/>
      <c r="T6" s="507"/>
      <c r="U6" s="508"/>
      <c r="V6" s="513"/>
      <c r="W6" s="513"/>
      <c r="X6" s="513"/>
      <c r="Y6" s="513"/>
    </row>
    <row r="7" spans="1:26" s="188" customFormat="1" x14ac:dyDescent="0.2">
      <c r="A7" s="126">
        <v>1</v>
      </c>
      <c r="B7" s="581"/>
      <c r="C7" s="127"/>
      <c r="D7" s="93"/>
      <c r="E7" s="93"/>
      <c r="F7" s="93"/>
      <c r="G7" s="93"/>
      <c r="H7" s="576" t="str">
        <f>(IF(D7-C8&gt;0,1)+IF(E7-C9&gt;0,1)+IF(F7-C10&gt;0,1)+IF(G7-C11&gt;0,1))&amp;"-"&amp;(IF(D7-C8&lt;0,1)+IF(E7-C9&lt;0,1)+IF(F7-C10&lt;0,1)+IF(G7-C11&lt;0,1))</f>
        <v>0-0</v>
      </c>
      <c r="I7" s="93" t="str">
        <f>IF(AND(B7&lt;&gt;"",L$6=TRUE),A$6&amp;RANK(L7,L$7:L$11,0),"")</f>
        <v/>
      </c>
      <c r="J7" s="584">
        <f>VALUE(LEFT(H7,1))</f>
        <v>0</v>
      </c>
      <c r="K7" s="584">
        <f>IF(AND(J7=1,J8=1),D7-C8)+IF(AND(J7=1,J9=1),E7-C9)+IF(AND(J7=1,J10=1),F7-C10)+IF(AND(J7=1,J11=1),G7-C11)+IF(AND(J7=2,J8=2),D7-C8)+IF(AND(J7=2,J9=2),E7-C9)+IF(AND(J7=2,J10=2),F7-C10)+IF(AND(J7=2,J11=2),G7-C11)+IF(AND(J7=3,J8=3),D7-C8)+IF(AND(J7=3,J9=3),E7-C9)+IF(AND(J7=3,J10=3),F7-C10)+IF(AND(J7=3,J11=3),G7-C11)</f>
        <v>0</v>
      </c>
      <c r="L7" s="584">
        <f>1000*J7+K7</f>
        <v>0</v>
      </c>
      <c r="M7" s="632"/>
      <c r="N7" s="567"/>
      <c r="P7" s="319"/>
      <c r="Q7" s="512">
        <f>SUM(S7:Y7)</f>
        <v>0</v>
      </c>
      <c r="R7" s="514" t="str">
        <f t="shared" ref="R7:R32" si="0">IFERROR(LEFT($B7,(FIND(",",$B7,1)-1)),"")</f>
        <v/>
      </c>
      <c r="S7" s="515" t="str">
        <f>IFERROR(INDEX(V!$O:$O,MATCH(R7,V!$J:$J,0)),"")</f>
        <v/>
      </c>
      <c r="T7" s="514" t="str">
        <f t="shared" ref="T7:T32" si="1">IFERROR(MID($B7,FIND(", ",$B7)+2,256),"")</f>
        <v/>
      </c>
      <c r="U7" s="515" t="str">
        <f>IFERROR(INDEX(V!$O:$O,MATCH(T7,V!$J:$J,0)),"")</f>
        <v/>
      </c>
      <c r="V7" s="516" t="str">
        <f t="shared" ref="V7:V32" si="2">IFERROR(MID($B7,FIND("^",SUBSTITUTE($B7,", ","^",1))+2,FIND("^",SUBSTITUTE($B7,", ","^",2))-FIND("^",SUBSTITUTE($B7,", ","^",1))-2),"")</f>
        <v/>
      </c>
      <c r="W7" s="515" t="str">
        <f>IFERROR(INDEX(V!$O:$O,MATCH(V7,V!$J:$J,0)),"")</f>
        <v/>
      </c>
      <c r="X7" s="516" t="str">
        <f t="shared" ref="X7:X32" si="3">IFERROR(MID($B7,FIND(", ",$B7,FIND(", ",$B7,FIND(", ",$B7))+1)+2,30000),"")</f>
        <v/>
      </c>
      <c r="Y7" s="515" t="str">
        <f>IFERROR(INDEX(V!$O:$O,MATCH(X7,V!$J:$J,0)),"")</f>
        <v/>
      </c>
    </row>
    <row r="8" spans="1:26" s="188" customFormat="1" x14ac:dyDescent="0.2">
      <c r="A8" s="126">
        <v>2</v>
      </c>
      <c r="B8" s="581"/>
      <c r="C8" s="93"/>
      <c r="D8" s="127"/>
      <c r="E8" s="93"/>
      <c r="F8" s="93"/>
      <c r="G8" s="93"/>
      <c r="H8" s="576" t="str">
        <f>(IF(C8-D7&gt;0,1)+IF(E8-D9&gt;0,1)+IF(F8-D10&gt;0,1)+IF(G8-D11&gt;0,1))&amp;"-"&amp;(IF(C8-D7&lt;0,1)+IF(E8-D9&lt;0,1)+IF(F8-D10&lt;0,1)+IF(G8-D11&lt;0,1))</f>
        <v>0-0</v>
      </c>
      <c r="I8" s="93" t="str">
        <f>IF(AND(B8&lt;&gt;"",L$6=TRUE),A$6&amp;RANK(L8,L$7:L$11,0),"")</f>
        <v/>
      </c>
      <c r="J8" s="584">
        <f>VALUE(LEFT(H8,1))</f>
        <v>0</v>
      </c>
      <c r="K8" s="584">
        <f>IF(AND(J8=1,J7=1),C8-D7)+IF(AND(J8=1,J9=1),E8-D9)+IF(AND(J8=1,J10=1),F8-D10)+IF(AND(J8=1,J11=1),G8-D11)+IF(AND(J8=2,J7=2),C8-D7)+IF(AND(J8=2,J9=2),E8-D9)+IF(AND(J8=2,J10=2),F8-D10)+IF(AND(J8=2,J11=2),G8-D11)+IF(AND(J8=3,J7=3),C8-D7)+IF(AND(J8=3,J9=3),E8-D9)+IF(AND(J8=3,J10=3),F8-D10)+IF(AND(J8=3,J11=3),G8-D11)</f>
        <v>0</v>
      </c>
      <c r="L8" s="584">
        <f>1000*J8+K8</f>
        <v>0</v>
      </c>
      <c r="M8" s="632"/>
      <c r="N8" s="567"/>
      <c r="P8" s="319"/>
      <c r="Q8" s="512">
        <f t="shared" ref="Q8:Q32" si="4">SUM(S8:Y8)</f>
        <v>0</v>
      </c>
      <c r="R8" s="514" t="str">
        <f t="shared" si="0"/>
        <v/>
      </c>
      <c r="S8" s="515" t="str">
        <f>IFERROR(INDEX(V!$O:$O,MATCH(R8,V!$J:$J,0)),"")</f>
        <v/>
      </c>
      <c r="T8" s="514" t="str">
        <f t="shared" si="1"/>
        <v/>
      </c>
      <c r="U8" s="515" t="str">
        <f>IFERROR(INDEX(V!$O:$O,MATCH(T8,V!$J:$J,0)),"")</f>
        <v/>
      </c>
      <c r="V8" s="516" t="str">
        <f t="shared" si="2"/>
        <v/>
      </c>
      <c r="W8" s="515" t="str">
        <f>IFERROR(INDEX(V!$O:$O,MATCH(V8,V!$J:$J,0)),"")</f>
        <v/>
      </c>
      <c r="X8" s="516" t="str">
        <f t="shared" si="3"/>
        <v/>
      </c>
      <c r="Y8" s="515" t="str">
        <f>IFERROR(INDEX(V!$O:$O,MATCH(X8,V!$J:$J,0)),"")</f>
        <v/>
      </c>
    </row>
    <row r="9" spans="1:26" s="188" customFormat="1" x14ac:dyDescent="0.2">
      <c r="A9" s="126">
        <v>3</v>
      </c>
      <c r="B9" s="581"/>
      <c r="C9" s="93"/>
      <c r="D9" s="548"/>
      <c r="E9" s="127"/>
      <c r="F9" s="93"/>
      <c r="G9" s="128"/>
      <c r="H9" s="576" t="str">
        <f>(IF(C9-E7&gt;0,1)+IF(D9-E8&gt;0,1)+IF(F9-E10&gt;0,1)+IF(G9-E11&gt;0,1))&amp;"-"&amp;(IF(C9-E7&lt;0,1)+IF(D9-E8&lt;0,1)+IF(F9-E10&lt;0,1)+IF(G9-E11&lt;0,1))</f>
        <v>0-0</v>
      </c>
      <c r="I9" s="93" t="str">
        <f>IF(AND(B9&lt;&gt;"",L$6=TRUE),A$6&amp;RANK(L9,L$7:L$11,0),"")</f>
        <v/>
      </c>
      <c r="J9" s="584">
        <f>VALUE(LEFT(H9,1))</f>
        <v>0</v>
      </c>
      <c r="K9" s="584">
        <f>IF(AND(J9=1,J7=1),C9-E7)+IF(AND(J9=1,J8=1),D9-E8)+IF(AND(J9=1,J10=1),F9-E10)+IF(AND(J9=1,J11=1),G9-E11)+IF(AND(J9=2,J7=2),C9-E7)+IF(AND(J9=2,J8=2),D9-E8)+IF(AND(J9=2,J10=2),F9-E10)+IF(AND(J9=2,J11=2),G9-E11)+IF(AND(J9=3,J7=3),C9-E7)+IF(AND(J9=3,J8=3),D9-E8)+IF(AND(J9=3,J10=3),F9-E10)+IF(AND(J9=3,J11=3),G9-E11)</f>
        <v>0</v>
      </c>
      <c r="L9" s="584">
        <f>1000*J9+K9</f>
        <v>0</v>
      </c>
      <c r="M9" s="632"/>
      <c r="N9" s="567"/>
      <c r="P9" s="319"/>
      <c r="Q9" s="512">
        <f t="shared" si="4"/>
        <v>0</v>
      </c>
      <c r="R9" s="514" t="str">
        <f t="shared" si="0"/>
        <v/>
      </c>
      <c r="S9" s="515" t="str">
        <f>IFERROR(INDEX(V!$O:$O,MATCH(R9,V!$J:$J,0)),"")</f>
        <v/>
      </c>
      <c r="T9" s="514" t="str">
        <f t="shared" si="1"/>
        <v/>
      </c>
      <c r="U9" s="515" t="str">
        <f>IFERROR(INDEX(V!$O:$O,MATCH(T9,V!$J:$J,0)),"")</f>
        <v/>
      </c>
      <c r="V9" s="516" t="str">
        <f t="shared" si="2"/>
        <v/>
      </c>
      <c r="W9" s="515" t="str">
        <f>IFERROR(INDEX(V!$O:$O,MATCH(V9,V!$J:$J,0)),"")</f>
        <v/>
      </c>
      <c r="X9" s="516" t="str">
        <f t="shared" si="3"/>
        <v/>
      </c>
      <c r="Y9" s="515" t="str">
        <f>IFERROR(INDEX(V!$O:$O,MATCH(X9,V!$J:$J,0)),"")</f>
        <v/>
      </c>
    </row>
    <row r="10" spans="1:26" s="188" customFormat="1" x14ac:dyDescent="0.2">
      <c r="A10" s="126">
        <v>4</v>
      </c>
      <c r="B10" s="581"/>
      <c r="C10" s="93"/>
      <c r="D10" s="548"/>
      <c r="E10" s="93"/>
      <c r="F10" s="127"/>
      <c r="G10" s="128"/>
      <c r="H10" s="576" t="str">
        <f>(IF(C10-F7&gt;0,1)+IF(D10-F8&gt;0,1)+IF(E10-F9&gt;0,1)+IF(G10-F11&gt;0,1))&amp;"-"&amp;(IF(C10-F7&lt;0,1)+IF(D10-F8&lt;0,1)+IF(E10-F9&lt;0,1)+IF(G10-F11&lt;0,1))</f>
        <v>0-0</v>
      </c>
      <c r="I10" s="93" t="str">
        <f>IF(AND(B10&lt;&gt;"",L$6=TRUE),A$6&amp;RANK(L10,L$7:L$11,0),"")</f>
        <v/>
      </c>
      <c r="J10" s="584">
        <f>VALUE(LEFT(H10,1))</f>
        <v>0</v>
      </c>
      <c r="K10" s="584">
        <f>IF(AND(J10=1,J7=1),C10-F7)+IF(AND(J10=1,J8=1),D10-F8)+IF(AND(J10=1,J9=1),E10-F9)+IF(AND(J10=1,J11=1),G10-F11)+IF(AND(J10=2,J7=2),C10-F7)+IF(AND(J10=2,J8=2),D10-F8)+IF(AND(J10=2,J9=2),E10-F9)+IF(AND(J10=2,J11=2),G10-F11)+IF(AND(J10=3,J7=3),C10-F7)+IF(AND(J10=3,J8=3),D10-F8)+IF(AND(J10=3,J9=3),E10-F9)+IF(AND(J10=3,J11=3),G10-F11)</f>
        <v>0</v>
      </c>
      <c r="L10" s="584">
        <f>1000*J10+K10</f>
        <v>0</v>
      </c>
      <c r="M10" s="569"/>
      <c r="N10" s="310"/>
      <c r="P10" s="319"/>
      <c r="Q10" s="512">
        <f t="shared" si="4"/>
        <v>0</v>
      </c>
      <c r="R10" s="514" t="str">
        <f t="shared" si="0"/>
        <v/>
      </c>
      <c r="S10" s="515" t="str">
        <f>IFERROR(INDEX(V!$O:$O,MATCH(R10,V!$J:$J,0)),"")</f>
        <v/>
      </c>
      <c r="T10" s="514" t="str">
        <f t="shared" si="1"/>
        <v/>
      </c>
      <c r="U10" s="515" t="str">
        <f>IFERROR(INDEX(V!$O:$O,MATCH(T10,V!$J:$J,0)),"")</f>
        <v/>
      </c>
      <c r="V10" s="516" t="str">
        <f t="shared" si="2"/>
        <v/>
      </c>
      <c r="W10" s="515" t="str">
        <f>IFERROR(INDEX(V!$O:$O,MATCH(V10,V!$J:$J,0)),"")</f>
        <v/>
      </c>
      <c r="X10" s="516" t="str">
        <f t="shared" si="3"/>
        <v/>
      </c>
      <c r="Y10" s="515" t="str">
        <f>IFERROR(INDEX(V!$O:$O,MATCH(X10,V!$J:$J,0)),"")</f>
        <v/>
      </c>
    </row>
    <row r="11" spans="1:26" s="188" customFormat="1" x14ac:dyDescent="0.2">
      <c r="A11" s="126">
        <v>5</v>
      </c>
      <c r="B11" s="581"/>
      <c r="C11" s="93"/>
      <c r="D11" s="93"/>
      <c r="E11" s="93"/>
      <c r="F11" s="93"/>
      <c r="G11" s="127"/>
      <c r="H11" s="576" t="str">
        <f>(IF(C11-G7&gt;0,1)+IF(D11-G8&gt;0,1)+IF(E11-G9&gt;0,1)+IF(F11-G10&gt;0,1))&amp;"-"&amp;(IF(C11-G7&lt;0,1)+IF(D11-G8&lt;0,1)+IF(E11-G9&lt;0,1)+IF(F11-G10&lt;0,1))</f>
        <v>0-0</v>
      </c>
      <c r="I11" s="93" t="str">
        <f>IF(AND(B11&lt;&gt;"",L$6=TRUE),A$6&amp;RANK(L11,L$7:L$11,0),"")</f>
        <v/>
      </c>
      <c r="J11" s="584">
        <f>VALUE(LEFT(H11,1))</f>
        <v>0</v>
      </c>
      <c r="K11" s="584">
        <f>IF(AND(J11=1,J7=1),C11-G7)+IF(AND(J11=1,J8=1),D11-G8)+IF(AND(J11=1,J9=1),E11-G9)+IF(AND(J11=1,J10=1),F11-G10)+IF(AND(J11=2,J7=2),C11-G7)+IF(AND(J11=2,J8=2),D11-G8)+IF(AND(J11=2,J9=2),E11-G9)+IF(AND(J11=2,J10=2),F11-G10)+IF(AND(J11=3,J7=3),C11-G7)+IF(AND(J11=3,J8=3),D11-G8)+IF(AND(J11=3,J9=3),E11-G9)+IF(AND(J11=3,J10=3),F11-G10)</f>
        <v>0</v>
      </c>
      <c r="L11" s="584">
        <f>1000*J11+K11</f>
        <v>0</v>
      </c>
      <c r="M11" s="569"/>
      <c r="N11" s="310"/>
      <c r="P11" s="319"/>
      <c r="Q11" s="512">
        <f t="shared" si="4"/>
        <v>0</v>
      </c>
      <c r="R11" s="514" t="str">
        <f t="shared" si="0"/>
        <v/>
      </c>
      <c r="S11" s="515" t="str">
        <f>IFERROR(INDEX(V!$O:$O,MATCH(R11,V!$J:$J,0)),"")</f>
        <v/>
      </c>
      <c r="T11" s="514" t="str">
        <f t="shared" si="1"/>
        <v/>
      </c>
      <c r="U11" s="515" t="str">
        <f>IFERROR(INDEX(V!$O:$O,MATCH(T11,V!$J:$J,0)),"")</f>
        <v/>
      </c>
      <c r="V11" s="516" t="str">
        <f t="shared" si="2"/>
        <v/>
      </c>
      <c r="W11" s="515" t="str">
        <f>IFERROR(INDEX(V!$O:$O,MATCH(V11,V!$J:$J,0)),"")</f>
        <v/>
      </c>
      <c r="X11" s="516" t="str">
        <f t="shared" si="3"/>
        <v/>
      </c>
      <c r="Y11" s="515" t="str">
        <f>IFERROR(INDEX(V!$O:$O,MATCH(X11,V!$J:$J,0)),"")</f>
        <v/>
      </c>
    </row>
    <row r="12" spans="1:26" s="188" customFormat="1" x14ac:dyDescent="0.2">
      <c r="A12" s="121"/>
      <c r="B12" s="422"/>
      <c r="C12" s="96"/>
      <c r="D12" s="312"/>
      <c r="E12" s="96"/>
      <c r="F12" s="97"/>
      <c r="H12" s="402"/>
      <c r="I12" s="580"/>
      <c r="J12" s="585"/>
      <c r="K12" s="585"/>
      <c r="L12" s="585"/>
      <c r="M12" s="569"/>
      <c r="N12" s="310"/>
      <c r="P12" s="309"/>
      <c r="Q12" s="88"/>
      <c r="R12" s="514" t="str">
        <f t="shared" si="0"/>
        <v/>
      </c>
      <c r="S12" s="515" t="str">
        <f>IFERROR(INDEX(V!$O:$O,MATCH(R12,V!$J:$J,0)),"")</f>
        <v/>
      </c>
      <c r="T12" s="514" t="str">
        <f t="shared" si="1"/>
        <v/>
      </c>
      <c r="U12" s="515" t="str">
        <f>IFERROR(INDEX(V!$O:$O,MATCH(T12,V!$J:$J,0)),"")</f>
        <v/>
      </c>
      <c r="V12" s="516" t="str">
        <f t="shared" si="2"/>
        <v/>
      </c>
      <c r="W12" s="515" t="str">
        <f>IFERROR(INDEX(V!$O:$O,MATCH(V12,V!$J:$J,0)),"")</f>
        <v/>
      </c>
      <c r="X12" s="516" t="str">
        <f t="shared" si="3"/>
        <v/>
      </c>
      <c r="Y12" s="515" t="str">
        <f>IFERROR(INDEX(V!$O:$O,MATCH(X12,V!$J:$J,0)),"")</f>
        <v/>
      </c>
      <c r="Z12" s="88"/>
    </row>
    <row r="13" spans="1:26" s="186" customFormat="1" x14ac:dyDescent="0.2">
      <c r="A13" s="126" t="s">
        <v>90</v>
      </c>
      <c r="B13" s="126"/>
      <c r="C13" s="91">
        <v>1</v>
      </c>
      <c r="D13" s="91">
        <v>2</v>
      </c>
      <c r="E13" s="91">
        <v>3</v>
      </c>
      <c r="F13" s="91">
        <v>4</v>
      </c>
      <c r="G13" s="91">
        <v>5</v>
      </c>
      <c r="H13" s="438" t="s">
        <v>73</v>
      </c>
      <c r="I13" s="438" t="s">
        <v>21</v>
      </c>
      <c r="J13" s="586" t="s">
        <v>273</v>
      </c>
      <c r="K13" s="587" t="s">
        <v>430</v>
      </c>
      <c r="L13" s="588" t="b">
        <f>OR(AND(COUNTA(B14:B18)=3,COUNTA(C14:G18)=6),AND(COUNTA(B14:B18)=4,COUNTA(C14:G18)=12),AND(COUNTA(B14:B18)=5,COUNTA(C14:G18)=20))</f>
        <v>0</v>
      </c>
      <c r="M13" s="569"/>
      <c r="N13" s="310"/>
      <c r="O13" s="188"/>
      <c r="P13" s="309"/>
      <c r="Q13" s="88"/>
      <c r="R13" s="514" t="str">
        <f t="shared" si="0"/>
        <v/>
      </c>
      <c r="S13" s="515" t="str">
        <f>IFERROR(INDEX(V!$O:$O,MATCH(R13,V!$J:$J,0)),"")</f>
        <v/>
      </c>
      <c r="T13" s="514" t="str">
        <f t="shared" si="1"/>
        <v/>
      </c>
      <c r="U13" s="515" t="str">
        <f>IFERROR(INDEX(V!$O:$O,MATCH(T13,V!$J:$J,0)),"")</f>
        <v/>
      </c>
      <c r="V13" s="516" t="str">
        <f t="shared" si="2"/>
        <v/>
      </c>
      <c r="W13" s="515" t="str">
        <f>IFERROR(INDEX(V!$O:$O,MATCH(V13,V!$J:$J,0)),"")</f>
        <v/>
      </c>
      <c r="X13" s="516" t="str">
        <f t="shared" si="3"/>
        <v/>
      </c>
      <c r="Y13" s="515" t="str">
        <f>IFERROR(INDEX(V!$O:$O,MATCH(X13,V!$J:$J,0)),"")</f>
        <v/>
      </c>
      <c r="Z13" s="88"/>
    </row>
    <row r="14" spans="1:26" s="186" customFormat="1" x14ac:dyDescent="0.2">
      <c r="A14" s="126">
        <v>1</v>
      </c>
      <c r="B14" s="581"/>
      <c r="C14" s="127"/>
      <c r="D14" s="93"/>
      <c r="E14" s="93"/>
      <c r="F14" s="93"/>
      <c r="G14" s="128"/>
      <c r="H14" s="576" t="str">
        <f>(IF(D14-C15&gt;0,1)+IF(E14-C16&gt;0,1)+IF(F14-C17&gt;0,1)+IF(G14-C18&gt;0,1))&amp;"-"&amp;(IF(D14-C15&lt;0,1)+IF(E14-C16&lt;0,1)+IF(F14-C17&lt;0,1)+IF(G14-C18&lt;0,1))</f>
        <v>0-0</v>
      </c>
      <c r="I14" s="93" t="str">
        <f>IF(AND(B14&lt;&gt;"",L$13=TRUE),A$13&amp;RANK(L14,L$14:L$18,0),"")</f>
        <v/>
      </c>
      <c r="J14" s="584">
        <f>VALUE(LEFT(H14,1))</f>
        <v>0</v>
      </c>
      <c r="K14" s="584">
        <f>IF(AND(J14=1,J15=1),D14-C15)+IF(AND(J14=1,J16=1),E14-C16)+IF(AND(J14=1,J17=1),F14-C17)+IF(AND(J14=1,J18=1),G14-C18)+IF(AND(J14=2,J15=2),D14-C15)+IF(AND(J14=2,J16=2),E14-C16)+IF(AND(J14=2,J17=2),F14-C17)+IF(AND(J14=2,J18=2),G14-C18)+IF(AND(J14=3,J15=3),D14-C15)+IF(AND(J14=3,J16=3),E14-C16)+IF(AND(J14=3,J17=3),F14-C17)+IF(AND(J14=3,J18=3),G14-C18)</f>
        <v>0</v>
      </c>
      <c r="L14" s="584">
        <f>1000*J14+K14</f>
        <v>0</v>
      </c>
      <c r="M14" s="574"/>
      <c r="N14" s="575"/>
      <c r="O14" s="188"/>
      <c r="P14" s="567"/>
      <c r="Q14" s="512">
        <f t="shared" si="4"/>
        <v>0</v>
      </c>
      <c r="R14" s="514" t="str">
        <f t="shared" si="0"/>
        <v/>
      </c>
      <c r="S14" s="515" t="str">
        <f>IFERROR(INDEX(V!$O:$O,MATCH(R14,V!$J:$J,0)),"")</f>
        <v/>
      </c>
      <c r="T14" s="514" t="str">
        <f t="shared" si="1"/>
        <v/>
      </c>
      <c r="U14" s="515" t="str">
        <f>IFERROR(INDEX(V!$O:$O,MATCH(T14,V!$J:$J,0)),"")</f>
        <v/>
      </c>
      <c r="V14" s="516" t="str">
        <f t="shared" si="2"/>
        <v/>
      </c>
      <c r="W14" s="515" t="str">
        <f>IFERROR(INDEX(V!$O:$O,MATCH(V14,V!$J:$J,0)),"")</f>
        <v/>
      </c>
      <c r="X14" s="516" t="str">
        <f t="shared" si="3"/>
        <v/>
      </c>
      <c r="Y14" s="515" t="str">
        <f>IFERROR(INDEX(V!$O:$O,MATCH(X14,V!$J:$J,0)),"")</f>
        <v/>
      </c>
    </row>
    <row r="15" spans="1:26" s="186" customFormat="1" x14ac:dyDescent="0.2">
      <c r="A15" s="126">
        <v>2</v>
      </c>
      <c r="B15" s="581"/>
      <c r="C15" s="128"/>
      <c r="D15" s="127"/>
      <c r="E15" s="93"/>
      <c r="F15" s="93"/>
      <c r="G15" s="128"/>
      <c r="H15" s="576" t="str">
        <f>(IF(C15-D14&gt;0,1)+IF(E15-D16&gt;0,1)+IF(F15-D17&gt;0,1)+IF(G15-D18&gt;0,1))&amp;"-"&amp;(IF(C15-D14&lt;0,1)+IF(E15-D16&lt;0,1)+IF(F15-D17&lt;0,1)+IF(G15-D18&lt;0,1))</f>
        <v>0-0</v>
      </c>
      <c r="I15" s="93" t="str">
        <f>IF(AND(B15&lt;&gt;"",L$13=TRUE),A$13&amp;RANK(L15,L$14:L$18,0),"")</f>
        <v/>
      </c>
      <c r="J15" s="584">
        <f>VALUE(LEFT(H15,1))</f>
        <v>0</v>
      </c>
      <c r="K15" s="584">
        <f>IF(AND(J15=1,J14=1),C15-D14)+IF(AND(J15=1,J16=1),E15-D16)+IF(AND(J15=1,J17=1),F15-D17)+IF(AND(J15=1,J18=1),G15-D18)+IF(AND(J15=2,J14=2),C15-D14)+IF(AND(J15=2,J16=2),E15-D16)+IF(AND(J15=2,J17=2),F15-D17)+IF(AND(J15=2,J18=2),G15-D18)+IF(AND(J15=3,J14=3),C15-D14)+IF(AND(J15=3,J16=3),E15-D16)+IF(AND(J15=3,J17=3),F15-D17)+IF(AND(J15=3,J18=3),G15-D18)</f>
        <v>0</v>
      </c>
      <c r="L15" s="584">
        <f>1000*J15+K15</f>
        <v>0</v>
      </c>
      <c r="M15" s="574"/>
      <c r="N15" s="575"/>
      <c r="O15" s="188"/>
      <c r="P15" s="568"/>
      <c r="Q15" s="512">
        <f t="shared" si="4"/>
        <v>0</v>
      </c>
      <c r="R15" s="514" t="str">
        <f t="shared" si="0"/>
        <v/>
      </c>
      <c r="S15" s="515" t="str">
        <f>IFERROR(INDEX(V!$O:$O,MATCH(R15,V!$J:$J,0)),"")</f>
        <v/>
      </c>
      <c r="T15" s="514" t="str">
        <f t="shared" si="1"/>
        <v/>
      </c>
      <c r="U15" s="515" t="str">
        <f>IFERROR(INDEX(V!$O:$O,MATCH(T15,V!$J:$J,0)),"")</f>
        <v/>
      </c>
      <c r="V15" s="516" t="str">
        <f t="shared" si="2"/>
        <v/>
      </c>
      <c r="W15" s="515" t="str">
        <f>IFERROR(INDEX(V!$O:$O,MATCH(V15,V!$J:$J,0)),"")</f>
        <v/>
      </c>
      <c r="X15" s="516" t="str">
        <f t="shared" si="3"/>
        <v/>
      </c>
      <c r="Y15" s="515" t="str">
        <f>IFERROR(INDEX(V!$O:$O,MATCH(X15,V!$J:$J,0)),"")</f>
        <v/>
      </c>
    </row>
    <row r="16" spans="1:26" s="186" customFormat="1" x14ac:dyDescent="0.2">
      <c r="A16" s="126">
        <v>3</v>
      </c>
      <c r="B16" s="581"/>
      <c r="C16" s="93"/>
      <c r="D16" s="311"/>
      <c r="E16" s="127"/>
      <c r="F16" s="93"/>
      <c r="G16" s="128"/>
      <c r="H16" s="576" t="str">
        <f>(IF(C16-E14&gt;0,1)+IF(D16-E15&gt;0,1)+IF(F16-E17&gt;0,1)+IF(G16-E18&gt;0,1))&amp;"-"&amp;(IF(C16-E14&lt;0,1)+IF(D16-E15&lt;0,1)+IF(F16-E17&lt;0,1)+IF(G16-E18&lt;0,1))</f>
        <v>0-0</v>
      </c>
      <c r="I16" s="93" t="str">
        <f>IF(AND(B16&lt;&gt;"",L$13=TRUE),A$13&amp;RANK(L16,L$14:L$18,0),"")</f>
        <v/>
      </c>
      <c r="J16" s="584">
        <f>VALUE(LEFT(H16,1))</f>
        <v>0</v>
      </c>
      <c r="K16" s="584">
        <f>IF(AND(J16=1,J14=1),C16-E14)+IF(AND(J16=1,J15=1),D16-E15)+IF(AND(J16=1,J17=1),F16-E17)+IF(AND(J16=1,J18=1),G16-E18)+IF(AND(J16=2,J14=2),C16-E14)+IF(AND(J16=2,J15=2),D16-E15)+IF(AND(J16=2,J17=2),F16-E17)+IF(AND(J16=2,J18=2),G16-E18)+IF(AND(J16=3,J14=3),C16-E14)+IF(AND(J16=3,J15=3),D16-E15)+IF(AND(J16=3,J17=3),F16-E17)+IF(AND(J16=3,J18=3),G16-E18)</f>
        <v>0</v>
      </c>
      <c r="L16" s="584">
        <f>1000*J16+K16</f>
        <v>0</v>
      </c>
      <c r="M16" s="574"/>
      <c r="N16" s="575"/>
      <c r="O16" s="188"/>
      <c r="P16" s="568"/>
      <c r="Q16" s="512">
        <f t="shared" si="4"/>
        <v>0</v>
      </c>
      <c r="R16" s="514" t="str">
        <f t="shared" si="0"/>
        <v/>
      </c>
      <c r="S16" s="515" t="str">
        <f>IFERROR(INDEX(V!$O:$O,MATCH(R16,V!$J:$J,0)),"")</f>
        <v/>
      </c>
      <c r="T16" s="514" t="str">
        <f t="shared" si="1"/>
        <v/>
      </c>
      <c r="U16" s="515" t="str">
        <f>IFERROR(INDEX(V!$O:$O,MATCH(T16,V!$J:$J,0)),"")</f>
        <v/>
      </c>
      <c r="V16" s="516" t="str">
        <f t="shared" si="2"/>
        <v/>
      </c>
      <c r="W16" s="515" t="str">
        <f>IFERROR(INDEX(V!$O:$O,MATCH(V16,V!$J:$J,0)),"")</f>
        <v/>
      </c>
      <c r="X16" s="516" t="str">
        <f t="shared" si="3"/>
        <v/>
      </c>
      <c r="Y16" s="515" t="str">
        <f>IFERROR(INDEX(V!$O:$O,MATCH(X16,V!$J:$J,0)),"")</f>
        <v/>
      </c>
    </row>
    <row r="17" spans="1:27" s="186" customFormat="1" x14ac:dyDescent="0.2">
      <c r="A17" s="126">
        <v>4</v>
      </c>
      <c r="B17" s="582"/>
      <c r="C17" s="93"/>
      <c r="D17" s="311"/>
      <c r="E17" s="93"/>
      <c r="F17" s="127"/>
      <c r="G17" s="128"/>
      <c r="H17" s="576" t="str">
        <f>(IF(C17-F14&gt;0,1)+IF(D17-F15&gt;0,1)+IF(E17-F16&gt;0,1)+IF(G17-F18&gt;0,1))&amp;"-"&amp;(IF(C17-F14&lt;0,1)+IF(D17-F15&lt;0,1)+IF(E17-F16&lt;0,1)+IF(G17-F18&lt;0,1))</f>
        <v>0-0</v>
      </c>
      <c r="I17" s="93" t="str">
        <f>IF(AND(B17&lt;&gt;"",L$13=TRUE),A$13&amp;RANK(L17,L$14:L$18,0),"")</f>
        <v/>
      </c>
      <c r="J17" s="584">
        <f>VALUE(LEFT(H17,1))</f>
        <v>0</v>
      </c>
      <c r="K17" s="584">
        <f>IF(AND(J17=1,J14=1),C17-F14)+IF(AND(J17=1,J15=1),D17-F15)+IF(AND(J17=1,J16=1),E17-F16)+IF(AND(J17=1,J18=1),G17-F18)+IF(AND(J17=2,J14=2),C17-F14)+IF(AND(J17=2,J15=2),D17-F15)+IF(AND(J17=2,J16=2),E17-F16)+IF(AND(J17=2,J18=2),G17-F18)+IF(AND(J17=3,J14=3),C17-F14)+IF(AND(J17=3,J15=3),D17-F15)+IF(AND(J17=3,J16=3),E17-F16)+IF(AND(J17=3,J18=3),G17-F18)</f>
        <v>0</v>
      </c>
      <c r="L17" s="584">
        <f>1000*J17+K17</f>
        <v>0</v>
      </c>
      <c r="M17" s="574"/>
      <c r="N17" s="575"/>
      <c r="O17" s="188"/>
      <c r="P17" s="568"/>
      <c r="Q17" s="512">
        <f t="shared" si="4"/>
        <v>0</v>
      </c>
      <c r="R17" s="514" t="str">
        <f t="shared" si="0"/>
        <v/>
      </c>
      <c r="S17" s="515" t="str">
        <f>IFERROR(INDEX(V!$O:$O,MATCH(R17,V!$J:$J,0)),"")</f>
        <v/>
      </c>
      <c r="T17" s="514" t="str">
        <f t="shared" si="1"/>
        <v/>
      </c>
      <c r="U17" s="515" t="str">
        <f>IFERROR(INDEX(V!$O:$O,MATCH(T17,V!$J:$J,0)),"")</f>
        <v/>
      </c>
      <c r="V17" s="516" t="str">
        <f t="shared" si="2"/>
        <v/>
      </c>
      <c r="W17" s="515" t="str">
        <f>IFERROR(INDEX(V!$O:$O,MATCH(V17,V!$J:$J,0)),"")</f>
        <v/>
      </c>
      <c r="X17" s="516" t="str">
        <f t="shared" si="3"/>
        <v/>
      </c>
      <c r="Y17" s="515" t="str">
        <f>IFERROR(INDEX(V!$O:$O,MATCH(X17,V!$J:$J,0)),"")</f>
        <v/>
      </c>
    </row>
    <row r="18" spans="1:27" s="186" customFormat="1" x14ac:dyDescent="0.2">
      <c r="A18" s="126">
        <v>5</v>
      </c>
      <c r="B18" s="583"/>
      <c r="C18" s="93"/>
      <c r="D18" s="93"/>
      <c r="E18" s="93"/>
      <c r="F18" s="93"/>
      <c r="G18" s="127"/>
      <c r="H18" s="576" t="str">
        <f>(IF(C18-G14&gt;0,1)+IF(D18-G15&gt;0,1)+IF(E18-G16&gt;0,1)+IF(F18-G17&gt;0,1))&amp;"-"&amp;(IF(C18-G14&lt;0,1)+IF(D18-G15&lt;0,1)+IF(E18-G16&lt;0,1)+IF(F18-G17&lt;0,1))</f>
        <v>0-0</v>
      </c>
      <c r="I18" s="93" t="str">
        <f>IF(AND(B18&lt;&gt;"",L$13=TRUE),A$13&amp;RANK(L18,L$14:L$18,0),"")</f>
        <v/>
      </c>
      <c r="J18" s="584">
        <f>VALUE(LEFT(H18,1))</f>
        <v>0</v>
      </c>
      <c r="K18" s="584">
        <f>IF(AND(J18=1,J14=1),C18-G14)+IF(AND(J18=1,J15=1),D18-G15)+IF(AND(J18=1,J16=1),E18-G16)+IF(AND(J18=1,J17=1),F18-G17)+IF(AND(J18=2,J14=2),C18-G14)+IF(AND(J18=2,J15=2),D18-G15)+IF(AND(J18=2,J16=2),E18-G16)+IF(AND(J18=2,J17=2),F18-G17)+IF(AND(J18=3,J14=3),C18-G14)+IF(AND(J18=3,J15=3),D18-G15)+IF(AND(J18=3,J16=3),E18-G16)+IF(AND(J18=3,J17=3),F18-G17)</f>
        <v>0</v>
      </c>
      <c r="L18" s="584">
        <f>1000*J18+K18</f>
        <v>0</v>
      </c>
      <c r="M18" s="574"/>
      <c r="N18" s="575"/>
      <c r="O18" s="188"/>
      <c r="P18" s="568"/>
      <c r="Q18" s="512">
        <f t="shared" si="4"/>
        <v>0</v>
      </c>
      <c r="R18" s="514" t="str">
        <f t="shared" si="0"/>
        <v/>
      </c>
      <c r="S18" s="515" t="str">
        <f>IFERROR(INDEX(V!$O:$O,MATCH(R18,V!$J:$J,0)),"")</f>
        <v/>
      </c>
      <c r="T18" s="514" t="str">
        <f t="shared" si="1"/>
        <v/>
      </c>
      <c r="U18" s="515" t="str">
        <f>IFERROR(INDEX(V!$O:$O,MATCH(T18,V!$J:$J,0)),"")</f>
        <v/>
      </c>
      <c r="V18" s="516" t="str">
        <f t="shared" si="2"/>
        <v/>
      </c>
      <c r="W18" s="515" t="str">
        <f>IFERROR(INDEX(V!$O:$O,MATCH(V18,V!$J:$J,0)),"")</f>
        <v/>
      </c>
      <c r="X18" s="516" t="str">
        <f t="shared" si="3"/>
        <v/>
      </c>
      <c r="Y18" s="515" t="str">
        <f>IFERROR(INDEX(V!$O:$O,MATCH(X18,V!$J:$J,0)),"")</f>
        <v/>
      </c>
    </row>
    <row r="19" spans="1:27" s="186" customFormat="1" x14ac:dyDescent="0.2">
      <c r="A19" s="87"/>
      <c r="B19" s="88"/>
      <c r="C19" s="309"/>
      <c r="D19" s="309"/>
      <c r="E19" s="309"/>
      <c r="H19" s="589"/>
      <c r="I19" s="590"/>
      <c r="J19" s="591"/>
      <c r="K19" s="591"/>
      <c r="L19" s="591"/>
      <c r="M19" s="569"/>
      <c r="N19" s="310"/>
      <c r="O19" s="188"/>
      <c r="P19" s="309"/>
      <c r="Q19" s="88"/>
      <c r="R19" s="514" t="str">
        <f t="shared" si="0"/>
        <v/>
      </c>
      <c r="S19" s="515" t="str">
        <f>IFERROR(INDEX(V!$O:$O,MATCH(R19,V!$J:$J,0)),"")</f>
        <v/>
      </c>
      <c r="T19" s="514" t="str">
        <f t="shared" si="1"/>
        <v/>
      </c>
      <c r="U19" s="515" t="str">
        <f>IFERROR(INDEX(V!$O:$O,MATCH(T19,V!$J:$J,0)),"")</f>
        <v/>
      </c>
      <c r="V19" s="516" t="str">
        <f t="shared" si="2"/>
        <v/>
      </c>
      <c r="W19" s="515" t="str">
        <f>IFERROR(INDEX(V!$O:$O,MATCH(V19,V!$J:$J,0)),"")</f>
        <v/>
      </c>
      <c r="X19" s="516" t="str">
        <f t="shared" si="3"/>
        <v/>
      </c>
      <c r="Y19" s="515" t="str">
        <f>IFERROR(INDEX(V!$O:$O,MATCH(X19,V!$J:$J,0)),"")</f>
        <v/>
      </c>
      <c r="Z19" s="88"/>
    </row>
    <row r="20" spans="1:27" s="188" customFormat="1" x14ac:dyDescent="0.2">
      <c r="A20" s="126" t="s">
        <v>166</v>
      </c>
      <c r="B20" s="126"/>
      <c r="C20" s="91">
        <v>1</v>
      </c>
      <c r="D20" s="91">
        <v>2</v>
      </c>
      <c r="E20" s="91">
        <v>3</v>
      </c>
      <c r="F20" s="91">
        <v>4</v>
      </c>
      <c r="G20" s="91">
        <v>5</v>
      </c>
      <c r="H20" s="438" t="s">
        <v>73</v>
      </c>
      <c r="I20" s="438" t="s">
        <v>21</v>
      </c>
      <c r="J20" s="586" t="s">
        <v>273</v>
      </c>
      <c r="K20" s="587" t="s">
        <v>430</v>
      </c>
      <c r="L20" s="588" t="b">
        <f>OR(AND(COUNTA(B21:B25)=3,COUNTA(C21:G25)=6),AND(COUNTA(B21:B25)=4,COUNTA(C21:G25)=12),AND(COUNTA(B21:B25)=5,COUNTA(C21:G25)=20))</f>
        <v>0</v>
      </c>
      <c r="M20" s="569"/>
      <c r="N20" s="310"/>
      <c r="P20" s="309"/>
      <c r="Q20" s="88"/>
      <c r="R20" s="514" t="str">
        <f t="shared" si="0"/>
        <v/>
      </c>
      <c r="S20" s="515" t="str">
        <f>IFERROR(INDEX(V!$O:$O,MATCH(R20,V!$J:$J,0)),"")</f>
        <v/>
      </c>
      <c r="T20" s="514" t="str">
        <f t="shared" si="1"/>
        <v/>
      </c>
      <c r="U20" s="515" t="str">
        <f>IFERROR(INDEX(V!$O:$O,MATCH(T20,V!$J:$J,0)),"")</f>
        <v/>
      </c>
      <c r="V20" s="516" t="str">
        <f t="shared" si="2"/>
        <v/>
      </c>
      <c r="W20" s="515" t="str">
        <f>IFERROR(INDEX(V!$O:$O,MATCH(V20,V!$J:$J,0)),"")</f>
        <v/>
      </c>
      <c r="X20" s="516" t="str">
        <f t="shared" si="3"/>
        <v/>
      </c>
      <c r="Y20" s="515" t="str">
        <f>IFERROR(INDEX(V!$O:$O,MATCH(X20,V!$J:$J,0)),"")</f>
        <v/>
      </c>
      <c r="Z20" s="88"/>
    </row>
    <row r="21" spans="1:27" s="188" customFormat="1" x14ac:dyDescent="0.2">
      <c r="A21" s="126">
        <v>1</v>
      </c>
      <c r="B21" s="581"/>
      <c r="C21" s="127"/>
      <c r="D21" s="93"/>
      <c r="E21" s="93"/>
      <c r="F21" s="93"/>
      <c r="G21" s="128"/>
      <c r="H21" s="576" t="str">
        <f>(IF(D21-C22&gt;0,1)+IF(E21-C23&gt;0,1)+IF(F21-C24&gt;0,1)+IF(G21-C25&gt;0,1))&amp;"-"&amp;(IF(D21-C22&lt;0,1)+IF(E21-C23&lt;0,1)+IF(F21-C24&lt;0,1)+IF(G21-C25&lt;0,1))</f>
        <v>0-0</v>
      </c>
      <c r="I21" s="93" t="str">
        <f t="shared" ref="I21:I26" si="5">IF(AND(B21&lt;&gt;"",L$20=TRUE),A$20&amp;RANK(L21,L$21:L$25,0),"")</f>
        <v/>
      </c>
      <c r="J21" s="584">
        <f>VALUE(LEFT(H21,1))</f>
        <v>0</v>
      </c>
      <c r="K21" s="584">
        <f>IF(AND(J21=1,J22=1),D21-C22)+IF(AND(J21=1,J23=1),E21-C23)+IF(AND(J21=1,J24=1),F21-C24)+IF(AND(J21=1,J25=1),G21-C25)+IF(AND(J21=2,J22=2),D21-C22)+IF(AND(J21=2,J23=2),E21-C23)+IF(AND(J21=2,J24=2),F21-C24)+IF(AND(J21=2,J25=2),G21-C25)+IF(AND(J21=3,J22=3),D21-C22)+IF(AND(J21=3,J23=3),E21-C23)+IF(AND(J21=3,J24=3),F21-C24)+IF(AND(J21=3,J25=3),G21-C25)</f>
        <v>0</v>
      </c>
      <c r="L21" s="584">
        <f>1000*J21+K21</f>
        <v>0</v>
      </c>
      <c r="M21" s="569"/>
      <c r="N21" s="310"/>
      <c r="P21" s="309"/>
      <c r="Q21" s="512">
        <f t="shared" si="4"/>
        <v>0</v>
      </c>
      <c r="R21" s="514" t="str">
        <f t="shared" si="0"/>
        <v/>
      </c>
      <c r="S21" s="515" t="str">
        <f>IFERROR(INDEX(V!$O:$O,MATCH(R21,V!$J:$J,0)),"")</f>
        <v/>
      </c>
      <c r="T21" s="514" t="str">
        <f t="shared" si="1"/>
        <v/>
      </c>
      <c r="U21" s="515" t="str">
        <f>IFERROR(INDEX(V!$O:$O,MATCH(T21,V!$J:$J,0)),"")</f>
        <v/>
      </c>
      <c r="V21" s="516" t="str">
        <f t="shared" si="2"/>
        <v/>
      </c>
      <c r="W21" s="515" t="str">
        <f>IFERROR(INDEX(V!$O:$O,MATCH(V21,V!$J:$J,0)),"")</f>
        <v/>
      </c>
      <c r="X21" s="516" t="str">
        <f t="shared" si="3"/>
        <v/>
      </c>
      <c r="Y21" s="515" t="str">
        <f>IFERROR(INDEX(V!$O:$O,MATCH(X21,V!$J:$J,0)),"")</f>
        <v/>
      </c>
    </row>
    <row r="22" spans="1:27" s="188" customFormat="1" x14ac:dyDescent="0.2">
      <c r="A22" s="126">
        <v>2</v>
      </c>
      <c r="B22" s="581"/>
      <c r="C22" s="131"/>
      <c r="D22" s="127"/>
      <c r="E22" s="93"/>
      <c r="F22" s="93"/>
      <c r="G22" s="128"/>
      <c r="H22" s="576" t="str">
        <f>(IF(C22-D21&gt;0,1)+IF(E22-D23&gt;0,1)+IF(F22-D24&gt;0,1)+IF(G22-D25&gt;0,1))&amp;"-"&amp;(IF(C22-D21&lt;0,1)+IF(E22-D23&lt;0,1)+IF(F22-D24&lt;0,1)+IF(G22-D25&lt;0,1))</f>
        <v>0-0</v>
      </c>
      <c r="I22" s="93" t="str">
        <f t="shared" si="5"/>
        <v/>
      </c>
      <c r="J22" s="584">
        <f>VALUE(LEFT(H22,1))</f>
        <v>0</v>
      </c>
      <c r="K22" s="584">
        <f>IF(AND(J22=1,J21=1),C22-D21)+IF(AND(J22=1,J23=1),E22-D23)+IF(AND(J22=1,J24=1),F22-D24)+IF(AND(J22=1,J25=1),G22-D25)+IF(AND(J22=2,J21=2),C22-D21)+IF(AND(J22=2,J23=2),E22-D23)+IF(AND(J22=2,J24=2),F22-D24)+IF(AND(J22=2,J25=2),G22-D25)+IF(AND(J22=3,J21=3),C22-D21)+IF(AND(J22=3,J23=3),E22-D23)+IF(AND(J22=3,J24=3),F22-D24)+IF(AND(J22=3,J25=3),G22-D25)</f>
        <v>0</v>
      </c>
      <c r="L22" s="584">
        <f>1000*J22+K22</f>
        <v>0</v>
      </c>
      <c r="M22" s="569"/>
      <c r="N22" s="310"/>
      <c r="P22" s="309"/>
      <c r="Q22" s="512">
        <f t="shared" si="4"/>
        <v>0</v>
      </c>
      <c r="R22" s="514" t="str">
        <f t="shared" si="0"/>
        <v/>
      </c>
      <c r="S22" s="515" t="str">
        <f>IFERROR(INDEX(V!$O:$O,MATCH(R22,V!$J:$J,0)),"")</f>
        <v/>
      </c>
      <c r="T22" s="514" t="str">
        <f t="shared" si="1"/>
        <v/>
      </c>
      <c r="U22" s="515" t="str">
        <f>IFERROR(INDEX(V!$O:$O,MATCH(T22,V!$J:$J,0)),"")</f>
        <v/>
      </c>
      <c r="V22" s="516" t="str">
        <f t="shared" si="2"/>
        <v/>
      </c>
      <c r="W22" s="515" t="str">
        <f>IFERROR(INDEX(V!$O:$O,MATCH(V22,V!$J:$J,0)),"")</f>
        <v/>
      </c>
      <c r="X22" s="516" t="str">
        <f t="shared" si="3"/>
        <v/>
      </c>
      <c r="Y22" s="515" t="str">
        <f>IFERROR(INDEX(V!$O:$O,MATCH(X22,V!$J:$J,0)),"")</f>
        <v/>
      </c>
    </row>
    <row r="23" spans="1:27" s="188" customFormat="1" x14ac:dyDescent="0.2">
      <c r="A23" s="126">
        <v>3</v>
      </c>
      <c r="B23" s="581"/>
      <c r="C23" s="93"/>
      <c r="D23" s="311"/>
      <c r="E23" s="127"/>
      <c r="F23" s="93"/>
      <c r="G23" s="128"/>
      <c r="H23" s="576" t="str">
        <f>(IF(C23-E21&gt;0,1)+IF(D23-E22&gt;0,1)+IF(F23-E24&gt;0,1)+IF(G23-E25&gt;0,1))&amp;"-"&amp;(IF(C23-E21&lt;0,1)+IF(D23-E22&lt;0,1)+IF(F23-E24&lt;0,1)+IF(G23-E25&lt;0,1))</f>
        <v>0-0</v>
      </c>
      <c r="I23" s="93" t="str">
        <f t="shared" si="5"/>
        <v/>
      </c>
      <c r="J23" s="584">
        <f>VALUE(LEFT(H23,1))</f>
        <v>0</v>
      </c>
      <c r="K23" s="584">
        <f>IF(AND(J23=1,J21=1),C23-E21)+IF(AND(J23=1,J22=1),D23-E22)+IF(AND(J23=1,J24=1),F23-E24)+IF(AND(J23=1,J25=1),G23-E25)+IF(AND(J23=2,J21=2),C23-E21)+IF(AND(J23=2,J22=2),D23-E22)+IF(AND(J23=2,J24=2),F23-E24)+IF(AND(J23=2,J25=2),G23-E25)+IF(AND(J23=3,J21=3),C23-E21)+IF(AND(J23=3,J22=3),D23-E22)+IF(AND(J23=3,J24=3),F23-E24)+IF(AND(J23=3,J25=3),G23-E25)</f>
        <v>0</v>
      </c>
      <c r="L23" s="584">
        <f>1000*J23+K23</f>
        <v>0</v>
      </c>
      <c r="M23" s="569"/>
      <c r="N23" s="310"/>
      <c r="P23" s="309"/>
      <c r="Q23" s="512">
        <f t="shared" si="4"/>
        <v>0</v>
      </c>
      <c r="R23" s="514" t="str">
        <f t="shared" si="0"/>
        <v/>
      </c>
      <c r="S23" s="515" t="str">
        <f>IFERROR(INDEX(V!$O:$O,MATCH(R23,V!$J:$J,0)),"")</f>
        <v/>
      </c>
      <c r="T23" s="514" t="str">
        <f t="shared" si="1"/>
        <v/>
      </c>
      <c r="U23" s="515" t="str">
        <f>IFERROR(INDEX(V!$O:$O,MATCH(T23,V!$J:$J,0)),"")</f>
        <v/>
      </c>
      <c r="V23" s="516" t="str">
        <f t="shared" si="2"/>
        <v/>
      </c>
      <c r="W23" s="515" t="str">
        <f>IFERROR(INDEX(V!$O:$O,MATCH(V23,V!$J:$J,0)),"")</f>
        <v/>
      </c>
      <c r="X23" s="516" t="str">
        <f t="shared" si="3"/>
        <v/>
      </c>
      <c r="Y23" s="515" t="str">
        <f>IFERROR(INDEX(V!$O:$O,MATCH(X23,V!$J:$J,0)),"")</f>
        <v/>
      </c>
    </row>
    <row r="24" spans="1:27" s="188" customFormat="1" x14ac:dyDescent="0.2">
      <c r="A24" s="126">
        <v>4</v>
      </c>
      <c r="B24" s="582"/>
      <c r="C24" s="93"/>
      <c r="D24" s="311"/>
      <c r="E24" s="93"/>
      <c r="F24" s="127"/>
      <c r="G24" s="128"/>
      <c r="H24" s="576" t="str">
        <f>(IF(C24-F21&gt;0,1)+IF(D24-F22&gt;0,1)+IF(E24-F23&gt;0,1)+IF(G24-F25&gt;0,1))&amp;"-"&amp;(IF(C24-F21&lt;0,1)+IF(D24-F22&lt;0,1)+IF(E24-F23&lt;0,1)+IF(G24-F25&lt;0,1))</f>
        <v>0-0</v>
      </c>
      <c r="I24" s="93" t="str">
        <f t="shared" si="5"/>
        <v/>
      </c>
      <c r="J24" s="584">
        <f>VALUE(LEFT(H24,1))</f>
        <v>0</v>
      </c>
      <c r="K24" s="584">
        <f>IF(AND(J24=1,J21=1),C24-F21)+IF(AND(J24=1,J22=1),D24-F22)+IF(AND(J24=1,J23=1),E24-F23)+IF(AND(J24=1,J25=1),G24-F25)+IF(AND(J24=2,J21=2),C24-F21)+IF(AND(J24=2,J22=2),D24-F22)+IF(AND(J24=2,J23=2),E24-F23)+IF(AND(J24=2,J25=2),G24-F25)+IF(AND(J24=3,J21=3),C24-F21)+IF(AND(J24=3,J22=3),D24-F22)+IF(AND(J24=3,J23=3),E24-F23)+IF(AND(J24=3,J25=3),G24-F25)</f>
        <v>0</v>
      </c>
      <c r="L24" s="584">
        <f>1000*J24+K24</f>
        <v>0</v>
      </c>
      <c r="M24" s="569"/>
      <c r="N24" s="310"/>
      <c r="P24" s="309"/>
      <c r="Q24" s="512">
        <f t="shared" si="4"/>
        <v>0</v>
      </c>
      <c r="R24" s="514" t="str">
        <f t="shared" si="0"/>
        <v/>
      </c>
      <c r="S24" s="515" t="str">
        <f>IFERROR(INDEX(V!$O:$O,MATCH(R24,V!$J:$J,0)),"")</f>
        <v/>
      </c>
      <c r="T24" s="514" t="str">
        <f t="shared" si="1"/>
        <v/>
      </c>
      <c r="U24" s="515" t="str">
        <f>IFERROR(INDEX(V!$O:$O,MATCH(T24,V!$J:$J,0)),"")</f>
        <v/>
      </c>
      <c r="V24" s="516" t="str">
        <f t="shared" si="2"/>
        <v/>
      </c>
      <c r="W24" s="515" t="str">
        <f>IFERROR(INDEX(V!$O:$O,MATCH(V24,V!$J:$J,0)),"")</f>
        <v/>
      </c>
      <c r="X24" s="516" t="str">
        <f t="shared" si="3"/>
        <v/>
      </c>
      <c r="Y24" s="515" t="str">
        <f>IFERROR(INDEX(V!$O:$O,MATCH(X24,V!$J:$J,0)),"")</f>
        <v/>
      </c>
    </row>
    <row r="25" spans="1:27" s="188" customFormat="1" x14ac:dyDescent="0.2">
      <c r="A25" s="126">
        <v>5</v>
      </c>
      <c r="B25" s="164"/>
      <c r="C25" s="93"/>
      <c r="D25" s="93"/>
      <c r="E25" s="93"/>
      <c r="F25" s="93"/>
      <c r="G25" s="127"/>
      <c r="H25" s="576" t="str">
        <f>(IF(C25-G21&gt;0,1)+IF(D25-G22&gt;0,1)+IF(E25-G23&gt;0,1)+IF(F25-G24&gt;0,1))&amp;"-"&amp;(IF(C25-G21&lt;0,1)+IF(D25-G22&lt;0,1)+IF(E25-G23&lt;0,1)+IF(F25-G24&lt;0,1))</f>
        <v>0-0</v>
      </c>
      <c r="I25" s="93" t="str">
        <f t="shared" si="5"/>
        <v/>
      </c>
      <c r="J25" s="584">
        <f>VALUE(LEFT(H25,1))</f>
        <v>0</v>
      </c>
      <c r="K25" s="584">
        <f>IF(AND(J25=1,J21=1),C25-G21)+IF(AND(J25=1,J22=1),D25-G22)+IF(AND(J25=1,J23=1),E25-G23)+IF(AND(J25=1,J24=1),F25-G24)+IF(AND(J25=2,J21=2),C25-G21)+IF(AND(J25=2,J22=2),D25-G22)+IF(AND(J25=2,J23=2),E25-G23)+IF(AND(J25=2,J24=2),F25-G24)+IF(AND(J25=3,J21=3),C25-G21)+IF(AND(J25=3,J22=3),D25-G22)+IF(AND(J25=3,J23=3),E25-G23)+IF(AND(J25=3,J24=3),F25-G24)</f>
        <v>0</v>
      </c>
      <c r="L25" s="584">
        <f>1000*J25+K25</f>
        <v>0</v>
      </c>
      <c r="M25" s="569"/>
      <c r="N25" s="310"/>
      <c r="P25" s="309"/>
      <c r="Q25" s="512">
        <f t="shared" si="4"/>
        <v>0</v>
      </c>
      <c r="R25" s="514" t="str">
        <f t="shared" si="0"/>
        <v/>
      </c>
      <c r="S25" s="515" t="str">
        <f>IFERROR(INDEX(V!$O:$O,MATCH(R25,V!$J:$J,0)),"")</f>
        <v/>
      </c>
      <c r="T25" s="514" t="str">
        <f t="shared" si="1"/>
        <v/>
      </c>
      <c r="U25" s="515" t="str">
        <f>IFERROR(INDEX(V!$O:$O,MATCH(T25,V!$J:$J,0)),"")</f>
        <v/>
      </c>
      <c r="V25" s="516" t="str">
        <f t="shared" si="2"/>
        <v/>
      </c>
      <c r="W25" s="515" t="str">
        <f>IFERROR(INDEX(V!$O:$O,MATCH(V25,V!$J:$J,0)),"")</f>
        <v/>
      </c>
      <c r="X25" s="516" t="str">
        <f t="shared" si="3"/>
        <v/>
      </c>
      <c r="Y25" s="515" t="str">
        <f>IFERROR(INDEX(V!$O:$O,MATCH(X25,V!$J:$J,0)),"")</f>
        <v/>
      </c>
    </row>
    <row r="26" spans="1:27" s="188" customFormat="1" x14ac:dyDescent="0.2">
      <c r="A26" s="121"/>
      <c r="B26" s="217"/>
      <c r="C26" s="96"/>
      <c r="D26" s="501"/>
      <c r="F26" s="94"/>
      <c r="H26" s="592"/>
      <c r="I26" s="593" t="str">
        <f t="shared" si="5"/>
        <v/>
      </c>
      <c r="J26" s="588"/>
      <c r="K26" s="588"/>
      <c r="L26" s="588"/>
      <c r="M26" s="569"/>
      <c r="N26" s="310"/>
      <c r="P26" s="309"/>
      <c r="Q26" s="88"/>
      <c r="R26" s="514" t="str">
        <f t="shared" si="0"/>
        <v/>
      </c>
      <c r="S26" s="515" t="str">
        <f>IFERROR(INDEX(V!$O:$O,MATCH(R26,V!$J:$J,0)),"")</f>
        <v/>
      </c>
      <c r="T26" s="514" t="str">
        <f t="shared" si="1"/>
        <v/>
      </c>
      <c r="U26" s="515" t="str">
        <f>IFERROR(INDEX(V!$O:$O,MATCH(T26,V!$J:$J,0)),"")</f>
        <v/>
      </c>
      <c r="V26" s="516" t="str">
        <f t="shared" si="2"/>
        <v/>
      </c>
      <c r="W26" s="515" t="str">
        <f>IFERROR(INDEX(V!$O:$O,MATCH(V26,V!$J:$J,0)),"")</f>
        <v/>
      </c>
      <c r="X26" s="516" t="str">
        <f t="shared" si="3"/>
        <v/>
      </c>
      <c r="Y26" s="515" t="str">
        <f>IFERROR(INDEX(V!$O:$O,MATCH(X26,V!$J:$J,0)),"")</f>
        <v/>
      </c>
      <c r="Z26" s="88"/>
      <c r="AA26" s="88"/>
    </row>
    <row r="27" spans="1:27" s="188" customFormat="1" x14ac:dyDescent="0.2">
      <c r="A27" s="126" t="s">
        <v>323</v>
      </c>
      <c r="B27" s="126"/>
      <c r="C27" s="91">
        <v>1</v>
      </c>
      <c r="D27" s="91">
        <v>2</v>
      </c>
      <c r="E27" s="91">
        <v>3</v>
      </c>
      <c r="F27" s="91">
        <v>4</v>
      </c>
      <c r="G27" s="91">
        <v>5</v>
      </c>
      <c r="H27" s="438" t="s">
        <v>73</v>
      </c>
      <c r="I27" s="438" t="s">
        <v>21</v>
      </c>
      <c r="J27" s="586" t="s">
        <v>273</v>
      </c>
      <c r="K27" s="587" t="s">
        <v>430</v>
      </c>
      <c r="L27" s="588" t="b">
        <f>OR(AND(COUNTA(B28:B32)=3,COUNTA(C28:G32)=6),AND(COUNTA(B28:B32)=4,COUNTA(C28:G32)=12),AND(COUNTA(B28:B32)=5,COUNTA(C28:G32)=20))</f>
        <v>0</v>
      </c>
      <c r="M27" s="569"/>
      <c r="N27" s="310"/>
      <c r="P27" s="309"/>
      <c r="Q27" s="88"/>
      <c r="R27" s="514" t="str">
        <f t="shared" si="0"/>
        <v/>
      </c>
      <c r="S27" s="515" t="str">
        <f>IFERROR(INDEX(V!$O:$O,MATCH(R27,V!$J:$J,0)),"")</f>
        <v/>
      </c>
      <c r="T27" s="514" t="str">
        <f t="shared" si="1"/>
        <v/>
      </c>
      <c r="U27" s="515" t="str">
        <f>IFERROR(INDEX(V!$O:$O,MATCH(T27,V!$J:$J,0)),"")</f>
        <v/>
      </c>
      <c r="V27" s="516" t="str">
        <f t="shared" si="2"/>
        <v/>
      </c>
      <c r="W27" s="515" t="str">
        <f>IFERROR(INDEX(V!$O:$O,MATCH(V27,V!$J:$J,0)),"")</f>
        <v/>
      </c>
      <c r="X27" s="516" t="str">
        <f t="shared" si="3"/>
        <v/>
      </c>
      <c r="Y27" s="515" t="str">
        <f>IFERROR(INDEX(V!$O:$O,MATCH(X27,V!$J:$J,0)),"")</f>
        <v/>
      </c>
      <c r="Z27" s="88"/>
      <c r="AA27" s="88"/>
    </row>
    <row r="28" spans="1:27" s="188" customFormat="1" x14ac:dyDescent="0.2">
      <c r="A28" s="126">
        <v>1</v>
      </c>
      <c r="B28" s="581"/>
      <c r="C28" s="127"/>
      <c r="D28" s="93"/>
      <c r="E28" s="93"/>
      <c r="F28" s="93"/>
      <c r="G28" s="128"/>
      <c r="H28" s="576" t="str">
        <f>(IF(D28-C29&gt;0,1)+IF(E28-C30&gt;0,1)+IF(F28-C31&gt;0,1)+IF(G28-C32&gt;0,1))&amp;"-"&amp;(IF(D28-C29&lt;0,1)+IF(E28-C30&lt;0,1)+IF(F28-C31&lt;0,1)+IF(G28-C32&lt;0,1))</f>
        <v>0-0</v>
      </c>
      <c r="I28" s="93" t="str">
        <f>IF(AND(B28&lt;&gt;"",L$27=TRUE),A$27&amp;RANK(L28,L$28:L$32,0),"")</f>
        <v/>
      </c>
      <c r="J28" s="584">
        <f>VALUE(LEFT(H28,1))</f>
        <v>0</v>
      </c>
      <c r="K28" s="584">
        <f>IF(AND(J28=1,J29=1),D28-C29)+IF(AND(J28=1,J30=1),E28-C30)+IF(AND(J28=1,J31=1),F28-C31)+IF(AND(J28=1,J32=1),G28-C32)+IF(AND(J28=2,J29=2),D28-C29)+IF(AND(J28=2,J30=2),E28-C30)+IF(AND(J28=2,J31=2),F28-C31)+IF(AND(J28=2,J32=2),G28-C32)+IF(AND(J28=3,J29=3),D28-C29)+IF(AND(J28=3,J30=3),E28-C30)+IF(AND(J28=3,J31=3),F28-C31)+IF(AND(J28=3,J32=3),G28-C32)</f>
        <v>0</v>
      </c>
      <c r="L28" s="584">
        <f>1000*J28+K28</f>
        <v>0</v>
      </c>
      <c r="M28" s="632"/>
      <c r="N28" s="567"/>
      <c r="P28" s="309"/>
      <c r="Q28" s="512">
        <f t="shared" si="4"/>
        <v>0</v>
      </c>
      <c r="R28" s="514" t="str">
        <f t="shared" si="0"/>
        <v/>
      </c>
      <c r="S28" s="515" t="str">
        <f>IFERROR(INDEX(V!$O:$O,MATCH(R28,V!$J:$J,0)),"")</f>
        <v/>
      </c>
      <c r="T28" s="514" t="str">
        <f t="shared" si="1"/>
        <v/>
      </c>
      <c r="U28" s="515" t="str">
        <f>IFERROR(INDEX(V!$O:$O,MATCH(T28,V!$J:$J,0)),"")</f>
        <v/>
      </c>
      <c r="V28" s="516" t="str">
        <f t="shared" si="2"/>
        <v/>
      </c>
      <c r="W28" s="515" t="str">
        <f>IFERROR(INDEX(V!$O:$O,MATCH(V28,V!$J:$J,0)),"")</f>
        <v/>
      </c>
      <c r="X28" s="516" t="str">
        <f t="shared" si="3"/>
        <v/>
      </c>
      <c r="Y28" s="515" t="str">
        <f>IFERROR(INDEX(V!$O:$O,MATCH(X28,V!$J:$J,0)),"")</f>
        <v/>
      </c>
    </row>
    <row r="29" spans="1:27" s="188" customFormat="1" x14ac:dyDescent="0.2">
      <c r="A29" s="126">
        <v>2</v>
      </c>
      <c r="B29" s="581"/>
      <c r="C29" s="93"/>
      <c r="D29" s="127"/>
      <c r="E29" s="93"/>
      <c r="F29" s="93"/>
      <c r="G29" s="128"/>
      <c r="H29" s="576" t="str">
        <f>(IF(C29-D28&gt;0,1)+IF(E29-D30&gt;0,1)+IF(F29-D31&gt;0,1)+IF(G29-D32&gt;0,1))&amp;"-"&amp;(IF(C29-D28&lt;0,1)+IF(E29-D30&lt;0,1)+IF(F29-D31&lt;0,1)+IF(G29-D32&lt;0,1))</f>
        <v>0-0</v>
      </c>
      <c r="I29" s="93" t="str">
        <f>IF(AND(B29&lt;&gt;"",L$27=TRUE),A$27&amp;RANK(L29,L$28:L$32,0),"")</f>
        <v/>
      </c>
      <c r="J29" s="584">
        <f>VALUE(LEFT(H29,1))</f>
        <v>0</v>
      </c>
      <c r="K29" s="584">
        <f>IF(AND(J29=1,J28=1),C29-D28)+IF(AND(J29=1,J30=1),E29-D30)+IF(AND(J29=1,J31=1),F29-D31)+IF(AND(J29=1,J32=1),G29-D32)+IF(AND(J29=2,J28=2),C29-D28)+IF(AND(J29=2,J30=2),E29-D30)+IF(AND(J29=2,J31=2),F29-D31)+IF(AND(J29=2,J32=2),G29-D32)+IF(AND(J29=3,J28=3),C29-D28)+IF(AND(J29=3,J30=3),E29-D30)+IF(AND(J29=3,J31=3),F29-D31)+IF(AND(J29=3,J32=3),G29-D32)</f>
        <v>0</v>
      </c>
      <c r="L29" s="584">
        <f>1000*J29+K29</f>
        <v>0</v>
      </c>
      <c r="M29" s="632"/>
      <c r="N29" s="567"/>
      <c r="O29" s="579"/>
      <c r="P29" s="309"/>
      <c r="Q29" s="512">
        <f t="shared" si="4"/>
        <v>0</v>
      </c>
      <c r="R29" s="514" t="str">
        <f t="shared" si="0"/>
        <v/>
      </c>
      <c r="S29" s="515" t="str">
        <f>IFERROR(INDEX(V!$O:$O,MATCH(R29,V!$J:$J,0)),"")</f>
        <v/>
      </c>
      <c r="T29" s="514" t="str">
        <f t="shared" si="1"/>
        <v/>
      </c>
      <c r="U29" s="515" t="str">
        <f>IFERROR(INDEX(V!$O:$O,MATCH(T29,V!$J:$J,0)),"")</f>
        <v/>
      </c>
      <c r="V29" s="516" t="str">
        <f t="shared" si="2"/>
        <v/>
      </c>
      <c r="W29" s="515" t="str">
        <f>IFERROR(INDEX(V!$O:$O,MATCH(V29,V!$J:$J,0)),"")</f>
        <v/>
      </c>
      <c r="X29" s="516" t="str">
        <f t="shared" si="3"/>
        <v/>
      </c>
      <c r="Y29" s="515" t="str">
        <f>IFERROR(INDEX(V!$O:$O,MATCH(X29,V!$J:$J,0)),"")</f>
        <v/>
      </c>
    </row>
    <row r="30" spans="1:27" s="188" customFormat="1" x14ac:dyDescent="0.2">
      <c r="A30" s="126">
        <v>3</v>
      </c>
      <c r="B30" s="581"/>
      <c r="C30" s="93"/>
      <c r="D30" s="93"/>
      <c r="E30" s="127"/>
      <c r="F30" s="93"/>
      <c r="G30" s="128"/>
      <c r="H30" s="576" t="str">
        <f>(IF(C30-E28&gt;0,1)+IF(D30-E29&gt;0,1)+IF(F30-E31&gt;0,1)+IF(G30-E32&gt;0,1))&amp;"-"&amp;(IF(C30-E28&lt;0,1)+IF(D30-E29&lt;0,1)+IF(F30-E31&lt;0,1)+IF(G30-E32&lt;0,1))</f>
        <v>0-0</v>
      </c>
      <c r="I30" s="93" t="str">
        <f>IF(AND(B30&lt;&gt;"",L$27=TRUE),A$27&amp;RANK(L30,L$28:L$32,0),"")</f>
        <v/>
      </c>
      <c r="J30" s="584">
        <f>VALUE(LEFT(H30,1))</f>
        <v>0</v>
      </c>
      <c r="K30" s="584">
        <f>IF(AND(J30=1,J28=1),C30-E28)+IF(AND(J30=1,J29=1),D30-E29)+IF(AND(J30=1,J31=1),F30-E31)+IF(AND(J30=1,J32=1),G30-E32)+IF(AND(J30=2,J28=2),C30-E28)+IF(AND(J30=2,J29=2),D30-E29)+IF(AND(J30=2,J31=2),F30-E31)+IF(AND(J30=2,J32=2),G30-E32)+IF(AND(J30=3,J28=3),C30-E28)+IF(AND(J30=3,J29=3),D30-E29)+IF(AND(J30=3,J31=3),F30-E31)+IF(AND(J30=3,J32=3),G30-E32)</f>
        <v>0</v>
      </c>
      <c r="L30" s="584">
        <f>1000*J30+K30</f>
        <v>0</v>
      </c>
      <c r="M30" s="632"/>
      <c r="N30" s="567"/>
      <c r="O30" s="579"/>
      <c r="P30" s="309"/>
      <c r="Q30" s="512">
        <f t="shared" si="4"/>
        <v>0</v>
      </c>
      <c r="R30" s="514" t="str">
        <f t="shared" si="0"/>
        <v/>
      </c>
      <c r="S30" s="515" t="str">
        <f>IFERROR(INDEX(V!$O:$O,MATCH(R30,V!$J:$J,0)),"")</f>
        <v/>
      </c>
      <c r="T30" s="514" t="str">
        <f t="shared" si="1"/>
        <v/>
      </c>
      <c r="U30" s="515" t="str">
        <f>IFERROR(INDEX(V!$O:$O,MATCH(T30,V!$J:$J,0)),"")</f>
        <v/>
      </c>
      <c r="V30" s="516" t="str">
        <f t="shared" si="2"/>
        <v/>
      </c>
      <c r="W30" s="515" t="str">
        <f>IFERROR(INDEX(V!$O:$O,MATCH(V30,V!$J:$J,0)),"")</f>
        <v/>
      </c>
      <c r="X30" s="516" t="str">
        <f t="shared" si="3"/>
        <v/>
      </c>
      <c r="Y30" s="515" t="str">
        <f>IFERROR(INDEX(V!$O:$O,MATCH(X30,V!$J:$J,0)),"")</f>
        <v/>
      </c>
    </row>
    <row r="31" spans="1:27" s="188" customFormat="1" x14ac:dyDescent="0.2">
      <c r="A31" s="126">
        <v>4</v>
      </c>
      <c r="B31" s="581"/>
      <c r="C31" s="93"/>
      <c r="D31" s="128"/>
      <c r="E31" s="93"/>
      <c r="F31" s="127"/>
      <c r="G31" s="128"/>
      <c r="H31" s="576" t="str">
        <f>(IF(C31-F28&gt;0,1)+IF(D31-F29&gt;0,1)+IF(E31-F30&gt;0,1)+IF(G31-F32&gt;0,1))&amp;"-"&amp;(IF(C31-F28&lt;0,1)+IF(D31-F29&lt;0,1)+IF(E31-F30&lt;0,1)+IF(G31-F32&lt;0,1))</f>
        <v>0-0</v>
      </c>
      <c r="I31" s="93" t="str">
        <f>IF(AND(B31&lt;&gt;"",L$27=TRUE),A$27&amp;RANK(L31,L$28:L$32,0),"")</f>
        <v/>
      </c>
      <c r="J31" s="584">
        <f>VALUE(LEFT(H31,1))</f>
        <v>0</v>
      </c>
      <c r="K31" s="584">
        <f>IF(AND(J31=1,J28=1),C31-F28)+IF(AND(J31=1,J29=1),D31-F29)+IF(AND(J31=1,J30=1),E31-F30)+IF(AND(J31=1,J32=1),G31-F32)+IF(AND(J31=2,J28=2),C31-F28)+IF(AND(J31=2,J29=2),D31-F29)+IF(AND(J31=2,J30=2),E31-F30)+IF(AND(J31=2,J32=2),G31-F32)+IF(AND(J31=3,J28=3),C31-F28)+IF(AND(J31=3,J29=3),D31-F29)+IF(AND(J31=3,J30=3),E31-F30)+IF(AND(J31=3,J32=3),G31-F32)</f>
        <v>0</v>
      </c>
      <c r="L31" s="584">
        <f>1000*J31+K31</f>
        <v>0</v>
      </c>
      <c r="M31" s="569"/>
      <c r="N31" s="310"/>
      <c r="O31" s="579"/>
      <c r="P31" s="309"/>
      <c r="Q31" s="512">
        <f t="shared" si="4"/>
        <v>0</v>
      </c>
      <c r="R31" s="514" t="str">
        <f t="shared" si="0"/>
        <v/>
      </c>
      <c r="S31" s="515" t="str">
        <f>IFERROR(INDEX(V!$O:$O,MATCH(R31,V!$J:$J,0)),"")</f>
        <v/>
      </c>
      <c r="T31" s="514" t="str">
        <f t="shared" si="1"/>
        <v/>
      </c>
      <c r="U31" s="515" t="str">
        <f>IFERROR(INDEX(V!$O:$O,MATCH(T31,V!$J:$J,0)),"")</f>
        <v/>
      </c>
      <c r="V31" s="516" t="str">
        <f t="shared" si="2"/>
        <v/>
      </c>
      <c r="W31" s="515" t="str">
        <f>IFERROR(INDEX(V!$O:$O,MATCH(V31,V!$J:$J,0)),"")</f>
        <v/>
      </c>
      <c r="X31" s="516" t="str">
        <f t="shared" si="3"/>
        <v/>
      </c>
      <c r="Y31" s="515" t="str">
        <f>IFERROR(INDEX(V!$O:$O,MATCH(X31,V!$J:$J,0)),"")</f>
        <v/>
      </c>
    </row>
    <row r="32" spans="1:27" s="188" customFormat="1" x14ac:dyDescent="0.2">
      <c r="A32" s="126">
        <v>5</v>
      </c>
      <c r="B32" s="164"/>
      <c r="C32" s="93"/>
      <c r="D32" s="93"/>
      <c r="E32" s="93"/>
      <c r="F32" s="93"/>
      <c r="G32" s="127"/>
      <c r="H32" s="576" t="str">
        <f>(IF(C32-G28&gt;0,1)+IF(D32-G29&gt;0,1)+IF(E32-G30&gt;0,1)+IF(F32-G31&gt;0,1))&amp;"-"&amp;(IF(C32-G28&lt;0,1)+IF(D32-G29&lt;0,1)+IF(E32-G30&lt;0,1)+IF(F32-G31&lt;0,1))</f>
        <v>0-0</v>
      </c>
      <c r="I32" s="93" t="str">
        <f>IF(AND(B32&lt;&gt;"",L$27=TRUE),A$27&amp;RANK(L32,L$28:L$32,0),"")</f>
        <v/>
      </c>
      <c r="J32" s="584">
        <f t="shared" ref="J32" si="6">VALUE(LEFT(H32,1))</f>
        <v>0</v>
      </c>
      <c r="K32" s="584">
        <f>IF(AND(J32=1,J28=1),C32-G28)+IF(AND(J32=1,J29=1),D32-G29)+IF(AND(J32=1,J30=1),E32-G30)+IF(AND(J32=1,J31=1),F32-G31)+IF(AND(J32=2,J28=2),C32-G28)+IF(AND(J32=2,J29=2),D32-G29)+IF(AND(J32=2,J30=2),E32-G30)+IF(AND(J32=2,J31=2),F32-G31)+IF(AND(J32=3,J28=3),C32-G28)+IF(AND(J32=3,J29=3),D32-G29)+IF(AND(J32=3,J30=3),E32-G30)+IF(AND(J32=3,J31=3),F32-G31)</f>
        <v>0</v>
      </c>
      <c r="L32" s="584">
        <f>1000*J32+K32</f>
        <v>0</v>
      </c>
      <c r="M32" s="569"/>
      <c r="N32" s="310"/>
      <c r="O32" s="579"/>
      <c r="P32" s="88"/>
      <c r="Q32" s="512">
        <f t="shared" si="4"/>
        <v>0</v>
      </c>
      <c r="R32" s="514" t="str">
        <f t="shared" si="0"/>
        <v/>
      </c>
      <c r="S32" s="515" t="str">
        <f>IFERROR(INDEX(V!$O:$O,MATCH(R32,V!$J:$J,0)),"")</f>
        <v/>
      </c>
      <c r="T32" s="514" t="str">
        <f t="shared" si="1"/>
        <v/>
      </c>
      <c r="U32" s="515" t="str">
        <f>IFERROR(INDEX(V!$O:$O,MATCH(T32,V!$J:$J,0)),"")</f>
        <v/>
      </c>
      <c r="V32" s="516" t="str">
        <f t="shared" si="2"/>
        <v/>
      </c>
      <c r="W32" s="515" t="str">
        <f>IFERROR(INDEX(V!$O:$O,MATCH(V32,V!$J:$J,0)),"")</f>
        <v/>
      </c>
      <c r="X32" s="516" t="str">
        <f t="shared" si="3"/>
        <v/>
      </c>
      <c r="Y32" s="515" t="str">
        <f>IFERROR(INDEX(V!$O:$O,MATCH(X32,V!$J:$J,0)),"")</f>
        <v/>
      </c>
      <c r="Z32" s="88"/>
      <c r="AA32" s="88"/>
    </row>
    <row r="33" spans="1:27" s="188" customFormat="1" x14ac:dyDescent="0.2">
      <c r="A33" s="314"/>
      <c r="E33" s="314"/>
      <c r="F33" s="314"/>
      <c r="G33" s="314"/>
      <c r="M33" s="88"/>
      <c r="N33" s="88"/>
      <c r="O33" s="579"/>
      <c r="P33" s="88"/>
      <c r="S33" s="88"/>
      <c r="T33" s="88"/>
      <c r="U33" s="88"/>
      <c r="V33" s="88"/>
      <c r="W33" s="88"/>
      <c r="X33" s="88"/>
      <c r="Y33" s="88"/>
      <c r="Z33" s="88"/>
      <c r="AA33" s="88"/>
    </row>
    <row r="34" spans="1:27" s="188" customFormat="1" x14ac:dyDescent="0.2">
      <c r="A34" s="314"/>
      <c r="B34" s="213" t="s">
        <v>98</v>
      </c>
      <c r="C34" s="98" t="s">
        <v>100</v>
      </c>
      <c r="D34" s="88"/>
      <c r="E34" s="314"/>
      <c r="F34" s="314"/>
      <c r="G34" s="314"/>
      <c r="M34" s="88"/>
      <c r="N34" s="88"/>
      <c r="O34" s="579"/>
      <c r="P34" s="88"/>
      <c r="S34" s="88"/>
      <c r="T34" s="88"/>
      <c r="U34" s="88"/>
      <c r="V34" s="88"/>
      <c r="W34" s="88"/>
      <c r="X34" s="88"/>
      <c r="Y34" s="88"/>
      <c r="Z34" s="88"/>
      <c r="AA34" s="88"/>
    </row>
    <row r="35" spans="1:27" s="188" customFormat="1" x14ac:dyDescent="0.2">
      <c r="A35" s="314"/>
      <c r="B35" s="213" t="s">
        <v>101</v>
      </c>
      <c r="C35" s="98" t="s">
        <v>102</v>
      </c>
      <c r="D35" s="88"/>
      <c r="E35" s="314"/>
      <c r="F35" s="314"/>
      <c r="G35" s="314"/>
      <c r="M35" s="88"/>
      <c r="N35" s="88"/>
      <c r="O35" s="579"/>
      <c r="P35" s="88"/>
      <c r="S35" s="88"/>
      <c r="T35" s="88"/>
      <c r="U35" s="88"/>
      <c r="V35" s="88"/>
      <c r="W35" s="88"/>
      <c r="X35" s="88"/>
      <c r="Y35" s="88"/>
      <c r="Z35" s="88"/>
      <c r="AA35" s="88"/>
    </row>
    <row r="36" spans="1:27" s="188" customFormat="1" x14ac:dyDescent="0.2">
      <c r="A36" s="95"/>
      <c r="B36" s="213" t="s">
        <v>104</v>
      </c>
      <c r="C36" s="98" t="s">
        <v>92</v>
      </c>
      <c r="D36" s="88"/>
      <c r="E36" s="97"/>
      <c r="F36" s="97"/>
      <c r="G36" s="402"/>
      <c r="M36" s="88"/>
      <c r="N36" s="88"/>
      <c r="P36" s="88"/>
      <c r="R36" s="212"/>
      <c r="S36" s="88"/>
      <c r="T36" s="88"/>
      <c r="U36" s="88"/>
      <c r="V36" s="88"/>
      <c r="W36" s="88"/>
      <c r="X36" s="88"/>
      <c r="Y36" s="88"/>
      <c r="Z36" s="88"/>
      <c r="AA36" s="88"/>
    </row>
    <row r="37" spans="1:27" s="88" customFormat="1" x14ac:dyDescent="0.2">
      <c r="Q37" s="188"/>
      <c r="R37" s="188"/>
    </row>
    <row r="38" spans="1:27" s="88" customFormat="1" x14ac:dyDescent="0.2">
      <c r="B38" s="213" t="s">
        <v>98</v>
      </c>
      <c r="C38" s="98" t="s">
        <v>99</v>
      </c>
      <c r="D38" s="98" t="s">
        <v>100</v>
      </c>
      <c r="Q38" s="188"/>
      <c r="R38" s="212"/>
    </row>
    <row r="39" spans="1:27" s="88" customFormat="1" x14ac:dyDescent="0.2">
      <c r="B39" s="213" t="s">
        <v>101</v>
      </c>
      <c r="C39" s="98" t="s">
        <v>102</v>
      </c>
      <c r="D39" s="98" t="s">
        <v>103</v>
      </c>
      <c r="Q39" s="188"/>
      <c r="R39" s="215"/>
    </row>
    <row r="40" spans="1:27" s="88" customFormat="1" x14ac:dyDescent="0.2">
      <c r="B40" s="213" t="s">
        <v>104</v>
      </c>
      <c r="C40" s="98" t="s">
        <v>92</v>
      </c>
      <c r="D40" s="98" t="s">
        <v>105</v>
      </c>
      <c r="Q40" s="188"/>
      <c r="R40" s="215"/>
    </row>
    <row r="41" spans="1:27" s="88" customFormat="1" x14ac:dyDescent="0.2">
      <c r="Q41" s="188"/>
      <c r="R41" s="188"/>
    </row>
    <row r="42" spans="1:27" s="88" customFormat="1" x14ac:dyDescent="0.2">
      <c r="B42" s="213" t="s">
        <v>98</v>
      </c>
      <c r="C42" s="98" t="s">
        <v>99</v>
      </c>
      <c r="D42" s="98" t="s">
        <v>100</v>
      </c>
      <c r="Q42" s="188"/>
      <c r="R42" s="215"/>
    </row>
    <row r="43" spans="1:27" s="88" customFormat="1" x14ac:dyDescent="0.2">
      <c r="B43" s="213" t="s">
        <v>101</v>
      </c>
      <c r="C43" s="98" t="s">
        <v>106</v>
      </c>
      <c r="D43" s="98" t="s">
        <v>103</v>
      </c>
      <c r="Q43" s="188"/>
      <c r="R43" s="215"/>
    </row>
    <row r="44" spans="1:27" s="88" customFormat="1" x14ac:dyDescent="0.2">
      <c r="B44" s="213" t="s">
        <v>104</v>
      </c>
      <c r="C44" s="485" t="s">
        <v>92</v>
      </c>
      <c r="D44" s="98" t="s">
        <v>110</v>
      </c>
      <c r="Q44" s="188"/>
      <c r="R44" s="188"/>
    </row>
    <row r="45" spans="1:27" s="88" customFormat="1" x14ac:dyDescent="0.2">
      <c r="B45" s="213" t="s">
        <v>109</v>
      </c>
      <c r="C45" s="98" t="s">
        <v>108</v>
      </c>
      <c r="D45" s="98" t="s">
        <v>105</v>
      </c>
      <c r="Q45" s="188"/>
      <c r="R45" s="517"/>
    </row>
    <row r="46" spans="1:27" s="88" customFormat="1" x14ac:dyDescent="0.2">
      <c r="B46" s="213" t="s">
        <v>111</v>
      </c>
      <c r="C46" s="98" t="s">
        <v>102</v>
      </c>
      <c r="D46" s="98" t="s">
        <v>107</v>
      </c>
      <c r="R46" s="215"/>
    </row>
    <row r="47" spans="1:27" s="88" customFormat="1" x14ac:dyDescent="0.2"/>
    <row r="48" spans="1:27" s="88" customFormat="1" hidden="1" x14ac:dyDescent="0.2"/>
    <row r="49" spans="17:17" s="88" customFormat="1" hidden="1" x14ac:dyDescent="0.2"/>
    <row r="50" spans="17:17" s="88" customFormat="1" hidden="1" x14ac:dyDescent="0.2"/>
    <row r="51" spans="17:17" s="88" customFormat="1" hidden="1" x14ac:dyDescent="0.2"/>
    <row r="52" spans="17:17" s="88" customFormat="1" hidden="1" x14ac:dyDescent="0.2"/>
    <row r="53" spans="17:17" s="88" customFormat="1" hidden="1" x14ac:dyDescent="0.2"/>
    <row r="54" spans="17:17" s="88" customFormat="1" hidden="1" x14ac:dyDescent="0.2"/>
    <row r="55" spans="17:17" s="88" customFormat="1" hidden="1" x14ac:dyDescent="0.2"/>
    <row r="56" spans="17:17" s="88" customFormat="1" hidden="1" x14ac:dyDescent="0.2"/>
    <row r="57" spans="17:17" s="88" customFormat="1" hidden="1" x14ac:dyDescent="0.2"/>
    <row r="58" spans="17:17" s="88" customFormat="1" hidden="1" x14ac:dyDescent="0.2"/>
    <row r="59" spans="17:17" s="88" customFormat="1" hidden="1" x14ac:dyDescent="0.2"/>
    <row r="60" spans="17:17" s="88" customFormat="1" hidden="1" x14ac:dyDescent="0.2"/>
    <row r="61" spans="17:17" s="88" customFormat="1" hidden="1" x14ac:dyDescent="0.2">
      <c r="Q61" s="188"/>
    </row>
    <row r="62" spans="17:17" s="88" customFormat="1" hidden="1" x14ac:dyDescent="0.2">
      <c r="Q62" s="188"/>
    </row>
    <row r="63" spans="17:17" s="88" customFormat="1" hidden="1" x14ac:dyDescent="0.2">
      <c r="Q63" s="215"/>
    </row>
    <row r="64" spans="17:17" s="88" customFormat="1" hidden="1" x14ac:dyDescent="0.2"/>
    <row r="65" s="88" customFormat="1" hidden="1" x14ac:dyDescent="0.2"/>
    <row r="66" s="88" customFormat="1" hidden="1" x14ac:dyDescent="0.2"/>
    <row r="67" s="88" customFormat="1" hidden="1" x14ac:dyDescent="0.2"/>
    <row r="68" s="88" customFormat="1" hidden="1" x14ac:dyDescent="0.2"/>
    <row r="69" s="88" customFormat="1" hidden="1" x14ac:dyDescent="0.2"/>
    <row r="70" s="88" customFormat="1" hidden="1" x14ac:dyDescent="0.2"/>
    <row r="71" s="88" customFormat="1" hidden="1" x14ac:dyDescent="0.2"/>
    <row r="72" s="88" customFormat="1" hidden="1" x14ac:dyDescent="0.2"/>
    <row r="73" s="88" customFormat="1" hidden="1" x14ac:dyDescent="0.2"/>
    <row r="74" s="349" customFormat="1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spans="1:13" hidden="1" x14ac:dyDescent="0.2"/>
    <row r="98" spans="1:13" hidden="1" x14ac:dyDescent="0.2"/>
    <row r="99" spans="1:13" hidden="1" x14ac:dyDescent="0.2"/>
    <row r="100" spans="1:13" x14ac:dyDescent="0.2">
      <c r="A100" s="214" t="s">
        <v>411</v>
      </c>
      <c r="B100" s="99"/>
      <c r="C100" s="96"/>
      <c r="D100" s="96"/>
      <c r="E100" s="96"/>
      <c r="F100" s="97"/>
      <c r="G100" s="98"/>
      <c r="H100" s="88"/>
      <c r="I100" s="88"/>
      <c r="J100" s="88"/>
      <c r="K100" s="88"/>
      <c r="L100" s="88"/>
      <c r="M100" s="88"/>
    </row>
    <row r="101" spans="1:13" x14ac:dyDescent="0.2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</row>
    <row r="102" spans="1:13" x14ac:dyDescent="0.2">
      <c r="A102" s="106" t="s">
        <v>84</v>
      </c>
      <c r="B102" s="404" t="str">
        <f>IFERROR(INDEX(B$7:B$32,MATCH(A102,I$7:I$32,0)),"")</f>
        <v/>
      </c>
      <c r="C102" s="120" t="str">
        <f>IF(B102="-",0,IF(B104="-",13,""))</f>
        <v/>
      </c>
      <c r="D102" s="88"/>
      <c r="E102" s="88"/>
      <c r="F102" s="88"/>
      <c r="G102" s="88"/>
      <c r="H102" s="88"/>
      <c r="I102" s="88"/>
      <c r="J102" s="88"/>
      <c r="K102" s="88"/>
      <c r="L102" s="88"/>
      <c r="M102" s="88"/>
    </row>
    <row r="103" spans="1:13" x14ac:dyDescent="0.2">
      <c r="A103" s="107"/>
      <c r="B103" s="423"/>
      <c r="C103" s="524" t="str">
        <f>IF(COUNT(C102,C104)=2,IF(C102&gt;C104,B102,B104),"")</f>
        <v/>
      </c>
      <c r="D103" s="88"/>
      <c r="E103" s="120" t="str">
        <f>IF(C103="-",0,IF(C107="-",13,""))</f>
        <v/>
      </c>
      <c r="F103" s="88"/>
      <c r="G103" s="88"/>
      <c r="H103" s="88"/>
      <c r="I103" s="88"/>
      <c r="J103" s="88"/>
      <c r="K103" s="88"/>
      <c r="L103" s="88"/>
      <c r="M103" s="88"/>
    </row>
    <row r="104" spans="1:13" x14ac:dyDescent="0.2">
      <c r="A104" s="107" t="s">
        <v>406</v>
      </c>
      <c r="B104" s="406" t="str">
        <f>IFERROR(INDEX(B$7:B$32,MATCH(A104,I$7:I$32,0)),"")</f>
        <v/>
      </c>
      <c r="C104" s="110" t="str">
        <f>IF(B104="-",0,IF(B102="-",13,""))</f>
        <v/>
      </c>
      <c r="D104" s="111"/>
      <c r="E104" s="88"/>
      <c r="F104" s="88"/>
      <c r="G104" s="88"/>
      <c r="H104" s="88"/>
      <c r="I104" s="88"/>
      <c r="J104" s="88"/>
      <c r="K104" s="88"/>
      <c r="L104" s="88"/>
      <c r="M104" s="88"/>
    </row>
    <row r="105" spans="1:13" x14ac:dyDescent="0.2">
      <c r="A105" s="107"/>
      <c r="B105" s="407"/>
      <c r="C105" s="88"/>
      <c r="D105" s="112"/>
      <c r="E105" s="524" t="str">
        <f>IF(COUNT(E103,E107)=2,IF(E103&gt;E107,C103,C107),"")</f>
        <v/>
      </c>
      <c r="F105" s="88"/>
      <c r="G105" s="120" t="str">
        <f>IF(E105="-",0,IF(E113="-",13,""))</f>
        <v/>
      </c>
      <c r="H105" s="88"/>
      <c r="I105" s="88"/>
      <c r="J105" s="88"/>
      <c r="K105" s="88"/>
      <c r="L105" s="88"/>
      <c r="M105" s="88"/>
    </row>
    <row r="106" spans="1:13" x14ac:dyDescent="0.2">
      <c r="A106" s="107" t="s">
        <v>85</v>
      </c>
      <c r="B106" s="404" t="str">
        <f>IFERROR(INDEX(B$7:B$32,MATCH(A106,I$7:I$32,0)),"")</f>
        <v/>
      </c>
      <c r="C106" s="120"/>
      <c r="D106" s="112"/>
      <c r="E106" s="216"/>
      <c r="F106" s="111"/>
      <c r="G106" s="88"/>
      <c r="H106" s="88"/>
      <c r="I106" s="88"/>
      <c r="J106" s="88"/>
      <c r="K106" s="88"/>
      <c r="L106" s="88"/>
      <c r="M106" s="88"/>
    </row>
    <row r="107" spans="1:13" x14ac:dyDescent="0.2">
      <c r="A107" s="107"/>
      <c r="B107" s="423"/>
      <c r="C107" s="524"/>
      <c r="D107" s="234"/>
      <c r="E107" s="110" t="str">
        <f>IF(C107="-",0,IF(C103="-",13,""))</f>
        <v/>
      </c>
      <c r="F107" s="112"/>
      <c r="G107" s="88"/>
      <c r="H107" s="88"/>
      <c r="I107" s="88"/>
      <c r="J107" s="88"/>
      <c r="K107" s="88"/>
      <c r="L107" s="88"/>
      <c r="M107" s="88"/>
    </row>
    <row r="108" spans="1:13" x14ac:dyDescent="0.2">
      <c r="A108" s="107" t="s">
        <v>71</v>
      </c>
      <c r="B108" s="406" t="str">
        <f>IFERROR(INDEX(B$7:B$32,MATCH(A108,I$7:I$32,0)),"")</f>
        <v/>
      </c>
      <c r="C108" s="110"/>
      <c r="D108" s="88"/>
      <c r="E108" s="99"/>
      <c r="F108" s="112"/>
      <c r="G108" s="88"/>
      <c r="H108" s="88"/>
      <c r="I108" s="88"/>
      <c r="J108" s="88"/>
      <c r="K108" s="88"/>
      <c r="L108" s="88"/>
      <c r="M108" s="88"/>
    </row>
    <row r="109" spans="1:13" ht="13.5" thickBot="1" x14ac:dyDescent="0.25">
      <c r="A109" s="87"/>
      <c r="B109" s="407"/>
      <c r="C109" s="88"/>
      <c r="D109" s="88"/>
      <c r="E109" s="99"/>
      <c r="F109" s="112"/>
      <c r="G109" s="88"/>
      <c r="H109" s="184" t="str">
        <f>IF(COUNT(G105,G113)=2,IF(G105&gt;G113,E105,E113),"")</f>
        <v/>
      </c>
      <c r="I109" s="88"/>
      <c r="J109" s="88"/>
      <c r="K109" s="88"/>
      <c r="L109" s="88"/>
      <c r="M109" s="88"/>
    </row>
    <row r="110" spans="1:13" x14ac:dyDescent="0.2">
      <c r="A110" s="106" t="s">
        <v>86</v>
      </c>
      <c r="B110" s="404" t="str">
        <f>IFERROR(INDEX(B$7:B$32,MATCH(A110,I$7:I$32,0)),"")</f>
        <v/>
      </c>
      <c r="C110" s="120"/>
      <c r="D110" s="88"/>
      <c r="E110" s="88"/>
      <c r="F110" s="112"/>
      <c r="G110" s="114"/>
      <c r="H110" s="379" t="s">
        <v>275</v>
      </c>
      <c r="I110" s="378"/>
      <c r="J110" s="88"/>
      <c r="K110" s="88"/>
      <c r="L110" s="88"/>
      <c r="M110" s="88"/>
    </row>
    <row r="111" spans="1:13" x14ac:dyDescent="0.2">
      <c r="A111" s="107"/>
      <c r="B111" s="423"/>
      <c r="C111" s="524"/>
      <c r="D111" s="88"/>
      <c r="E111" s="120" t="str">
        <f>IF(C111="-",0,IF(C115="-",13,""))</f>
        <v/>
      </c>
      <c r="F111" s="112"/>
      <c r="G111" s="99"/>
      <c r="H111" s="88"/>
      <c r="I111" s="88"/>
      <c r="J111" s="88"/>
      <c r="K111" s="88"/>
      <c r="L111" s="88"/>
      <c r="M111" s="88"/>
    </row>
    <row r="112" spans="1:13" x14ac:dyDescent="0.2">
      <c r="A112" s="107" t="s">
        <v>75</v>
      </c>
      <c r="B112" s="406" t="str">
        <f>IFERROR(INDEX(B$7:B$32,MATCH(A112,I$7:I$32,0)),"")</f>
        <v/>
      </c>
      <c r="C112" s="110"/>
      <c r="D112" s="111"/>
      <c r="E112" s="88"/>
      <c r="F112" s="112"/>
      <c r="G112" s="99"/>
      <c r="H112" s="88"/>
      <c r="I112" s="88"/>
      <c r="J112" s="88"/>
      <c r="K112" s="88"/>
      <c r="L112" s="88"/>
      <c r="M112" s="88"/>
    </row>
    <row r="113" spans="1:13" x14ac:dyDescent="0.2">
      <c r="A113" s="107"/>
      <c r="B113" s="407"/>
      <c r="C113" s="88"/>
      <c r="D113" s="112"/>
      <c r="E113" s="524" t="str">
        <f>IF(COUNT(E111,E115)=2,IF(E111&gt;E115,C111,C115),"")</f>
        <v/>
      </c>
      <c r="F113" s="234"/>
      <c r="G113" s="110" t="str">
        <f>IF(E113="-",0,IF(E105="-",13,""))</f>
        <v/>
      </c>
      <c r="H113" s="88"/>
      <c r="I113" s="88"/>
      <c r="J113" s="88"/>
      <c r="K113" s="88"/>
      <c r="L113" s="88"/>
      <c r="M113" s="88"/>
    </row>
    <row r="114" spans="1:13" ht="13.5" thickBot="1" x14ac:dyDescent="0.25">
      <c r="A114" s="107" t="s">
        <v>407</v>
      </c>
      <c r="B114" s="404" t="str">
        <f>IFERROR(INDEX(B$7:B$32,MATCH(A114,I$7:I$32,0)),"")</f>
        <v/>
      </c>
      <c r="C114" s="120"/>
      <c r="D114" s="112"/>
      <c r="E114" s="216"/>
      <c r="F114" s="99"/>
      <c r="G114" s="99"/>
      <c r="H114" s="184" t="str">
        <f>IF(COUNT(G105,G113)=2,IF(G105&lt;G113,E105,E113),"")</f>
        <v/>
      </c>
      <c r="I114" s="119"/>
      <c r="J114" s="88"/>
      <c r="K114" s="88"/>
      <c r="L114" s="88"/>
      <c r="M114" s="88"/>
    </row>
    <row r="115" spans="1:13" x14ac:dyDescent="0.2">
      <c r="A115" s="107"/>
      <c r="B115" s="423"/>
      <c r="C115" s="524"/>
      <c r="D115" s="234"/>
      <c r="E115" s="110" t="str">
        <f>IF(C115="-",0,IF(C111="-",13,""))</f>
        <v/>
      </c>
      <c r="F115" s="88"/>
      <c r="G115" s="99"/>
      <c r="H115" s="379" t="s">
        <v>276</v>
      </c>
      <c r="I115" s="99"/>
      <c r="J115" s="88"/>
      <c r="K115" s="88"/>
      <c r="L115" s="88"/>
      <c r="M115" s="88"/>
    </row>
    <row r="116" spans="1:13" x14ac:dyDescent="0.2">
      <c r="A116" s="107" t="s">
        <v>76</v>
      </c>
      <c r="B116" s="406" t="str">
        <f>IFERROR(INDEX(B$7:B$32,MATCH(A116,I$7:I$32,0)),"")</f>
        <v/>
      </c>
      <c r="C116" s="110"/>
      <c r="D116" s="88"/>
      <c r="E116" s="99"/>
      <c r="F116" s="99"/>
      <c r="G116" s="99"/>
      <c r="H116" s="88"/>
      <c r="I116" s="88"/>
      <c r="J116" s="88"/>
      <c r="K116" s="88"/>
      <c r="L116" s="88"/>
      <c r="M116" s="88"/>
    </row>
    <row r="117" spans="1:13" x14ac:dyDescent="0.2">
      <c r="A117" s="87"/>
      <c r="B117" s="407"/>
      <c r="C117" s="88"/>
      <c r="D117" s="88"/>
      <c r="E117" s="217" t="str">
        <f>IF(COUNT(E103,E107)=2,IF(E103&lt;E107,C103,C107),"")</f>
        <v/>
      </c>
      <c r="F117" s="88"/>
      <c r="G117" s="120" t="str">
        <f>IF(E117="-",0,IF(E119="-",13,""))</f>
        <v/>
      </c>
      <c r="H117" s="88"/>
      <c r="I117" s="88"/>
      <c r="J117" s="88"/>
      <c r="K117" s="88"/>
      <c r="L117" s="88"/>
      <c r="M117" s="88"/>
    </row>
    <row r="118" spans="1:13" ht="13.5" thickBot="1" x14ac:dyDescent="0.25">
      <c r="A118" s="88"/>
      <c r="B118" s="88"/>
      <c r="C118" s="88"/>
      <c r="D118" s="88"/>
      <c r="E118" s="108"/>
      <c r="F118" s="111"/>
      <c r="G118" s="119"/>
      <c r="H118" s="184" t="str">
        <f>IF(COUNT(G117,G119)=2,IF(G117&gt;G119,E117,E119),"")</f>
        <v/>
      </c>
      <c r="I118" s="119"/>
      <c r="J118" s="88"/>
      <c r="K118" s="88"/>
      <c r="L118" s="88"/>
      <c r="M118" s="88"/>
    </row>
    <row r="119" spans="1:13" x14ac:dyDescent="0.2">
      <c r="A119" s="88"/>
      <c r="B119" s="88"/>
      <c r="C119" s="88"/>
      <c r="D119" s="88"/>
      <c r="E119" s="528" t="str">
        <f>IF(COUNT(E111,E115)=2,IF(E111&lt;E115,C111,C115),"")</f>
        <v/>
      </c>
      <c r="F119" s="234"/>
      <c r="G119" s="110" t="str">
        <f>IF(E119="-",0,IF(E117="-",13,""))</f>
        <v/>
      </c>
      <c r="H119" s="121" t="s">
        <v>277</v>
      </c>
      <c r="I119" s="99"/>
      <c r="J119" s="88"/>
      <c r="K119" s="88"/>
      <c r="L119" s="88"/>
      <c r="M119" s="88"/>
    </row>
    <row r="120" spans="1:13" x14ac:dyDescent="0.2">
      <c r="A120" s="88"/>
      <c r="B120" s="88"/>
      <c r="C120" s="88"/>
      <c r="D120" s="88"/>
      <c r="E120" s="88"/>
      <c r="F120" s="88"/>
      <c r="G120" s="88"/>
      <c r="H120" s="99"/>
      <c r="I120" s="99"/>
      <c r="J120" s="88"/>
      <c r="K120" s="88"/>
      <c r="L120" s="88"/>
      <c r="M120" s="88"/>
    </row>
    <row r="121" spans="1:13" ht="13.5" thickBot="1" x14ac:dyDescent="0.25">
      <c r="A121" s="88"/>
      <c r="B121" s="88"/>
      <c r="C121" s="88"/>
      <c r="D121" s="88"/>
      <c r="E121" s="99"/>
      <c r="F121" s="99"/>
      <c r="G121" s="88"/>
      <c r="H121" s="184" t="str">
        <f>IF(COUNT(G117,G119)=2,IF(G117&lt;G119,E117,E119),"")</f>
        <v/>
      </c>
      <c r="I121" s="119"/>
      <c r="J121" s="88"/>
      <c r="K121" s="88"/>
      <c r="L121" s="88"/>
      <c r="M121" s="88"/>
    </row>
    <row r="122" spans="1:13" x14ac:dyDescent="0.2">
      <c r="A122" s="88"/>
      <c r="B122" s="88"/>
      <c r="C122" s="88"/>
      <c r="D122" s="88"/>
      <c r="E122" s="88"/>
      <c r="F122" s="88"/>
      <c r="G122" s="88"/>
      <c r="H122" s="87" t="s">
        <v>50</v>
      </c>
      <c r="I122" s="88"/>
      <c r="J122" s="88"/>
      <c r="K122" s="88"/>
      <c r="L122" s="88"/>
      <c r="M122" s="88"/>
    </row>
    <row r="123" spans="1:13" x14ac:dyDescent="0.2">
      <c r="A123" s="88"/>
      <c r="B123" s="88"/>
      <c r="C123" s="528" t="str">
        <f>IF(COUNT(C102,C104)=2,IF(C102&lt;C104,B102,B104),"")</f>
        <v/>
      </c>
      <c r="D123" s="88"/>
      <c r="E123" s="120" t="str">
        <f>IF(C123="-",0,IF(C125="-",13,""))</f>
        <v/>
      </c>
      <c r="F123" s="120"/>
      <c r="G123" s="120"/>
      <c r="H123" s="88"/>
      <c r="I123" s="88"/>
      <c r="J123" s="88"/>
      <c r="K123" s="88"/>
      <c r="L123" s="88"/>
      <c r="M123" s="88"/>
    </row>
    <row r="124" spans="1:13" x14ac:dyDescent="0.2">
      <c r="A124" s="88"/>
      <c r="B124" s="88"/>
      <c r="C124" s="219"/>
      <c r="D124" s="220"/>
      <c r="E124" s="524" t="str">
        <f>IF(COUNT(E123,E125)=2,IF(E123&gt;E125,D123,D125),"")</f>
        <v/>
      </c>
      <c r="F124" s="88"/>
      <c r="G124" s="120" t="str">
        <f>IF(E124="-",0,IF(E128="-",13,""))</f>
        <v/>
      </c>
      <c r="H124" s="88"/>
      <c r="I124" s="88"/>
      <c r="J124" s="88"/>
      <c r="K124" s="88"/>
      <c r="L124" s="88"/>
      <c r="M124" s="88"/>
    </row>
    <row r="125" spans="1:13" x14ac:dyDescent="0.2">
      <c r="A125" s="88"/>
      <c r="B125" s="88"/>
      <c r="C125" s="528" t="str">
        <f>IF(COUNT(C106,C108)=2,IF(C106&lt;C108,B106,B108),"")</f>
        <v/>
      </c>
      <c r="D125" s="529"/>
      <c r="E125" s="110" t="str">
        <f>IF(C125="-",0,IF(C123="-",13,""))</f>
        <v/>
      </c>
      <c r="F125" s="220"/>
      <c r="G125" s="120"/>
      <c r="H125" s="88"/>
      <c r="I125" s="88"/>
      <c r="J125" s="88"/>
      <c r="K125" s="88"/>
      <c r="L125" s="88"/>
      <c r="M125" s="88"/>
    </row>
    <row r="126" spans="1:13" ht="13.5" thickBot="1" x14ac:dyDescent="0.25">
      <c r="A126" s="88"/>
      <c r="B126" s="88"/>
      <c r="C126" s="120"/>
      <c r="D126" s="120"/>
      <c r="E126" s="88"/>
      <c r="F126" s="221"/>
      <c r="G126" s="120"/>
      <c r="H126" s="184" t="str">
        <f>IF(COUNT(G124,G128)=2,IF(G124&gt;G128,E124,E128),"")</f>
        <v/>
      </c>
      <c r="I126" s="88"/>
      <c r="J126" s="88"/>
      <c r="K126" s="88"/>
      <c r="L126" s="88"/>
      <c r="M126" s="88"/>
    </row>
    <row r="127" spans="1:13" x14ac:dyDescent="0.2">
      <c r="A127" s="88"/>
      <c r="B127" s="88"/>
      <c r="C127" s="528" t="str">
        <f>IF(COUNT(C110,C112)=2,IF(C110&lt;C112,B110,B112),"")</f>
        <v/>
      </c>
      <c r="D127" s="120"/>
      <c r="E127" s="120" t="str">
        <f>IF(C127="-",0,IF(C129="-",13,""))</f>
        <v/>
      </c>
      <c r="F127" s="221"/>
      <c r="G127" s="222"/>
      <c r="H127" s="379" t="s">
        <v>51</v>
      </c>
      <c r="I127" s="378"/>
      <c r="J127" s="88"/>
      <c r="K127" s="88"/>
      <c r="L127" s="88"/>
      <c r="M127" s="88"/>
    </row>
    <row r="128" spans="1:13" x14ac:dyDescent="0.2">
      <c r="A128" s="88"/>
      <c r="B128" s="88"/>
      <c r="C128" s="219"/>
      <c r="D128" s="220"/>
      <c r="E128" s="524" t="str">
        <f>IF(COUNT(E127,E129)=2,IF(E127&gt;E129,D127,D129),"")</f>
        <v/>
      </c>
      <c r="F128" s="234"/>
      <c r="G128" s="110" t="str">
        <f>IF(E128="-",0,IF(E124="-",13,""))</f>
        <v/>
      </c>
      <c r="H128" s="88"/>
      <c r="I128" s="88"/>
      <c r="J128" s="88"/>
      <c r="K128" s="88"/>
      <c r="L128" s="88"/>
      <c r="M128" s="88"/>
    </row>
    <row r="129" spans="1:13" ht="13.5" thickBot="1" x14ac:dyDescent="0.25">
      <c r="A129" s="88"/>
      <c r="B129" s="88"/>
      <c r="C129" s="528" t="str">
        <f>IF(COUNT(C114,C116)=2,IF(C114&lt;C116,B114,B116),"")</f>
        <v/>
      </c>
      <c r="D129" s="529"/>
      <c r="E129" s="110" t="str">
        <f>IF(C129="-",0,IF(C127="-",13,""))</f>
        <v/>
      </c>
      <c r="F129" s="120"/>
      <c r="G129" s="113"/>
      <c r="H129" s="184" t="str">
        <f>IF(COUNT(G124,G128)=2,IF(G124&lt;G128,E124,E128),"")</f>
        <v/>
      </c>
      <c r="I129" s="119"/>
      <c r="J129" s="88"/>
      <c r="K129" s="88"/>
      <c r="L129" s="88"/>
      <c r="M129" s="88"/>
    </row>
    <row r="130" spans="1:13" x14ac:dyDescent="0.2">
      <c r="A130" s="88"/>
      <c r="B130" s="88"/>
      <c r="C130" s="120"/>
      <c r="D130" s="120"/>
      <c r="E130" s="120"/>
      <c r="F130" s="120"/>
      <c r="G130" s="113"/>
      <c r="H130" s="379" t="s">
        <v>52</v>
      </c>
      <c r="I130" s="99"/>
      <c r="J130" s="88"/>
      <c r="K130" s="88"/>
      <c r="L130" s="88"/>
      <c r="M130" s="88"/>
    </row>
    <row r="131" spans="1:13" x14ac:dyDescent="0.2">
      <c r="A131" s="88"/>
      <c r="B131" s="88"/>
      <c r="C131" s="120"/>
      <c r="D131" s="113"/>
      <c r="E131" s="217" t="str">
        <f>IF(COUNT(E123,E125)=2,IF(E123&lt;E125,C123,C125),"")</f>
        <v/>
      </c>
      <c r="F131" s="88"/>
      <c r="G131" s="120" t="str">
        <f>IF(E131="-",0,IF(E133="-",13,""))</f>
        <v/>
      </c>
      <c r="H131" s="99"/>
      <c r="I131" s="99"/>
      <c r="J131" s="88"/>
      <c r="K131" s="88"/>
      <c r="L131" s="88"/>
      <c r="M131" s="88"/>
    </row>
    <row r="132" spans="1:13" ht="13.5" thickBot="1" x14ac:dyDescent="0.25">
      <c r="A132" s="88"/>
      <c r="B132" s="88"/>
      <c r="C132" s="120"/>
      <c r="D132" s="113"/>
      <c r="E132" s="108"/>
      <c r="F132" s="111"/>
      <c r="G132" s="119"/>
      <c r="H132" s="184" t="str">
        <f>IF(COUNT(G131,G133)=2,IF(G131&gt;G133,E131,E133),"")</f>
        <v/>
      </c>
      <c r="I132" s="119"/>
      <c r="J132" s="88"/>
      <c r="K132" s="88"/>
      <c r="L132" s="88"/>
      <c r="M132" s="88"/>
    </row>
    <row r="133" spans="1:13" x14ac:dyDescent="0.2">
      <c r="A133" s="88"/>
      <c r="B133" s="88"/>
      <c r="C133" s="120"/>
      <c r="D133" s="113"/>
      <c r="E133" s="528" t="str">
        <f>IF(COUNT(E127,E129)=2,IF(E127&lt;E129,C127,C129),"")</f>
        <v/>
      </c>
      <c r="F133" s="234"/>
      <c r="G133" s="110" t="str">
        <f>IF(E133="-",0,IF(E131="-",13,""))</f>
        <v/>
      </c>
      <c r="H133" s="121" t="s">
        <v>53</v>
      </c>
      <c r="I133" s="99"/>
      <c r="J133" s="88"/>
      <c r="K133" s="88"/>
      <c r="L133" s="88"/>
      <c r="M133" s="88"/>
    </row>
    <row r="134" spans="1:13" x14ac:dyDescent="0.2">
      <c r="A134" s="88"/>
      <c r="B134" s="88"/>
      <c r="C134" s="88"/>
      <c r="D134" s="99"/>
      <c r="E134" s="88"/>
      <c r="F134" s="88"/>
      <c r="G134" s="88"/>
      <c r="H134" s="99"/>
      <c r="I134" s="99"/>
      <c r="J134" s="88"/>
      <c r="K134" s="88"/>
      <c r="L134" s="88"/>
      <c r="M134" s="88"/>
    </row>
    <row r="135" spans="1:13" ht="13.5" thickBot="1" x14ac:dyDescent="0.25">
      <c r="A135" s="88"/>
      <c r="B135" s="88"/>
      <c r="C135" s="88"/>
      <c r="D135" s="88"/>
      <c r="E135" s="99"/>
      <c r="F135" s="99"/>
      <c r="G135" s="88"/>
      <c r="H135" s="119" t="str">
        <f>IF(COUNT(G131,G133)=2,IF(G131&lt;G133,E131,E133),"")</f>
        <v/>
      </c>
      <c r="I135" s="119"/>
      <c r="J135" s="88"/>
      <c r="K135" s="88"/>
      <c r="L135" s="88"/>
      <c r="M135" s="88"/>
    </row>
    <row r="136" spans="1:13" x14ac:dyDescent="0.2">
      <c r="A136" s="88"/>
      <c r="B136" s="88"/>
      <c r="C136" s="88"/>
      <c r="D136" s="88"/>
      <c r="E136" s="99"/>
      <c r="F136" s="99"/>
      <c r="G136" s="88"/>
      <c r="H136" s="121" t="s">
        <v>54</v>
      </c>
      <c r="I136" s="88"/>
      <c r="J136" s="88"/>
      <c r="K136" s="88"/>
      <c r="L136" s="88"/>
      <c r="M136" s="88"/>
    </row>
    <row r="137" spans="1:13" x14ac:dyDescent="0.2">
      <c r="A137" s="349"/>
      <c r="B137" s="349"/>
      <c r="C137" s="349"/>
      <c r="D137" s="349"/>
      <c r="E137" s="349"/>
      <c r="F137" s="349"/>
      <c r="G137" s="349"/>
      <c r="H137" s="349"/>
      <c r="I137" s="349"/>
      <c r="J137" s="349"/>
      <c r="K137" s="349"/>
      <c r="L137" s="349"/>
      <c r="M137" s="349"/>
    </row>
    <row r="138" spans="1:13" x14ac:dyDescent="0.2">
      <c r="A138" s="218" t="s">
        <v>410</v>
      </c>
    </row>
    <row r="139" spans="1:13" x14ac:dyDescent="0.2">
      <c r="A139" s="88"/>
      <c r="B139" s="88"/>
      <c r="C139" s="88"/>
      <c r="D139" s="88"/>
      <c r="E139" s="88"/>
      <c r="F139" s="88"/>
      <c r="G139" s="88"/>
      <c r="H139" s="88"/>
      <c r="I139" s="88"/>
    </row>
    <row r="140" spans="1:13" x14ac:dyDescent="0.2">
      <c r="A140" s="106" t="s">
        <v>93</v>
      </c>
      <c r="B140" s="404" t="str">
        <f>IFERROR(INDEX(B$7:B$32,MATCH(A140,I$7:I$32,0)),"")</f>
        <v/>
      </c>
      <c r="C140" s="120" t="str">
        <f>IF(B140="-",0,IF(B142="-",13,""))</f>
        <v/>
      </c>
      <c r="D140" s="88"/>
      <c r="E140" s="88"/>
      <c r="F140" s="88"/>
      <c r="G140" s="88"/>
      <c r="H140" s="88"/>
      <c r="I140" s="88"/>
    </row>
    <row r="141" spans="1:13" x14ac:dyDescent="0.2">
      <c r="A141" s="107"/>
      <c r="B141" s="423"/>
      <c r="C141" s="524" t="str">
        <f>IF(COUNT(C140,C142)=2,IF(C140&gt;C142,B140,B142),"")</f>
        <v/>
      </c>
      <c r="D141" s="88"/>
      <c r="E141" s="120" t="str">
        <f>IF(C141="-",0,IF(C145="-",13,""))</f>
        <v/>
      </c>
      <c r="F141" s="88"/>
      <c r="G141" s="88"/>
      <c r="H141" s="88"/>
      <c r="I141" s="88"/>
    </row>
    <row r="142" spans="1:13" x14ac:dyDescent="0.2">
      <c r="A142" s="107" t="s">
        <v>409</v>
      </c>
      <c r="B142" s="406" t="str">
        <f>IFERROR(INDEX(B$7:B$32,MATCH(A142,I$7:I$32,0)),"")</f>
        <v/>
      </c>
      <c r="C142" s="110" t="str">
        <f>IF(B142="-",0,IF(B140="-",13,""))</f>
        <v/>
      </c>
      <c r="D142" s="111"/>
      <c r="E142" s="88"/>
      <c r="F142" s="88"/>
      <c r="G142" s="88"/>
      <c r="H142" s="88"/>
      <c r="I142" s="88"/>
    </row>
    <row r="143" spans="1:13" x14ac:dyDescent="0.2">
      <c r="A143" s="107"/>
      <c r="B143" s="407"/>
      <c r="C143" s="88"/>
      <c r="D143" s="112"/>
      <c r="E143" s="524" t="str">
        <f>IF(COUNT(E141,E145)=2,IF(E141&gt;E145,C141,C145),"")</f>
        <v/>
      </c>
      <c r="F143" s="88"/>
      <c r="G143" s="120" t="str">
        <f>IF(E143="-",0,IF(E151="-",13,""))</f>
        <v/>
      </c>
      <c r="H143" s="88"/>
      <c r="I143" s="88"/>
    </row>
    <row r="144" spans="1:13" x14ac:dyDescent="0.2">
      <c r="A144" s="107" t="s">
        <v>118</v>
      </c>
      <c r="B144" s="404" t="str">
        <f>IFERROR(INDEX(B$7:B$32,MATCH(A144,I$7:I$32,0)),"")</f>
        <v/>
      </c>
      <c r="C144" s="120"/>
      <c r="D144" s="112"/>
      <c r="E144" s="216"/>
      <c r="F144" s="111"/>
      <c r="G144" s="88"/>
      <c r="H144" s="88"/>
      <c r="I144" s="88"/>
    </row>
    <row r="145" spans="1:9" x14ac:dyDescent="0.2">
      <c r="A145" s="107"/>
      <c r="B145" s="423"/>
      <c r="C145" s="524"/>
      <c r="D145" s="234"/>
      <c r="E145" s="110" t="str">
        <f>IF(C145="-",0,IF(C141="-",13,""))</f>
        <v/>
      </c>
      <c r="F145" s="112"/>
      <c r="G145" s="88"/>
      <c r="H145" s="88"/>
      <c r="I145" s="88"/>
    </row>
    <row r="146" spans="1:9" x14ac:dyDescent="0.2">
      <c r="A146" s="107" t="s">
        <v>189</v>
      </c>
      <c r="B146" s="406" t="s">
        <v>70</v>
      </c>
      <c r="C146" s="110"/>
      <c r="D146" s="88"/>
      <c r="E146" s="99"/>
      <c r="F146" s="112"/>
      <c r="G146" s="88"/>
      <c r="H146" s="88"/>
      <c r="I146" s="88"/>
    </row>
    <row r="147" spans="1:9" ht="13.5" thickBot="1" x14ac:dyDescent="0.25">
      <c r="A147" s="87"/>
      <c r="B147" s="407"/>
      <c r="C147" s="88"/>
      <c r="D147" s="88"/>
      <c r="E147" s="99"/>
      <c r="F147" s="112"/>
      <c r="G147" s="88"/>
      <c r="H147" s="526" t="str">
        <f>IF(COUNT(G143,G151)=2,IF(G143&gt;G151,E143,E151),"")</f>
        <v/>
      </c>
      <c r="I147" s="88"/>
    </row>
    <row r="148" spans="1:9" x14ac:dyDescent="0.2">
      <c r="A148" s="106" t="s">
        <v>94</v>
      </c>
      <c r="B148" s="404" t="str">
        <f>IFERROR(INDEX(B$7:B$32,MATCH(A148,I$7:I$32,0)),"")</f>
        <v/>
      </c>
      <c r="C148" s="120"/>
      <c r="D148" s="88"/>
      <c r="E148" s="88"/>
      <c r="F148" s="112"/>
      <c r="G148" s="114"/>
      <c r="H148" s="379" t="s">
        <v>55</v>
      </c>
      <c r="I148" s="378"/>
    </row>
    <row r="149" spans="1:9" x14ac:dyDescent="0.2">
      <c r="A149" s="107"/>
      <c r="B149" s="423"/>
      <c r="C149" s="524"/>
      <c r="D149" s="88"/>
      <c r="E149" s="120" t="str">
        <f>IF(C149="-",0,IF(C153="-",13,""))</f>
        <v/>
      </c>
      <c r="F149" s="112"/>
      <c r="G149" s="99"/>
      <c r="H149" s="88"/>
      <c r="I149" s="88"/>
    </row>
    <row r="150" spans="1:9" x14ac:dyDescent="0.2">
      <c r="A150" s="107" t="s">
        <v>122</v>
      </c>
      <c r="B150" s="406" t="s">
        <v>70</v>
      </c>
      <c r="C150" s="110"/>
      <c r="D150" s="111"/>
      <c r="E150" s="88"/>
      <c r="F150" s="112"/>
      <c r="G150" s="99"/>
      <c r="H150" s="88"/>
      <c r="I150" s="88"/>
    </row>
    <row r="151" spans="1:9" x14ac:dyDescent="0.2">
      <c r="A151" s="107"/>
      <c r="B151" s="407"/>
      <c r="C151" s="88"/>
      <c r="D151" s="112"/>
      <c r="E151" s="524" t="str">
        <f>IF(COUNT(E149,E153)=2,IF(E149&gt;E153,C149,C153),"")</f>
        <v/>
      </c>
      <c r="F151" s="234"/>
      <c r="G151" s="110" t="str">
        <f>IF(E151="-",0,IF(E143="-",13,""))</f>
        <v/>
      </c>
      <c r="H151" s="88"/>
      <c r="I151" s="88"/>
    </row>
    <row r="152" spans="1:9" ht="13.5" thickBot="1" x14ac:dyDescent="0.25">
      <c r="A152" s="107" t="s">
        <v>408</v>
      </c>
      <c r="B152" s="447" t="str">
        <f>IFERROR(INDEX(B$7:B$32,MATCH(A152,I$7:I$32,0)),"")</f>
        <v/>
      </c>
      <c r="C152" s="120"/>
      <c r="D152" s="112"/>
      <c r="E152" s="216"/>
      <c r="F152" s="99"/>
      <c r="G152" s="99"/>
      <c r="H152" s="526" t="str">
        <f>IF(COUNT(G143,G151)=2,IF(G143&lt;G151,E143,E151),"")</f>
        <v/>
      </c>
      <c r="I152" s="527"/>
    </row>
    <row r="153" spans="1:9" x14ac:dyDescent="0.2">
      <c r="A153" s="107"/>
      <c r="B153" s="423"/>
      <c r="C153" s="524"/>
      <c r="D153" s="234"/>
      <c r="E153" s="110" t="str">
        <f>IF(C153="-",0,IF(C149="-",13,""))</f>
        <v/>
      </c>
      <c r="F153" s="88"/>
      <c r="G153" s="99"/>
      <c r="H153" s="379" t="s">
        <v>56</v>
      </c>
      <c r="I153" s="99"/>
    </row>
    <row r="154" spans="1:9" x14ac:dyDescent="0.2">
      <c r="A154" s="107" t="s">
        <v>95</v>
      </c>
      <c r="B154" s="406" t="s">
        <v>70</v>
      </c>
      <c r="C154" s="110"/>
      <c r="D154" s="88"/>
      <c r="E154" s="99"/>
      <c r="F154" s="99"/>
      <c r="G154" s="99"/>
      <c r="H154" s="88"/>
      <c r="I154" s="88"/>
    </row>
    <row r="155" spans="1:9" x14ac:dyDescent="0.2">
      <c r="A155" s="87"/>
      <c r="B155" s="407"/>
      <c r="C155" s="88"/>
      <c r="D155" s="88"/>
      <c r="E155" s="217" t="str">
        <f>IF(COUNT(E141,E145)=2,IF(E141&lt;E145,C141,C145),"")</f>
        <v/>
      </c>
      <c r="F155" s="88"/>
      <c r="G155" s="120" t="str">
        <f>IF(E155="-",0,IF(E157="-",13,""))</f>
        <v/>
      </c>
      <c r="H155" s="88"/>
      <c r="I155" s="88"/>
    </row>
    <row r="156" spans="1:9" ht="13.5" thickBot="1" x14ac:dyDescent="0.25">
      <c r="A156" s="88"/>
      <c r="B156" s="88"/>
      <c r="C156" s="88"/>
      <c r="D156" s="88"/>
      <c r="E156" s="108"/>
      <c r="F156" s="111"/>
      <c r="G156" s="119"/>
      <c r="H156" s="526" t="str">
        <f>IF(COUNT(G155,G157)=2,IF(G155&gt;G157,E155,E157),"")</f>
        <v/>
      </c>
      <c r="I156" s="527"/>
    </row>
    <row r="157" spans="1:9" x14ac:dyDescent="0.2">
      <c r="A157" s="88"/>
      <c r="B157" s="88"/>
      <c r="C157" s="88"/>
      <c r="D157" s="88"/>
      <c r="E157" s="528" t="str">
        <f>IF(COUNT(E149,E153)=2,IF(E149&lt;E153,C149,C153),"")</f>
        <v/>
      </c>
      <c r="F157" s="234"/>
      <c r="G157" s="110" t="str">
        <f>IF(E157="-",0,IF(E155="-",13,""))</f>
        <v/>
      </c>
      <c r="H157" s="121" t="s">
        <v>57</v>
      </c>
      <c r="I157" s="99"/>
    </row>
    <row r="158" spans="1:9" x14ac:dyDescent="0.2">
      <c r="A158" s="88"/>
      <c r="B158" s="88"/>
      <c r="C158" s="88"/>
      <c r="D158" s="88"/>
      <c r="E158" s="88"/>
      <c r="F158" s="88"/>
      <c r="G158" s="88"/>
      <c r="H158" s="99"/>
      <c r="I158" s="99"/>
    </row>
    <row r="159" spans="1:9" ht="13.5" thickBot="1" x14ac:dyDescent="0.25">
      <c r="A159" s="88"/>
      <c r="B159" s="88"/>
      <c r="C159" s="88"/>
      <c r="D159" s="88"/>
      <c r="E159" s="99"/>
      <c r="F159" s="99"/>
      <c r="G159" s="88"/>
      <c r="H159" s="526" t="str">
        <f>IF(COUNT(G155,G157)=2,IF(G155&lt;G157,E155,E157),"")</f>
        <v/>
      </c>
      <c r="I159" s="527"/>
    </row>
    <row r="160" spans="1:9" x14ac:dyDescent="0.2">
      <c r="A160" s="88"/>
      <c r="B160" s="88"/>
      <c r="C160" s="88"/>
      <c r="D160" s="88"/>
      <c r="E160" s="88"/>
      <c r="F160" s="88"/>
      <c r="G160" s="88"/>
      <c r="H160" s="87" t="s">
        <v>58</v>
      </c>
      <c r="I160" s="88"/>
    </row>
    <row r="161" spans="1:9" x14ac:dyDescent="0.2">
      <c r="A161" s="88"/>
      <c r="B161" s="88"/>
      <c r="C161" s="528" t="str">
        <f>IF(COUNT(C140,C142)=2,IF(C140&lt;C142,B140,B142),"")</f>
        <v/>
      </c>
      <c r="D161" s="88"/>
      <c r="E161" s="120" t="str">
        <f>IF(C161="-",0,IF(C163="-",13,""))</f>
        <v/>
      </c>
      <c r="F161" s="120"/>
      <c r="G161" s="120"/>
      <c r="H161" s="88"/>
      <c r="I161" s="88"/>
    </row>
    <row r="162" spans="1:9" x14ac:dyDescent="0.2">
      <c r="A162" s="88"/>
      <c r="B162" s="88"/>
      <c r="C162" s="219"/>
      <c r="D162" s="220"/>
      <c r="E162" s="524" t="str">
        <f>IF(COUNT(E161,E163)=2,IF(E161&gt;E163,D161,D163),"")</f>
        <v/>
      </c>
      <c r="F162" s="88"/>
      <c r="G162" s="120" t="str">
        <f>IF(E162="-",0,IF(E166="-",13,""))</f>
        <v/>
      </c>
      <c r="H162" s="88"/>
      <c r="I162" s="88"/>
    </row>
    <row r="163" spans="1:9" x14ac:dyDescent="0.2">
      <c r="A163" s="88"/>
      <c r="B163" s="88"/>
      <c r="C163" s="528" t="str">
        <f>IF(COUNT(C144,C146)=2,IF(C144&lt;C146,B144,B146),"")</f>
        <v/>
      </c>
      <c r="D163" s="529"/>
      <c r="E163" s="110" t="str">
        <f>IF(C163="-",0,IF(C161="-",13,""))</f>
        <v/>
      </c>
      <c r="F163" s="220"/>
      <c r="G163" s="120"/>
      <c r="H163" s="88"/>
      <c r="I163" s="88"/>
    </row>
    <row r="164" spans="1:9" ht="13.5" thickBot="1" x14ac:dyDescent="0.25">
      <c r="A164" s="88"/>
      <c r="B164" s="88"/>
      <c r="C164" s="120"/>
      <c r="D164" s="120"/>
      <c r="E164" s="88"/>
      <c r="F164" s="221"/>
      <c r="G164" s="120"/>
      <c r="H164" s="526" t="str">
        <f>IF(COUNT(G162,G166)=2,IF(G162&gt;G166,E162,E166),"")</f>
        <v/>
      </c>
      <c r="I164" s="88"/>
    </row>
    <row r="165" spans="1:9" x14ac:dyDescent="0.2">
      <c r="A165" s="88"/>
      <c r="B165" s="88"/>
      <c r="C165" s="528" t="str">
        <f>IF(COUNT(C148,C150)=2,IF(C148&lt;C150,B148,B150),"")</f>
        <v/>
      </c>
      <c r="D165" s="120"/>
      <c r="E165" s="120" t="str">
        <f>IF(C165="-",0,IF(C167="-",13,""))</f>
        <v/>
      </c>
      <c r="F165" s="221"/>
      <c r="G165" s="222"/>
      <c r="H165" s="379" t="s">
        <v>59</v>
      </c>
      <c r="I165" s="378"/>
    </row>
    <row r="166" spans="1:9" x14ac:dyDescent="0.2">
      <c r="A166" s="88"/>
      <c r="B166" s="88"/>
      <c r="C166" s="219"/>
      <c r="D166" s="220"/>
      <c r="E166" s="524" t="str">
        <f>IF(COUNT(E165,E167)=2,IF(E165&gt;E167,D165,D167),"")</f>
        <v/>
      </c>
      <c r="F166" s="234"/>
      <c r="G166" s="110" t="str">
        <f>IF(E166="-",0,IF(E162="-",13,""))</f>
        <v/>
      </c>
      <c r="H166" s="88"/>
      <c r="I166" s="88"/>
    </row>
    <row r="167" spans="1:9" ht="13.5" thickBot="1" x14ac:dyDescent="0.25">
      <c r="A167" s="88"/>
      <c r="B167" s="88"/>
      <c r="C167" s="528" t="str">
        <f>IF(COUNT(C152,C154)=2,IF(C152&lt;C154,B152,B154),"")</f>
        <v/>
      </c>
      <c r="D167" s="529"/>
      <c r="E167" s="110" t="str">
        <f>IF(C167="-",0,IF(C165="-",13,""))</f>
        <v/>
      </c>
      <c r="F167" s="120"/>
      <c r="G167" s="113"/>
      <c r="H167" s="526" t="str">
        <f>IF(COUNT(G162,G166)=2,IF(G162&lt;G166,E162,E166),"")</f>
        <v/>
      </c>
      <c r="I167" s="527"/>
    </row>
    <row r="168" spans="1:9" x14ac:dyDescent="0.2">
      <c r="A168" s="88"/>
      <c r="B168" s="88"/>
      <c r="C168" s="120"/>
      <c r="D168" s="120"/>
      <c r="E168" s="120"/>
      <c r="F168" s="120"/>
      <c r="G168" s="113"/>
      <c r="H168" s="379" t="s">
        <v>496</v>
      </c>
      <c r="I168" s="99"/>
    </row>
    <row r="169" spans="1:9" x14ac:dyDescent="0.2">
      <c r="A169" s="88"/>
      <c r="B169" s="88"/>
      <c r="C169" s="120"/>
      <c r="D169" s="113"/>
      <c r="E169" s="217" t="str">
        <f>IF(COUNT(E161,E163)=2,IF(E161&lt;E163,C161,C163),"")</f>
        <v/>
      </c>
      <c r="F169" s="88"/>
      <c r="G169" s="120" t="str">
        <f>IF(E169="-",0,IF(E171="-",13,""))</f>
        <v/>
      </c>
      <c r="H169" s="99"/>
      <c r="I169" s="99"/>
    </row>
    <row r="170" spans="1:9" ht="13.5" thickBot="1" x14ac:dyDescent="0.25">
      <c r="A170" s="88"/>
      <c r="B170" s="88"/>
      <c r="C170" s="120"/>
      <c r="D170" s="113"/>
      <c r="E170" s="108"/>
      <c r="F170" s="111"/>
      <c r="G170" s="119"/>
      <c r="H170" s="526" t="str">
        <f>IF(COUNT(G169,G171)=2,IF(G169&gt;G171,E169,E171),"")</f>
        <v/>
      </c>
      <c r="I170" s="527"/>
    </row>
    <row r="171" spans="1:9" x14ac:dyDescent="0.2">
      <c r="A171" s="88"/>
      <c r="B171" s="88"/>
      <c r="C171" s="120"/>
      <c r="D171" s="113"/>
      <c r="E171" s="528" t="str">
        <f>IF(COUNT(E165,E167)=2,IF(E165&lt;E167,C165,C167),"")</f>
        <v/>
      </c>
      <c r="F171" s="234"/>
      <c r="G171" s="110" t="str">
        <f>IF(E171="-",0,IF(E169="-",13,""))</f>
        <v/>
      </c>
      <c r="H171" s="379" t="s">
        <v>497</v>
      </c>
      <c r="I171" s="99"/>
    </row>
    <row r="172" spans="1:9" x14ac:dyDescent="0.2">
      <c r="A172" s="88"/>
      <c r="B172" s="88"/>
      <c r="C172" s="88"/>
      <c r="D172" s="99"/>
      <c r="E172" s="88"/>
      <c r="F172" s="88"/>
      <c r="G172" s="88"/>
      <c r="H172" s="99"/>
      <c r="I172" s="99"/>
    </row>
    <row r="173" spans="1:9" ht="13.5" thickBot="1" x14ac:dyDescent="0.25">
      <c r="A173" s="88"/>
      <c r="B173" s="88"/>
      <c r="C173" s="88"/>
      <c r="D173" s="88"/>
      <c r="E173" s="99"/>
      <c r="F173" s="99"/>
      <c r="G173" s="88"/>
      <c r="H173" s="527" t="str">
        <f>IF(COUNT(G169,G171)=2,IF(G169&lt;G171,E169,E171),"")</f>
        <v/>
      </c>
      <c r="I173" s="527"/>
    </row>
    <row r="174" spans="1:9" x14ac:dyDescent="0.2">
      <c r="A174" s="88"/>
      <c r="B174" s="88"/>
      <c r="C174" s="88"/>
      <c r="D174" s="88"/>
      <c r="E174" s="99"/>
      <c r="F174" s="99"/>
      <c r="G174" s="88"/>
      <c r="H174" s="379" t="s">
        <v>498</v>
      </c>
      <c r="I174" s="88"/>
    </row>
    <row r="176" spans="1:9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spans="1:6" hidden="1" x14ac:dyDescent="0.2"/>
    <row r="290" spans="1:6" hidden="1" x14ac:dyDescent="0.2"/>
    <row r="291" spans="1:6" hidden="1" x14ac:dyDescent="0.2"/>
    <row r="292" spans="1:6" hidden="1" x14ac:dyDescent="0.2"/>
    <row r="293" spans="1:6" hidden="1" x14ac:dyDescent="0.2"/>
    <row r="294" spans="1:6" hidden="1" x14ac:dyDescent="0.2"/>
    <row r="295" spans="1:6" hidden="1" x14ac:dyDescent="0.2"/>
    <row r="296" spans="1:6" hidden="1" x14ac:dyDescent="0.2"/>
    <row r="297" spans="1:6" hidden="1" x14ac:dyDescent="0.2"/>
    <row r="298" spans="1:6" hidden="1" x14ac:dyDescent="0.2"/>
    <row r="299" spans="1:6" x14ac:dyDescent="0.2">
      <c r="C299" s="264" t="s">
        <v>263</v>
      </c>
    </row>
    <row r="300" spans="1:6" x14ac:dyDescent="0.2">
      <c r="A300" s="424">
        <v>1</v>
      </c>
      <c r="B300" s="124" t="str">
        <f>IFERROR(INDEX(H$100:H$300,MATCH(A300&amp;". koht",H$101:H$301,0)),"")</f>
        <v/>
      </c>
      <c r="C300" s="88">
        <f>MAX(A300:A400)</f>
        <v>16</v>
      </c>
    </row>
    <row r="301" spans="1:6" x14ac:dyDescent="0.2">
      <c r="A301" s="424">
        <v>2</v>
      </c>
      <c r="B301" s="615" t="str">
        <f t="shared" ref="B301:B315" si="7">IFERROR(INDEX(H$100:H$300,MATCH(A301&amp;". koht",H$101:H$301,0)),"")</f>
        <v/>
      </c>
      <c r="C301" s="88">
        <f>C300-1</f>
        <v>15</v>
      </c>
    </row>
    <row r="302" spans="1:6" x14ac:dyDescent="0.2">
      <c r="A302" s="424">
        <v>3</v>
      </c>
      <c r="B302" s="616" t="str">
        <f t="shared" si="7"/>
        <v/>
      </c>
      <c r="C302" s="88">
        <f t="shared" ref="C302:C315" si="8">C301-1</f>
        <v>14</v>
      </c>
    </row>
    <row r="303" spans="1:6" x14ac:dyDescent="0.2">
      <c r="A303" s="424">
        <v>4</v>
      </c>
      <c r="B303" s="665" t="str">
        <f t="shared" si="7"/>
        <v/>
      </c>
      <c r="C303" s="88">
        <f t="shared" si="8"/>
        <v>13</v>
      </c>
      <c r="E303" s="188"/>
      <c r="F303" s="188"/>
    </row>
    <row r="304" spans="1:6" x14ac:dyDescent="0.2">
      <c r="A304" s="424">
        <v>5</v>
      </c>
      <c r="B304" s="665" t="str">
        <f t="shared" si="7"/>
        <v/>
      </c>
      <c r="C304" s="88">
        <f t="shared" si="8"/>
        <v>12</v>
      </c>
      <c r="E304" s="188"/>
      <c r="F304" s="188"/>
    </row>
    <row r="305" spans="1:15" x14ac:dyDescent="0.2">
      <c r="A305" s="424">
        <v>6</v>
      </c>
      <c r="B305" s="665" t="str">
        <f t="shared" si="7"/>
        <v/>
      </c>
      <c r="C305" s="88">
        <f t="shared" si="8"/>
        <v>11</v>
      </c>
      <c r="E305" s="188"/>
      <c r="F305" s="215"/>
    </row>
    <row r="306" spans="1:15" x14ac:dyDescent="0.2">
      <c r="A306" s="424">
        <v>7</v>
      </c>
      <c r="B306" s="665" t="str">
        <f t="shared" si="7"/>
        <v/>
      </c>
      <c r="C306" s="88">
        <f t="shared" si="8"/>
        <v>10</v>
      </c>
      <c r="E306" s="188"/>
      <c r="F306" s="212"/>
    </row>
    <row r="307" spans="1:15" x14ac:dyDescent="0.2">
      <c r="A307" s="424">
        <v>8</v>
      </c>
      <c r="B307" s="665" t="str">
        <f t="shared" si="7"/>
        <v/>
      </c>
      <c r="C307" s="88">
        <f t="shared" si="8"/>
        <v>9</v>
      </c>
      <c r="E307" s="188"/>
      <c r="F307" s="188"/>
    </row>
    <row r="308" spans="1:15" x14ac:dyDescent="0.2">
      <c r="A308" s="424">
        <v>9</v>
      </c>
      <c r="B308" s="665" t="str">
        <f t="shared" si="7"/>
        <v/>
      </c>
      <c r="C308" s="88">
        <f t="shared" si="8"/>
        <v>8</v>
      </c>
      <c r="E308" s="188"/>
      <c r="F308" s="212"/>
    </row>
    <row r="309" spans="1:15" x14ac:dyDescent="0.2">
      <c r="A309" s="424">
        <v>10</v>
      </c>
      <c r="B309" s="665" t="str">
        <f t="shared" si="7"/>
        <v/>
      </c>
      <c r="C309" s="88">
        <f t="shared" si="8"/>
        <v>7</v>
      </c>
      <c r="E309" s="188"/>
      <c r="F309" s="188"/>
      <c r="G309" s="188"/>
      <c r="H309" s="188"/>
      <c r="I309" s="188"/>
      <c r="L309" s="188"/>
      <c r="M309" s="188"/>
      <c r="N309" s="188"/>
      <c r="O309" s="188"/>
    </row>
    <row r="310" spans="1:15" x14ac:dyDescent="0.2">
      <c r="A310" s="424">
        <v>11</v>
      </c>
      <c r="B310" s="665" t="str">
        <f t="shared" si="7"/>
        <v/>
      </c>
      <c r="C310" s="88">
        <f t="shared" si="8"/>
        <v>6</v>
      </c>
      <c r="E310" s="188"/>
      <c r="F310" s="188"/>
      <c r="G310" s="188"/>
      <c r="H310" s="188"/>
      <c r="I310" s="188"/>
      <c r="L310" s="188"/>
      <c r="M310" s="188"/>
      <c r="N310" s="188"/>
      <c r="O310" s="188"/>
    </row>
    <row r="311" spans="1:15" x14ac:dyDescent="0.2">
      <c r="A311" s="424">
        <v>12</v>
      </c>
      <c r="B311" s="665" t="str">
        <f t="shared" si="7"/>
        <v/>
      </c>
      <c r="C311" s="88">
        <f t="shared" si="8"/>
        <v>5</v>
      </c>
      <c r="E311" s="188"/>
      <c r="F311" s="188"/>
      <c r="G311" s="188"/>
      <c r="H311" s="188"/>
      <c r="I311" s="188"/>
      <c r="L311" s="188"/>
      <c r="M311" s="188"/>
      <c r="N311" s="188"/>
      <c r="O311" s="188"/>
    </row>
    <row r="312" spans="1:15" x14ac:dyDescent="0.2">
      <c r="A312" s="424">
        <v>13</v>
      </c>
      <c r="B312" s="665" t="str">
        <f t="shared" si="7"/>
        <v/>
      </c>
      <c r="C312" s="88">
        <f t="shared" si="8"/>
        <v>4</v>
      </c>
      <c r="E312" s="188"/>
      <c r="F312" s="188"/>
      <c r="G312" s="188"/>
      <c r="H312" s="188"/>
      <c r="I312" s="188"/>
      <c r="L312" s="188"/>
      <c r="M312" s="188"/>
      <c r="N312" s="188"/>
      <c r="O312" s="188"/>
    </row>
    <row r="313" spans="1:15" x14ac:dyDescent="0.2">
      <c r="A313" s="424">
        <v>14</v>
      </c>
      <c r="B313" s="665" t="str">
        <f t="shared" si="7"/>
        <v/>
      </c>
      <c r="C313" s="88">
        <f t="shared" si="8"/>
        <v>3</v>
      </c>
      <c r="E313" s="188"/>
      <c r="F313" s="188"/>
      <c r="G313" s="188"/>
      <c r="H313" s="188"/>
      <c r="I313" s="188"/>
      <c r="L313" s="188"/>
      <c r="M313" s="188"/>
      <c r="N313" s="188"/>
      <c r="O313" s="188"/>
    </row>
    <row r="314" spans="1:15" x14ac:dyDescent="0.2">
      <c r="A314" s="424">
        <v>15</v>
      </c>
      <c r="B314" s="665" t="str">
        <f t="shared" si="7"/>
        <v/>
      </c>
      <c r="C314" s="88">
        <f t="shared" si="8"/>
        <v>2</v>
      </c>
    </row>
    <row r="315" spans="1:15" x14ac:dyDescent="0.2">
      <c r="A315" s="424">
        <v>16</v>
      </c>
      <c r="B315" s="665" t="str">
        <f t="shared" si="7"/>
        <v/>
      </c>
      <c r="C315" s="88">
        <f t="shared" si="8"/>
        <v>1</v>
      </c>
    </row>
  </sheetData>
  <conditionalFormatting sqref="A102:A116">
    <cfRule type="cellIs" dxfId="441" priority="113" operator="equal">
      <formula>"-"</formula>
    </cfRule>
    <cfRule type="duplicateValues" dxfId="440" priority="114"/>
  </conditionalFormatting>
  <conditionalFormatting sqref="A140:A154">
    <cfRule type="cellIs" dxfId="439" priority="111" operator="equal">
      <formula>"-"</formula>
    </cfRule>
    <cfRule type="duplicateValues" dxfId="438" priority="112"/>
  </conditionalFormatting>
  <conditionalFormatting sqref="G162 G166">
    <cfRule type="aboveAverage" dxfId="437" priority="110"/>
  </conditionalFormatting>
  <conditionalFormatting sqref="G169 G171">
    <cfRule type="aboveAverage" dxfId="436" priority="109"/>
  </conditionalFormatting>
  <conditionalFormatting sqref="G162 G166 G169 G171">
    <cfRule type="containsBlanks" dxfId="435" priority="108">
      <formula>LEN(TRIM(G162))=0</formula>
    </cfRule>
  </conditionalFormatting>
  <conditionalFormatting sqref="C144 C146">
    <cfRule type="aboveAverage" dxfId="434" priority="107"/>
  </conditionalFormatting>
  <conditionalFormatting sqref="C148 C150">
    <cfRule type="aboveAverage" dxfId="433" priority="106"/>
  </conditionalFormatting>
  <conditionalFormatting sqref="C152 C154">
    <cfRule type="aboveAverage" dxfId="432" priority="105"/>
  </conditionalFormatting>
  <conditionalFormatting sqref="C144 C146 C148 C150 C152 C154">
    <cfRule type="containsBlanks" dxfId="431" priority="104">
      <formula>LEN(TRIM(C144))=0</formula>
    </cfRule>
  </conditionalFormatting>
  <conditionalFormatting sqref="R7:R32 V7:V32 X7:X32">
    <cfRule type="expression" dxfId="430" priority="103">
      <formula>AND(S7="",COUNTIF(R7,"*,*")=0)</formula>
    </cfRule>
  </conditionalFormatting>
  <conditionalFormatting sqref="T7:T32">
    <cfRule type="expression" dxfId="429" priority="101">
      <formula>AND(U7="",FIND(",",T7))</formula>
    </cfRule>
    <cfRule type="expression" dxfId="428" priority="102">
      <formula>AND(U7="",COUNTIF(T7,"*,*")=0)</formula>
    </cfRule>
  </conditionalFormatting>
  <conditionalFormatting sqref="D7 C8">
    <cfRule type="aboveAverage" dxfId="427" priority="100"/>
  </conditionalFormatting>
  <conditionalFormatting sqref="E7 C9">
    <cfRule type="aboveAverage" dxfId="426" priority="99"/>
  </conditionalFormatting>
  <conditionalFormatting sqref="F7 C10">
    <cfRule type="aboveAverage" dxfId="425" priority="98"/>
  </conditionalFormatting>
  <conditionalFormatting sqref="E8 D9">
    <cfRule type="aboveAverage" dxfId="424" priority="97"/>
  </conditionalFormatting>
  <conditionalFormatting sqref="G7 C11">
    <cfRule type="aboveAverage" dxfId="423" priority="96"/>
  </conditionalFormatting>
  <conditionalFormatting sqref="F8 D10">
    <cfRule type="aboveAverage" dxfId="422" priority="95"/>
  </conditionalFormatting>
  <conditionalFormatting sqref="G8 D11">
    <cfRule type="aboveAverage" dxfId="421" priority="94"/>
  </conditionalFormatting>
  <conditionalFormatting sqref="F9 E10">
    <cfRule type="aboveAverage" dxfId="420" priority="93"/>
  </conditionalFormatting>
  <conditionalFormatting sqref="G9 E11">
    <cfRule type="aboveAverage" dxfId="419" priority="92"/>
  </conditionalFormatting>
  <conditionalFormatting sqref="F11 G10">
    <cfRule type="aboveAverage" dxfId="418" priority="91"/>
  </conditionalFormatting>
  <conditionalFormatting sqref="D14 C15">
    <cfRule type="aboveAverage" dxfId="417" priority="90"/>
  </conditionalFormatting>
  <conditionalFormatting sqref="E14 C16">
    <cfRule type="aboveAverage" dxfId="416" priority="89"/>
  </conditionalFormatting>
  <conditionalFormatting sqref="F14 C17">
    <cfRule type="aboveAverage" dxfId="415" priority="88"/>
  </conditionalFormatting>
  <conditionalFormatting sqref="E15 D16">
    <cfRule type="aboveAverage" dxfId="414" priority="87"/>
  </conditionalFormatting>
  <conditionalFormatting sqref="G14 C18">
    <cfRule type="aboveAverage" dxfId="413" priority="86"/>
  </conditionalFormatting>
  <conditionalFormatting sqref="F15 D17">
    <cfRule type="aboveAverage" dxfId="412" priority="85"/>
  </conditionalFormatting>
  <conditionalFormatting sqref="G15 D18">
    <cfRule type="aboveAverage" dxfId="411" priority="84"/>
  </conditionalFormatting>
  <conditionalFormatting sqref="F16 E17">
    <cfRule type="aboveAverage" dxfId="410" priority="83"/>
  </conditionalFormatting>
  <conditionalFormatting sqref="G16 E18">
    <cfRule type="aboveAverage" dxfId="409" priority="82"/>
  </conditionalFormatting>
  <conditionalFormatting sqref="F18 G17">
    <cfRule type="aboveAverage" dxfId="408" priority="81"/>
  </conditionalFormatting>
  <conditionalFormatting sqref="D21 C22">
    <cfRule type="aboveAverage" dxfId="407" priority="80"/>
  </conditionalFormatting>
  <conditionalFormatting sqref="E21 C23">
    <cfRule type="aboveAverage" dxfId="406" priority="79"/>
  </conditionalFormatting>
  <conditionalFormatting sqref="F21 C24">
    <cfRule type="aboveAverage" dxfId="405" priority="78"/>
  </conditionalFormatting>
  <conditionalFormatting sqref="E22 D23">
    <cfRule type="aboveAverage" dxfId="404" priority="77"/>
  </conditionalFormatting>
  <conditionalFormatting sqref="G21 C25">
    <cfRule type="aboveAverage" dxfId="403" priority="76"/>
  </conditionalFormatting>
  <conditionalFormatting sqref="F22 D24">
    <cfRule type="aboveAverage" dxfId="402" priority="75"/>
  </conditionalFormatting>
  <conditionalFormatting sqref="G22 D25">
    <cfRule type="aboveAverage" dxfId="401" priority="74"/>
  </conditionalFormatting>
  <conditionalFormatting sqref="F23 E24">
    <cfRule type="aboveAverage" dxfId="400" priority="73"/>
  </conditionalFormatting>
  <conditionalFormatting sqref="G23 E25">
    <cfRule type="aboveAverage" dxfId="399" priority="72"/>
  </conditionalFormatting>
  <conditionalFormatting sqref="F25 G24">
    <cfRule type="aboveAverage" dxfId="398" priority="71"/>
  </conditionalFormatting>
  <conditionalFormatting sqref="D28 C29">
    <cfRule type="aboveAverage" dxfId="397" priority="70"/>
  </conditionalFormatting>
  <conditionalFormatting sqref="E28 C30">
    <cfRule type="aboveAverage" dxfId="396" priority="69"/>
  </conditionalFormatting>
  <conditionalFormatting sqref="F28 C31">
    <cfRule type="aboveAverage" dxfId="395" priority="68"/>
  </conditionalFormatting>
  <conditionalFormatting sqref="E29 D30">
    <cfRule type="aboveAverage" dxfId="394" priority="67"/>
  </conditionalFormatting>
  <conditionalFormatting sqref="G28 C32">
    <cfRule type="aboveAverage" dxfId="393" priority="66"/>
  </conditionalFormatting>
  <conditionalFormatting sqref="F29 D31">
    <cfRule type="aboveAverage" dxfId="392" priority="65"/>
  </conditionalFormatting>
  <conditionalFormatting sqref="G29 D32">
    <cfRule type="aboveAverage" dxfId="391" priority="64"/>
  </conditionalFormatting>
  <conditionalFormatting sqref="F30 E31">
    <cfRule type="aboveAverage" dxfId="390" priority="63"/>
  </conditionalFormatting>
  <conditionalFormatting sqref="G30 E32">
    <cfRule type="aboveAverage" dxfId="389" priority="62"/>
  </conditionalFormatting>
  <conditionalFormatting sqref="F32 G31">
    <cfRule type="aboveAverage" dxfId="388" priority="61"/>
  </conditionalFormatting>
  <conditionalFormatting sqref="I7:I11">
    <cfRule type="expression" dxfId="387" priority="59">
      <formula>FIND(2,I7,1)</formula>
    </cfRule>
    <cfRule type="expression" dxfId="386" priority="60">
      <formula>FIND(1,I7,1)</formula>
    </cfRule>
  </conditionalFormatting>
  <conditionalFormatting sqref="I14:I18">
    <cfRule type="expression" dxfId="385" priority="57">
      <formula>FIND(2,I14,1)</formula>
    </cfRule>
    <cfRule type="expression" dxfId="384" priority="58">
      <formula>FIND(1,I14,1)</formula>
    </cfRule>
  </conditionalFormatting>
  <conditionalFormatting sqref="I21:I25">
    <cfRule type="expression" dxfId="383" priority="55">
      <formula>FIND(2,I21,1)</formula>
    </cfRule>
    <cfRule type="expression" dxfId="382" priority="56">
      <formula>FIND(1,I21,1)</formula>
    </cfRule>
  </conditionalFormatting>
  <conditionalFormatting sqref="I28:I32">
    <cfRule type="expression" dxfId="381" priority="53">
      <formula>FIND(2,I28,1)</formula>
    </cfRule>
    <cfRule type="expression" dxfId="380" priority="54">
      <formula>FIND(1,I28,1)</formula>
    </cfRule>
  </conditionalFormatting>
  <conditionalFormatting sqref="H7:H11 H14:H18 H21:H25 H28:H32">
    <cfRule type="expression" dxfId="379" priority="115">
      <formula>#REF!=""</formula>
    </cfRule>
  </conditionalFormatting>
  <conditionalFormatting sqref="C140 C142">
    <cfRule type="aboveAverage" dxfId="378" priority="50"/>
  </conditionalFormatting>
  <conditionalFormatting sqref="C140 C142">
    <cfRule type="containsBlanks" dxfId="377" priority="49">
      <formula>LEN(TRIM(C140))=0</formula>
    </cfRule>
  </conditionalFormatting>
  <conditionalFormatting sqref="E107">
    <cfRule type="containsBlanks" dxfId="376" priority="6">
      <formula>LEN(TRIM(E107))=0</formula>
    </cfRule>
  </conditionalFormatting>
  <conditionalFormatting sqref="E161 E163">
    <cfRule type="aboveAverage" dxfId="375" priority="48"/>
  </conditionalFormatting>
  <conditionalFormatting sqref="E161 E163">
    <cfRule type="containsBlanks" dxfId="374" priority="47">
      <formula>LEN(TRIM(E161))=0</formula>
    </cfRule>
  </conditionalFormatting>
  <conditionalFormatting sqref="E165 E167">
    <cfRule type="aboveAverage" dxfId="373" priority="46"/>
  </conditionalFormatting>
  <conditionalFormatting sqref="E165 E167">
    <cfRule type="containsBlanks" dxfId="372" priority="45">
      <formula>LEN(TRIM(E165))=0</formula>
    </cfRule>
  </conditionalFormatting>
  <conditionalFormatting sqref="G155 G157">
    <cfRule type="aboveAverage" dxfId="371" priority="44"/>
  </conditionalFormatting>
  <conditionalFormatting sqref="G155 G157">
    <cfRule type="containsBlanks" dxfId="370" priority="43">
      <formula>LEN(TRIM(G155))=0</formula>
    </cfRule>
  </conditionalFormatting>
  <conditionalFormatting sqref="G143">
    <cfRule type="aboveAverage" dxfId="369" priority="42"/>
  </conditionalFormatting>
  <conditionalFormatting sqref="G143">
    <cfRule type="containsBlanks" dxfId="368" priority="41">
      <formula>LEN(TRIM(G143))=0</formula>
    </cfRule>
  </conditionalFormatting>
  <conditionalFormatting sqref="G151">
    <cfRule type="aboveAverage" dxfId="367" priority="40"/>
  </conditionalFormatting>
  <conditionalFormatting sqref="G151">
    <cfRule type="containsBlanks" dxfId="366" priority="39">
      <formula>LEN(TRIM(G151))=0</formula>
    </cfRule>
  </conditionalFormatting>
  <conditionalFormatting sqref="E141">
    <cfRule type="aboveAverage" dxfId="365" priority="38"/>
  </conditionalFormatting>
  <conditionalFormatting sqref="E141">
    <cfRule type="containsBlanks" dxfId="364" priority="37">
      <formula>LEN(TRIM(E141))=0</formula>
    </cfRule>
  </conditionalFormatting>
  <conditionalFormatting sqref="E149">
    <cfRule type="aboveAverage" dxfId="363" priority="36"/>
  </conditionalFormatting>
  <conditionalFormatting sqref="E149">
    <cfRule type="containsBlanks" dxfId="362" priority="35">
      <formula>LEN(TRIM(E149))=0</formula>
    </cfRule>
  </conditionalFormatting>
  <conditionalFormatting sqref="E145">
    <cfRule type="aboveAverage" dxfId="361" priority="34"/>
  </conditionalFormatting>
  <conditionalFormatting sqref="E145">
    <cfRule type="containsBlanks" dxfId="360" priority="33">
      <formula>LEN(TRIM(E145))=0</formula>
    </cfRule>
  </conditionalFormatting>
  <conditionalFormatting sqref="E153">
    <cfRule type="aboveAverage" dxfId="359" priority="32"/>
  </conditionalFormatting>
  <conditionalFormatting sqref="E153">
    <cfRule type="containsBlanks" dxfId="358" priority="31">
      <formula>LEN(TRIM(E153))=0</formula>
    </cfRule>
  </conditionalFormatting>
  <conditionalFormatting sqref="G124 G128">
    <cfRule type="aboveAverage" dxfId="357" priority="30"/>
  </conditionalFormatting>
  <conditionalFormatting sqref="G131 G133">
    <cfRule type="aboveAverage" dxfId="356" priority="29"/>
  </conditionalFormatting>
  <conditionalFormatting sqref="G124 G128 G131 G133">
    <cfRule type="containsBlanks" dxfId="355" priority="28">
      <formula>LEN(TRIM(G124))=0</formula>
    </cfRule>
  </conditionalFormatting>
  <conditionalFormatting sqref="C106 C108">
    <cfRule type="aboveAverage" dxfId="354" priority="27"/>
  </conditionalFormatting>
  <conditionalFormatting sqref="C110 C112">
    <cfRule type="aboveAverage" dxfId="353" priority="26"/>
  </conditionalFormatting>
  <conditionalFormatting sqref="C114 C116">
    <cfRule type="aboveAverage" dxfId="352" priority="25"/>
  </conditionalFormatting>
  <conditionalFormatting sqref="C106 C108 C110 C112 C114 C116">
    <cfRule type="containsBlanks" dxfId="351" priority="24">
      <formula>LEN(TRIM(C106))=0</formula>
    </cfRule>
  </conditionalFormatting>
  <conditionalFormatting sqref="C102 C104">
    <cfRule type="aboveAverage" dxfId="350" priority="23"/>
  </conditionalFormatting>
  <conditionalFormatting sqref="C102 C104">
    <cfRule type="containsBlanks" dxfId="349" priority="22">
      <formula>LEN(TRIM(C102))=0</formula>
    </cfRule>
  </conditionalFormatting>
  <conditionalFormatting sqref="E123 E125">
    <cfRule type="aboveAverage" dxfId="348" priority="21"/>
  </conditionalFormatting>
  <conditionalFormatting sqref="E123 E125">
    <cfRule type="containsBlanks" dxfId="347" priority="20">
      <formula>LEN(TRIM(E123))=0</formula>
    </cfRule>
  </conditionalFormatting>
  <conditionalFormatting sqref="E127 E129">
    <cfRule type="aboveAverage" dxfId="346" priority="19"/>
  </conditionalFormatting>
  <conditionalFormatting sqref="E127 E129">
    <cfRule type="containsBlanks" dxfId="345" priority="18">
      <formula>LEN(TRIM(E127))=0</formula>
    </cfRule>
  </conditionalFormatting>
  <conditionalFormatting sqref="G117 G119">
    <cfRule type="aboveAverage" dxfId="344" priority="17"/>
  </conditionalFormatting>
  <conditionalFormatting sqref="G117 G119">
    <cfRule type="containsBlanks" dxfId="343" priority="16">
      <formula>LEN(TRIM(G117))=0</formula>
    </cfRule>
  </conditionalFormatting>
  <conditionalFormatting sqref="G105">
    <cfRule type="aboveAverage" dxfId="342" priority="15"/>
  </conditionalFormatting>
  <conditionalFormatting sqref="G105">
    <cfRule type="containsBlanks" dxfId="341" priority="14">
      <formula>LEN(TRIM(G105))=0</formula>
    </cfRule>
  </conditionalFormatting>
  <conditionalFormatting sqref="G113">
    <cfRule type="aboveAverage" dxfId="340" priority="13"/>
  </conditionalFormatting>
  <conditionalFormatting sqref="G113">
    <cfRule type="containsBlanks" dxfId="339" priority="12">
      <formula>LEN(TRIM(G113))=0</formula>
    </cfRule>
  </conditionalFormatting>
  <conditionalFormatting sqref="E103">
    <cfRule type="aboveAverage" dxfId="338" priority="11"/>
  </conditionalFormatting>
  <conditionalFormatting sqref="E103">
    <cfRule type="containsBlanks" dxfId="337" priority="10">
      <formula>LEN(TRIM(E103))=0</formula>
    </cfRule>
  </conditionalFormatting>
  <conditionalFormatting sqref="E111">
    <cfRule type="aboveAverage" dxfId="336" priority="9"/>
  </conditionalFormatting>
  <conditionalFormatting sqref="E111">
    <cfRule type="containsBlanks" dxfId="335" priority="8">
      <formula>LEN(TRIM(E111))=0</formula>
    </cfRule>
  </conditionalFormatting>
  <conditionalFormatting sqref="E107">
    <cfRule type="aboveAverage" dxfId="334" priority="7"/>
  </conditionalFormatting>
  <conditionalFormatting sqref="E115">
    <cfRule type="aboveAverage" dxfId="333" priority="5"/>
  </conditionalFormatting>
  <conditionalFormatting sqref="E115">
    <cfRule type="containsBlanks" dxfId="332" priority="4">
      <formula>LEN(TRIM(E115))=0</formula>
    </cfRule>
  </conditionalFormatting>
  <conditionalFormatting sqref="C42:D46">
    <cfRule type="cellIs" dxfId="331" priority="3" operator="equal">
      <formula>13</formula>
    </cfRule>
  </conditionalFormatting>
  <conditionalFormatting sqref="B300:B315">
    <cfRule type="containsBlanks" dxfId="330" priority="1">
      <formula>LEN(TRIM(B300))=0</formula>
    </cfRule>
    <cfRule type="duplicateValues" dxfId="329" priority="2"/>
  </conditionalFormatting>
  <pageMargins left="0.78740157480314965" right="0.39370078740157483" top="0.78740157480314965" bottom="0.31496062992125984" header="0.59055118110236227" footer="0"/>
  <pageSetup paperSize="9" fitToHeight="0" orientation="landscape" verticalDpi="1200" r:id="rId1"/>
  <headerFooter>
    <oddHeader>&amp;R&amp;"Arial,Regular"&amp;9Page &amp;P of &amp;N</oddHeader>
  </headerFooter>
  <rowBreaks count="2" manualBreakCount="2">
    <brk id="35" max="16383" man="1"/>
    <brk id="73" max="16383" man="1"/>
  </rowBreaks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AB330"/>
  <sheetViews>
    <sheetView showGridLines="0" zoomScaleNormal="100" workbookViewId="0">
      <pane ySplit="2" topLeftCell="A3" activePane="bottomLeft" state="frozen"/>
      <selection activeCell="C152" sqref="C152"/>
      <selection pane="bottomLeft" activeCell="B11" sqref="B11"/>
    </sheetView>
  </sheetViews>
  <sheetFormatPr defaultRowHeight="12.75" x14ac:dyDescent="0.2"/>
  <cols>
    <col min="1" max="1" width="5.5703125" style="139" customWidth="1"/>
    <col min="2" max="2" width="31.7109375" style="139" bestFit="1" customWidth="1"/>
    <col min="3" max="8" width="6.7109375" style="139" customWidth="1"/>
    <col min="9" max="9" width="5.140625" style="139" bestFit="1" customWidth="1"/>
    <col min="10" max="10" width="4.5703125" style="139" customWidth="1"/>
    <col min="11" max="11" width="2.28515625" style="139" bestFit="1" customWidth="1"/>
    <col min="12" max="12" width="3.5703125" style="139" customWidth="1"/>
    <col min="13" max="13" width="6" style="139" customWidth="1"/>
    <col min="14" max="14" width="4.28515625" style="139" customWidth="1"/>
    <col min="15" max="15" width="5.5703125" style="139" customWidth="1"/>
    <col min="16" max="16" width="8.5703125" style="139" bestFit="1" customWidth="1"/>
    <col min="17" max="17" width="9.140625" style="139"/>
    <col min="18" max="18" width="7.7109375" style="139" hidden="1" customWidth="1"/>
    <col min="19" max="19" width="17.140625" style="139" hidden="1" customWidth="1"/>
    <col min="20" max="20" width="6" style="139" hidden="1" customWidth="1"/>
    <col min="21" max="21" width="32.7109375" style="139" hidden="1" customWidth="1"/>
    <col min="22" max="22" width="6" style="139" hidden="1" customWidth="1"/>
    <col min="23" max="23" width="17.28515625" style="139" hidden="1" customWidth="1"/>
    <col min="24" max="24" width="6" style="139" hidden="1" customWidth="1"/>
    <col min="25" max="25" width="13.85546875" style="139" hidden="1" customWidth="1"/>
    <col min="26" max="26" width="6" style="139" hidden="1" customWidth="1"/>
    <col min="27" max="16384" width="9.140625" style="139"/>
  </cols>
  <sheetData>
    <row r="1" spans="1:27" x14ac:dyDescent="0.2">
      <c r="A1" s="86" t="str">
        <f>UPPER((Kalend!E3)&amp;" - "&amp;(Kalend!C3)&amp;" - "&amp;(Kalend!D3))</f>
        <v>R - VÕISTLUS - MÄNGUVIIS</v>
      </c>
      <c r="D1" s="51" t="str">
        <f>HYPERLINK("#'Kalend'!I1","Kalender")</f>
        <v>Kalender</v>
      </c>
      <c r="F1" s="51" t="str">
        <f>HYPERLINK("#'V'!AE1","Reiting")</f>
        <v>Reiting</v>
      </c>
      <c r="G1" s="88"/>
      <c r="H1" s="88"/>
      <c r="J1" s="502" t="s">
        <v>380</v>
      </c>
      <c r="L1" s="585"/>
      <c r="M1" s="504"/>
      <c r="R1" s="502" t="s">
        <v>380</v>
      </c>
      <c r="S1" s="504"/>
      <c r="T1" s="504"/>
      <c r="U1" s="503"/>
      <c r="V1" s="504"/>
      <c r="W1" s="504"/>
      <c r="X1" s="504"/>
      <c r="Y1" s="504"/>
      <c r="Z1" s="504"/>
    </row>
    <row r="2" spans="1:27" x14ac:dyDescent="0.2">
      <c r="A2" s="186" t="str">
        <f>"Toimumisaeg: "&amp;(Kalend!A3)&amp;" kell "&amp;(Kalend!B3)</f>
        <v>Toimumisaeg: Kuupäev kell Aeg</v>
      </c>
      <c r="S2" s="314"/>
      <c r="U2" s="314"/>
    </row>
    <row r="3" spans="1:27" x14ac:dyDescent="0.2">
      <c r="A3" s="186" t="str">
        <f>"Toimumiskoht: "&amp;(Kalend!F3)</f>
        <v>Toimumiskoht: Toimumiskoht</v>
      </c>
      <c r="S3" s="505" t="s">
        <v>381</v>
      </c>
      <c r="U3" s="314"/>
      <c r="W3" s="261"/>
    </row>
    <row r="4" spans="1:27" x14ac:dyDescent="0.2">
      <c r="A4" s="186" t="str">
        <f>"Korraldaja: "&amp;(Kalend!G3)</f>
        <v>Korraldaja: Korraldaja</v>
      </c>
      <c r="R4" s="506" t="s">
        <v>36</v>
      </c>
      <c r="S4" s="507"/>
      <c r="T4" s="508"/>
      <c r="U4" s="509"/>
      <c r="V4" s="508"/>
      <c r="W4" s="508"/>
      <c r="X4" s="508"/>
      <c r="Y4" s="508"/>
      <c r="Z4" s="508"/>
    </row>
    <row r="5" spans="1:27" x14ac:dyDescent="0.2">
      <c r="R5" s="506" t="s">
        <v>382</v>
      </c>
      <c r="S5" s="510" t="s">
        <v>383</v>
      </c>
      <c r="T5" s="510"/>
      <c r="U5" s="511" t="s">
        <v>384</v>
      </c>
      <c r="V5" s="510"/>
      <c r="W5" s="510" t="s">
        <v>385</v>
      </c>
      <c r="X5" s="510"/>
      <c r="Y5" s="510" t="s">
        <v>386</v>
      </c>
      <c r="Z5" s="512"/>
    </row>
    <row r="6" spans="1:27" s="188" customFormat="1" x14ac:dyDescent="0.2">
      <c r="A6" s="126" t="s">
        <v>66</v>
      </c>
      <c r="B6" s="648" t="s">
        <v>473</v>
      </c>
      <c r="C6" s="91">
        <v>1</v>
      </c>
      <c r="D6" s="91">
        <v>2</v>
      </c>
      <c r="E6" s="91">
        <v>3</v>
      </c>
      <c r="F6" s="91">
        <v>4</v>
      </c>
      <c r="G6" s="91">
        <v>5</v>
      </c>
      <c r="H6" s="91" t="s">
        <v>73</v>
      </c>
      <c r="I6" s="438" t="s">
        <v>46</v>
      </c>
      <c r="J6" s="577" t="s">
        <v>273</v>
      </c>
      <c r="K6" s="649" t="s">
        <v>273</v>
      </c>
      <c r="L6" s="650" t="s">
        <v>430</v>
      </c>
      <c r="M6" s="188" t="b">
        <f>OR(AND(COUNTA(B7:B11)=3,COUNTA(C7:G11)=6),AND(COUNTA(B7:B11)=4,COUNTA(C7:G11)=12),AND(COUNTA(B7:B11)=5,COUNTA(C7:G11)=20))</f>
        <v>1</v>
      </c>
      <c r="P6" s="139"/>
      <c r="Q6" s="139"/>
      <c r="R6" s="506" t="s">
        <v>387</v>
      </c>
      <c r="S6" s="507"/>
      <c r="T6" s="508"/>
      <c r="U6" s="507"/>
      <c r="V6" s="508"/>
      <c r="W6" s="513"/>
      <c r="X6" s="513"/>
      <c r="Y6" s="513"/>
      <c r="Z6" s="513"/>
    </row>
    <row r="7" spans="1:27" s="188" customFormat="1" x14ac:dyDescent="0.2">
      <c r="A7" s="126"/>
      <c r="B7" s="581" t="s">
        <v>168</v>
      </c>
      <c r="C7" s="127"/>
      <c r="D7" s="93">
        <v>10</v>
      </c>
      <c r="E7" s="93">
        <v>1</v>
      </c>
      <c r="F7" s="93">
        <v>1</v>
      </c>
      <c r="G7" s="93">
        <v>3</v>
      </c>
      <c r="H7" s="576" t="str">
        <f>(IF(D7-C8&gt;0,1)+IF(E7-C9&gt;0,1)+IF(F7-C10&gt;0,1)+IF(G7-C11&gt;0,1))&amp;"-"&amp;(IF(D7-C8&lt;0,1)+IF(E7-C9&lt;0,1)+IF(F7-C10&lt;0,1)+IF(G7-C11&lt;0,1))</f>
        <v>0-4</v>
      </c>
      <c r="I7" s="93" t="str">
        <f>IF(AND(B7&lt;&gt;"",M$6=TRUE),A$6&amp;RANK(M7,M$7:M$11,0),"")</f>
        <v>A5</v>
      </c>
      <c r="J7" s="584">
        <f>VALUE(LEFT(H7,1))</f>
        <v>0</v>
      </c>
      <c r="K7" s="651">
        <f>IF(AND(J7=1,J8=1,D7&gt;C8),1)+IF(AND(J7=1,J9=1,E7&gt;C9),1)+IF(AND(J7=1,J10=1,F7&gt;C10),1)+IF(AND(J7=1,J11=1,G7&gt;C11),1)+IF(AND(J7=2,J8=2,D7&gt;C8),1)+IF(AND(J7=2,J9=2,E7&gt;C9),1)+IF(AND(J7=2,J10=2,F7&gt;C10),1)+IF(AND(J7=2,J11=2,G7&gt;C11),1)+IF(AND(J7=3,J8=3,D7&gt;C8),1)+IF(AND(J7=3,J9=3,E7&gt;C9),1)+IF(AND(J7=3,J10=3,F7&gt;C10),1)+IF(AND(J7=3,J11=3,G7&gt;C11),1)</f>
        <v>0</v>
      </c>
      <c r="L7" s="652">
        <f>IF(AND(J7=1,J8=1),D7-C8)+IF(AND(J7=1,J9=1),E7-C9)+IF(AND(J7=1,J10=1),F7-C10)+IF(AND(J7=1,J11=1),G7-C11)+IF(AND(J7=2,J8=2),D7-C8)+IF(AND(J7=2,J9=2),E7-C9)+IF(AND(J7=2,J10=2),F7-C10)+IF(AND(J7=2,J11=2),G7-C11)+IF(AND(J7=3,J8=3),D7-C8)+IF(AND(J7=3,J9=3),E7-C9)+IF(AND(J7=3,J10=3),F7-C10)+IF(AND(J7=3,J11=3),G7-C11)</f>
        <v>0</v>
      </c>
      <c r="M7" s="668">
        <f>10000*J7+K7*100+L7</f>
        <v>0</v>
      </c>
      <c r="N7" s="569"/>
      <c r="O7" s="310"/>
      <c r="P7" s="139"/>
      <c r="Q7" s="140"/>
      <c r="R7" s="512">
        <f>SUM(T7:Z7)</f>
        <v>0</v>
      </c>
      <c r="S7" s="514" t="str">
        <f>IFERROR(LEFT(#REF!,(FIND(",",#REF!,1)-1)),"")</f>
        <v/>
      </c>
      <c r="T7" s="515" t="str">
        <f>IFERROR(INDEX(V!$O:$O,MATCH(S7,V!$J:$J,0)),"")</f>
        <v/>
      </c>
      <c r="U7" s="514" t="str">
        <f>IFERROR(MID(#REF!,FIND(", ",#REF!)+2,256),"")</f>
        <v/>
      </c>
      <c r="V7" s="515" t="str">
        <f>IFERROR(INDEX(V!$O:$O,MATCH(U7,V!$J:$J,0)),"")</f>
        <v/>
      </c>
      <c r="W7" s="516" t="str">
        <f>IFERROR(MID(#REF!,FIND("^",SUBSTITUTE(#REF!,", ","^",1))+2,FIND("^",SUBSTITUTE(#REF!,", ","^",2))-FIND("^",SUBSTITUTE(#REF!,", ","^",1))-2),"")</f>
        <v/>
      </c>
      <c r="X7" s="515" t="str">
        <f>IFERROR(INDEX(V!$O:$O,MATCH(W7,V!$J:$J,0)),"")</f>
        <v/>
      </c>
      <c r="Y7" s="516" t="str">
        <f>IFERROR(MID(#REF!,FIND(", ",#REF!,FIND(", ",#REF!,FIND(", ",#REF!))+1)+2,30000),"")</f>
        <v/>
      </c>
      <c r="Z7" s="515" t="str">
        <f>IFERROR(INDEX(V!$O:$O,MATCH(Y7,V!$J:$J,0)),"")</f>
        <v/>
      </c>
    </row>
    <row r="8" spans="1:27" s="188" customFormat="1" x14ac:dyDescent="0.2">
      <c r="A8" s="126">
        <v>2</v>
      </c>
      <c r="B8" s="581" t="s">
        <v>175</v>
      </c>
      <c r="C8" s="93">
        <v>13</v>
      </c>
      <c r="D8" s="127"/>
      <c r="E8" s="316">
        <v>12</v>
      </c>
      <c r="F8" s="93">
        <v>5</v>
      </c>
      <c r="G8" s="316">
        <v>13</v>
      </c>
      <c r="H8" s="576" t="str">
        <f>(IF(C8-D7&gt;0,1)+IF(E8-D9&gt;0,1)+IF(F8-D10&gt;0,1)+IF(G8-D11&gt;0,1))&amp;"-"&amp;(IF(C8-D7&lt;0,1)+IF(E8-D9&lt;0,1)+IF(F8-D10&lt;0,1)+IF(G8-D11&lt;0,1))</f>
        <v>2-2</v>
      </c>
      <c r="I8" s="93" t="str">
        <f>IF(AND(B8&lt;&gt;"",M$6=TRUE),A$6&amp;RANK(M8,M$7:M$11,0),"")</f>
        <v>A2</v>
      </c>
      <c r="J8" s="584">
        <f t="shared" ref="J8:J11" si="0">VALUE(LEFT(H8,1))</f>
        <v>2</v>
      </c>
      <c r="K8" s="653">
        <f>IF(AND(J8=1,J7=1,C8&gt;D7),1)+IF(AND(J8=1,J9=1,E8&gt;D9),1)+IF(AND(J8=1,J10=1,F8&gt;D10),1)+IF(AND(J8=1,J11=1,G8&gt;D11),1)+IF(AND(J8=2,J7=2,C8&gt;D7),1)+IF(AND(J8=2,J9=2,E8&gt;D9),1)+IF(AND(J8=2,J10=2,F8&gt;D10),1)+IF(AND(J8=2,J11=2,G8&gt;D11),1)+IF(AND(J8=3,J7=3,C8&gt;D7),1)+IF(AND(J8=3,J9=3,E8&gt;D9),1)+IF(AND(J8=3,J10=3,F8&gt;D10),1)+IF(AND(J8=3,J11=3,G8&gt;D11),1)</f>
        <v>1</v>
      </c>
      <c r="L8" s="652">
        <f>IF(AND(J8=1,J7=1),C8-D7)+IF(AND(J8=1,J9=1),E8-D9)+IF(AND(J8=1,J10=1),F8-D10)+IF(AND(J8=1,J11=1),G8-D11)+IF(AND(J8=2,J7=2),C8-D7)+IF(AND(J8=2,J9=2),E8-D9)+IF(AND(J8=2,J10=2),F8-D10)+IF(AND(J8=2,J11=2),G8-D11)+IF(AND(J8=3,J7=3),C8-D7)+IF(AND(J8=3,J9=3),E8-D9)+IF(AND(J8=3,J10=3),F8-D10)+IF(AND(J8=3,J11=3),G8-D11)</f>
        <v>6</v>
      </c>
      <c r="M8" s="668">
        <f t="shared" ref="M8:M11" si="1">10000*J8+K8*100+L8</f>
        <v>20106</v>
      </c>
      <c r="N8" s="569"/>
      <c r="O8" s="310"/>
      <c r="P8" s="139"/>
      <c r="Q8" s="140"/>
      <c r="R8" s="512">
        <f t="shared" ref="R8:R39" si="2">SUM(T8:Z8)</f>
        <v>0</v>
      </c>
      <c r="S8" s="514" t="str">
        <f>IFERROR(LEFT(#REF!,(FIND(",",#REF!,1)-1)),"")</f>
        <v/>
      </c>
      <c r="T8" s="515" t="str">
        <f>IFERROR(INDEX(V!$O:$O,MATCH(S8,V!$J:$J,0)),"")</f>
        <v/>
      </c>
      <c r="U8" s="514" t="str">
        <f>IFERROR(MID(#REF!,FIND(", ",#REF!)+2,256),"")</f>
        <v/>
      </c>
      <c r="V8" s="515" t="str">
        <f>IFERROR(INDEX(V!$O:$O,MATCH(U8,V!$J:$J,0)),"")</f>
        <v/>
      </c>
      <c r="W8" s="516" t="str">
        <f>IFERROR(MID(#REF!,FIND("^",SUBSTITUTE(#REF!,", ","^",1))+2,FIND("^",SUBSTITUTE(#REF!,", ","^",2))-FIND("^",SUBSTITUTE(#REF!,", ","^",1))-2),"")</f>
        <v/>
      </c>
      <c r="X8" s="515" t="str">
        <f>IFERROR(INDEX(V!$O:$O,MATCH(W8,V!$J:$J,0)),"")</f>
        <v/>
      </c>
      <c r="Y8" s="516" t="str">
        <f>IFERROR(MID(#REF!,FIND(", ",#REF!,FIND(", ",#REF!,FIND(", ",#REF!))+1)+2,30000),"")</f>
        <v/>
      </c>
      <c r="Z8" s="515" t="str">
        <f>IFERROR(INDEX(V!$O:$O,MATCH(Y8,V!$J:$J,0)),"")</f>
        <v/>
      </c>
    </row>
    <row r="9" spans="1:27" s="188" customFormat="1" x14ac:dyDescent="0.2">
      <c r="A9" s="126">
        <v>3</v>
      </c>
      <c r="B9" s="581" t="s">
        <v>472</v>
      </c>
      <c r="C9" s="93">
        <v>13</v>
      </c>
      <c r="D9" s="403">
        <v>13</v>
      </c>
      <c r="E9" s="127"/>
      <c r="F9" s="93">
        <v>7</v>
      </c>
      <c r="G9" s="316">
        <v>8</v>
      </c>
      <c r="H9" s="576" t="str">
        <f>(IF(C9-E7&gt;0,1)+IF(D9-E8&gt;0,1)+IF(F9-E10&gt;0,1)+IF(G9-E11&gt;0,1))&amp;"-"&amp;(IF(C9-E7&lt;0,1)+IF(D9-E8&lt;0,1)+IF(F9-E10&lt;0,1)+IF(G9-E11&lt;0,1))</f>
        <v>2-2</v>
      </c>
      <c r="I9" s="93" t="str">
        <f>IF(AND(B9&lt;&gt;"",M$6=TRUE),A$6&amp;RANK(M9,M$7:M$11,0),"")</f>
        <v>A4</v>
      </c>
      <c r="J9" s="584">
        <f t="shared" si="0"/>
        <v>2</v>
      </c>
      <c r="K9" s="653">
        <f>IF(AND(J9=1,J7=1,C9&gt;E7),1)+IF(AND(J9=1,J8=1,D9&gt;E8),1)+IF(AND(J9=1,J10=1,F9&gt;E10),1)+IF(AND(J9=1,J11=1,G9&gt;E11),1)+IF(AND(J9=2,J7=2,C9&gt;E7),1)+IF(AND(J9=2,J8=2,D9&gt;E8),1)+IF(AND(J9=2,J10=2,F9&gt;E10),1)+IF(AND(J9=2,J11=2,G9&gt;E11),1)+IF(AND(J9=3,J7=3,C9&gt;E7),1)+IF(AND(J9=3,J8=3,D9&gt;E8),1)+IF(AND(J9=3,J10=3,F9&gt;E10),1)+IF(AND(J9=3,J11=3,G9&gt;E11),1)</f>
        <v>1</v>
      </c>
      <c r="L9" s="652">
        <f>IF(AND(J9=1,J7=1),C9-E7)+IF(AND(J9=1,J8=1),D9-E8)+IF(AND(J9=1,J10=1),F9-E10)+IF(AND(J9=1,J11=1),G9-E11)+IF(AND(J9=2,J7=2),C9-E7)+IF(AND(J9=2,J8=2),D9-E8)+IF(AND(J9=2,J10=2),F9-E10)+IF(AND(J9=2,J11=2),G9-E11)+IF(AND(J9=3,J7=3),C9-E7)+IF(AND(J9=3,J8=3),D9-E8)+IF(AND(J9=3,J10=3),F9-E10)+IF(AND(J9=3,J11=3),G9-E11)</f>
        <v>-4</v>
      </c>
      <c r="M9" s="668">
        <f t="shared" si="1"/>
        <v>20096</v>
      </c>
      <c r="N9" s="569"/>
      <c r="O9" s="310"/>
      <c r="P9" s="139"/>
      <c r="Q9" s="140"/>
      <c r="R9" s="512">
        <f t="shared" si="2"/>
        <v>0</v>
      </c>
      <c r="S9" s="514" t="str">
        <f>IFERROR(LEFT(#REF!,(FIND(",",#REF!,1)-1)),"")</f>
        <v/>
      </c>
      <c r="T9" s="515" t="str">
        <f>IFERROR(INDEX(V!$O:$O,MATCH(S9,V!$J:$J,0)),"")</f>
        <v/>
      </c>
      <c r="U9" s="514" t="str">
        <f>IFERROR(MID(#REF!,FIND(", ",#REF!)+2,256),"")</f>
        <v/>
      </c>
      <c r="V9" s="515" t="str">
        <f>IFERROR(INDEX(V!$O:$O,MATCH(U9,V!$J:$J,0)),"")</f>
        <v/>
      </c>
      <c r="W9" s="516" t="str">
        <f>IFERROR(MID(#REF!,FIND("^",SUBSTITUTE(#REF!,", ","^",1))+2,FIND("^",SUBSTITUTE(#REF!,", ","^",2))-FIND("^",SUBSTITUTE(#REF!,", ","^",1))-2),"")</f>
        <v/>
      </c>
      <c r="X9" s="515" t="str">
        <f>IFERROR(INDEX(V!$O:$O,MATCH(W9,V!$J:$J,0)),"")</f>
        <v/>
      </c>
      <c r="Y9" s="516" t="str">
        <f>IFERROR(MID(#REF!,FIND(", ",#REF!,FIND(", ",#REF!,FIND(", ",#REF!))+1)+2,30000),"")</f>
        <v/>
      </c>
      <c r="Z9" s="515" t="str">
        <f>IFERROR(INDEX(V!$O:$O,MATCH(Y9,V!$J:$J,0)),"")</f>
        <v/>
      </c>
    </row>
    <row r="10" spans="1:27" s="188" customFormat="1" x14ac:dyDescent="0.2">
      <c r="A10" s="126">
        <v>4</v>
      </c>
      <c r="B10" s="581" t="s">
        <v>167</v>
      </c>
      <c r="C10" s="93">
        <v>13</v>
      </c>
      <c r="D10" s="548">
        <v>13</v>
      </c>
      <c r="E10" s="93">
        <v>13</v>
      </c>
      <c r="F10" s="127"/>
      <c r="G10" s="128">
        <v>13</v>
      </c>
      <c r="H10" s="576" t="str">
        <f>(IF(C10-F7&gt;0,1)+IF(D10-F8&gt;0,1)+IF(E10-F9&gt;0,1)+IF(G10-F11&gt;0,1))&amp;"-"&amp;(IF(C10-F7&lt;0,1)+IF(D10-F8&lt;0,1)+IF(E10-F9&lt;0,1)+IF(G10-F11&lt;0,1))</f>
        <v>4-0</v>
      </c>
      <c r="I10" s="93" t="str">
        <f t="shared" ref="I10:I11" si="3">IF(AND(B10&lt;&gt;"",M$6=TRUE),A$6&amp;RANK(M10,M$7:M$11,0),"")</f>
        <v>A1</v>
      </c>
      <c r="J10" s="584">
        <f t="shared" si="0"/>
        <v>4</v>
      </c>
      <c r="K10" s="653">
        <f>IF(AND(J10=1,J7=1,C10&gt;F7),1)+IF(AND(J10=1,J8=1,D10&gt;F8),1)+IF(AND(J10=1,J9=1,E10&gt;F9),1)+IF(AND(J10=1,J11=1,G10&gt;F11),1)+IF(AND(J10=2,J7=2,C10&gt;F7),1)+IF(AND(J10=2,J8=2,D10&gt;F8),1)+IF(AND(J10=2,J9=2,E10&gt;F9),1)+IF(AND(J10=2,J11=2,G10&gt;F11),1)+IF(AND(J10=3,J7=3,C10&gt;F7),1)+IF(AND(J10=3,J8=3,D10&gt;F8),1)+IF(AND(J10=3,J9=3,E10&gt;F9),1)+IF(AND(J10=3,J11=3,G10&gt;F11),1)</f>
        <v>0</v>
      </c>
      <c r="L10" s="652">
        <f>IF(AND(J10=1,J7=1),C10-F7)+IF(AND(J10=1,J8=1),D10-F8)+IF(AND(J10=1,J9=1),E10-F9)+IF(AND(J10=1,J11=1),G10-F11)+IF(AND(J10=2,J7=2),C10-F7)+IF(AND(J10=2,J8=2),D10-F8)+IF(AND(J10=2,J9=2),E10-F9)+IF(AND(J10=2,J11=2),G10-F11)+IF(AND(J10=3,J7=3),C10-F7)+IF(AND(J10=3,J8=3),D10-F8)+IF(AND(J10=3,J9=3),E10-F9)+IF(AND(J10=3,J11=3),G10-F11)</f>
        <v>0</v>
      </c>
      <c r="M10" s="668">
        <f t="shared" si="1"/>
        <v>40000</v>
      </c>
      <c r="N10" s="569"/>
      <c r="O10" s="310"/>
      <c r="P10" s="139"/>
      <c r="Q10" s="140"/>
      <c r="R10" s="512">
        <f t="shared" si="2"/>
        <v>0</v>
      </c>
      <c r="S10" s="514" t="str">
        <f>IFERROR(LEFT(#REF!,(FIND(",",#REF!,1)-1)),"")</f>
        <v/>
      </c>
      <c r="T10" s="515" t="str">
        <f>IFERROR(INDEX(V!$O:$O,MATCH(S10,V!$J:$J,0)),"")</f>
        <v/>
      </c>
      <c r="U10" s="514" t="str">
        <f>IFERROR(MID(#REF!,FIND(", ",#REF!)+2,256),"")</f>
        <v/>
      </c>
      <c r="V10" s="515" t="str">
        <f>IFERROR(INDEX(V!$O:$O,MATCH(U10,V!$J:$J,0)),"")</f>
        <v/>
      </c>
      <c r="W10" s="516" t="str">
        <f>IFERROR(MID(#REF!,FIND("^",SUBSTITUTE(#REF!,", ","^",1))+2,FIND("^",SUBSTITUTE(#REF!,", ","^",2))-FIND("^",SUBSTITUTE(#REF!,", ","^",1))-2),"")</f>
        <v/>
      </c>
      <c r="X10" s="515" t="str">
        <f>IFERROR(INDEX(V!$O:$O,MATCH(W10,V!$J:$J,0)),"")</f>
        <v/>
      </c>
      <c r="Y10" s="516" t="str">
        <f>IFERROR(MID(#REF!,FIND(", ",#REF!,FIND(", ",#REF!,FIND(", ",#REF!))+1)+2,30000),"")</f>
        <v/>
      </c>
      <c r="Z10" s="515" t="str">
        <f>IFERROR(INDEX(V!$O:$O,MATCH(Y10,V!$J:$J,0)),"")</f>
        <v/>
      </c>
    </row>
    <row r="11" spans="1:27" s="188" customFormat="1" x14ac:dyDescent="0.2">
      <c r="A11" s="126">
        <v>5</v>
      </c>
      <c r="B11" s="581" t="s">
        <v>611</v>
      </c>
      <c r="C11" s="93">
        <v>13</v>
      </c>
      <c r="D11" s="316">
        <v>6</v>
      </c>
      <c r="E11" s="316">
        <v>13</v>
      </c>
      <c r="F11" s="93">
        <v>2</v>
      </c>
      <c r="G11" s="127"/>
      <c r="H11" s="576" t="str">
        <f>(IF(C11-G7&gt;0,1)+IF(D11-G8&gt;0,1)+IF(E11-G9&gt;0,1)+IF(F11-G10&gt;0,1))&amp;"-"&amp;(IF(C11-G7&lt;0,1)+IF(D11-G8&lt;0,1)+IF(E11-G9&lt;0,1)+IF(F11-G10&lt;0,1))</f>
        <v>2-2</v>
      </c>
      <c r="I11" s="93" t="str">
        <f t="shared" si="3"/>
        <v>A3</v>
      </c>
      <c r="J11" s="584">
        <f t="shared" si="0"/>
        <v>2</v>
      </c>
      <c r="K11" s="653">
        <f>IF(AND(J11=1,J7=1,C11&gt;G7),1)+IF(AND(J11=1,J8=1,D11&gt;G8),1)+IF(AND(J11=1,J9=1,E11&gt;G9),1)+IF(AND(J11=1,J10=1,F11&gt;G10),1)+IF(AND(J11=2,J7=2,C11&gt;G7),1)+IF(AND(J11=2,J8=2,D11&gt;G8),1)+IF(AND(J11=2,J9=2,E11&gt;G9),1)+IF(AND(J11=2,J10=2,F11&gt;G10),1)+IF(AND(J11=3,J7=3,C11&gt;G7),1)+IF(AND(J11=3,J8=3,D11&gt;G8),1)+IF(AND(J11=3,J9=3,E11&gt;G9),1)+IF(AND(J11=3,J10=3,F11&gt;G10),1)</f>
        <v>1</v>
      </c>
      <c r="L11" s="652">
        <f>IF(AND(J11=1,J7=1),C11-G7)+IF(AND(J11=1,J8=1),D11-G8)+IF(AND(J11=1,J9=1),E11-G9)+IF(AND(J11=1,J10=1),F11-G10)+IF(AND(J11=2,J7=2),C11-G7)+IF(AND(J11=2,J8=2),D11-G8)+IF(AND(J11=2,J9=2),E11-G9)+IF(AND(J11=2,J10=2),F11-G10)+IF(AND(J11=3,J7=3),C11-G7)+IF(AND(J11=3,J8=3),D11-G8)+IF(AND(J11=3,J9=3),E11-G9)+IF(AND(J11=3,J10=3),F11-G10)</f>
        <v>-2</v>
      </c>
      <c r="M11" s="668">
        <f t="shared" si="1"/>
        <v>20098</v>
      </c>
      <c r="N11" s="569"/>
      <c r="O11" s="310"/>
      <c r="P11" s="139"/>
      <c r="Q11" s="140"/>
      <c r="R11" s="512">
        <f t="shared" si="2"/>
        <v>134</v>
      </c>
      <c r="S11" s="514" t="str">
        <f t="shared" ref="S11:S39" si="4">IFERROR(LEFT($B11,(FIND(",",$B11,1)-1)),"")</f>
        <v>Kenneth Muusikus</v>
      </c>
      <c r="T11" s="515">
        <f>IFERROR(INDEX(V!$O:$O,MATCH(S11,V!$J:$J,0)),"")</f>
        <v>80</v>
      </c>
      <c r="U11" s="514" t="str">
        <f t="shared" ref="U11:U39" si="5">IFERROR(MID($B11,FIND(", ",$B11)+2,256),"")</f>
        <v>Peep Peenema</v>
      </c>
      <c r="V11" s="515">
        <f>IFERROR(INDEX(V!$O:$O,MATCH(U11,V!$J:$J,0)),"")</f>
        <v>54</v>
      </c>
      <c r="W11" s="516" t="str">
        <f t="shared" ref="W11:W39" si="6">IFERROR(MID($B11,FIND("^",SUBSTITUTE($B11,", ","^",1))+2,FIND("^",SUBSTITUTE($B11,", ","^",2))-FIND("^",SUBSTITUTE($B11,", ","^",1))-2),"")</f>
        <v/>
      </c>
      <c r="X11" s="515" t="str">
        <f>IFERROR(INDEX(V!$O:$O,MATCH(W11,V!$J:$J,0)),"")</f>
        <v/>
      </c>
      <c r="Y11" s="516" t="str">
        <f t="shared" ref="Y11:Y39" si="7">IFERROR(MID($B11,FIND(", ",$B11,FIND(", ",$B11,FIND(", ",$B11))+1)+2,30000),"")</f>
        <v/>
      </c>
      <c r="Z11" s="515" t="str">
        <f>IFERROR(INDEX(V!$O:$O,MATCH(Y11,V!$J:$J,0)),"")</f>
        <v/>
      </c>
    </row>
    <row r="12" spans="1:27" s="188" customFormat="1" x14ac:dyDescent="0.2">
      <c r="A12" s="121"/>
      <c r="B12" s="422"/>
      <c r="C12" s="96"/>
      <c r="D12" s="312"/>
      <c r="E12" s="96"/>
      <c r="F12" s="97"/>
      <c r="H12" s="402"/>
      <c r="I12" s="580"/>
      <c r="J12" s="585"/>
      <c r="K12" s="654"/>
      <c r="L12" s="655"/>
      <c r="M12" s="585"/>
      <c r="N12" s="569"/>
      <c r="O12" s="310"/>
      <c r="P12" s="139"/>
      <c r="Q12" s="139"/>
      <c r="R12" s="88"/>
      <c r="S12" s="88"/>
      <c r="T12" s="88"/>
      <c r="U12" s="88"/>
      <c r="V12" s="88"/>
      <c r="W12" s="88"/>
      <c r="X12" s="88"/>
      <c r="Y12" s="88"/>
      <c r="Z12" s="88"/>
      <c r="AA12" s="88"/>
    </row>
    <row r="13" spans="1:27" s="186" customFormat="1" x14ac:dyDescent="0.2">
      <c r="A13" s="126" t="s">
        <v>90</v>
      </c>
      <c r="B13" s="648" t="s">
        <v>473</v>
      </c>
      <c r="C13" s="91">
        <v>1</v>
      </c>
      <c r="D13" s="91">
        <v>2</v>
      </c>
      <c r="E13" s="91">
        <v>3</v>
      </c>
      <c r="F13" s="91">
        <v>4</v>
      </c>
      <c r="G13" s="91">
        <v>5</v>
      </c>
      <c r="H13" s="438" t="s">
        <v>73</v>
      </c>
      <c r="I13" s="438" t="s">
        <v>46</v>
      </c>
      <c r="J13" s="586" t="s">
        <v>273</v>
      </c>
      <c r="K13" s="649" t="s">
        <v>273</v>
      </c>
      <c r="L13" s="656" t="s">
        <v>430</v>
      </c>
      <c r="M13" s="588" t="b">
        <f>OR(AND(COUNTA(B14:B18)=3,COUNTA(C14:G18)=6),AND(COUNTA(B14:B18)=4,COUNTA(C14:G18)=12),AND(COUNTA(B14:B18)=5,COUNTA(C14:G18)=20))</f>
        <v>1</v>
      </c>
      <c r="Q13" s="139"/>
      <c r="R13" s="88"/>
      <c r="S13" s="88"/>
      <c r="T13" s="88"/>
      <c r="U13" s="88"/>
      <c r="V13" s="88"/>
      <c r="W13" s="88"/>
      <c r="X13" s="88"/>
      <c r="Y13" s="88"/>
      <c r="Z13" s="88"/>
      <c r="AA13" s="88"/>
    </row>
    <row r="14" spans="1:27" s="186" customFormat="1" x14ac:dyDescent="0.2">
      <c r="A14" s="126">
        <v>1</v>
      </c>
      <c r="B14" s="581" t="s">
        <v>168</v>
      </c>
      <c r="C14" s="127"/>
      <c r="D14" s="93">
        <v>10</v>
      </c>
      <c r="E14" s="93">
        <v>13</v>
      </c>
      <c r="F14" s="93">
        <v>1</v>
      </c>
      <c r="G14" s="93">
        <v>3</v>
      </c>
      <c r="H14" s="576" t="str">
        <f>(IF(D14-C15&gt;0,1)+IF(E14-C16&gt;0,1)+IF(F14-C17&gt;0,1)+IF(G14-C18&gt;0,1))&amp;"-"&amp;(IF(D14-C15&lt;0,1)+IF(E14-C16&lt;0,1)+IF(F14-C17&lt;0,1)+IF(G14-C18&lt;0,1))</f>
        <v>1-3</v>
      </c>
      <c r="I14" s="93" t="str">
        <f>IF(AND(B14&lt;&gt;"",M$13=TRUE),A$13&amp;RANK(M14,M$14:M$18,0),"")</f>
        <v>B5</v>
      </c>
      <c r="J14" s="584">
        <f>VALUE(LEFT(H14,1))</f>
        <v>1</v>
      </c>
      <c r="K14" s="651">
        <f>IF(AND(J14=1,J15=1,D14&gt;C15),1)+IF(AND(J14=1,J16=1,E14&gt;C16),1)+IF(AND(J14=1,J17=1,F14&gt;C17),1)+IF(AND(J14=1,J18=1,G14&gt;C18),1)+IF(AND(J14=2,J15=2,D14&gt;C15),1)+IF(AND(J14=2,J16=2,E14&gt;C16),1)+IF(AND(J14=2,J17=2,F14&gt;C17),1)+IF(AND(J14=2,J18=2,G14&gt;C18),1)+IF(AND(J14=3,J15=3,D14&gt;C15),1)+IF(AND(J14=3,J16=3,E14&gt;C16),1)+IF(AND(J14=3,J17=3,F14&gt;C17),1)+IF(AND(J14=3,J18=3,G14&gt;C18),1)</f>
        <v>0</v>
      </c>
      <c r="L14" s="652">
        <f>IF(AND(J14=1,J15=1),D14-C15)+IF(AND(J14=1,J16=1),E14-C16)+IF(AND(J14=1,J17=1),F14-C17)+IF(AND(J14=1,J18=1),G14-C18)+IF(AND(J14=2,J15=2),D14-C15)+IF(AND(J14=2,J16=2),E14-C16)+IF(AND(J14=2,J17=2),F14-C17)+IF(AND(J14=2,J18=2),G14-C18)+IF(AND(J14=3,J15=3),D14-C15)+IF(AND(J14=3,J16=3),E14-C16)+IF(AND(J14=3,J17=3),F14-C17)+IF(AND(J14=3,J18=3),G14-C18)</f>
        <v>0</v>
      </c>
      <c r="M14" s="668">
        <f>10000*J14+K14*100+L14</f>
        <v>10000</v>
      </c>
      <c r="Q14" s="139"/>
      <c r="R14" s="512">
        <f t="shared" si="2"/>
        <v>0</v>
      </c>
      <c r="S14" s="514" t="str">
        <f>IFERROR(LEFT(#REF!,(FIND(",",#REF!,1)-1)),"")</f>
        <v/>
      </c>
      <c r="T14" s="515" t="str">
        <f>IFERROR(INDEX(V!$O:$O,MATCH(S14,V!$J:$J,0)),"")</f>
        <v/>
      </c>
      <c r="U14" s="514" t="str">
        <f>IFERROR(MID(#REF!,FIND(", ",#REF!)+2,256),"")</f>
        <v/>
      </c>
      <c r="V14" s="515" t="str">
        <f>IFERROR(INDEX(V!$O:$O,MATCH(U14,V!$J:$J,0)),"")</f>
        <v/>
      </c>
      <c r="W14" s="516" t="str">
        <f>IFERROR(MID(#REF!,FIND("^",SUBSTITUTE(#REF!,", ","^",1))+2,FIND("^",SUBSTITUTE(#REF!,", ","^",2))-FIND("^",SUBSTITUTE(#REF!,", ","^",1))-2),"")</f>
        <v/>
      </c>
      <c r="X14" s="515" t="str">
        <f>IFERROR(INDEX(V!$O:$O,MATCH(W14,V!$J:$J,0)),"")</f>
        <v/>
      </c>
      <c r="Y14" s="516" t="str">
        <f>IFERROR(MID(#REF!,FIND(", ",#REF!,FIND(", ",#REF!,FIND(", ",#REF!))+1)+2,30000),"")</f>
        <v/>
      </c>
      <c r="Z14" s="515" t="str">
        <f>IFERROR(INDEX(V!$O:$O,MATCH(Y14,V!$J:$J,0)),"")</f>
        <v/>
      </c>
    </row>
    <row r="15" spans="1:27" s="186" customFormat="1" x14ac:dyDescent="0.2">
      <c r="A15" s="126">
        <v>2</v>
      </c>
      <c r="B15" s="581" t="s">
        <v>175</v>
      </c>
      <c r="C15" s="93">
        <v>13</v>
      </c>
      <c r="D15" s="127"/>
      <c r="E15" s="316">
        <v>12</v>
      </c>
      <c r="F15" s="93">
        <v>13</v>
      </c>
      <c r="G15" s="316">
        <v>6</v>
      </c>
      <c r="H15" s="576" t="str">
        <f>(IF(C15-D14&gt;0,1)+IF(E15-D16&gt;0,1)+IF(F15-D17&gt;0,1)+IF(G15-D18&gt;0,1))&amp;"-"&amp;(IF(C15-D14&lt;0,1)+IF(E15-D16&lt;0,1)+IF(F15-D17&lt;0,1)+IF(G15-D18&lt;0,1))</f>
        <v>2-2</v>
      </c>
      <c r="I15" s="93" t="str">
        <f t="shared" ref="I15:I18" si="8">IF(AND(B15&lt;&gt;"",M$13=TRUE),A$13&amp;RANK(M15,M$14:M$18,0),"")</f>
        <v>B4</v>
      </c>
      <c r="J15" s="584">
        <f t="shared" ref="J15:J18" si="9">VALUE(LEFT(H15,1))</f>
        <v>2</v>
      </c>
      <c r="K15" s="653">
        <f>IF(AND(J15=1,J14=1,C15&gt;D14),1)+IF(AND(J15=1,J16=1,E15&gt;D16),1)+IF(AND(J15=1,J17=1,F15&gt;D17),1)+IF(AND(J15=1,J18=1,G15&gt;D18),1)+IF(AND(J15=2,J14=2,C15&gt;D14),1)+IF(AND(J15=2,J16=2,E15&gt;D16),1)+IF(AND(J15=2,J17=2,F15&gt;D17),1)+IF(AND(J15=2,J18=2,G15&gt;D18),1)+IF(AND(J15=3,J14=3,C15&gt;D14),1)+IF(AND(J15=3,J16=3,E15&gt;D16),1)+IF(AND(J15=3,J17=3,F15&gt;D17),1)+IF(AND(J15=3,J18=3,G15&gt;D18),1)</f>
        <v>0</v>
      </c>
      <c r="L15" s="652">
        <f>IF(AND(J15=1,J14=1),C15-D14)+IF(AND(J15=1,J16=1),E15-D16)+IF(AND(J15=1,J17=1),F15-D17)+IF(AND(J15=1,J18=1),G15-D18)+IF(AND(J15=2,J14=2),C15-D14)+IF(AND(J15=2,J16=2),E15-D16)+IF(AND(J15=2,J17=2),F15-D17)+IF(AND(J15=2,J18=2),G15-D18)+IF(AND(J15=3,J14=3),C15-D14)+IF(AND(J15=3,J16=3),E15-D16)+IF(AND(J15=3,J17=3),F15-D17)+IF(AND(J15=3,J18=3),G15-D18)</f>
        <v>-8</v>
      </c>
      <c r="M15" s="668">
        <f t="shared" ref="M15:M18" si="10">10000*J15+K15*100+L15</f>
        <v>19992</v>
      </c>
      <c r="Q15" s="139"/>
      <c r="R15" s="512">
        <f t="shared" si="2"/>
        <v>0</v>
      </c>
      <c r="S15" s="514" t="str">
        <f>IFERROR(LEFT(#REF!,(FIND(",",#REF!,1)-1)),"")</f>
        <v/>
      </c>
      <c r="T15" s="515" t="str">
        <f>IFERROR(INDEX(V!$O:$O,MATCH(S15,V!$J:$J,0)),"")</f>
        <v/>
      </c>
      <c r="U15" s="514" t="str">
        <f>IFERROR(MID(#REF!,FIND(", ",#REF!)+2,256),"")</f>
        <v/>
      </c>
      <c r="V15" s="515" t="str">
        <f>IFERROR(INDEX(V!$O:$O,MATCH(U15,V!$J:$J,0)),"")</f>
        <v/>
      </c>
      <c r="W15" s="516" t="str">
        <f>IFERROR(MID(#REF!,FIND("^",SUBSTITUTE(#REF!,", ","^",1))+2,FIND("^",SUBSTITUTE(#REF!,", ","^",2))-FIND("^",SUBSTITUTE(#REF!,", ","^",1))-2),"")</f>
        <v/>
      </c>
      <c r="X15" s="515" t="str">
        <f>IFERROR(INDEX(V!$O:$O,MATCH(W15,V!$J:$J,0)),"")</f>
        <v/>
      </c>
      <c r="Y15" s="516" t="str">
        <f>IFERROR(MID(#REF!,FIND(", ",#REF!,FIND(", ",#REF!,FIND(", ",#REF!))+1)+2,30000),"")</f>
        <v/>
      </c>
      <c r="Z15" s="515" t="str">
        <f>IFERROR(INDEX(V!$O:$O,MATCH(Y15,V!$J:$J,0)),"")</f>
        <v/>
      </c>
    </row>
    <row r="16" spans="1:27" s="186" customFormat="1" x14ac:dyDescent="0.2">
      <c r="A16" s="126">
        <v>3</v>
      </c>
      <c r="B16" s="581" t="s">
        <v>472</v>
      </c>
      <c r="C16" s="93">
        <v>1</v>
      </c>
      <c r="D16" s="403">
        <v>13</v>
      </c>
      <c r="E16" s="127"/>
      <c r="F16" s="93">
        <v>7</v>
      </c>
      <c r="G16" s="316">
        <v>13</v>
      </c>
      <c r="H16" s="576" t="str">
        <f>(IF(C16-E14&gt;0,1)+IF(D16-E15&gt;0,1)+IF(F16-E17&gt;0,1)+IF(G16-E18&gt;0,1))&amp;"-"&amp;(IF(C16-E14&lt;0,1)+IF(D16-E15&lt;0,1)+IF(F16-E17&lt;0,1)+IF(G16-E18&lt;0,1))</f>
        <v>2-2</v>
      </c>
      <c r="I16" s="93" t="str">
        <f t="shared" si="8"/>
        <v>B2</v>
      </c>
      <c r="J16" s="584">
        <f t="shared" si="9"/>
        <v>2</v>
      </c>
      <c r="K16" s="653">
        <f>IF(AND(J16=1,J14=1,C16&gt;E14),1)+IF(AND(J16=1,J15=1,D16&gt;E15),1)+IF(AND(J16=1,J17=1,F16&gt;E17),1)+IF(AND(J16=1,J18=1,G16&gt;E18),1)+IF(AND(J16=2,J14=2,C16&gt;E14),1)+IF(AND(J16=2,J15=2,D16&gt;E15),1)+IF(AND(J16=2,J17=2,F16&gt;E17),1)+IF(AND(J16=2,J18=2,G16&gt;E18),1)+IF(AND(J16=3,J14=3,C16&gt;E14),1)+IF(AND(J16=3,J15=3,D16&gt;E15),1)+IF(AND(J16=3,J17=3,F16&gt;E17),1)+IF(AND(J16=3,J18=3,G16&gt;E18),1)</f>
        <v>2</v>
      </c>
      <c r="L16" s="652">
        <f>IF(AND(J16=1,J14=1),C16-E14)+IF(AND(J16=1,J15=1),D16-E15)+IF(AND(J16=1,J17=1),F16-E17)+IF(AND(J16=1,J18=1),G16-E18)+IF(AND(J16=2,J14=2),C16-E14)+IF(AND(J16=2,J15=2),D16-E15)+IF(AND(J16=2,J17=2),F16-E17)+IF(AND(J16=2,J18=2),G16-E18)+IF(AND(J16=3,J14=3),C16-E14)+IF(AND(J16=3,J15=3),D16-E15)+IF(AND(J16=3,J17=3),F16-E17)+IF(AND(J16=3,J18=3),G16-E18)</f>
        <v>6</v>
      </c>
      <c r="M16" s="668">
        <f t="shared" si="10"/>
        <v>20206</v>
      </c>
      <c r="Q16" s="139"/>
      <c r="R16" s="512">
        <f t="shared" si="2"/>
        <v>0</v>
      </c>
      <c r="S16" s="514" t="str">
        <f>IFERROR(LEFT(#REF!,(FIND(",",#REF!,1)-1)),"")</f>
        <v/>
      </c>
      <c r="T16" s="515" t="str">
        <f>IFERROR(INDEX(V!$O:$O,MATCH(S16,V!$J:$J,0)),"")</f>
        <v/>
      </c>
      <c r="U16" s="514" t="str">
        <f>IFERROR(MID(#REF!,FIND(", ",#REF!)+2,256),"")</f>
        <v/>
      </c>
      <c r="V16" s="515" t="str">
        <f>IFERROR(INDEX(V!$O:$O,MATCH(U16,V!$J:$J,0)),"")</f>
        <v/>
      </c>
      <c r="W16" s="516" t="str">
        <f>IFERROR(MID(#REF!,FIND("^",SUBSTITUTE(#REF!,", ","^",1))+2,FIND("^",SUBSTITUTE(#REF!,", ","^",2))-FIND("^",SUBSTITUTE(#REF!,", ","^",1))-2),"")</f>
        <v/>
      </c>
      <c r="X16" s="515" t="str">
        <f>IFERROR(INDEX(V!$O:$O,MATCH(W16,V!$J:$J,0)),"")</f>
        <v/>
      </c>
      <c r="Y16" s="516" t="str">
        <f>IFERROR(MID(#REF!,FIND(", ",#REF!,FIND(", ",#REF!,FIND(", ",#REF!))+1)+2,30000),"")</f>
        <v/>
      </c>
      <c r="Z16" s="515" t="str">
        <f>IFERROR(INDEX(V!$O:$O,MATCH(Y16,V!$J:$J,0)),"")</f>
        <v/>
      </c>
    </row>
    <row r="17" spans="1:27" s="186" customFormat="1" x14ac:dyDescent="0.2">
      <c r="A17" s="126">
        <v>4</v>
      </c>
      <c r="B17" s="581" t="s">
        <v>167</v>
      </c>
      <c r="C17" s="93">
        <v>13</v>
      </c>
      <c r="D17" s="548">
        <v>6</v>
      </c>
      <c r="E17" s="93">
        <v>13</v>
      </c>
      <c r="F17" s="127"/>
      <c r="G17" s="128">
        <v>13</v>
      </c>
      <c r="H17" s="576" t="str">
        <f>(IF(C17-F14&gt;0,1)+IF(D17-F15&gt;0,1)+IF(E17-F16&gt;0,1)+IF(G17-F18&gt;0,1))&amp;"-"&amp;(IF(C17-F14&lt;0,1)+IF(D17-F15&lt;0,1)+IF(E17-F16&lt;0,1)+IF(G17-F18&lt;0,1))</f>
        <v>3-1</v>
      </c>
      <c r="I17" s="93" t="str">
        <f t="shared" si="8"/>
        <v>B1</v>
      </c>
      <c r="J17" s="584">
        <f t="shared" si="9"/>
        <v>3</v>
      </c>
      <c r="K17" s="653">
        <f>IF(AND(J17=1,J14=1,C17&gt;F14),1)+IF(AND(J17=1,J15=1,D17&gt;F15),1)+IF(AND(J17=1,J16=1,E17&gt;F16),1)+IF(AND(J17=1,J18=1,G17&gt;F18),1)+IF(AND(J17=2,J14=2,C17&gt;F14),1)+IF(AND(J17=2,J15=2,D17&gt;F15),1)+IF(AND(J17=2,J16=2,E17&gt;F16),1)+IF(AND(J17=2,J18=2,G17&gt;F18),1)+IF(AND(J17=3,J14=3,C17&gt;F14),1)+IF(AND(J17=3,J15=3,D17&gt;F15),1)+IF(AND(J17=3,J16=3,E17&gt;F16),1)+IF(AND(J17=3,J18=3,G17&gt;F18),1)</f>
        <v>0</v>
      </c>
      <c r="L17" s="652">
        <f>IF(AND(J17=1,J14=1),C17-F14)+IF(AND(J17=1,J15=1),D17-F15)+IF(AND(J17=1,J16=1),E17-F16)+IF(AND(J17=1,J18=1),G17-F18)+IF(AND(J17=2,J14=2),C17-F14)+IF(AND(J17=2,J15=2),D17-F15)+IF(AND(J17=2,J16=2),E17-F16)+IF(AND(J17=2,J18=2),G17-F18)+IF(AND(J17=3,J14=3),C17-F14)+IF(AND(J17=3,J15=3),D17-F15)+IF(AND(J17=3,J16=3),E17-F16)+IF(AND(J17=3,J18=3),G17-F18)</f>
        <v>0</v>
      </c>
      <c r="M17" s="668">
        <f t="shared" si="10"/>
        <v>30000</v>
      </c>
      <c r="Q17" s="139"/>
      <c r="R17" s="512">
        <f t="shared" si="2"/>
        <v>0</v>
      </c>
      <c r="S17" s="514" t="str">
        <f>IFERROR(LEFT(#REF!,(FIND(",",#REF!,1)-1)),"")</f>
        <v/>
      </c>
      <c r="T17" s="515" t="str">
        <f>IFERROR(INDEX(V!$O:$O,MATCH(S17,V!$J:$J,0)),"")</f>
        <v/>
      </c>
      <c r="U17" s="514" t="str">
        <f>IFERROR(MID(#REF!,FIND(", ",#REF!)+2,256),"")</f>
        <v/>
      </c>
      <c r="V17" s="515" t="str">
        <f>IFERROR(INDEX(V!$O:$O,MATCH(U17,V!$J:$J,0)),"")</f>
        <v/>
      </c>
      <c r="W17" s="516" t="str">
        <f>IFERROR(MID(#REF!,FIND("^",SUBSTITUTE(#REF!,", ","^",1))+2,FIND("^",SUBSTITUTE(#REF!,", ","^",2))-FIND("^",SUBSTITUTE(#REF!,", ","^",1))-2),"")</f>
        <v/>
      </c>
      <c r="X17" s="515" t="str">
        <f>IFERROR(INDEX(V!$O:$O,MATCH(W17,V!$J:$J,0)),"")</f>
        <v/>
      </c>
      <c r="Y17" s="516" t="str">
        <f>IFERROR(MID(#REF!,FIND(", ",#REF!,FIND(", ",#REF!,FIND(", ",#REF!))+1)+2,30000),"")</f>
        <v/>
      </c>
      <c r="Z17" s="515" t="str">
        <f>IFERROR(INDEX(V!$O:$O,MATCH(Y17,V!$J:$J,0)),"")</f>
        <v/>
      </c>
    </row>
    <row r="18" spans="1:27" s="186" customFormat="1" x14ac:dyDescent="0.2">
      <c r="A18" s="126">
        <v>5</v>
      </c>
      <c r="B18" s="581" t="s">
        <v>611</v>
      </c>
      <c r="C18" s="93">
        <v>13</v>
      </c>
      <c r="D18" s="316">
        <v>13</v>
      </c>
      <c r="E18" s="316">
        <v>8</v>
      </c>
      <c r="F18" s="93">
        <v>6</v>
      </c>
      <c r="G18" s="127"/>
      <c r="H18" s="576" t="str">
        <f>(IF(C18-G14&gt;0,1)+IF(D18-G15&gt;0,1)+IF(E18-G16&gt;0,1)+IF(F18-G17&gt;0,1))&amp;"-"&amp;(IF(C18-G14&lt;0,1)+IF(D18-G15&lt;0,1)+IF(E18-G16&lt;0,1)+IF(F18-G17&lt;0,1))</f>
        <v>2-2</v>
      </c>
      <c r="I18" s="93" t="str">
        <f t="shared" si="8"/>
        <v>B3</v>
      </c>
      <c r="J18" s="584">
        <f t="shared" si="9"/>
        <v>2</v>
      </c>
      <c r="K18" s="653">
        <f>IF(AND(J18=1,J14=1,C18&gt;G14),1)+IF(AND(J18=1,J15=1,D18&gt;G15),1)+IF(AND(J18=1,J16=1,E18&gt;G16),1)+IF(AND(J18=1,J17=1,F18&gt;G17),1)+IF(AND(J18=2,J14=2,C18&gt;G14),1)+IF(AND(J18=2,J15=2,D18&gt;G15),1)+IF(AND(J18=2,J16=2,E18&gt;G16),1)+IF(AND(J18=2,J17=2,F18&gt;G17),1)+IF(AND(J18=3,J14=3,C18&gt;G14),1)+IF(AND(J18=3,J15=3,D18&gt;G15),1)+IF(AND(J18=3,J16=3,E18&gt;G16),1)+IF(AND(J18=3,J17=3,F18&gt;G17),1)</f>
        <v>1</v>
      </c>
      <c r="L18" s="652">
        <f>IF(AND(J18=1,J14=1),C18-G14)+IF(AND(J18=1,J15=1),D18-G15)+IF(AND(J18=1,J16=1),E18-G16)+IF(AND(J18=1,J17=1),F18-G17)+IF(AND(J18=2,J14=2),C18-G14)+IF(AND(J18=2,J15=2),D18-G15)+IF(AND(J18=2,J16=2),E18-G16)+IF(AND(J18=2,J17=2),F18-G17)+IF(AND(J18=3,J14=3),C18-G14)+IF(AND(J18=3,J15=3),D18-G15)+IF(AND(J18=3,J16=3),E18-G16)+IF(AND(J18=3,J17=3),F18-G17)</f>
        <v>2</v>
      </c>
      <c r="M18" s="668">
        <f t="shared" si="10"/>
        <v>20102</v>
      </c>
      <c r="Q18" s="139"/>
      <c r="R18" s="512">
        <f t="shared" si="2"/>
        <v>134</v>
      </c>
      <c r="S18" s="514" t="str">
        <f t="shared" si="4"/>
        <v>Kenneth Muusikus</v>
      </c>
      <c r="T18" s="515">
        <f>IFERROR(INDEX(V!$O:$O,MATCH(S18,V!$J:$J,0)),"")</f>
        <v>80</v>
      </c>
      <c r="U18" s="514" t="str">
        <f t="shared" si="5"/>
        <v>Peep Peenema</v>
      </c>
      <c r="V18" s="515">
        <f>IFERROR(INDEX(V!$O:$O,MATCH(U18,V!$J:$J,0)),"")</f>
        <v>54</v>
      </c>
      <c r="W18" s="516" t="str">
        <f t="shared" si="6"/>
        <v/>
      </c>
      <c r="X18" s="515" t="str">
        <f>IFERROR(INDEX(V!$O:$O,MATCH(W18,V!$J:$J,0)),"")</f>
        <v/>
      </c>
      <c r="Y18" s="516" t="str">
        <f t="shared" si="7"/>
        <v/>
      </c>
      <c r="Z18" s="515" t="str">
        <f>IFERROR(INDEX(V!$O:$O,MATCH(Y18,V!$J:$J,0)),"")</f>
        <v/>
      </c>
    </row>
    <row r="19" spans="1:27" s="188" customFormat="1" x14ac:dyDescent="0.2">
      <c r="A19" s="121"/>
      <c r="B19" s="422"/>
      <c r="C19" s="96"/>
      <c r="D19" s="312"/>
      <c r="E19" s="96"/>
      <c r="F19" s="97"/>
      <c r="H19" s="402"/>
      <c r="I19" s="580"/>
      <c r="J19" s="585"/>
      <c r="K19" s="657"/>
      <c r="L19" s="655"/>
      <c r="M19" s="585"/>
      <c r="N19" s="186"/>
      <c r="O19" s="186"/>
      <c r="P19" s="186"/>
      <c r="Q19" s="139"/>
      <c r="R19" s="88"/>
      <c r="S19" s="88"/>
      <c r="T19" s="88"/>
      <c r="U19" s="88"/>
      <c r="V19" s="88"/>
      <c r="W19" s="88"/>
      <c r="X19" s="88"/>
      <c r="Y19" s="88"/>
      <c r="Z19" s="88"/>
      <c r="AA19" s="88"/>
    </row>
    <row r="20" spans="1:27" s="186" customFormat="1" x14ac:dyDescent="0.2">
      <c r="A20" s="126" t="s">
        <v>90</v>
      </c>
      <c r="B20" s="648" t="s">
        <v>473</v>
      </c>
      <c r="C20" s="91">
        <v>1</v>
      </c>
      <c r="D20" s="91">
        <v>2</v>
      </c>
      <c r="E20" s="91">
        <v>3</v>
      </c>
      <c r="F20" s="91">
        <v>4</v>
      </c>
      <c r="G20" s="91">
        <v>5</v>
      </c>
      <c r="H20" s="438" t="s">
        <v>73</v>
      </c>
      <c r="I20" s="438" t="s">
        <v>46</v>
      </c>
      <c r="J20" s="586" t="s">
        <v>273</v>
      </c>
      <c r="K20" s="649" t="s">
        <v>273</v>
      </c>
      <c r="L20" s="656" t="s">
        <v>430</v>
      </c>
      <c r="M20" s="588" t="b">
        <f>OR(AND(COUNTA(B21:B25)=3,COUNTA(C21:G25)=6),AND(COUNTA(B21:B25)=4,COUNTA(C21:G25)=12),AND(COUNTA(B21:B25)=5,COUNTA(C21:G25)=20))</f>
        <v>1</v>
      </c>
      <c r="Q20" s="139"/>
      <c r="R20" s="88"/>
      <c r="S20" s="88"/>
      <c r="T20" s="88"/>
      <c r="U20" s="88"/>
      <c r="V20" s="88"/>
      <c r="W20" s="88"/>
      <c r="X20" s="88"/>
      <c r="Y20" s="88"/>
      <c r="Z20" s="88"/>
      <c r="AA20" s="88"/>
    </row>
    <row r="21" spans="1:27" s="186" customFormat="1" x14ac:dyDescent="0.2">
      <c r="A21" s="126">
        <v>1</v>
      </c>
      <c r="B21" s="581" t="s">
        <v>168</v>
      </c>
      <c r="C21" s="127"/>
      <c r="D21" s="93">
        <v>10</v>
      </c>
      <c r="E21" s="93">
        <v>1</v>
      </c>
      <c r="F21" s="93">
        <v>1</v>
      </c>
      <c r="G21" s="93">
        <v>3</v>
      </c>
      <c r="H21" s="576" t="str">
        <f>(IF(D21-C22&gt;0,1)+IF(E21-C23&gt;0,1)+IF(F21-C24&gt;0,1)+IF(G21-C25&gt;0,1))&amp;"-"&amp;(IF(D21-C22&lt;0,1)+IF(E21-C23&lt;0,1)+IF(F21-C24&lt;0,1)+IF(G21-C25&lt;0,1))</f>
        <v>0-4</v>
      </c>
      <c r="I21" s="93" t="str">
        <f>IF(AND(B21&lt;&gt;"",M$20=TRUE),A$20&amp;RANK(M21,M$21:M$25,0),"")</f>
        <v>B5</v>
      </c>
      <c r="J21" s="584">
        <f>VALUE(LEFT(H21,1))</f>
        <v>0</v>
      </c>
      <c r="K21" s="651">
        <f>IF(AND(J21=1,J22=1,D21&gt;C22),1)+IF(AND(J21=1,J23=1,E21&gt;C23),1)+IF(AND(J21=1,J24=1,F21&gt;C24),1)+IF(AND(J21=1,J25=1,G21&gt;C25),1)+IF(AND(J21=2,J22=2,D21&gt;C22),1)+IF(AND(J21=2,J23=2,E21&gt;C23),1)+IF(AND(J21=2,J24=2,F21&gt;C24),1)+IF(AND(J21=2,J25=2,G21&gt;C25),1)+IF(AND(J21=3,J22=3,D21&gt;C22),1)+IF(AND(J21=3,J23=3,E21&gt;C23),1)+IF(AND(J21=3,J24=3,F21&gt;C24),1)+IF(AND(J21=3,J25=3,G21&gt;C25),1)</f>
        <v>0</v>
      </c>
      <c r="L21" s="652">
        <f>IF(AND(J21=1,J22=1),D21-C22)+IF(AND(J21=1,J23=1),E21-C23)+IF(AND(J21=1,J24=1),F21-C24)+IF(AND(J21=1,J25=1),G21-C25)+IF(AND(J21=2,J22=2),D21-C22)+IF(AND(J21=2,J23=2),E21-C23)+IF(AND(J21=2,J24=2),F21-C24)+IF(AND(J21=2,J25=2),G21-C25)+IF(AND(J21=3,J22=3),D21-C22)+IF(AND(J21=3,J23=3),E21-C23)+IF(AND(J21=3,J24=3),F21-C24)+IF(AND(J21=3,J25=3),G21-C25)</f>
        <v>0</v>
      </c>
      <c r="M21" s="668">
        <f>10000*J21+K21*100+L21</f>
        <v>0</v>
      </c>
      <c r="Q21" s="139"/>
      <c r="R21" s="512">
        <f t="shared" ref="R21:R25" si="11">SUM(T21:Z21)</f>
        <v>0</v>
      </c>
      <c r="S21" s="514" t="str">
        <f>IFERROR(LEFT(#REF!,(FIND(",",#REF!,1)-1)),"")</f>
        <v/>
      </c>
      <c r="T21" s="515" t="str">
        <f>IFERROR(INDEX(V!$O:$O,MATCH(S21,V!$J:$J,0)),"")</f>
        <v/>
      </c>
      <c r="U21" s="514" t="str">
        <f>IFERROR(MID(#REF!,FIND(", ",#REF!)+2,256),"")</f>
        <v/>
      </c>
      <c r="V21" s="515" t="str">
        <f>IFERROR(INDEX(V!$O:$O,MATCH(U21,V!$J:$J,0)),"")</f>
        <v/>
      </c>
      <c r="W21" s="516" t="str">
        <f>IFERROR(MID(#REF!,FIND("^",SUBSTITUTE(#REF!,", ","^",1))+2,FIND("^",SUBSTITUTE(#REF!,", ","^",2))-FIND("^",SUBSTITUTE(#REF!,", ","^",1))-2),"")</f>
        <v/>
      </c>
      <c r="X21" s="515" t="str">
        <f>IFERROR(INDEX(V!$O:$O,MATCH(W21,V!$J:$J,0)),"")</f>
        <v/>
      </c>
      <c r="Y21" s="516" t="str">
        <f>IFERROR(MID(#REF!,FIND(", ",#REF!,FIND(", ",#REF!,FIND(", ",#REF!))+1)+2,30000),"")</f>
        <v/>
      </c>
      <c r="Z21" s="515" t="str">
        <f>IFERROR(INDEX(V!$O:$O,MATCH(Y21,V!$J:$J,0)),"")</f>
        <v/>
      </c>
    </row>
    <row r="22" spans="1:27" s="186" customFormat="1" x14ac:dyDescent="0.2">
      <c r="A22" s="126">
        <v>2</v>
      </c>
      <c r="B22" s="581" t="s">
        <v>175</v>
      </c>
      <c r="C22" s="93">
        <v>13</v>
      </c>
      <c r="D22" s="127"/>
      <c r="E22" s="316">
        <v>12</v>
      </c>
      <c r="F22" s="316">
        <v>13</v>
      </c>
      <c r="G22" s="93">
        <v>13</v>
      </c>
      <c r="H22" s="576" t="str">
        <f>(IF(C22-D21&gt;0,1)+IF(E22-D23&gt;0,1)+IF(F22-D24&gt;0,1)+IF(G22-D25&gt;0,1))&amp;"-"&amp;(IF(C22-D21&lt;0,1)+IF(E22-D23&lt;0,1)+IF(F22-D24&lt;0,1)+IF(G22-D25&lt;0,1))</f>
        <v>3-1</v>
      </c>
      <c r="I22" s="93" t="str">
        <f>IF(AND(B22&lt;&gt;"",M$20=TRUE),A$20&amp;RANK(M22,M$21:M$25,0),"")</f>
        <v>B1</v>
      </c>
      <c r="J22" s="584">
        <f t="shared" ref="J22:J25" si="12">VALUE(LEFT(H22,1))</f>
        <v>3</v>
      </c>
      <c r="K22" s="653">
        <f>IF(AND(J22=1,J21=1,C22&gt;D21),1)+IF(AND(J22=1,J23=1,E22&gt;D23),1)+IF(AND(J22=1,J24=1,F22&gt;D24),1)+IF(AND(J22=1,J25=1,G22&gt;D25),1)+IF(AND(J22=2,J21=2,C22&gt;D21),1)+IF(AND(J22=2,J23=2,E22&gt;D23),1)+IF(AND(J22=2,J24=2,F22&gt;D24),1)+IF(AND(J22=2,J25=2,G22&gt;D25),1)+IF(AND(J22=3,J21=3,C22&gt;D21),1)+IF(AND(J22=3,J23=3,E22&gt;D23),1)+IF(AND(J22=3,J24=3,F22&gt;D24),1)+IF(AND(J22=3,J25=3,G22&gt;D25),1)</f>
        <v>1</v>
      </c>
      <c r="L22" s="652">
        <f>IF(AND(J22=1,J21=1),C22-D21)+IF(AND(J22=1,J23=1),E22-D23)+IF(AND(J22=1,J24=1),F22-D24)+IF(AND(J22=1,J25=1),G22-D25)+IF(AND(J22=2,J21=2),C22-D21)+IF(AND(J22=2,J23=2),E22-D23)+IF(AND(J22=2,J24=2),F22-D24)+IF(AND(J22=2,J25=2),G22-D25)+IF(AND(J22=3,J21=3),C22-D21)+IF(AND(J22=3,J23=3),E22-D23)+IF(AND(J22=3,J24=3),F22-D24)+IF(AND(J22=3,J25=3),G22-D25)</f>
        <v>6</v>
      </c>
      <c r="M22" s="668">
        <f t="shared" ref="M22:M25" si="13">10000*J22+K22*100+L22</f>
        <v>30106</v>
      </c>
      <c r="Q22" s="139"/>
      <c r="R22" s="512">
        <f t="shared" si="11"/>
        <v>0</v>
      </c>
      <c r="S22" s="514" t="str">
        <f>IFERROR(LEFT(#REF!,(FIND(",",#REF!,1)-1)),"")</f>
        <v/>
      </c>
      <c r="T22" s="515" t="str">
        <f>IFERROR(INDEX(V!$O:$O,MATCH(S22,V!$J:$J,0)),"")</f>
        <v/>
      </c>
      <c r="U22" s="514" t="str">
        <f>IFERROR(MID(#REF!,FIND(", ",#REF!)+2,256),"")</f>
        <v/>
      </c>
      <c r="V22" s="515" t="str">
        <f>IFERROR(INDEX(V!$O:$O,MATCH(U22,V!$J:$J,0)),"")</f>
        <v/>
      </c>
      <c r="W22" s="516" t="str">
        <f>IFERROR(MID(#REF!,FIND("^",SUBSTITUTE(#REF!,", ","^",1))+2,FIND("^",SUBSTITUTE(#REF!,", ","^",2))-FIND("^",SUBSTITUTE(#REF!,", ","^",1))-2),"")</f>
        <v/>
      </c>
      <c r="X22" s="515" t="str">
        <f>IFERROR(INDEX(V!$O:$O,MATCH(W22,V!$J:$J,0)),"")</f>
        <v/>
      </c>
      <c r="Y22" s="516" t="str">
        <f>IFERROR(MID(#REF!,FIND(", ",#REF!,FIND(", ",#REF!,FIND(", ",#REF!))+1)+2,30000),"")</f>
        <v/>
      </c>
      <c r="Z22" s="515" t="str">
        <f>IFERROR(INDEX(V!$O:$O,MATCH(Y22,V!$J:$J,0)),"")</f>
        <v/>
      </c>
    </row>
    <row r="23" spans="1:27" s="186" customFormat="1" x14ac:dyDescent="0.2">
      <c r="A23" s="126">
        <v>3</v>
      </c>
      <c r="B23" s="581" t="s">
        <v>472</v>
      </c>
      <c r="C23" s="93">
        <v>13</v>
      </c>
      <c r="D23" s="403">
        <v>13</v>
      </c>
      <c r="E23" s="127"/>
      <c r="F23" s="316">
        <v>7</v>
      </c>
      <c r="G23" s="93">
        <v>13</v>
      </c>
      <c r="H23" s="576" t="str">
        <f>(IF(C23-E21&gt;0,1)+IF(D23-E22&gt;0,1)+IF(F23-E24&gt;0,1)+IF(G23-E25&gt;0,1))&amp;"-"&amp;(IF(C23-E21&lt;0,1)+IF(D23-E22&lt;0,1)+IF(F23-E24&lt;0,1)+IF(G23-E25&lt;0,1))</f>
        <v>3-1</v>
      </c>
      <c r="I23" s="93" t="str">
        <f>IF(AND(B23&lt;&gt;"",M$20=TRUE),A$20&amp;RANK(M23,M$21:M$25,0),"")</f>
        <v>B3</v>
      </c>
      <c r="J23" s="584">
        <f t="shared" si="12"/>
        <v>3</v>
      </c>
      <c r="K23" s="653">
        <f>IF(AND(J23=1,J21=1,C23&gt;E21),1)+IF(AND(J23=1,J22=1,D23&gt;E22),1)+IF(AND(J23=1,J24=1,F23&gt;E24),1)+IF(AND(J23=1,J25=1,G23&gt;E25),1)+IF(AND(J23=2,J21=2,C23&gt;E21),1)+IF(AND(J23=2,J22=2,D23&gt;E22),1)+IF(AND(J23=2,J24=2,F23&gt;E24),1)+IF(AND(J23=2,J25=2,G23&gt;E25),1)+IF(AND(J23=3,J21=3,C23&gt;E21),1)+IF(AND(J23=3,J22=3,D23&gt;E22),1)+IF(AND(J23=3,J24=3,F23&gt;E24),1)+IF(AND(J23=3,J25=3,G23&gt;E25),1)</f>
        <v>1</v>
      </c>
      <c r="L23" s="652">
        <f>IF(AND(J23=1,J21=1),C23-E21)+IF(AND(J23=1,J22=1),D23-E22)+IF(AND(J23=1,J24=1),F23-E24)+IF(AND(J23=1,J25=1),G23-E25)+IF(AND(J23=2,J21=2),C23-E21)+IF(AND(J23=2,J22=2),D23-E22)+IF(AND(J23=2,J24=2),F23-E24)+IF(AND(J23=2,J25=2),G23-E25)+IF(AND(J23=3,J21=3),C23-E21)+IF(AND(J23=3,J22=3),D23-E22)+IF(AND(J23=3,J24=3),F23-E24)+IF(AND(J23=3,J25=3),G23-E25)</f>
        <v>-5</v>
      </c>
      <c r="M23" s="668">
        <f t="shared" si="13"/>
        <v>30095</v>
      </c>
      <c r="Q23" s="139"/>
      <c r="R23" s="512">
        <f t="shared" si="11"/>
        <v>0</v>
      </c>
      <c r="S23" s="514" t="str">
        <f>IFERROR(LEFT(#REF!,(FIND(",",#REF!,1)-1)),"")</f>
        <v/>
      </c>
      <c r="T23" s="515" t="str">
        <f>IFERROR(INDEX(V!$O:$O,MATCH(S23,V!$J:$J,0)),"")</f>
        <v/>
      </c>
      <c r="U23" s="514" t="str">
        <f>IFERROR(MID(#REF!,FIND(", ",#REF!)+2,256),"")</f>
        <v/>
      </c>
      <c r="V23" s="515" t="str">
        <f>IFERROR(INDEX(V!$O:$O,MATCH(U23,V!$J:$J,0)),"")</f>
        <v/>
      </c>
      <c r="W23" s="516" t="str">
        <f>IFERROR(MID(#REF!,FIND("^",SUBSTITUTE(#REF!,", ","^",1))+2,FIND("^",SUBSTITUTE(#REF!,", ","^",2))-FIND("^",SUBSTITUTE(#REF!,", ","^",1))-2),"")</f>
        <v/>
      </c>
      <c r="X23" s="515" t="str">
        <f>IFERROR(INDEX(V!$O:$O,MATCH(W23,V!$J:$J,0)),"")</f>
        <v/>
      </c>
      <c r="Y23" s="516" t="str">
        <f>IFERROR(MID(#REF!,FIND(", ",#REF!,FIND(", ",#REF!,FIND(", ",#REF!))+1)+2,30000),"")</f>
        <v/>
      </c>
      <c r="Z23" s="515" t="str">
        <f>IFERROR(INDEX(V!$O:$O,MATCH(Y23,V!$J:$J,0)),"")</f>
        <v/>
      </c>
    </row>
    <row r="24" spans="1:27" s="186" customFormat="1" x14ac:dyDescent="0.2">
      <c r="A24" s="126">
        <v>4</v>
      </c>
      <c r="B24" s="581" t="s">
        <v>167</v>
      </c>
      <c r="C24" s="93">
        <v>13</v>
      </c>
      <c r="D24" s="403">
        <v>6</v>
      </c>
      <c r="E24" s="316">
        <v>13</v>
      </c>
      <c r="F24" s="127"/>
      <c r="G24" s="128">
        <v>13</v>
      </c>
      <c r="H24" s="576" t="str">
        <f>(IF(C24-F21&gt;0,1)+IF(D24-F22&gt;0,1)+IF(E24-F23&gt;0,1)+IF(G24-F25&gt;0,1))&amp;"-"&amp;(IF(C24-F21&lt;0,1)+IF(D24-F22&lt;0,1)+IF(E24-F23&lt;0,1)+IF(G24-F25&lt;0,1))</f>
        <v>3-1</v>
      </c>
      <c r="I24" s="93" t="str">
        <f>IF(AND(B24&lt;&gt;"",M$20=TRUE),A$20&amp;RANK(M24,M$21:M$25,0),"")</f>
        <v>B2</v>
      </c>
      <c r="J24" s="584">
        <f t="shared" si="12"/>
        <v>3</v>
      </c>
      <c r="K24" s="653">
        <f>IF(AND(J24=1,J21=1,C24&gt;F21),1)+IF(AND(J24=1,J22=1,D24&gt;F22),1)+IF(AND(J24=1,J23=1,E24&gt;F23),1)+IF(AND(J24=1,J25=1,G24&gt;F25),1)+IF(AND(J24=2,J21=2,C24&gt;F21),1)+IF(AND(J24=2,J22=2,D24&gt;F22),1)+IF(AND(J24=2,J23=2,E24&gt;F23),1)+IF(AND(J24=2,J25=2,G24&gt;F25),1)+IF(AND(J24=3,J21=3,C24&gt;F21),1)+IF(AND(J24=3,J22=3,D24&gt;F22),1)+IF(AND(J24=3,J23=3,E24&gt;F23),1)+IF(AND(J24=3,J25=3,G24&gt;F25),1)</f>
        <v>1</v>
      </c>
      <c r="L24" s="652">
        <f>IF(AND(J24=1,J21=1),C24-F21)+IF(AND(J24=1,J22=1),D24-F22)+IF(AND(J24=1,J23=1),E24-F23)+IF(AND(J24=1,J25=1),G24-F25)+IF(AND(J24=2,J21=2),C24-F21)+IF(AND(J24=2,J22=2),D24-F22)+IF(AND(J24=2,J23=2),E24-F23)+IF(AND(J24=2,J25=2),G24-F25)+IF(AND(J24=3,J21=3),C24-F21)+IF(AND(J24=3,J22=3),D24-F22)+IF(AND(J24=3,J23=3),E24-F23)+IF(AND(J24=3,J25=3),G24-F25)</f>
        <v>-1</v>
      </c>
      <c r="M24" s="668">
        <f t="shared" si="13"/>
        <v>30099</v>
      </c>
      <c r="Q24" s="139"/>
      <c r="R24" s="512">
        <f t="shared" si="11"/>
        <v>0</v>
      </c>
      <c r="S24" s="514" t="str">
        <f>IFERROR(LEFT(#REF!,(FIND(",",#REF!,1)-1)),"")</f>
        <v/>
      </c>
      <c r="T24" s="515" t="str">
        <f>IFERROR(INDEX(V!$O:$O,MATCH(S24,V!$J:$J,0)),"")</f>
        <v/>
      </c>
      <c r="U24" s="514" t="str">
        <f>IFERROR(MID(#REF!,FIND(", ",#REF!)+2,256),"")</f>
        <v/>
      </c>
      <c r="V24" s="515" t="str">
        <f>IFERROR(INDEX(V!$O:$O,MATCH(U24,V!$J:$J,0)),"")</f>
        <v/>
      </c>
      <c r="W24" s="516" t="str">
        <f>IFERROR(MID(#REF!,FIND("^",SUBSTITUTE(#REF!,", ","^",1))+2,FIND("^",SUBSTITUTE(#REF!,", ","^",2))-FIND("^",SUBSTITUTE(#REF!,", ","^",1))-2),"")</f>
        <v/>
      </c>
      <c r="X24" s="515" t="str">
        <f>IFERROR(INDEX(V!$O:$O,MATCH(W24,V!$J:$J,0)),"")</f>
        <v/>
      </c>
      <c r="Y24" s="516" t="str">
        <f>IFERROR(MID(#REF!,FIND(", ",#REF!,FIND(", ",#REF!,FIND(", ",#REF!))+1)+2,30000),"")</f>
        <v/>
      </c>
      <c r="Z24" s="515" t="str">
        <f>IFERROR(INDEX(V!$O:$O,MATCH(Y24,V!$J:$J,0)),"")</f>
        <v/>
      </c>
    </row>
    <row r="25" spans="1:27" s="186" customFormat="1" x14ac:dyDescent="0.2">
      <c r="A25" s="126">
        <v>5</v>
      </c>
      <c r="B25" s="581" t="s">
        <v>611</v>
      </c>
      <c r="C25" s="93">
        <v>13</v>
      </c>
      <c r="D25" s="93">
        <v>3</v>
      </c>
      <c r="E25" s="93">
        <v>8</v>
      </c>
      <c r="F25" s="93">
        <v>6</v>
      </c>
      <c r="G25" s="93"/>
      <c r="H25" s="576" t="str">
        <f>(IF(C25-G21&gt;0,1)+IF(D25-G22&gt;0,1)+IF(E25-G23&gt;0,1)+IF(F25-G24&gt;0,1))&amp;"-"&amp;(IF(C25-G21&lt;0,1)+IF(D25-G22&lt;0,1)+IF(E25-G23&lt;0,1)+IF(F25-G24&lt;0,1))</f>
        <v>1-3</v>
      </c>
      <c r="I25" s="93" t="str">
        <f>IF(AND(B25&lt;&gt;"",M$20=TRUE),A$20&amp;RANK(M25,M$21:M$25,0),"")</f>
        <v>B4</v>
      </c>
      <c r="J25" s="584">
        <f t="shared" si="12"/>
        <v>1</v>
      </c>
      <c r="K25" s="653">
        <f>IF(AND(J25=1,J21=1,C25&gt;G21),1)+IF(AND(J25=1,J22=1,D25&gt;G22),1)+IF(AND(J25=1,J23=1,E25&gt;G23),1)+IF(AND(J25=1,J24=1,F25&gt;G24),1)+IF(AND(J25=2,J21=2,C25&gt;G21),1)+IF(AND(J25=2,J22=2,D25&gt;G22),1)+IF(AND(J25=2,J23=2,E25&gt;G23),1)+IF(AND(J25=2,J24=2,F25&gt;G24),1)+IF(AND(J25=3,J21=3,C25&gt;G21),1)+IF(AND(J25=3,J22=3,D25&gt;G22),1)+IF(AND(J25=3,J23=3,E25&gt;G23),1)+IF(AND(J25=3,J24=3,F25&gt;G24),1)</f>
        <v>0</v>
      </c>
      <c r="L25" s="652">
        <f>IF(AND(J25=1,J21=1),C25-G21)+IF(AND(J25=1,J22=1),D25-G22)+IF(AND(J25=1,J23=1),E25-G23)+IF(AND(J25=1,J24=1),F25-G24)+IF(AND(J25=2,J21=2),C25-G21)+IF(AND(J25=2,J22=2),D25-G22)+IF(AND(J25=2,J23=2),E25-G23)+IF(AND(J25=2,J24=2),F25-G24)+IF(AND(J25=3,J21=3),C25-G21)+IF(AND(J25=3,J22=3),D25-G22)+IF(AND(J25=3,J23=3),E25-G23)+IF(AND(J25=3,J24=3),F25-G24)</f>
        <v>0</v>
      </c>
      <c r="M25" s="668">
        <f t="shared" si="13"/>
        <v>10000</v>
      </c>
      <c r="Q25" s="139"/>
      <c r="R25" s="512">
        <f t="shared" si="11"/>
        <v>134</v>
      </c>
      <c r="S25" s="514" t="str">
        <f t="shared" si="4"/>
        <v>Kenneth Muusikus</v>
      </c>
      <c r="T25" s="515">
        <f>IFERROR(INDEX(V!$O:$O,MATCH(S25,V!$J:$J,0)),"")</f>
        <v>80</v>
      </c>
      <c r="U25" s="514" t="str">
        <f t="shared" si="5"/>
        <v>Peep Peenema</v>
      </c>
      <c r="V25" s="515">
        <f>IFERROR(INDEX(V!$O:$O,MATCH(U25,V!$J:$J,0)),"")</f>
        <v>54</v>
      </c>
      <c r="W25" s="516" t="str">
        <f t="shared" si="6"/>
        <v/>
      </c>
      <c r="X25" s="515" t="str">
        <f>IFERROR(INDEX(V!$O:$O,MATCH(W25,V!$J:$J,0)),"")</f>
        <v/>
      </c>
      <c r="Y25" s="516" t="str">
        <f t="shared" si="7"/>
        <v/>
      </c>
      <c r="Z25" s="515" t="str">
        <f>IFERROR(INDEX(V!$O:$O,MATCH(Y25,V!$J:$J,0)),"")</f>
        <v/>
      </c>
    </row>
    <row r="26" spans="1:27" s="186" customFormat="1" x14ac:dyDescent="0.2">
      <c r="A26" s="87"/>
      <c r="B26" s="88"/>
      <c r="C26" s="309"/>
      <c r="D26" s="309"/>
      <c r="E26" s="309"/>
      <c r="H26" s="589"/>
      <c r="I26" s="590"/>
      <c r="J26" s="591"/>
      <c r="K26" s="654"/>
      <c r="L26" s="658"/>
      <c r="M26" s="591"/>
      <c r="Q26" s="139"/>
      <c r="R26" s="88"/>
      <c r="S26" s="88"/>
      <c r="T26" s="88"/>
      <c r="U26" s="88"/>
      <c r="V26" s="88"/>
      <c r="W26" s="88"/>
      <c r="X26" s="88"/>
      <c r="Y26" s="88"/>
      <c r="Z26" s="88"/>
      <c r="AA26" s="88"/>
    </row>
    <row r="27" spans="1:27" s="188" customFormat="1" x14ac:dyDescent="0.2">
      <c r="A27" s="126" t="s">
        <v>166</v>
      </c>
      <c r="B27" s="659" t="s">
        <v>474</v>
      </c>
      <c r="C27" s="91">
        <v>1</v>
      </c>
      <c r="D27" s="91">
        <v>2</v>
      </c>
      <c r="E27" s="91">
        <v>3</v>
      </c>
      <c r="F27" s="91">
        <v>4</v>
      </c>
      <c r="G27" s="91"/>
      <c r="H27" s="438" t="s">
        <v>73</v>
      </c>
      <c r="I27" s="438" t="s">
        <v>46</v>
      </c>
      <c r="J27" s="586" t="s">
        <v>273</v>
      </c>
      <c r="K27" s="649" t="s">
        <v>273</v>
      </c>
      <c r="L27" s="656" t="s">
        <v>430</v>
      </c>
      <c r="M27" s="588" t="b">
        <f>OR(AND(COUNTA(B28:B32)=3,COUNTA(C28:G32)=6),AND(COUNTA(B28:B32)=4,COUNTA(C28:G32)=12),AND(COUNTA(B28:B32)=5,COUNTA(C28:G32)=20))</f>
        <v>1</v>
      </c>
      <c r="N27" s="186"/>
      <c r="O27" s="186"/>
      <c r="P27" s="186"/>
      <c r="Q27" s="139"/>
      <c r="R27" s="88"/>
      <c r="S27" s="88"/>
      <c r="T27" s="88"/>
      <c r="U27" s="88"/>
      <c r="V27" s="88"/>
      <c r="W27" s="88"/>
      <c r="X27" s="88"/>
      <c r="Y27" s="88"/>
      <c r="Z27" s="88"/>
      <c r="AA27" s="88"/>
    </row>
    <row r="28" spans="1:27" s="188" customFormat="1" x14ac:dyDescent="0.2">
      <c r="A28" s="126">
        <v>1</v>
      </c>
      <c r="B28" s="581" t="s">
        <v>470</v>
      </c>
      <c r="C28" s="127"/>
      <c r="D28" s="93">
        <v>12</v>
      </c>
      <c r="E28" s="93">
        <v>2</v>
      </c>
      <c r="F28" s="93">
        <v>4</v>
      </c>
      <c r="G28" s="128"/>
      <c r="H28" s="576" t="str">
        <f>(IF(D28-C29&gt;0,1)+IF(E28-C30&gt;0,1)+IF(F28-C31&gt;0,1)+IF(G28-C32&gt;0,1))&amp;"-"&amp;(IF(D28-C29&lt;0,1)+IF(E28-C30&lt;0,1)+IF(F28-C31&lt;0,1)+IF(G28-C32&lt;0,1))</f>
        <v>0-3</v>
      </c>
      <c r="I28" s="93" t="str">
        <f>IF(AND(B28&lt;&gt;"",M$27=TRUE),A$27&amp;RANK(M28,M$28:M$32,0),"")</f>
        <v>C4</v>
      </c>
      <c r="J28" s="584">
        <f>VALUE(LEFT(H28,1))</f>
        <v>0</v>
      </c>
      <c r="K28" s="651">
        <f>IF(AND(J28=1,J29=1,D28&gt;C29),1)+IF(AND(J28=1,J30=1,E28&gt;C30),1)+IF(AND(J28=1,J31=1,F28&gt;C31),1)+IF(AND(J28=1,J32=1,G28&gt;C32),1)+IF(AND(J28=2,J29=2,D28&gt;C29),1)+IF(AND(J28=2,J30=2,E28&gt;C30),1)+IF(AND(J28=2,J31=2,F28&gt;C31),1)+IF(AND(J28=2,J32=2,G28&gt;C32),1)+IF(AND(J28=3,J29=3,D28&gt;C29),1)+IF(AND(J28=3,J30=3,E28&gt;C30),1)+IF(AND(J28=3,J31=3,F28&gt;C31),1)+IF(AND(J28=3,J32=3,G28&gt;C32),1)</f>
        <v>0</v>
      </c>
      <c r="L28" s="652">
        <f>IF(AND(J28=1,J29=1),D28-C29)+IF(AND(J28=1,J30=1),E28-C30)+IF(AND(J28=1,J31=1),F28-C31)+IF(AND(J28=1,J32=1),G28-C32)+IF(AND(J28=2,J29=2),D28-C29)+IF(AND(J28=2,J30=2),E28-C30)+IF(AND(J28=2,J31=2),F28-C31)+IF(AND(J28=2,J32=2),G28-C32)+IF(AND(J28=3,J29=3),D28-C29)+IF(AND(J28=3,J30=3),E28-C30)+IF(AND(J28=3,J31=3),F28-C31)+IF(AND(J28=3,J32=3),G28-C32)</f>
        <v>0</v>
      </c>
      <c r="M28" s="668">
        <f>10000*J28+K28*100+L28</f>
        <v>0</v>
      </c>
      <c r="N28" s="186"/>
      <c r="O28" s="186"/>
      <c r="P28" s="186"/>
      <c r="Q28" s="139"/>
      <c r="R28" s="512">
        <f t="shared" si="2"/>
        <v>0</v>
      </c>
      <c r="S28" s="514" t="str">
        <f>IFERROR(LEFT(#REF!,(FIND(",",#REF!,1)-1)),"")</f>
        <v/>
      </c>
      <c r="T28" s="515" t="str">
        <f>IFERROR(INDEX(V!$O:$O,MATCH(S28,V!$J:$J,0)),"")</f>
        <v/>
      </c>
      <c r="U28" s="514" t="str">
        <f>IFERROR(MID(#REF!,FIND(", ",#REF!)+2,256),"")</f>
        <v/>
      </c>
      <c r="V28" s="515" t="str">
        <f>IFERROR(INDEX(V!$O:$O,MATCH(U28,V!$J:$J,0)),"")</f>
        <v/>
      </c>
      <c r="W28" s="516" t="str">
        <f>IFERROR(MID(#REF!,FIND("^",SUBSTITUTE(#REF!,", ","^",1))+2,FIND("^",SUBSTITUTE(#REF!,", ","^",2))-FIND("^",SUBSTITUTE(#REF!,", ","^",1))-2),"")</f>
        <v/>
      </c>
      <c r="X28" s="515" t="str">
        <f>IFERROR(INDEX(V!$O:$O,MATCH(W28,V!$J:$J,0)),"")</f>
        <v/>
      </c>
      <c r="Y28" s="516" t="str">
        <f>IFERROR(MID(#REF!,FIND(", ",#REF!,FIND(", ",#REF!,FIND(", ",#REF!))+1)+2,30000),"")</f>
        <v/>
      </c>
      <c r="Z28" s="515" t="str">
        <f>IFERROR(INDEX(V!$O:$O,MATCH(Y28,V!$J:$J,0)),"")</f>
        <v/>
      </c>
    </row>
    <row r="29" spans="1:27" s="188" customFormat="1" x14ac:dyDescent="0.2">
      <c r="A29" s="126">
        <v>2</v>
      </c>
      <c r="B29" s="581" t="s">
        <v>471</v>
      </c>
      <c r="C29" s="131">
        <v>13</v>
      </c>
      <c r="D29" s="127"/>
      <c r="E29" s="316">
        <v>13</v>
      </c>
      <c r="F29" s="316">
        <v>10</v>
      </c>
      <c r="G29" s="128"/>
      <c r="H29" s="576" t="str">
        <f>(IF(C29-D28&gt;0,1)+IF(E29-D30&gt;0,1)+IF(F29-D31&gt;0,1)+IF(G29-D32&gt;0,1))&amp;"-"&amp;(IF(C29-D28&lt;0,1)+IF(E29-D30&lt;0,1)+IF(F29-D31&lt;0,1)+IF(G29-D32&lt;0,1))</f>
        <v>2-1</v>
      </c>
      <c r="I29" s="93" t="str">
        <f t="shared" ref="I29:I33" si="14">IF(AND(B29&lt;&gt;"",M$27=TRUE),A$27&amp;RANK(M29,M$28:M$32,0),"")</f>
        <v>C1</v>
      </c>
      <c r="J29" s="584">
        <f t="shared" ref="J29:J32" si="15">VALUE(LEFT(H29,1))</f>
        <v>2</v>
      </c>
      <c r="K29" s="653">
        <f>IF(AND(J29=1,J28=1,C29&gt;D28),1)+IF(AND(J29=1,J30=1,E29&gt;D30),1)+IF(AND(J29=1,J31=1,F29&gt;D31),1)+IF(AND(J29=1,J32=1,G29&gt;D32),1)+IF(AND(J29=2,J28=2,C29&gt;D28),1)+IF(AND(J29=2,J30=2,E29&gt;D30),1)+IF(AND(J29=2,J31=2,F29&gt;D31),1)+IF(AND(J29=2,J32=2,G29&gt;D32),1)+IF(AND(J29=3,J28=3,C29&gt;D28),1)+IF(AND(J29=3,J30=3,E29&gt;D30),1)+IF(AND(J29=3,J31=3,F29&gt;D31),1)+IF(AND(J29=3,J32=3,G29&gt;D32),1)</f>
        <v>1</v>
      </c>
      <c r="L29" s="652">
        <f>IF(AND(J29=1,J28=1),C29-D28)+IF(AND(J29=1,J30=1),E29-D30)+IF(AND(J29=1,J31=1),F29-D31)+IF(AND(J29=1,J32=1),G29-D32)+IF(AND(J29=2,J28=2),C29-D28)+IF(AND(J29=2,J30=2),E29-D30)+IF(AND(J29=2,J31=2),F29-D31)+IF(AND(J29=2,J32=2),G29-D32)+IF(AND(J29=3,J28=3),C29-D28)+IF(AND(J29=3,J30=3),E29-D30)+IF(AND(J29=3,J31=3),F29-D31)+IF(AND(J29=3,J32=3),G29-D32)</f>
        <v>2</v>
      </c>
      <c r="M29" s="668">
        <f t="shared" ref="M29:M32" si="16">10000*J29+K29*100+L29</f>
        <v>20102</v>
      </c>
      <c r="N29" s="186"/>
      <c r="O29" s="186"/>
      <c r="P29" s="186"/>
      <c r="Q29" s="139"/>
      <c r="R29" s="512">
        <f t="shared" si="2"/>
        <v>0</v>
      </c>
      <c r="S29" s="514" t="str">
        <f>IFERROR(LEFT(#REF!,(FIND(",",#REF!,1)-1)),"")</f>
        <v/>
      </c>
      <c r="T29" s="515" t="str">
        <f>IFERROR(INDEX(V!$O:$O,MATCH(S29,V!$J:$J,0)),"")</f>
        <v/>
      </c>
      <c r="U29" s="514" t="str">
        <f>IFERROR(MID(#REF!,FIND(", ",#REF!)+2,256),"")</f>
        <v/>
      </c>
      <c r="V29" s="515" t="str">
        <f>IFERROR(INDEX(V!$O:$O,MATCH(U29,V!$J:$J,0)),"")</f>
        <v/>
      </c>
      <c r="W29" s="516" t="str">
        <f>IFERROR(MID(#REF!,FIND("^",SUBSTITUTE(#REF!,", ","^",1))+2,FIND("^",SUBSTITUTE(#REF!,", ","^",2))-FIND("^",SUBSTITUTE(#REF!,", ","^",1))-2),"")</f>
        <v/>
      </c>
      <c r="X29" s="515" t="str">
        <f>IFERROR(INDEX(V!$O:$O,MATCH(W29,V!$J:$J,0)),"")</f>
        <v/>
      </c>
      <c r="Y29" s="516" t="str">
        <f>IFERROR(MID(#REF!,FIND(", ",#REF!,FIND(", ",#REF!,FIND(", ",#REF!))+1)+2,30000),"")</f>
        <v/>
      </c>
      <c r="Z29" s="515" t="str">
        <f>IFERROR(INDEX(V!$O:$O,MATCH(Y29,V!$J:$J,0)),"")</f>
        <v/>
      </c>
    </row>
    <row r="30" spans="1:27" s="188" customFormat="1" x14ac:dyDescent="0.2">
      <c r="A30" s="126">
        <v>3</v>
      </c>
      <c r="B30" s="581" t="s">
        <v>417</v>
      </c>
      <c r="C30" s="93">
        <v>13</v>
      </c>
      <c r="D30" s="403">
        <v>8</v>
      </c>
      <c r="E30" s="127"/>
      <c r="F30" s="316">
        <v>13</v>
      </c>
      <c r="G30" s="128"/>
      <c r="H30" s="576" t="str">
        <f>(IF(C30-E28&gt;0,1)+IF(D30-E29&gt;0,1)+IF(F30-E31&gt;0,1)+IF(G30-E32&gt;0,1))&amp;"-"&amp;(IF(C30-E28&lt;0,1)+IF(D30-E29&lt;0,1)+IF(F30-E31&lt;0,1)+IF(G30-E32&lt;0,1))</f>
        <v>2-1</v>
      </c>
      <c r="I30" s="93" t="str">
        <f t="shared" si="14"/>
        <v>C2</v>
      </c>
      <c r="J30" s="584">
        <f t="shared" si="15"/>
        <v>2</v>
      </c>
      <c r="K30" s="653">
        <f>IF(AND(J30=1,J28=1,C30&gt;E28),1)+IF(AND(J30=1,J29=1,D30&gt;E29),1)+IF(AND(J30=1,J31=1,F30&gt;E31),1)+IF(AND(J30=1,J32=1,G30&gt;E32),1)+IF(AND(J30=2,J28=2,C30&gt;E28),1)+IF(AND(J30=2,J29=2,D30&gt;E29),1)+IF(AND(J30=2,J31=2,F30&gt;E31),1)+IF(AND(J30=2,J32=2,G30&gt;E32),1)+IF(AND(J30=3,J28=3,C30&gt;E28),1)+IF(AND(J30=3,J29=3,D30&gt;E29),1)+IF(AND(J30=3,J31=3,F30&gt;E31),1)+IF(AND(J30=3,J32=3,G30&gt;E32),1)</f>
        <v>1</v>
      </c>
      <c r="L30" s="652">
        <f>IF(AND(J30=1,J28=1),C30-E28)+IF(AND(J30=1,J29=1),D30-E29)+IF(AND(J30=1,J31=1),F30-E31)+IF(AND(J30=1,J32=1),G30-E32)+IF(AND(J30=2,J28=2),C30-E28)+IF(AND(J30=2,J29=2),D30-E29)+IF(AND(J30=2,J31=2),F30-E31)+IF(AND(J30=2,J32=2),G30-E32)+IF(AND(J30=3,J28=3),C30-E28)+IF(AND(J30=3,J29=3),D30-E29)+IF(AND(J30=3,J31=3),F30-E31)+IF(AND(J30=3,J32=3),G30-E32)</f>
        <v>0</v>
      </c>
      <c r="M30" s="668">
        <f t="shared" si="16"/>
        <v>20100</v>
      </c>
      <c r="N30" s="186"/>
      <c r="O30" s="186"/>
      <c r="P30" s="186"/>
      <c r="Q30" s="139"/>
      <c r="R30" s="512">
        <f t="shared" si="2"/>
        <v>0</v>
      </c>
      <c r="S30" s="514" t="str">
        <f>IFERROR(LEFT(#REF!,(FIND(",",#REF!,1)-1)),"")</f>
        <v/>
      </c>
      <c r="T30" s="515" t="str">
        <f>IFERROR(INDEX(V!$O:$O,MATCH(S30,V!$J:$J,0)),"")</f>
        <v/>
      </c>
      <c r="U30" s="514" t="str">
        <f>IFERROR(MID(#REF!,FIND(", ",#REF!)+2,256),"")</f>
        <v/>
      </c>
      <c r="V30" s="515" t="str">
        <f>IFERROR(INDEX(V!$O:$O,MATCH(U30,V!$J:$J,0)),"")</f>
        <v/>
      </c>
      <c r="W30" s="516" t="str">
        <f>IFERROR(MID(#REF!,FIND("^",SUBSTITUTE(#REF!,", ","^",1))+2,FIND("^",SUBSTITUTE(#REF!,", ","^",2))-FIND("^",SUBSTITUTE(#REF!,", ","^",1))-2),"")</f>
        <v/>
      </c>
      <c r="X30" s="515" t="str">
        <f>IFERROR(INDEX(V!$O:$O,MATCH(W30,V!$J:$J,0)),"")</f>
        <v/>
      </c>
      <c r="Y30" s="516" t="str">
        <f>IFERROR(MID(#REF!,FIND(", ",#REF!,FIND(", ",#REF!,FIND(", ",#REF!))+1)+2,30000),"")</f>
        <v/>
      </c>
      <c r="Z30" s="515" t="str">
        <f>IFERROR(INDEX(V!$O:$O,MATCH(Y30,V!$J:$J,0)),"")</f>
        <v/>
      </c>
    </row>
    <row r="31" spans="1:27" s="188" customFormat="1" x14ac:dyDescent="0.2">
      <c r="A31" s="126">
        <v>4</v>
      </c>
      <c r="B31" s="164" t="s">
        <v>117</v>
      </c>
      <c r="C31" s="93">
        <v>13</v>
      </c>
      <c r="D31" s="403">
        <v>13</v>
      </c>
      <c r="E31" s="316">
        <v>8</v>
      </c>
      <c r="F31" s="127"/>
      <c r="G31" s="128"/>
      <c r="H31" s="576" t="str">
        <f>(IF(C31-F28&gt;0,1)+IF(D31-F29&gt;0,1)+IF(E31-F30&gt;0,1)+IF(G31-F32&gt;0,1))&amp;"-"&amp;(IF(C31-F28&lt;0,1)+IF(D31-F29&lt;0,1)+IF(E31-F30&lt;0,1)+IF(G31-F32&lt;0,1))</f>
        <v>2-1</v>
      </c>
      <c r="I31" s="93" t="str">
        <f t="shared" si="14"/>
        <v>C3</v>
      </c>
      <c r="J31" s="584">
        <f t="shared" si="15"/>
        <v>2</v>
      </c>
      <c r="K31" s="653">
        <f>IF(AND(J31=1,J28=1,C31&gt;F28),1)+IF(AND(J31=1,J29=1,D31&gt;F29),1)+IF(AND(J31=1,J30=1,E31&gt;F30),1)+IF(AND(J31=1,J32=1,G31&gt;F32),1)+IF(AND(J31=2,J28=2,C31&gt;F28),1)+IF(AND(J31=2,J29=2,D31&gt;F29),1)+IF(AND(J31=2,J30=2,E31&gt;F30),1)+IF(AND(J31=2,J32=2,G31&gt;F32),1)+IF(AND(J31=3,J28=3,C31&gt;F28),1)+IF(AND(J31=3,J29=3,D31&gt;F29),1)+IF(AND(J31=3,J30=3,E31&gt;F30),1)+IF(AND(J31=3,J32=3,G31&gt;F32),1)</f>
        <v>1</v>
      </c>
      <c r="L31" s="652">
        <f>IF(AND(J31=1,J28=1),C31-F28)+IF(AND(J31=1,J29=1),D31-F29)+IF(AND(J31=1,J30=1),E31-F30)+IF(AND(J31=1,J32=1),G31-F32)+IF(AND(J31=2,J28=2),C31-F28)+IF(AND(J31=2,J29=2),D31-F29)+IF(AND(J31=2,J30=2),E31-F30)+IF(AND(J31=2,J32=2),G31-F32)+IF(AND(J31=3,J28=3),C31-F28)+IF(AND(J31=3,J29=3),D31-F29)+IF(AND(J31=3,J30=3),E31-F30)+IF(AND(J31=3,J32=3),G31-F32)</f>
        <v>-2</v>
      </c>
      <c r="M31" s="668">
        <f t="shared" si="16"/>
        <v>20098</v>
      </c>
      <c r="N31" s="186"/>
      <c r="O31" s="186"/>
      <c r="P31" s="186"/>
      <c r="Q31" s="139"/>
      <c r="R31" s="512">
        <f t="shared" si="2"/>
        <v>0</v>
      </c>
      <c r="S31" s="514" t="str">
        <f>IFERROR(LEFT(#REF!,(FIND(",",#REF!,1)-1)),"")</f>
        <v/>
      </c>
      <c r="T31" s="515" t="str">
        <f>IFERROR(INDEX(V!$O:$O,MATCH(S31,V!$J:$J,0)),"")</f>
        <v/>
      </c>
      <c r="U31" s="514" t="str">
        <f>IFERROR(MID(#REF!,FIND(", ",#REF!)+2,256),"")</f>
        <v/>
      </c>
      <c r="V31" s="515" t="str">
        <f>IFERROR(INDEX(V!$O:$O,MATCH(U31,V!$J:$J,0)),"")</f>
        <v/>
      </c>
      <c r="W31" s="516" t="str">
        <f>IFERROR(MID(#REF!,FIND("^",SUBSTITUTE(#REF!,", ","^",1))+2,FIND("^",SUBSTITUTE(#REF!,", ","^",2))-FIND("^",SUBSTITUTE(#REF!,", ","^",1))-2),"")</f>
        <v/>
      </c>
      <c r="X31" s="515" t="str">
        <f>IFERROR(INDEX(V!$O:$O,MATCH(W31,V!$J:$J,0)),"")</f>
        <v/>
      </c>
      <c r="Y31" s="516" t="str">
        <f>IFERROR(MID(#REF!,FIND(", ",#REF!,FIND(", ",#REF!,FIND(", ",#REF!))+1)+2,30000),"")</f>
        <v/>
      </c>
      <c r="Z31" s="515" t="str">
        <f>IFERROR(INDEX(V!$O:$O,MATCH(Y31,V!$J:$J,0)),"")</f>
        <v/>
      </c>
    </row>
    <row r="32" spans="1:27" s="188" customFormat="1" x14ac:dyDescent="0.2">
      <c r="A32" s="126"/>
      <c r="B32" s="164"/>
      <c r="C32" s="93"/>
      <c r="D32" s="93"/>
      <c r="E32" s="93"/>
      <c r="F32" s="93"/>
      <c r="G32" s="127"/>
      <c r="H32" s="576" t="str">
        <f>(IF(C32-G28&gt;0,1)+IF(D32-G29&gt;0,1)+IF(E32-G30&gt;0,1)+IF(F32-G31&gt;0,1))&amp;"-"&amp;(IF(C32-G28&lt;0,1)+IF(D32-G29&lt;0,1)+IF(E32-G30&lt;0,1)+IF(F32-G31&lt;0,1))</f>
        <v>0-0</v>
      </c>
      <c r="I32" s="93" t="str">
        <f t="shared" si="14"/>
        <v/>
      </c>
      <c r="J32" s="584">
        <f t="shared" si="15"/>
        <v>0</v>
      </c>
      <c r="K32" s="653">
        <f>IF(AND(J32=1,J28=1,C32&gt;G28),1)+IF(AND(J32=1,J29=1,D32&gt;G29),1)+IF(AND(J32=1,J30=1,E32&gt;G30),1)+IF(AND(J32=1,J31=1,F32&gt;G31),1)+IF(AND(J32=2,J28=2,C32&gt;G28),1)+IF(AND(J32=2,J29=2,D32&gt;G29),1)+IF(AND(J32=2,J30=2,E32&gt;G30),1)+IF(AND(J32=2,J31=2,F32&gt;G31),1)+IF(AND(J32=3,J28=3,C32&gt;G28),1)+IF(AND(J32=3,J29=3,D32&gt;G29),1)+IF(AND(J32=3,J30=3,E32&gt;G30),1)+IF(AND(J32=3,J31=3,F32&gt;G31),1)</f>
        <v>0</v>
      </c>
      <c r="L32" s="652">
        <f>IF(AND(J32=1,J28=1),C32-G28)+IF(AND(J32=1,J29=1),D32-G29)+IF(AND(J32=1,J30=1),E32-G30)+IF(AND(J32=1,J31=1),F32-G31)+IF(AND(J32=2,J28=2),C32-G28)+IF(AND(J32=2,J29=2),D32-G29)+IF(AND(J32=2,J30=2),E32-G30)+IF(AND(J32=2,J31=2),F32-G31)+IF(AND(J32=3,J28=3),C32-G28)+IF(AND(J32=3,J29=3),D32-G29)+IF(AND(J32=3,J30=3),E32-G30)+IF(AND(J32=3,J31=3),F32-G31)</f>
        <v>0</v>
      </c>
      <c r="M32" s="668">
        <f t="shared" si="16"/>
        <v>0</v>
      </c>
      <c r="N32" s="186"/>
      <c r="O32" s="186"/>
      <c r="P32" s="186"/>
      <c r="Q32" s="139"/>
      <c r="R32" s="512">
        <f t="shared" si="2"/>
        <v>0</v>
      </c>
      <c r="S32" s="514" t="str">
        <f t="shared" si="4"/>
        <v/>
      </c>
      <c r="T32" s="515" t="str">
        <f>IFERROR(INDEX(V!$O:$O,MATCH(S32,V!$J:$J,0)),"")</f>
        <v/>
      </c>
      <c r="U32" s="514" t="str">
        <f t="shared" si="5"/>
        <v/>
      </c>
      <c r="V32" s="515" t="str">
        <f>IFERROR(INDEX(V!$O:$O,MATCH(U32,V!$J:$J,0)),"")</f>
        <v/>
      </c>
      <c r="W32" s="516" t="str">
        <f t="shared" si="6"/>
        <v/>
      </c>
      <c r="X32" s="515" t="str">
        <f>IFERROR(INDEX(V!$O:$O,MATCH(W32,V!$J:$J,0)),"")</f>
        <v/>
      </c>
      <c r="Y32" s="516" t="str">
        <f t="shared" si="7"/>
        <v/>
      </c>
      <c r="Z32" s="515" t="str">
        <f>IFERROR(INDEX(V!$O:$O,MATCH(Y32,V!$J:$J,0)),"")</f>
        <v/>
      </c>
    </row>
    <row r="33" spans="1:28" s="188" customFormat="1" x14ac:dyDescent="0.2">
      <c r="A33" s="121"/>
      <c r="B33" s="217"/>
      <c r="C33" s="96"/>
      <c r="D33" s="501"/>
      <c r="F33" s="94"/>
      <c r="H33" s="592"/>
      <c r="I33" s="593" t="str">
        <f t="shared" si="14"/>
        <v/>
      </c>
      <c r="J33" s="588"/>
      <c r="K33" s="590"/>
      <c r="L33" s="660"/>
      <c r="M33" s="588"/>
      <c r="N33" s="186"/>
      <c r="O33" s="186"/>
      <c r="P33" s="186"/>
      <c r="Q33" s="139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</row>
    <row r="34" spans="1:28" s="188" customFormat="1" x14ac:dyDescent="0.2">
      <c r="A34" s="126" t="s">
        <v>323</v>
      </c>
      <c r="B34" s="659" t="s">
        <v>474</v>
      </c>
      <c r="C34" s="91">
        <v>1</v>
      </c>
      <c r="D34" s="91">
        <v>2</v>
      </c>
      <c r="E34" s="91">
        <v>3</v>
      </c>
      <c r="F34" s="91">
        <v>4</v>
      </c>
      <c r="G34" s="91"/>
      <c r="H34" s="438" t="s">
        <v>73</v>
      </c>
      <c r="I34" s="438" t="s">
        <v>46</v>
      </c>
      <c r="J34" s="586" t="s">
        <v>273</v>
      </c>
      <c r="K34" s="649" t="s">
        <v>273</v>
      </c>
      <c r="L34" s="656" t="s">
        <v>430</v>
      </c>
      <c r="M34" s="588" t="b">
        <f>OR(AND(COUNTA(B35:B39)=3,COUNTA(C35:G39)=6),AND(COUNTA(B35:B39)=4,COUNTA(C35:G39)=12),AND(COUNTA(B35:B39)=5,COUNTA(C35:G39)=20))</f>
        <v>1</v>
      </c>
      <c r="N34" s="186"/>
      <c r="O34" s="186"/>
      <c r="P34" s="186"/>
      <c r="Q34" s="139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</row>
    <row r="35" spans="1:28" s="188" customFormat="1" x14ac:dyDescent="0.2">
      <c r="A35" s="126">
        <v>1</v>
      </c>
      <c r="B35" s="581" t="s">
        <v>168</v>
      </c>
      <c r="C35" s="127"/>
      <c r="D35" s="93">
        <v>13</v>
      </c>
      <c r="E35" s="316">
        <v>9</v>
      </c>
      <c r="F35" s="93">
        <v>13</v>
      </c>
      <c r="G35" s="128"/>
      <c r="H35" s="576" t="str">
        <f>(IF(D35-C36&gt;0,1)+IF(E35-C37&gt;0,1)+IF(F35-C38&gt;0,1)+IF(G35-C39&gt;0,1))&amp;"-"&amp;(IF(D35-C36&lt;0,1)+IF(E35-C37&lt;0,1)+IF(F35-C38&lt;0,1)+IF(G35-C39&lt;0,1))</f>
        <v>2-1</v>
      </c>
      <c r="I35" s="93" t="str">
        <f>IF(AND(B35&lt;&gt;"",M$34=TRUE),A$34&amp;RANK(M35,M$35:M$39,0),"")</f>
        <v>D2</v>
      </c>
      <c r="J35" s="584">
        <f>VALUE(LEFT(H35,1))</f>
        <v>2</v>
      </c>
      <c r="K35" s="651">
        <f>IF(AND(J35=1,J36=1,D35&gt;C36),1)+IF(AND(J35=1,J37=1,E35&gt;C37),1)+IF(AND(J35=1,J38=1,F35&gt;C38),1)+IF(AND(J35=1,J39=1,G35&gt;C39),1)+IF(AND(J35=2,J36=2,D35&gt;C36),1)+IF(AND(J35=2,J37=2,E35&gt;C37),1)+IF(AND(J35=2,J38=2,F35&gt;C38),1)+IF(AND(J35=2,J39=2,G35&gt;C39),1)+IF(AND(J35=3,J36=3,D35&gt;C36),1)+IF(AND(J35=3,J37=3,E35&gt;C37),1)+IF(AND(J35=3,J38=3,F35&gt;C38),1)+IF(AND(J35=3,J39=3,G35&gt;C39),1)</f>
        <v>0</v>
      </c>
      <c r="L35" s="670">
        <f>IF(AND(J35=1,J36=1),D35-C36)+IF(AND(J35=1,J37=1),E35-C37)+IF(AND(J35=1,J38=1),F35-C38)+IF(AND(J35=1,J39=1),G35-C39)+IF(AND(J35=2,J36=2),D35-C36)+IF(AND(J35=2,J37=2),E35-C37)+IF(AND(J35=2,J38=2),F35-C38)+IF(AND(J35=2,J39=2),G35-C39)+IF(AND(J35=3,J36=3),D35-C36)+IF(AND(J35=3,J37=3),E35-C37)+IF(AND(J35=3,J38=3),F35-C38)+IF(AND(J35=3,J39=3),G35-C39)</f>
        <v>-4</v>
      </c>
      <c r="M35" s="668">
        <f>10000*J35+K35*100+L35</f>
        <v>19996</v>
      </c>
      <c r="N35" s="186"/>
      <c r="O35" s="186"/>
      <c r="P35" s="186"/>
      <c r="Q35" s="139"/>
      <c r="R35" s="512">
        <f t="shared" si="2"/>
        <v>102</v>
      </c>
      <c r="S35" s="514" t="str">
        <f t="shared" si="4"/>
        <v>Heili Vasser</v>
      </c>
      <c r="T35" s="515">
        <f>IFERROR(INDEX(V!$O:$O,MATCH(S35,V!$J:$J,0)),"")</f>
        <v>31.5</v>
      </c>
      <c r="U35" s="514" t="str">
        <f t="shared" si="5"/>
        <v>Vello Vasser</v>
      </c>
      <c r="V35" s="515">
        <f>IFERROR(INDEX(V!$O:$O,MATCH(U35,V!$J:$J,0)),"")</f>
        <v>70.5</v>
      </c>
      <c r="W35" s="516" t="str">
        <f t="shared" si="6"/>
        <v/>
      </c>
      <c r="X35" s="515" t="str">
        <f>IFERROR(INDEX(V!$O:$O,MATCH(W35,V!$J:$J,0)),"")</f>
        <v/>
      </c>
      <c r="Y35" s="516" t="str">
        <f t="shared" si="7"/>
        <v/>
      </c>
      <c r="Z35" s="515" t="str">
        <f>IFERROR(INDEX(V!$O:$O,MATCH(Y35,V!$J:$J,0)),"")</f>
        <v/>
      </c>
    </row>
    <row r="36" spans="1:28" s="188" customFormat="1" x14ac:dyDescent="0.2">
      <c r="A36" s="126">
        <v>2</v>
      </c>
      <c r="B36" s="581" t="s">
        <v>115</v>
      </c>
      <c r="C36" s="128">
        <v>6</v>
      </c>
      <c r="D36" s="127"/>
      <c r="E36" s="93">
        <v>9</v>
      </c>
      <c r="F36" s="661">
        <v>13</v>
      </c>
      <c r="G36" s="128"/>
      <c r="H36" s="576" t="str">
        <f>(IF(C36-D35&gt;0,1)+IF(E36-D37&gt;0,1)+IF(F36-D38&gt;0,1)+IF(G36-D39&gt;0,1))&amp;"-"&amp;(IF(C36-D35&lt;0,1)+IF(E36-D37&lt;0,1)+IF(F36-D38&lt;0,1)+IF(G36-D39&lt;0,1))</f>
        <v>1-2</v>
      </c>
      <c r="I36" s="93" t="str">
        <f t="shared" ref="I36:I39" si="17">IF(AND(B36&lt;&gt;"",M$34=TRUE),A$34&amp;RANK(M36,M$35:M$39,0),"")</f>
        <v>D3</v>
      </c>
      <c r="J36" s="584">
        <f t="shared" ref="J36:J39" si="18">VALUE(LEFT(H36,1))</f>
        <v>1</v>
      </c>
      <c r="K36" s="653">
        <f>IF(AND(J36=1,J35=1,C36&gt;D35),1)+IF(AND(J36=1,J37=1,E36&gt;D37),1)+IF(AND(J36=1,J38=1,F36&gt;D38),1)+IF(AND(J36=1,J39=1,G36&gt;D39),1)+IF(AND(J36=2,J35=2,C36&gt;D35),1)+IF(AND(J36=2,J37=2,E36&gt;D37),1)+IF(AND(J36=2,J38=2,F36&gt;D38),1)+IF(AND(J36=2,J39=2,G36&gt;D39),1)+IF(AND(J36=3,J35=3,C36&gt;D35),1)+IF(AND(J36=3,J37=3,E36&gt;D37),1)+IF(AND(J36=3,J38=3,F36&gt;D38),1)+IF(AND(J36=3,J39=3,G36&gt;D39),1)</f>
        <v>1</v>
      </c>
      <c r="L36" s="670">
        <f>IF(AND(J36=1,J35=1),C36-D35)+IF(AND(J36=1,J37=1),E36-D37)+IF(AND(J36=1,J38=1),F36-D38)+IF(AND(J36=1,J39=1),G36-D39)+IF(AND(J36=2,J35=2),C36-D35)+IF(AND(J36=2,J37=2),E36-D37)+IF(AND(J36=2,J38=2),F36-D38)+IF(AND(J36=2,J39=2),G36-D39)+IF(AND(J36=3,J35=3),C36-D35)+IF(AND(J36=3,J37=3),E36-D37)+IF(AND(J36=3,J38=3),F36-D38)+IF(AND(J36=3,J39=3),G36-D39)</f>
        <v>5</v>
      </c>
      <c r="M36" s="668">
        <f t="shared" ref="M36:M39" si="19">10000*J36+K36*100+L36</f>
        <v>10105</v>
      </c>
      <c r="N36" s="186"/>
      <c r="O36" s="186"/>
      <c r="P36" s="186"/>
      <c r="Q36" s="139"/>
      <c r="R36" s="512">
        <f t="shared" si="2"/>
        <v>162</v>
      </c>
      <c r="S36" s="514" t="str">
        <f t="shared" si="4"/>
        <v>Andres Veski</v>
      </c>
      <c r="T36" s="515">
        <f>IFERROR(INDEX(V!$O:$O,MATCH(S36,V!$J:$J,0)),"")</f>
        <v>76</v>
      </c>
      <c r="U36" s="514" t="str">
        <f t="shared" si="5"/>
        <v>Svetlana Veski</v>
      </c>
      <c r="V36" s="515">
        <f>IFERROR(INDEX(V!$O:$O,MATCH(U36,V!$J:$J,0)),"")</f>
        <v>86</v>
      </c>
      <c r="W36" s="516" t="str">
        <f t="shared" si="6"/>
        <v/>
      </c>
      <c r="X36" s="515" t="str">
        <f>IFERROR(INDEX(V!$O:$O,MATCH(W36,V!$J:$J,0)),"")</f>
        <v/>
      </c>
      <c r="Y36" s="516" t="str">
        <f t="shared" si="7"/>
        <v/>
      </c>
      <c r="Z36" s="515" t="str">
        <f>IFERROR(INDEX(V!$O:$O,MATCH(Y36,V!$J:$J,0)),"")</f>
        <v/>
      </c>
    </row>
    <row r="37" spans="1:28" s="188" customFormat="1" x14ac:dyDescent="0.2">
      <c r="A37" s="126">
        <v>3</v>
      </c>
      <c r="B37" s="581" t="s">
        <v>393</v>
      </c>
      <c r="C37" s="316">
        <v>13</v>
      </c>
      <c r="D37" s="311">
        <v>13</v>
      </c>
      <c r="E37" s="127"/>
      <c r="F37" s="93">
        <v>2</v>
      </c>
      <c r="G37" s="128"/>
      <c r="H37" s="576" t="str">
        <f>(IF(C37-E35&gt;0,1)+IF(D37-E36&gt;0,1)+IF(F37-E38&gt;0,1)+IF(G37-E39&gt;0,1))&amp;"-"&amp;(IF(C37-E35&lt;0,1)+IF(D37-E36&lt;0,1)+IF(F37-E38&lt;0,1)+IF(G37-E39&lt;0,1))</f>
        <v>2-1</v>
      </c>
      <c r="I37" s="93" t="str">
        <f t="shared" si="17"/>
        <v>D1</v>
      </c>
      <c r="J37" s="584">
        <f t="shared" si="18"/>
        <v>2</v>
      </c>
      <c r="K37" s="653">
        <f>IF(AND(J37=1,J35=1,C37&gt;E35),1)+IF(AND(J37=1,J36=1,D37&gt;E36),1)+IF(AND(J37=1,J38=1,F37&gt;E38),1)+IF(AND(J37=1,J39=1,G37&gt;E39),1)+IF(AND(J37=2,J35=2,C37&gt;E35),1)+IF(AND(J37=2,J36=2,D37&gt;E36),1)+IF(AND(J37=2,J38=2,F37&gt;E38),1)+IF(AND(J37=2,J39=2,G37&gt;E39),1)+IF(AND(J37=3,J35=3,C37&gt;E35),1)+IF(AND(J37=3,J36=3,D37&gt;E36),1)+IF(AND(J37=3,J38=3,F37&gt;E38),1)+IF(AND(J37=3,J39=3,G37&gt;E39),1)</f>
        <v>1</v>
      </c>
      <c r="L37" s="670">
        <f>IF(AND(J37=1,J35=1),C37-E35)+IF(AND(J37=1,J36=1),D37-E36)+IF(AND(J37=1,J38=1),F37-E38)+IF(AND(J37=1,J39=1),G37-E39)+IF(AND(J37=2,J35=2),C37-E35)+IF(AND(J37=2,J36=2),D37-E36)+IF(AND(J37=2,J38=2),F37-E38)+IF(AND(J37=2,J39=2),G37-E39)+IF(AND(J37=3,J35=3),C37-E35)+IF(AND(J37=3,J36=3),D37-E36)+IF(AND(J37=3,J38=3),F37-E38)+IF(AND(J37=3,J39=3),G37-E39)</f>
        <v>4</v>
      </c>
      <c r="M37" s="668">
        <f t="shared" si="19"/>
        <v>20104</v>
      </c>
      <c r="N37" s="186"/>
      <c r="O37" s="186"/>
      <c r="P37" s="186"/>
      <c r="Q37" s="139"/>
      <c r="R37" s="512">
        <f t="shared" si="2"/>
        <v>66</v>
      </c>
      <c r="S37" s="514" t="str">
        <f t="shared" si="4"/>
        <v>Karla Purgats</v>
      </c>
      <c r="T37" s="515">
        <f>IFERROR(INDEX(V!$O:$O,MATCH(S37,V!$J:$J,0)),"")</f>
        <v>66</v>
      </c>
      <c r="U37" s="514" t="str">
        <f t="shared" si="5"/>
        <v>Toomas Tedrekull / Jaan Saar</v>
      </c>
      <c r="V37" s="515" t="str">
        <f>IFERROR(INDEX(V!$O:$O,MATCH(U37,V!$J:$J,0)),"")</f>
        <v/>
      </c>
      <c r="W37" s="516" t="str">
        <f t="shared" si="6"/>
        <v/>
      </c>
      <c r="X37" s="515" t="str">
        <f>IFERROR(INDEX(V!$O:$O,MATCH(W37,V!$J:$J,0)),"")</f>
        <v/>
      </c>
      <c r="Y37" s="516" t="str">
        <f t="shared" si="7"/>
        <v/>
      </c>
      <c r="Z37" s="515" t="str">
        <f>IFERROR(INDEX(V!$O:$O,MATCH(Y37,V!$J:$J,0)),"")</f>
        <v/>
      </c>
    </row>
    <row r="38" spans="1:28" s="188" customFormat="1" x14ac:dyDescent="0.2">
      <c r="A38" s="126">
        <v>4</v>
      </c>
      <c r="B38" s="583" t="s">
        <v>392</v>
      </c>
      <c r="C38" s="93">
        <v>6</v>
      </c>
      <c r="D38" s="662">
        <v>8</v>
      </c>
      <c r="E38" s="93">
        <v>13</v>
      </c>
      <c r="F38" s="127"/>
      <c r="G38" s="128"/>
      <c r="H38" s="576" t="str">
        <f>(IF(C38-F35&gt;0,1)+IF(D38-F36&gt;0,1)+IF(E38-F37&gt;0,1)+IF(G38-F39&gt;0,1))&amp;"-"&amp;(IF(C38-F35&lt;0,1)+IF(D38-F36&lt;0,1)+IF(E38-F37&lt;0,1)+IF(G38-F39&lt;0,1))</f>
        <v>1-2</v>
      </c>
      <c r="I38" s="93" t="str">
        <f t="shared" si="17"/>
        <v>D4</v>
      </c>
      <c r="J38" s="584">
        <f t="shared" si="18"/>
        <v>1</v>
      </c>
      <c r="K38" s="653">
        <f>IF(AND(J38=1,J35=1,C38&gt;F35),1)+IF(AND(J38=1,J36=1,D38&gt;F36),1)+IF(AND(J38=1,J37=1,E38&gt;F37),1)+IF(AND(J38=1,J39=1,G38&gt;F39),1)+IF(AND(J38=2,J35=2,C38&gt;F35),1)+IF(AND(J38=2,J36=2,D38&gt;F36),1)+IF(AND(J38=2,J37=2,E38&gt;F37),1)+IF(AND(J38=2,J39=2,G38&gt;F39),1)+IF(AND(J38=3,J35=3,C38&gt;F35),1)+IF(AND(J38=3,J36=3,D38&gt;F36),1)+IF(AND(J38=3,J37=3,E38&gt;F37),1)+IF(AND(J38=3,J39=3,G38&gt;F39),1)</f>
        <v>0</v>
      </c>
      <c r="L38" s="670">
        <f>IF(AND(J38=1,J35=1),C38-F35)+IF(AND(J38=1,J36=1),D38-F36)+IF(AND(J38=1,J37=1),E38-F37)+IF(AND(J38=1,J39=1),G38-F39)+IF(AND(J38=2,J35=2),C38-F35)+IF(AND(J38=2,J36=2),D38-F36)+IF(AND(J38=2,J37=2),E38-F37)+IF(AND(J38=2,J39=2),G38-F39)+IF(AND(J38=3,J35=3),C38-F35)+IF(AND(J38=3,J36=3),D38-F36)+IF(AND(J38=3,J37=3),E38-F37)+IF(AND(J38=3,J39=3),G38-F39)</f>
        <v>-5</v>
      </c>
      <c r="M38" s="668">
        <f t="shared" si="19"/>
        <v>9995</v>
      </c>
      <c r="N38" s="186"/>
      <c r="O38" s="186"/>
      <c r="P38" s="186"/>
      <c r="Q38" s="139"/>
      <c r="R38" s="512">
        <f t="shared" si="2"/>
        <v>94</v>
      </c>
      <c r="S38" s="514" t="str">
        <f t="shared" si="4"/>
        <v>Einar Juhkam</v>
      </c>
      <c r="T38" s="515">
        <f>IFERROR(INDEX(V!$O:$O,MATCH(S38,V!$J:$J,0)),"")</f>
        <v>53</v>
      </c>
      <c r="U38" s="514" t="str">
        <f t="shared" si="5"/>
        <v>Illar Tõnurist</v>
      </c>
      <c r="V38" s="515">
        <f>IFERROR(INDEX(V!$O:$O,MATCH(U38,V!$J:$J,0)),"")</f>
        <v>41</v>
      </c>
      <c r="W38" s="516" t="str">
        <f t="shared" si="6"/>
        <v/>
      </c>
      <c r="X38" s="515" t="str">
        <f>IFERROR(INDEX(V!$O:$O,MATCH(W38,V!$J:$J,0)),"")</f>
        <v/>
      </c>
      <c r="Y38" s="516" t="str">
        <f t="shared" si="7"/>
        <v/>
      </c>
      <c r="Z38" s="515" t="str">
        <f>IFERROR(INDEX(V!$O:$O,MATCH(Y38,V!$J:$J,0)),"")</f>
        <v/>
      </c>
    </row>
    <row r="39" spans="1:28" s="188" customFormat="1" x14ac:dyDescent="0.2">
      <c r="A39" s="126"/>
      <c r="B39" s="164"/>
      <c r="C39" s="93"/>
      <c r="D39" s="93"/>
      <c r="E39" s="93"/>
      <c r="F39" s="93"/>
      <c r="G39" s="127"/>
      <c r="H39" s="576" t="str">
        <f>(IF(C39-G35&gt;0,1)+IF(D39-G36&gt;0,1)+IF(E39-G37&gt;0,1)+IF(F39-G38&gt;0,1))&amp;"-"&amp;(IF(C39-G35&lt;0,1)+IF(D39-G36&lt;0,1)+IF(E39-G37&lt;0,1)+IF(F39-G38&lt;0,1))</f>
        <v>0-0</v>
      </c>
      <c r="I39" s="93" t="str">
        <f t="shared" si="17"/>
        <v/>
      </c>
      <c r="J39" s="584">
        <f t="shared" si="18"/>
        <v>0</v>
      </c>
      <c r="K39" s="653">
        <f>IF(AND(J39=1,J35=1,C39&gt;G35),1)+IF(AND(J39=1,J36=1,D39&gt;G36),1)+IF(AND(J39=1,J37=1,E39&gt;G37),1)+IF(AND(J39=1,J38=1,F39&gt;G38),1)+IF(AND(J39=2,J35=2,C39&gt;G35),1)+IF(AND(J39=2,J36=2,D39&gt;G36),1)+IF(AND(J39=2,J37=2,E39&gt;G37),1)+IF(AND(J39=2,J38=2,F39&gt;G38),1)+IF(AND(J39=3,J35=3,C39&gt;G35),1)+IF(AND(J39=3,J36=3,D39&gt;G36),1)+IF(AND(J39=3,J37=3,E39&gt;G37),1)+IF(AND(J39=3,J38=3,F39&gt;G38),1)</f>
        <v>0</v>
      </c>
      <c r="L39" s="670">
        <f>IF(AND(J39=1,J35=1),C39-G35)+IF(AND(J39=1,J36=1),D39-G36)+IF(AND(J39=1,J37=1),E39-G37)+IF(AND(J39=1,J38=1),F39-G38)+IF(AND(J39=2,J35=2),C39-G35)+IF(AND(J39=2,J36=2),D39-G36)+IF(AND(J39=2,J37=2),E39-G37)+IF(AND(J39=2,J38=2),F39-G38)+IF(AND(J39=3,J35=3),C39-G35)+IF(AND(J39=3,J36=3),D39-G36)+IF(AND(J39=3,J37=3),E39-G37)+IF(AND(J39=3,J38=3),F39-G38)</f>
        <v>0</v>
      </c>
      <c r="M39" s="668">
        <f t="shared" si="19"/>
        <v>0</v>
      </c>
      <c r="N39" s="186"/>
      <c r="O39" s="186"/>
      <c r="P39" s="186"/>
      <c r="Q39" s="139"/>
      <c r="R39" s="512">
        <f t="shared" si="2"/>
        <v>0</v>
      </c>
      <c r="S39" s="514" t="str">
        <f t="shared" si="4"/>
        <v/>
      </c>
      <c r="T39" s="515" t="str">
        <f>IFERROR(INDEX(V!$O:$O,MATCH(S39,V!$J:$J,0)),"")</f>
        <v/>
      </c>
      <c r="U39" s="514" t="str">
        <f t="shared" si="5"/>
        <v/>
      </c>
      <c r="V39" s="515" t="str">
        <f>IFERROR(INDEX(V!$O:$O,MATCH(U39,V!$J:$J,0)),"")</f>
        <v/>
      </c>
      <c r="W39" s="516" t="str">
        <f t="shared" si="6"/>
        <v/>
      </c>
      <c r="X39" s="515" t="str">
        <f>IFERROR(INDEX(V!$O:$O,MATCH(W39,V!$J:$J,0)),"")</f>
        <v/>
      </c>
      <c r="Y39" s="516" t="str">
        <f t="shared" si="7"/>
        <v/>
      </c>
      <c r="Z39" s="515" t="str">
        <f>IFERROR(INDEX(V!$O:$O,MATCH(Y39,V!$J:$J,0)),"")</f>
        <v/>
      </c>
      <c r="AA39" s="88"/>
      <c r="AB39" s="88"/>
    </row>
    <row r="40" spans="1:28" s="188" customFormat="1" x14ac:dyDescent="0.2">
      <c r="A40" s="121"/>
      <c r="B40" s="217"/>
      <c r="C40" s="97"/>
      <c r="D40" s="97"/>
      <c r="E40" s="97"/>
      <c r="F40" s="97"/>
      <c r="G40" s="97"/>
      <c r="H40" s="639"/>
      <c r="I40" s="97"/>
      <c r="J40" s="584"/>
      <c r="K40" s="663"/>
      <c r="L40" s="584"/>
      <c r="M40" s="584"/>
      <c r="N40" s="569"/>
      <c r="O40" s="310"/>
      <c r="P40" s="139"/>
      <c r="Q40" s="139"/>
      <c r="R40" s="640"/>
      <c r="S40" s="641"/>
      <c r="T40" s="642"/>
      <c r="U40" s="641"/>
      <c r="V40" s="642"/>
      <c r="W40" s="643"/>
      <c r="X40" s="642"/>
      <c r="Y40" s="643"/>
      <c r="Z40" s="642"/>
      <c r="AA40" s="88"/>
      <c r="AB40" s="88"/>
    </row>
    <row r="41" spans="1:28" s="188" customFormat="1" x14ac:dyDescent="0.2">
      <c r="Q41" s="139"/>
      <c r="R41" s="640"/>
      <c r="S41" s="641"/>
      <c r="T41" s="642"/>
      <c r="U41" s="641"/>
      <c r="V41" s="642"/>
      <c r="W41" s="643"/>
      <c r="X41" s="642"/>
      <c r="Y41" s="643"/>
      <c r="Z41" s="642"/>
      <c r="AA41" s="88"/>
      <c r="AB41" s="88"/>
    </row>
    <row r="42" spans="1:28" s="188" customFormat="1" x14ac:dyDescent="0.2">
      <c r="Q42" s="139"/>
      <c r="R42" s="640"/>
      <c r="S42" s="641"/>
      <c r="T42" s="642"/>
      <c r="U42" s="641"/>
      <c r="V42" s="642"/>
      <c r="W42" s="643"/>
      <c r="X42" s="642"/>
      <c r="Y42" s="643"/>
      <c r="Z42" s="642"/>
      <c r="AA42" s="88"/>
      <c r="AB42" s="88"/>
    </row>
    <row r="43" spans="1:28" s="188" customFormat="1" x14ac:dyDescent="0.2">
      <c r="Q43" s="139"/>
      <c r="R43" s="640"/>
      <c r="S43" s="641"/>
      <c r="T43" s="642"/>
      <c r="U43" s="641"/>
      <c r="V43" s="642"/>
      <c r="W43" s="643"/>
      <c r="X43" s="642"/>
      <c r="Y43" s="643"/>
      <c r="Z43" s="642"/>
      <c r="AA43" s="88"/>
      <c r="AB43" s="88"/>
    </row>
    <row r="44" spans="1:28" s="188" customFormat="1" x14ac:dyDescent="0.2">
      <c r="Q44" s="139"/>
      <c r="R44" s="640"/>
      <c r="S44" s="641"/>
      <c r="T44" s="642"/>
      <c r="U44" s="641"/>
      <c r="V44" s="642"/>
      <c r="W44" s="643"/>
      <c r="X44" s="642"/>
      <c r="Y44" s="643"/>
      <c r="Z44" s="642"/>
      <c r="AA44" s="88"/>
      <c r="AB44" s="88"/>
    </row>
    <row r="45" spans="1:28" s="188" customFormat="1" x14ac:dyDescent="0.2">
      <c r="Q45" s="139"/>
      <c r="R45" s="640"/>
      <c r="S45" s="641"/>
      <c r="T45" s="642"/>
      <c r="U45" s="641"/>
      <c r="V45" s="642"/>
      <c r="W45" s="643"/>
      <c r="X45" s="642"/>
      <c r="Y45" s="643"/>
      <c r="Z45" s="642"/>
      <c r="AA45" s="88"/>
      <c r="AB45" s="88"/>
    </row>
    <row r="46" spans="1:28" s="188" customFormat="1" x14ac:dyDescent="0.2">
      <c r="Q46" s="139"/>
      <c r="R46" s="640"/>
      <c r="S46" s="641"/>
      <c r="T46" s="642"/>
      <c r="U46" s="641"/>
      <c r="V46" s="642"/>
      <c r="W46" s="643"/>
      <c r="X46" s="642"/>
      <c r="Y46" s="643"/>
      <c r="Z46" s="642"/>
      <c r="AA46" s="88"/>
      <c r="AB46" s="88"/>
    </row>
    <row r="47" spans="1:28" s="188" customFormat="1" x14ac:dyDescent="0.2">
      <c r="Q47" s="139"/>
      <c r="R47" s="640"/>
      <c r="S47" s="641"/>
      <c r="T47" s="642"/>
      <c r="U47" s="641"/>
      <c r="V47" s="642"/>
      <c r="W47" s="643"/>
      <c r="X47" s="642"/>
      <c r="Y47" s="643"/>
      <c r="Z47" s="642"/>
      <c r="AA47" s="88"/>
      <c r="AB47" s="88"/>
    </row>
    <row r="48" spans="1:28" s="188" customFormat="1" x14ac:dyDescent="0.2">
      <c r="A48" s="121"/>
      <c r="B48" s="217"/>
      <c r="C48" s="97"/>
      <c r="D48" s="97"/>
      <c r="E48" s="97"/>
      <c r="F48" s="97"/>
      <c r="G48" s="97"/>
      <c r="H48" s="639"/>
      <c r="I48" s="97"/>
      <c r="J48" s="584"/>
      <c r="K48" s="663"/>
      <c r="L48" s="584"/>
      <c r="M48" s="584"/>
      <c r="N48" s="569"/>
      <c r="O48" s="310"/>
      <c r="P48" s="579"/>
      <c r="Q48" s="88"/>
      <c r="R48" s="640"/>
      <c r="S48" s="641"/>
      <c r="T48" s="642"/>
      <c r="U48" s="641"/>
      <c r="V48" s="642"/>
      <c r="W48" s="643"/>
      <c r="X48" s="642"/>
      <c r="Y48" s="643"/>
      <c r="Z48" s="642"/>
      <c r="AA48" s="88"/>
      <c r="AB48" s="88"/>
    </row>
    <row r="49" spans="1:28" s="188" customFormat="1" x14ac:dyDescent="0.2">
      <c r="A49" s="121"/>
      <c r="B49" s="217"/>
      <c r="C49" s="97"/>
      <c r="D49" s="97"/>
      <c r="E49" s="97"/>
      <c r="F49" s="97"/>
      <c r="G49" s="97"/>
      <c r="H49" s="639"/>
      <c r="I49" s="97"/>
      <c r="J49" s="584"/>
      <c r="K49" s="579"/>
      <c r="L49" s="584"/>
      <c r="M49" s="584"/>
      <c r="N49" s="569"/>
      <c r="O49" s="310"/>
      <c r="P49" s="579"/>
      <c r="Q49" s="88"/>
      <c r="R49" s="640"/>
      <c r="S49" s="641"/>
      <c r="T49" s="642"/>
      <c r="U49" s="641"/>
      <c r="V49" s="642"/>
      <c r="W49" s="643"/>
      <c r="X49" s="642"/>
      <c r="Y49" s="643"/>
      <c r="Z49" s="642"/>
      <c r="AA49" s="88"/>
      <c r="AB49" s="88"/>
    </row>
    <row r="50" spans="1:28" s="188" customFormat="1" x14ac:dyDescent="0.2">
      <c r="A50" s="121"/>
      <c r="B50" s="217"/>
      <c r="C50" s="97"/>
      <c r="D50" s="97"/>
      <c r="E50" s="97"/>
      <c r="F50" s="97"/>
      <c r="G50" s="97"/>
      <c r="H50" s="639"/>
      <c r="I50" s="97"/>
      <c r="J50" s="584"/>
      <c r="K50" s="579"/>
      <c r="L50" s="584"/>
      <c r="M50" s="584"/>
      <c r="N50" s="569"/>
      <c r="O50" s="310"/>
      <c r="P50" s="579"/>
      <c r="Q50" s="88"/>
      <c r="R50" s="640"/>
      <c r="S50" s="641"/>
      <c r="T50" s="642"/>
      <c r="U50" s="641"/>
      <c r="V50" s="642"/>
      <c r="W50" s="643"/>
      <c r="X50" s="642"/>
      <c r="Y50" s="643"/>
      <c r="Z50" s="642"/>
      <c r="AA50" s="88"/>
      <c r="AB50" s="88"/>
    </row>
    <row r="51" spans="1:28" s="188" customFormat="1" x14ac:dyDescent="0.2">
      <c r="A51" s="121"/>
      <c r="B51" s="217"/>
      <c r="C51" s="97"/>
      <c r="D51" s="97"/>
      <c r="E51" s="97"/>
      <c r="F51" s="97"/>
      <c r="G51" s="97"/>
      <c r="H51" s="639"/>
      <c r="I51" s="97"/>
      <c r="J51" s="584"/>
      <c r="K51" s="579"/>
      <c r="L51" s="584"/>
      <c r="M51" s="584"/>
      <c r="N51" s="569"/>
      <c r="O51" s="310"/>
      <c r="P51" s="579"/>
      <c r="Q51" s="88"/>
      <c r="R51" s="640"/>
      <c r="S51" s="641"/>
      <c r="T51" s="642"/>
      <c r="U51" s="641"/>
      <c r="V51" s="642"/>
      <c r="W51" s="643"/>
      <c r="X51" s="642"/>
      <c r="Y51" s="643"/>
      <c r="Z51" s="642"/>
      <c r="AA51" s="88"/>
      <c r="AB51" s="88"/>
    </row>
    <row r="52" spans="1:28" s="188" customFormat="1" x14ac:dyDescent="0.2">
      <c r="A52" s="121"/>
      <c r="B52" s="217"/>
      <c r="C52" s="97"/>
      <c r="D52" s="97"/>
      <c r="E52" s="97"/>
      <c r="F52" s="97"/>
      <c r="G52" s="97"/>
      <c r="H52" s="639"/>
      <c r="I52" s="97"/>
      <c r="J52" s="584"/>
      <c r="K52" s="579"/>
      <c r="L52" s="584"/>
      <c r="M52" s="584"/>
      <c r="N52" s="569"/>
      <c r="O52" s="310"/>
      <c r="P52" s="579"/>
      <c r="Q52" s="88"/>
      <c r="R52" s="640"/>
      <c r="S52" s="641"/>
      <c r="T52" s="642"/>
      <c r="U52" s="641"/>
      <c r="V52" s="642"/>
      <c r="W52" s="643"/>
      <c r="X52" s="642"/>
      <c r="Y52" s="643"/>
      <c r="Z52" s="642"/>
      <c r="AA52" s="88"/>
      <c r="AB52" s="88"/>
    </row>
    <row r="53" spans="1:28" s="188" customFormat="1" x14ac:dyDescent="0.2">
      <c r="A53" s="121"/>
      <c r="B53" s="217"/>
      <c r="C53" s="97"/>
      <c r="D53" s="97"/>
      <c r="E53" s="97"/>
      <c r="F53" s="97"/>
      <c r="G53" s="97"/>
      <c r="H53" s="639"/>
      <c r="I53" s="97"/>
      <c r="J53" s="584"/>
      <c r="K53" s="579"/>
      <c r="L53" s="584"/>
      <c r="M53" s="584"/>
      <c r="N53" s="569"/>
      <c r="O53" s="310"/>
      <c r="P53" s="579"/>
      <c r="Q53" s="88"/>
      <c r="R53" s="640"/>
      <c r="S53" s="641"/>
      <c r="T53" s="642"/>
      <c r="U53" s="641"/>
      <c r="V53" s="642"/>
      <c r="W53" s="643"/>
      <c r="X53" s="642"/>
      <c r="Y53" s="643"/>
      <c r="Z53" s="642"/>
      <c r="AA53" s="88"/>
      <c r="AB53" s="88"/>
    </row>
    <row r="54" spans="1:28" s="188" customFormat="1" x14ac:dyDescent="0.2">
      <c r="A54" s="314"/>
      <c r="B54" s="213" t="s">
        <v>98</v>
      </c>
      <c r="C54" s="98" t="s">
        <v>99</v>
      </c>
      <c r="D54" s="98" t="s">
        <v>100</v>
      </c>
      <c r="E54" s="314"/>
      <c r="F54" s="314"/>
      <c r="G54" s="314"/>
      <c r="K54" s="579"/>
      <c r="N54" s="88"/>
      <c r="O54" s="88"/>
      <c r="P54" s="579"/>
      <c r="Q54" s="88"/>
      <c r="T54" s="88"/>
      <c r="U54" s="88"/>
      <c r="V54" s="88"/>
      <c r="W54" s="88"/>
      <c r="X54" s="88"/>
      <c r="Y54" s="88"/>
      <c r="Z54" s="88"/>
      <c r="AA54" s="88"/>
      <c r="AB54" s="88"/>
    </row>
    <row r="55" spans="1:28" s="188" customFormat="1" x14ac:dyDescent="0.2">
      <c r="A55" s="314"/>
      <c r="B55" s="213" t="s">
        <v>101</v>
      </c>
      <c r="C55" s="98" t="s">
        <v>102</v>
      </c>
      <c r="D55" s="98" t="s">
        <v>103</v>
      </c>
      <c r="E55" s="314"/>
      <c r="F55" s="314"/>
      <c r="G55" s="314"/>
      <c r="K55" s="579"/>
      <c r="N55" s="88"/>
      <c r="O55" s="88"/>
      <c r="P55" s="579"/>
      <c r="Q55" s="88"/>
      <c r="T55" s="88"/>
      <c r="U55" s="88"/>
      <c r="V55" s="88"/>
      <c r="W55" s="88"/>
      <c r="X55" s="88"/>
      <c r="Y55" s="88"/>
      <c r="Z55" s="88"/>
      <c r="AA55" s="88"/>
      <c r="AB55" s="88"/>
    </row>
    <row r="56" spans="1:28" s="188" customFormat="1" x14ac:dyDescent="0.2">
      <c r="A56" s="314"/>
      <c r="B56" s="213" t="s">
        <v>104</v>
      </c>
      <c r="C56" s="98" t="s">
        <v>92</v>
      </c>
      <c r="D56" s="98" t="s">
        <v>105</v>
      </c>
      <c r="E56" s="314"/>
      <c r="F56" s="314"/>
      <c r="G56" s="314"/>
      <c r="K56" s="579"/>
      <c r="N56" s="88"/>
      <c r="O56" s="88"/>
      <c r="P56" s="579"/>
      <c r="Q56" s="88"/>
      <c r="T56" s="88"/>
      <c r="U56" s="88"/>
      <c r="V56" s="88"/>
      <c r="W56" s="88"/>
      <c r="X56" s="88"/>
      <c r="Y56" s="88"/>
      <c r="Z56" s="88"/>
      <c r="AA56" s="88"/>
      <c r="AB56" s="88"/>
    </row>
    <row r="57" spans="1:28" s="188" customFormat="1" x14ac:dyDescent="0.2">
      <c r="A57" s="95"/>
      <c r="B57" s="410"/>
      <c r="C57" s="97"/>
      <c r="D57" s="97"/>
      <c r="E57" s="97"/>
      <c r="F57" s="97"/>
      <c r="G57" s="402"/>
      <c r="N57" s="88"/>
      <c r="O57" s="88"/>
      <c r="Q57" s="88"/>
      <c r="S57" s="212"/>
      <c r="T57" s="88"/>
      <c r="U57" s="88"/>
      <c r="V57" s="88"/>
      <c r="W57" s="88"/>
      <c r="X57" s="88"/>
      <c r="Y57" s="88"/>
      <c r="Z57" s="88"/>
      <c r="AA57" s="88"/>
      <c r="AB57" s="88"/>
    </row>
    <row r="58" spans="1:28" s="88" customFormat="1" x14ac:dyDescent="0.2">
      <c r="A58" s="214" t="s">
        <v>411</v>
      </c>
      <c r="B58" s="99"/>
      <c r="C58" s="96"/>
      <c r="D58" s="96"/>
      <c r="E58" s="96"/>
      <c r="F58" s="97"/>
      <c r="G58" s="98"/>
      <c r="R58" s="188"/>
      <c r="S58" s="188"/>
    </row>
    <row r="59" spans="1:28" s="88" customFormat="1" x14ac:dyDescent="0.2">
      <c r="R59" s="188"/>
      <c r="S59" s="212"/>
    </row>
    <row r="60" spans="1:28" s="88" customFormat="1" x14ac:dyDescent="0.2">
      <c r="A60" s="106" t="s">
        <v>84</v>
      </c>
      <c r="B60" s="404" t="str">
        <f>IFERROR(INDEX(B$7:B$39,MATCH(A60,I$7:I$39,0)),"")</f>
        <v>Illar Tõnurist, Jaan Saar</v>
      </c>
      <c r="C60" s="120">
        <f>IF(B60="-",0,IF(B62="-",13,""))</f>
        <v>13</v>
      </c>
      <c r="R60" s="188"/>
      <c r="S60" s="215"/>
    </row>
    <row r="61" spans="1:28" s="88" customFormat="1" x14ac:dyDescent="0.2">
      <c r="A61" s="107"/>
      <c r="B61" s="405"/>
      <c r="C61" s="524" t="str">
        <f>IF(COUNT(C60,C62)=2,IF(C60&gt;C62,B60,B62),"")</f>
        <v>Illar Tõnurist, Jaan Saar</v>
      </c>
      <c r="E61" s="120">
        <v>9</v>
      </c>
      <c r="R61" s="188"/>
      <c r="S61" s="215"/>
    </row>
    <row r="62" spans="1:28" s="88" customFormat="1" x14ac:dyDescent="0.2">
      <c r="A62" s="107" t="s">
        <v>70</v>
      </c>
      <c r="B62" s="525" t="s">
        <v>70</v>
      </c>
      <c r="C62" s="110">
        <f>IF(B62="-",0,IF(B60="-",13,""))</f>
        <v>0</v>
      </c>
      <c r="D62" s="232"/>
      <c r="R62" s="188"/>
      <c r="S62" s="188"/>
    </row>
    <row r="63" spans="1:28" s="88" customFormat="1" x14ac:dyDescent="0.2">
      <c r="A63" s="107"/>
      <c r="B63" s="407"/>
      <c r="D63" s="112"/>
      <c r="E63" s="524" t="str">
        <f>IF(COUNT(E61,E65)=2,IF(E61&gt;E65,C61,C65),"")</f>
        <v>Karla Purgats, Tõnu Kapper</v>
      </c>
      <c r="G63" s="120">
        <v>12</v>
      </c>
      <c r="R63" s="188"/>
      <c r="S63" s="215"/>
    </row>
    <row r="64" spans="1:28" s="88" customFormat="1" x14ac:dyDescent="0.2">
      <c r="A64" s="107" t="s">
        <v>71</v>
      </c>
      <c r="B64" s="404" t="str">
        <f>IFERROR(INDEX(B$7:B$39,MATCH(A64,I$7:I$39,0)),"")</f>
        <v>Karla Purgats, Tõnu Kapper</v>
      </c>
      <c r="C64" s="120">
        <v>13</v>
      </c>
      <c r="D64" s="112"/>
      <c r="E64" s="664"/>
      <c r="F64" s="232"/>
      <c r="R64" s="188"/>
      <c r="S64" s="215"/>
    </row>
    <row r="65" spans="1:19" s="88" customFormat="1" x14ac:dyDescent="0.2">
      <c r="A65" s="107"/>
      <c r="B65" s="405"/>
      <c r="C65" s="524" t="str">
        <f>IF(COUNT(C64,C66)=2,IF(C64&gt;C66,B64,B66),"")</f>
        <v>Karla Purgats, Tõnu Kapper</v>
      </c>
      <c r="D65" s="234"/>
      <c r="E65" s="110">
        <v>13</v>
      </c>
      <c r="F65" s="112"/>
      <c r="R65" s="188"/>
      <c r="S65" s="188"/>
    </row>
    <row r="66" spans="1:19" s="88" customFormat="1" x14ac:dyDescent="0.2">
      <c r="A66" s="107" t="s">
        <v>75</v>
      </c>
      <c r="B66" s="525" t="str">
        <f>IFERROR(INDEX(B$7:B$39,MATCH(A66,I$7:I$39,0)),"")</f>
        <v>Andres Viisitam, Tõnu Piik</v>
      </c>
      <c r="C66" s="110">
        <v>5</v>
      </c>
      <c r="E66" s="99"/>
      <c r="F66" s="112"/>
      <c r="R66" s="188"/>
      <c r="S66" s="517"/>
    </row>
    <row r="67" spans="1:19" s="88" customFormat="1" ht="13.5" thickBot="1" x14ac:dyDescent="0.25">
      <c r="A67" s="87"/>
      <c r="B67" s="407"/>
      <c r="E67" s="99"/>
      <c r="F67" s="112"/>
      <c r="H67" s="184" t="str">
        <f>IF(COUNT(G63,G71)=2,IF(G63&gt;G71,E63,E71),"")</f>
        <v>Illar Tõnurist, Jaan Saar</v>
      </c>
      <c r="S67" s="215"/>
    </row>
    <row r="68" spans="1:19" s="88" customFormat="1" x14ac:dyDescent="0.2">
      <c r="A68" s="106" t="s">
        <v>85</v>
      </c>
      <c r="B68" s="404" t="str">
        <f>IFERROR(INDEX(B$7:B$39,MATCH(A68,I$7:I$39,0)),"")</f>
        <v>Boriss Klubov, Mait Metsla</v>
      </c>
      <c r="C68" s="120">
        <v>10</v>
      </c>
      <c r="F68" s="112"/>
      <c r="G68" s="114"/>
      <c r="H68" s="379" t="s">
        <v>275</v>
      </c>
      <c r="I68" s="378"/>
    </row>
    <row r="69" spans="1:19" s="88" customFormat="1" x14ac:dyDescent="0.2">
      <c r="A69" s="107"/>
      <c r="B69" s="405"/>
      <c r="C69" s="524" t="str">
        <f>IF(COUNT(C68,C70)=2,IF(C68&gt;C70,B68,B70),"")</f>
        <v>Klavdia Piik, Ülo Piik</v>
      </c>
      <c r="E69" s="120">
        <v>11</v>
      </c>
      <c r="F69" s="112"/>
      <c r="G69" s="99"/>
    </row>
    <row r="70" spans="1:19" s="88" customFormat="1" x14ac:dyDescent="0.2">
      <c r="A70" s="107" t="s">
        <v>76</v>
      </c>
      <c r="B70" s="525" t="str">
        <f>IFERROR(INDEX(B$7:B$39,MATCH(A70,I$7:I$39,0)),"")</f>
        <v>Klavdia Piik, Ülo Piik</v>
      </c>
      <c r="C70" s="110">
        <v>13</v>
      </c>
      <c r="D70" s="232"/>
      <c r="F70" s="112"/>
      <c r="G70" s="99"/>
    </row>
    <row r="71" spans="1:19" s="88" customFormat="1" x14ac:dyDescent="0.2">
      <c r="A71" s="107"/>
      <c r="B71" s="407"/>
      <c r="D71" s="112"/>
      <c r="E71" s="524" t="str">
        <f>IF(COUNT(E69,E73)=2,IF(E69&gt;E73,C69,C73),"")</f>
        <v>Illar Tõnurist, Jaan Saar</v>
      </c>
      <c r="F71" s="234"/>
      <c r="G71" s="110">
        <v>13</v>
      </c>
    </row>
    <row r="72" spans="1:19" s="88" customFormat="1" ht="13.5" thickBot="1" x14ac:dyDescent="0.25">
      <c r="A72" s="107" t="s">
        <v>70</v>
      </c>
      <c r="B72" s="404" t="s">
        <v>70</v>
      </c>
      <c r="C72" s="120">
        <f>IF(B72="-",0,IF(B74="-",13,""))</f>
        <v>0</v>
      </c>
      <c r="D72" s="112"/>
      <c r="E72" s="664"/>
      <c r="F72" s="99"/>
      <c r="G72" s="99"/>
      <c r="H72" s="184" t="str">
        <f>IF(COUNT(G63,G71)=2,IF(G63&lt;G71,E63,E71),"")</f>
        <v>Karla Purgats, Tõnu Kapper</v>
      </c>
      <c r="I72" s="119"/>
    </row>
    <row r="73" spans="1:19" s="88" customFormat="1" x14ac:dyDescent="0.2">
      <c r="A73" s="107"/>
      <c r="B73" s="405"/>
      <c r="C73" s="524" t="str">
        <f>IF(COUNT(C72,C74)=2,IF(C72&gt;C74,B72,B74),"")</f>
        <v>Illar Tõnurist, Jaan Saar</v>
      </c>
      <c r="D73" s="234"/>
      <c r="E73" s="110">
        <v>13</v>
      </c>
      <c r="G73" s="99"/>
      <c r="H73" s="379" t="s">
        <v>276</v>
      </c>
      <c r="I73" s="99"/>
    </row>
    <row r="74" spans="1:19" s="88" customFormat="1" x14ac:dyDescent="0.2">
      <c r="A74" s="107" t="s">
        <v>86</v>
      </c>
      <c r="B74" s="525" t="str">
        <f>IFERROR(INDEX(B$7:B$39,MATCH(A74,I$7:I$39,0)),"")</f>
        <v>Illar Tõnurist, Jaan Saar</v>
      </c>
      <c r="C74" s="110">
        <f>IF(B74="-",0,IF(B72="-",13,""))</f>
        <v>13</v>
      </c>
      <c r="E74" s="99"/>
      <c r="F74" s="99"/>
      <c r="G74" s="99"/>
    </row>
    <row r="75" spans="1:19" s="88" customFormat="1" x14ac:dyDescent="0.2">
      <c r="A75" s="87"/>
      <c r="B75" s="407"/>
      <c r="E75" s="217" t="str">
        <f>IF(COUNT(E61,E65)=2,IF(E61&lt;E65,C61,C65),"")</f>
        <v>Illar Tõnurist, Jaan Saar</v>
      </c>
      <c r="G75" s="120">
        <v>13</v>
      </c>
    </row>
    <row r="76" spans="1:19" s="88" customFormat="1" ht="13.5" thickBot="1" x14ac:dyDescent="0.25">
      <c r="E76" s="231"/>
      <c r="F76" s="232"/>
      <c r="G76" s="119"/>
      <c r="H76" s="184" t="str">
        <f>IF(COUNT(G75,G77)=2,IF(G75&gt;G77,E75,E77),"")</f>
        <v>Illar Tõnurist, Jaan Saar</v>
      </c>
      <c r="I76" s="119"/>
    </row>
    <row r="77" spans="1:19" s="88" customFormat="1" x14ac:dyDescent="0.2">
      <c r="E77" s="528" t="str">
        <f>IF(COUNT(E69,E73)=2,IF(E69&lt;E73,C69,C73),"")</f>
        <v>Klavdia Piik, Ülo Piik</v>
      </c>
      <c r="F77" s="234"/>
      <c r="G77" s="110">
        <v>12</v>
      </c>
      <c r="H77" s="121" t="s">
        <v>277</v>
      </c>
      <c r="I77" s="99"/>
    </row>
    <row r="78" spans="1:19" s="88" customFormat="1" x14ac:dyDescent="0.2">
      <c r="H78" s="99"/>
      <c r="I78" s="99"/>
    </row>
    <row r="79" spans="1:19" s="88" customFormat="1" ht="13.5" thickBot="1" x14ac:dyDescent="0.25">
      <c r="E79" s="99"/>
      <c r="F79" s="99"/>
      <c r="H79" s="184" t="str">
        <f>IF(COUNT(G75,G77)=2,IF(G75&lt;G77,E75,E77),"")</f>
        <v>Klavdia Piik, Ülo Piik</v>
      </c>
      <c r="I79" s="119"/>
    </row>
    <row r="80" spans="1:19" s="88" customFormat="1" x14ac:dyDescent="0.2">
      <c r="H80" s="87" t="s">
        <v>50</v>
      </c>
    </row>
    <row r="81" spans="1:18" s="88" customFormat="1" x14ac:dyDescent="0.2">
      <c r="C81" s="528" t="str">
        <f>IF(COUNT(C60,C62)=2,IF(C60&lt;C62,B60,B62),"")</f>
        <v>-</v>
      </c>
      <c r="E81" s="120">
        <f>IF(C81="-",0,IF(C83="-",13,""))</f>
        <v>0</v>
      </c>
      <c r="F81" s="120"/>
      <c r="G81" s="120"/>
    </row>
    <row r="82" spans="1:18" s="88" customFormat="1" x14ac:dyDescent="0.2">
      <c r="C82" s="408"/>
      <c r="D82" s="537"/>
      <c r="E82" s="524" t="str">
        <f>IF(COUNT(E81,E83)=2,IF(E81&gt;E83,C81,C83),"")</f>
        <v>Andres Viisitam, Tõnu Piik</v>
      </c>
      <c r="G82" s="120">
        <v>3</v>
      </c>
      <c r="R82" s="188"/>
    </row>
    <row r="83" spans="1:18" s="88" customFormat="1" x14ac:dyDescent="0.2">
      <c r="C83" s="528" t="str">
        <f>IF(COUNT(C64,C66)=2,IF(C64&lt;C66,B64,B66),"")</f>
        <v>Andres Viisitam, Tõnu Piik</v>
      </c>
      <c r="D83" s="529"/>
      <c r="E83" s="110">
        <f>IF(C83="-",0,IF(C81="-",13,""))</f>
        <v>13</v>
      </c>
      <c r="F83" s="537"/>
      <c r="G83" s="120"/>
      <c r="R83" s="188"/>
    </row>
    <row r="84" spans="1:18" s="88" customFormat="1" ht="13.5" thickBot="1" x14ac:dyDescent="0.25">
      <c r="C84" s="120"/>
      <c r="D84" s="120"/>
      <c r="E84" s="113"/>
      <c r="F84" s="221"/>
      <c r="G84" s="120"/>
      <c r="H84" s="184" t="str">
        <f>IF(COUNT(G82,G86)=2,IF(G82&gt;G86,E82,E86),"")</f>
        <v>Boriss Klubov, Mait Metsla</v>
      </c>
      <c r="R84" s="215"/>
    </row>
    <row r="85" spans="1:18" s="88" customFormat="1" x14ac:dyDescent="0.2">
      <c r="C85" s="528" t="str">
        <f>IF(COUNT(C68,C70)=2,IF(C68&lt;C70,B68,B70),"")</f>
        <v>Boriss Klubov, Mait Metsla</v>
      </c>
      <c r="D85" s="120"/>
      <c r="E85" s="120">
        <f>IF(C85="-",0,IF(C87="-",13,""))</f>
        <v>13</v>
      </c>
      <c r="F85" s="221"/>
      <c r="G85" s="222"/>
      <c r="H85" s="379" t="s">
        <v>51</v>
      </c>
      <c r="I85" s="378"/>
    </row>
    <row r="86" spans="1:18" s="88" customFormat="1" x14ac:dyDescent="0.2">
      <c r="C86" s="408"/>
      <c r="D86" s="537"/>
      <c r="E86" s="524" t="str">
        <f>IF(COUNT(E85,E87)=2,IF(E85&gt;E87,C85,C87),"")</f>
        <v>Boriss Klubov, Mait Metsla</v>
      </c>
      <c r="F86" s="234"/>
      <c r="G86" s="110">
        <v>13</v>
      </c>
    </row>
    <row r="87" spans="1:18" s="88" customFormat="1" ht="13.5" thickBot="1" x14ac:dyDescent="0.25">
      <c r="C87" s="528" t="str">
        <f>IF(COUNT(C72,C74)=2,IF(C72&lt;C74,B72,B74),"")</f>
        <v>-</v>
      </c>
      <c r="D87" s="529"/>
      <c r="E87" s="110">
        <f>IF(C87="-",0,IF(C85="-",13,""))</f>
        <v>0</v>
      </c>
      <c r="F87" s="120"/>
      <c r="G87" s="113"/>
      <c r="H87" s="184" t="str">
        <f>IF(COUNT(G82,G86)=2,IF(G82&lt;G86,E82,E86),"")</f>
        <v>Andres Viisitam, Tõnu Piik</v>
      </c>
      <c r="I87" s="119"/>
    </row>
    <row r="88" spans="1:18" s="88" customFormat="1" x14ac:dyDescent="0.2">
      <c r="C88" s="120"/>
      <c r="D88" s="120"/>
      <c r="E88" s="120"/>
      <c r="F88" s="120"/>
      <c r="G88" s="113"/>
      <c r="H88" s="379" t="s">
        <v>52</v>
      </c>
      <c r="I88" s="99"/>
    </row>
    <row r="89" spans="1:18" s="88" customFormat="1" x14ac:dyDescent="0.2">
      <c r="C89" s="120"/>
      <c r="D89" s="113"/>
      <c r="E89" s="217" t="str">
        <f>IF(COUNT(E81,E83)=2,IF(E81&lt;E83,C81,C83),"")</f>
        <v>-</v>
      </c>
      <c r="G89" s="120">
        <f>IF(E89="-",0,IF(E91="-",13,""))</f>
        <v>0</v>
      </c>
      <c r="H89" s="99"/>
      <c r="I89" s="99"/>
    </row>
    <row r="90" spans="1:18" s="88" customFormat="1" ht="13.5" thickBot="1" x14ac:dyDescent="0.25">
      <c r="C90" s="120"/>
      <c r="D90" s="113"/>
      <c r="E90" s="231"/>
      <c r="F90" s="232"/>
      <c r="G90" s="119"/>
      <c r="H90" s="184" t="str">
        <f>IF(COUNT(G89,G91)=2,IF(G89&gt;G91,E89,E91),"")</f>
        <v>-</v>
      </c>
      <c r="I90" s="119"/>
    </row>
    <row r="91" spans="1:18" s="88" customFormat="1" x14ac:dyDescent="0.2">
      <c r="C91" s="120"/>
      <c r="D91" s="113"/>
      <c r="E91" s="528" t="str">
        <f>IF(COUNT(E85,E87)=2,IF(E85&lt;E87,C85,C87),"")</f>
        <v>-</v>
      </c>
      <c r="F91" s="234"/>
      <c r="G91" s="110">
        <f>IF(E91="-",0,IF(E89="-",13,""))</f>
        <v>0</v>
      </c>
      <c r="H91" s="121"/>
      <c r="I91" s="99"/>
    </row>
    <row r="92" spans="1:18" s="88" customFormat="1" x14ac:dyDescent="0.2">
      <c r="D92" s="99"/>
      <c r="H92" s="99"/>
      <c r="I92" s="99"/>
    </row>
    <row r="93" spans="1:18" s="88" customFormat="1" ht="13.5" thickBot="1" x14ac:dyDescent="0.25">
      <c r="E93" s="99"/>
      <c r="F93" s="99"/>
      <c r="H93" s="119" t="str">
        <f>IF(COUNT(G89,G91)=2,IF(G89&lt;G91,E89,E91),"")</f>
        <v>-</v>
      </c>
      <c r="I93" s="119"/>
    </row>
    <row r="94" spans="1:18" s="88" customFormat="1" x14ac:dyDescent="0.2">
      <c r="E94" s="99"/>
      <c r="F94" s="99"/>
      <c r="H94" s="121"/>
    </row>
    <row r="95" spans="1:18" s="349" customFormat="1" x14ac:dyDescent="0.2"/>
    <row r="96" spans="1:18" x14ac:dyDescent="0.2">
      <c r="A96" s="218" t="s">
        <v>410</v>
      </c>
    </row>
    <row r="97" spans="1:9" x14ac:dyDescent="0.2">
      <c r="A97" s="88"/>
      <c r="B97" s="88"/>
      <c r="C97" s="88"/>
      <c r="D97" s="88"/>
      <c r="E97" s="88"/>
      <c r="F97" s="88"/>
      <c r="G97" s="88"/>
      <c r="H97" s="88"/>
      <c r="I97" s="88"/>
    </row>
    <row r="98" spans="1:9" x14ac:dyDescent="0.2">
      <c r="A98" s="106" t="s">
        <v>93</v>
      </c>
      <c r="B98" s="404" t="str">
        <f>IFERROR(INDEX(B$7:B$39,MATCH(A98,I$7:I$39,0)),"")</f>
        <v>Kenneth Muusikus, Peep Peenema</v>
      </c>
      <c r="C98" s="120">
        <f>IF(B98="-",0,IF(B100="-",13,""))</f>
        <v>13</v>
      </c>
      <c r="D98" s="88"/>
      <c r="E98" s="88"/>
      <c r="F98" s="88"/>
      <c r="G98" s="88"/>
      <c r="H98" s="88"/>
      <c r="I98" s="88"/>
    </row>
    <row r="99" spans="1:9" x14ac:dyDescent="0.2">
      <c r="A99" s="107"/>
      <c r="B99" s="405"/>
      <c r="C99" s="524" t="str">
        <f>IF(COUNT(C98,C100)=2,IF(C98&gt;C100,B98,B100),"")</f>
        <v>Kenneth Muusikus, Peep Peenema</v>
      </c>
      <c r="D99" s="88"/>
      <c r="E99" s="120">
        <v>13</v>
      </c>
      <c r="F99" s="88"/>
      <c r="G99" s="88"/>
      <c r="H99" s="88"/>
      <c r="I99" s="88"/>
    </row>
    <row r="100" spans="1:9" x14ac:dyDescent="0.2">
      <c r="A100" s="107" t="s">
        <v>70</v>
      </c>
      <c r="B100" s="525" t="s">
        <v>70</v>
      </c>
      <c r="C100" s="110">
        <f>IF(B100="-",0,IF(B98="-",13,""))</f>
        <v>0</v>
      </c>
      <c r="D100" s="232"/>
      <c r="E100" s="88"/>
      <c r="F100" s="88"/>
      <c r="G100" s="88"/>
      <c r="H100" s="88"/>
      <c r="I100" s="88"/>
    </row>
    <row r="101" spans="1:9" x14ac:dyDescent="0.2">
      <c r="A101" s="107"/>
      <c r="B101" s="407"/>
      <c r="C101" s="88"/>
      <c r="D101" s="112"/>
      <c r="E101" s="524" t="str">
        <f>IF(COUNT(E99,E103)=2,IF(E99&gt;E103,C99,C103),"")</f>
        <v>Kenneth Muusikus, Peep Peenema</v>
      </c>
      <c r="F101" s="88"/>
      <c r="G101" s="120">
        <v>13</v>
      </c>
      <c r="H101" s="88"/>
      <c r="I101" s="88"/>
    </row>
    <row r="102" spans="1:9" x14ac:dyDescent="0.2">
      <c r="A102" s="107" t="s">
        <v>189</v>
      </c>
      <c r="B102" s="404" t="str">
        <f>IFERROR(INDEX(B$7:B$39,MATCH(A102,I$7:I$39,0)),"")</f>
        <v>Klavdia Piik, Ülo Piik</v>
      </c>
      <c r="C102" s="120">
        <v>13</v>
      </c>
      <c r="D102" s="112"/>
      <c r="E102" s="664"/>
      <c r="F102" s="232"/>
      <c r="G102" s="88"/>
      <c r="H102" s="88"/>
      <c r="I102" s="88"/>
    </row>
    <row r="103" spans="1:9" x14ac:dyDescent="0.2">
      <c r="A103" s="107"/>
      <c r="B103" s="405"/>
      <c r="C103" s="524" t="str">
        <f>IF(COUNT(C102,C104)=2,IF(C102&gt;C104,B102,B104),"")</f>
        <v>Klavdia Piik, Ülo Piik</v>
      </c>
      <c r="D103" s="234"/>
      <c r="E103" s="110">
        <v>10</v>
      </c>
      <c r="F103" s="112"/>
      <c r="G103" s="88"/>
      <c r="H103" s="88"/>
      <c r="I103" s="88"/>
    </row>
    <row r="104" spans="1:9" x14ac:dyDescent="0.2">
      <c r="A104" s="107" t="s">
        <v>122</v>
      </c>
      <c r="B104" s="525" t="str">
        <f>IFERROR(INDEX(B$7:B$39,MATCH(A104,I$7:I$39,0)),"")</f>
        <v>Enn Tokman, Kati Tuzberg</v>
      </c>
      <c r="C104" s="110">
        <v>1</v>
      </c>
      <c r="D104" s="88"/>
      <c r="E104" s="99"/>
      <c r="F104" s="112"/>
      <c r="G104" s="88"/>
      <c r="H104" s="88"/>
      <c r="I104" s="88"/>
    </row>
    <row r="105" spans="1:9" ht="13.5" thickBot="1" x14ac:dyDescent="0.25">
      <c r="A105" s="87"/>
      <c r="B105" s="407"/>
      <c r="C105" s="88"/>
      <c r="D105" s="88"/>
      <c r="E105" s="99"/>
      <c r="F105" s="112"/>
      <c r="G105" s="88"/>
      <c r="H105" s="184" t="str">
        <f>IF(COUNT(G101,G109)=2,IF(G101&gt;G109,E101,E109),"")</f>
        <v>Kenneth Muusikus, Peep Peenema</v>
      </c>
      <c r="I105" s="88"/>
    </row>
    <row r="106" spans="1:9" x14ac:dyDescent="0.2">
      <c r="A106" s="106" t="s">
        <v>118</v>
      </c>
      <c r="B106" s="404" t="str">
        <f>IFERROR(INDEX(B$7:B$39,MATCH(A106,I$7:I$39,0)),"")</f>
        <v>Ljudmila Varendi, Viktor Švarõgin</v>
      </c>
      <c r="C106" s="120">
        <f>IF(B106="-",0,IF(B108="-",13,""))</f>
        <v>13</v>
      </c>
      <c r="D106" s="88"/>
      <c r="E106" s="88"/>
      <c r="F106" s="112"/>
      <c r="G106" s="114"/>
      <c r="H106" s="379" t="s">
        <v>53</v>
      </c>
      <c r="I106" s="378"/>
    </row>
    <row r="107" spans="1:9" x14ac:dyDescent="0.2">
      <c r="A107" s="107"/>
      <c r="B107" s="405"/>
      <c r="C107" s="524" t="str">
        <f>IF(COUNT(C106,C108)=2,IF(C106&gt;C108,B106,B108),"")</f>
        <v>Ljudmila Varendi, Viktor Švarõgin</v>
      </c>
      <c r="D107" s="88"/>
      <c r="E107" s="120">
        <v>4</v>
      </c>
      <c r="F107" s="112"/>
      <c r="G107" s="99"/>
      <c r="H107" s="88"/>
      <c r="I107" s="88"/>
    </row>
    <row r="108" spans="1:9" x14ac:dyDescent="0.2">
      <c r="A108" s="107" t="s">
        <v>70</v>
      </c>
      <c r="B108" s="525" t="s">
        <v>70</v>
      </c>
      <c r="C108" s="110">
        <f>IF(B108="-",0,IF(B106="-",13,""))</f>
        <v>0</v>
      </c>
      <c r="D108" s="232"/>
      <c r="E108" s="88"/>
      <c r="F108" s="112"/>
      <c r="G108" s="99"/>
      <c r="H108" s="88"/>
      <c r="I108" s="88"/>
    </row>
    <row r="109" spans="1:9" x14ac:dyDescent="0.2">
      <c r="A109" s="107"/>
      <c r="B109" s="407"/>
      <c r="C109" s="88"/>
      <c r="D109" s="112"/>
      <c r="E109" s="524" t="str">
        <f>IF(COUNT(E107,E111)=2,IF(E107&gt;E111,C107,C111),"")</f>
        <v>Kenneth Muusikus, Peep Peenema</v>
      </c>
      <c r="F109" s="234"/>
      <c r="G109" s="110">
        <v>7</v>
      </c>
      <c r="H109" s="88"/>
      <c r="I109" s="88"/>
    </row>
    <row r="110" spans="1:9" ht="13.5" thickBot="1" x14ac:dyDescent="0.25">
      <c r="A110" s="107" t="s">
        <v>70</v>
      </c>
      <c r="B110" s="404" t="s">
        <v>70</v>
      </c>
      <c r="C110" s="120">
        <f>IF(B110="-",0,IF(B112="-",13,""))</f>
        <v>0</v>
      </c>
      <c r="D110" s="112"/>
      <c r="E110" s="664"/>
      <c r="F110" s="99"/>
      <c r="G110" s="99"/>
      <c r="H110" s="184" t="str">
        <f>IF(COUNT(G101,G109)=2,IF(G101&lt;G109,E101,E109),"")</f>
        <v>Kenneth Muusikus, Peep Peenema</v>
      </c>
      <c r="I110" s="119"/>
    </row>
    <row r="111" spans="1:9" x14ac:dyDescent="0.2">
      <c r="A111" s="107"/>
      <c r="B111" s="405"/>
      <c r="C111" s="524" t="str">
        <f>IF(COUNT(C110,C112)=2,IF(C110&gt;C112,B110,B112),"")</f>
        <v>Kenneth Muusikus, Peep Peenema</v>
      </c>
      <c r="D111" s="234"/>
      <c r="E111" s="110">
        <v>13</v>
      </c>
      <c r="F111" s="88"/>
      <c r="G111" s="99"/>
      <c r="H111" s="379" t="s">
        <v>54</v>
      </c>
      <c r="I111" s="99"/>
    </row>
    <row r="112" spans="1:9" x14ac:dyDescent="0.2">
      <c r="A112" s="107" t="s">
        <v>94</v>
      </c>
      <c r="B112" s="525" t="str">
        <f>IFERROR(INDEX(B$7:B$39,MATCH(A112,I$7:I$39,0)),"")</f>
        <v>Kenneth Muusikus, Peep Peenema</v>
      </c>
      <c r="C112" s="110">
        <f>IF(B112="-",0,IF(B110="-",13,""))</f>
        <v>13</v>
      </c>
      <c r="D112" s="88"/>
      <c r="E112" s="99"/>
      <c r="F112" s="99"/>
      <c r="G112" s="99"/>
      <c r="H112" s="88"/>
      <c r="I112" s="88"/>
    </row>
    <row r="113" spans="1:9" x14ac:dyDescent="0.2">
      <c r="A113" s="87"/>
      <c r="B113" s="407"/>
      <c r="C113" s="88"/>
      <c r="D113" s="88"/>
      <c r="E113" s="217" t="str">
        <f>IF(COUNT(E99,E103)=2,IF(E99&lt;E103,C99,C103),"")</f>
        <v>Klavdia Piik, Ülo Piik</v>
      </c>
      <c r="F113" s="88"/>
      <c r="G113" s="120">
        <v>8</v>
      </c>
      <c r="H113" s="88"/>
      <c r="I113" s="88"/>
    </row>
    <row r="114" spans="1:9" ht="13.5" thickBot="1" x14ac:dyDescent="0.25">
      <c r="A114" s="88"/>
      <c r="B114" s="88"/>
      <c r="C114" s="88"/>
      <c r="D114" s="88"/>
      <c r="E114" s="231"/>
      <c r="F114" s="232"/>
      <c r="G114" s="119"/>
      <c r="H114" s="184" t="str">
        <f>IF(COUNT(G113,G115)=2,IF(G113&gt;G115,E113,E115),"")</f>
        <v>Ljudmila Varendi, Viktor Švarõgin</v>
      </c>
      <c r="I114" s="119"/>
    </row>
    <row r="115" spans="1:9" x14ac:dyDescent="0.2">
      <c r="A115" s="88"/>
      <c r="B115" s="88"/>
      <c r="C115" s="88"/>
      <c r="D115" s="88"/>
      <c r="E115" s="528" t="str">
        <f>IF(COUNT(E107,E111)=2,IF(E107&lt;E111,C107,C111),"")</f>
        <v>Ljudmila Varendi, Viktor Švarõgin</v>
      </c>
      <c r="F115" s="234"/>
      <c r="G115" s="110">
        <v>13</v>
      </c>
      <c r="H115" s="121" t="s">
        <v>55</v>
      </c>
      <c r="I115" s="99"/>
    </row>
    <row r="116" spans="1:9" x14ac:dyDescent="0.2">
      <c r="A116" s="88"/>
      <c r="B116" s="88"/>
      <c r="C116" s="88"/>
      <c r="D116" s="88"/>
      <c r="E116" s="88"/>
      <c r="F116" s="88"/>
      <c r="G116" s="88"/>
      <c r="H116" s="99"/>
      <c r="I116" s="99"/>
    </row>
    <row r="117" spans="1:9" ht="13.5" thickBot="1" x14ac:dyDescent="0.25">
      <c r="A117" s="88"/>
      <c r="B117" s="88"/>
      <c r="C117" s="88"/>
      <c r="D117" s="88"/>
      <c r="E117" s="99"/>
      <c r="F117" s="99"/>
      <c r="G117" s="88"/>
      <c r="H117" s="184" t="str">
        <f>IF(COUNT(G113,G115)=2,IF(G113&lt;G115,E113,E115),"")</f>
        <v>Klavdia Piik, Ülo Piik</v>
      </c>
      <c r="I117" s="119"/>
    </row>
    <row r="118" spans="1:9" x14ac:dyDescent="0.2">
      <c r="E118" s="88"/>
      <c r="F118" s="88"/>
      <c r="G118" s="88"/>
      <c r="H118" s="87" t="s">
        <v>56</v>
      </c>
      <c r="I118" s="88"/>
    </row>
    <row r="119" spans="1:9" x14ac:dyDescent="0.2">
      <c r="E119" s="88"/>
      <c r="F119" s="88"/>
      <c r="G119" s="88"/>
      <c r="H119" s="87"/>
      <c r="I119" s="88"/>
    </row>
    <row r="120" spans="1:9" ht="13.5" thickBot="1" x14ac:dyDescent="0.25">
      <c r="E120" s="88"/>
      <c r="F120" s="88"/>
      <c r="G120" s="228" t="s">
        <v>189</v>
      </c>
      <c r="H120" s="184" t="s">
        <v>470</v>
      </c>
      <c r="I120" s="119"/>
    </row>
    <row r="121" spans="1:9" x14ac:dyDescent="0.2">
      <c r="C121" s="264" t="s">
        <v>263</v>
      </c>
      <c r="E121" s="88"/>
      <c r="F121" s="120"/>
      <c r="G121" s="120"/>
      <c r="H121" s="87" t="s">
        <v>57</v>
      </c>
      <c r="I121" s="88"/>
    </row>
    <row r="122" spans="1:9" hidden="1" x14ac:dyDescent="0.2"/>
    <row r="123" spans="1:9" hidden="1" x14ac:dyDescent="0.2"/>
    <row r="124" spans="1:9" hidden="1" x14ac:dyDescent="0.2"/>
    <row r="125" spans="1:9" hidden="1" x14ac:dyDescent="0.2"/>
    <row r="126" spans="1:9" hidden="1" x14ac:dyDescent="0.2"/>
    <row r="127" spans="1:9" hidden="1" x14ac:dyDescent="0.2"/>
    <row r="128" spans="1:9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spans="1:16" hidden="1" x14ac:dyDescent="0.2"/>
    <row r="306" spans="1:16" hidden="1" x14ac:dyDescent="0.2"/>
    <row r="307" spans="1:16" hidden="1" x14ac:dyDescent="0.2">
      <c r="E307" s="188"/>
      <c r="F307" s="188"/>
    </row>
    <row r="308" spans="1:16" hidden="1" x14ac:dyDescent="0.2">
      <c r="E308" s="188"/>
      <c r="F308" s="188"/>
    </row>
    <row r="309" spans="1:16" hidden="1" x14ac:dyDescent="0.2">
      <c r="E309" s="188"/>
      <c r="F309" s="215"/>
    </row>
    <row r="310" spans="1:16" hidden="1" x14ac:dyDescent="0.2">
      <c r="E310" s="188"/>
      <c r="F310" s="212"/>
    </row>
    <row r="311" spans="1:16" hidden="1" x14ac:dyDescent="0.2">
      <c r="E311" s="188"/>
      <c r="F311" s="188"/>
    </row>
    <row r="312" spans="1:16" hidden="1" x14ac:dyDescent="0.2">
      <c r="E312" s="188"/>
      <c r="F312" s="212"/>
    </row>
    <row r="313" spans="1:16" hidden="1" x14ac:dyDescent="0.2">
      <c r="E313" s="188"/>
      <c r="F313" s="188"/>
      <c r="G313" s="188"/>
      <c r="H313" s="188"/>
      <c r="I313" s="188"/>
      <c r="K313" s="188"/>
      <c r="M313" s="188"/>
      <c r="N313" s="188"/>
      <c r="O313" s="188"/>
      <c r="P313" s="188"/>
    </row>
    <row r="314" spans="1:16" hidden="1" x14ac:dyDescent="0.2">
      <c r="E314" s="188"/>
      <c r="F314" s="188"/>
      <c r="G314" s="188"/>
      <c r="H314" s="188"/>
      <c r="I314" s="188"/>
      <c r="K314" s="188"/>
      <c r="M314" s="188"/>
      <c r="N314" s="188"/>
      <c r="O314" s="188"/>
      <c r="P314" s="188"/>
    </row>
    <row r="315" spans="1:16" hidden="1" x14ac:dyDescent="0.2"/>
    <row r="316" spans="1:16" hidden="1" x14ac:dyDescent="0.2"/>
    <row r="317" spans="1:16" hidden="1" x14ac:dyDescent="0.2"/>
    <row r="318" spans="1:16" hidden="1" x14ac:dyDescent="0.2"/>
    <row r="319" spans="1:16" hidden="1" x14ac:dyDescent="0.2"/>
    <row r="320" spans="1:16" x14ac:dyDescent="0.2">
      <c r="A320" s="424">
        <v>1</v>
      </c>
      <c r="B320" s="124" t="str">
        <f>IFERROR(INDEX(H$67:H$117,MATCH(A320&amp;". koht",H$68:H$117,0)),"")</f>
        <v>Illar Tõnurist, Jaan Saar</v>
      </c>
      <c r="C320" s="88">
        <f>MAX(A320:A330)</f>
        <v>11</v>
      </c>
    </row>
    <row r="321" spans="1:3" x14ac:dyDescent="0.2">
      <c r="A321" s="424">
        <v>2</v>
      </c>
      <c r="B321" s="615" t="str">
        <f>IFERROR(INDEX(H$67:H$117,MATCH(A321&amp;". koht",H$68:H$117,0)),"")</f>
        <v>Karla Purgats, Tõnu Kapper</v>
      </c>
      <c r="C321" s="88">
        <f t="shared" ref="C321:C330" si="20">C320-1</f>
        <v>10</v>
      </c>
    </row>
    <row r="322" spans="1:3" x14ac:dyDescent="0.2">
      <c r="A322" s="424">
        <v>3</v>
      </c>
      <c r="B322" s="616" t="str">
        <f>IFERROR(INDEX(H$67:H$117,MATCH(A322&amp;". koht",H$68:H$117,0)),"")</f>
        <v>Illar Tõnurist, Jaan Saar</v>
      </c>
      <c r="C322" s="88">
        <f t="shared" si="20"/>
        <v>9</v>
      </c>
    </row>
    <row r="323" spans="1:3" x14ac:dyDescent="0.2">
      <c r="A323" s="424">
        <v>4</v>
      </c>
      <c r="B323" s="191" t="str">
        <f t="shared" ref="B323:B328" si="21">IFERROR(INDEX(H$67:H$117,MATCH(A323&amp;". koht",H$68:H$118,0)),"")</f>
        <v>Klavdia Piik, Ülo Piik</v>
      </c>
      <c r="C323" s="88">
        <f t="shared" si="20"/>
        <v>8</v>
      </c>
    </row>
    <row r="324" spans="1:3" x14ac:dyDescent="0.2">
      <c r="A324" s="424">
        <v>5</v>
      </c>
      <c r="B324" s="191" t="str">
        <f t="shared" si="21"/>
        <v>Boriss Klubov, Mait Metsla</v>
      </c>
      <c r="C324" s="88">
        <f t="shared" si="20"/>
        <v>7</v>
      </c>
    </row>
    <row r="325" spans="1:3" x14ac:dyDescent="0.2">
      <c r="A325" s="424">
        <v>6</v>
      </c>
      <c r="B325" s="191" t="str">
        <f t="shared" si="21"/>
        <v>Andres Viisitam, Tõnu Piik</v>
      </c>
      <c r="C325" s="88">
        <f t="shared" si="20"/>
        <v>6</v>
      </c>
    </row>
    <row r="326" spans="1:3" x14ac:dyDescent="0.2">
      <c r="A326" s="424">
        <v>7</v>
      </c>
      <c r="B326" s="191" t="str">
        <f t="shared" si="21"/>
        <v>Kenneth Muusikus, Peep Peenema</v>
      </c>
      <c r="C326" s="88">
        <f t="shared" si="20"/>
        <v>5</v>
      </c>
    </row>
    <row r="327" spans="1:3" x14ac:dyDescent="0.2">
      <c r="A327" s="424">
        <v>8</v>
      </c>
      <c r="B327" s="191" t="str">
        <f t="shared" si="21"/>
        <v>Kenneth Muusikus, Peep Peenema</v>
      </c>
      <c r="C327" s="88">
        <f t="shared" si="20"/>
        <v>4</v>
      </c>
    </row>
    <row r="328" spans="1:3" x14ac:dyDescent="0.2">
      <c r="A328" s="424">
        <v>9</v>
      </c>
      <c r="B328" s="191" t="str">
        <f t="shared" si="21"/>
        <v>Ljudmila Varendi, Viktor Švarõgin</v>
      </c>
      <c r="C328" s="88">
        <f t="shared" si="20"/>
        <v>3</v>
      </c>
    </row>
    <row r="329" spans="1:3" x14ac:dyDescent="0.2">
      <c r="A329" s="424">
        <v>10</v>
      </c>
      <c r="B329" s="191" t="str">
        <f>IFERROR(INDEX(H$67:H$117,MATCH(A329&amp;". koht",H$68:H$118,0)),"")</f>
        <v>Klavdia Piik, Ülo Piik</v>
      </c>
      <c r="C329" s="88">
        <f t="shared" si="20"/>
        <v>2</v>
      </c>
    </row>
    <row r="330" spans="1:3" x14ac:dyDescent="0.2">
      <c r="A330" s="424">
        <v>11</v>
      </c>
      <c r="B330" s="191" t="s">
        <v>470</v>
      </c>
      <c r="C330" s="88">
        <f t="shared" si="20"/>
        <v>1</v>
      </c>
    </row>
  </sheetData>
  <conditionalFormatting sqref="E81 E83 E85 E87 G82 G86 G89 G91">
    <cfRule type="containsBlanks" dxfId="328" priority="158">
      <formula>LEN(TRIM(E81))=0</formula>
    </cfRule>
  </conditionalFormatting>
  <conditionalFormatting sqref="C60 C62">
    <cfRule type="aboveAverage" dxfId="327" priority="171"/>
  </conditionalFormatting>
  <conditionalFormatting sqref="C64 C66">
    <cfRule type="aboveAverage" dxfId="326" priority="170"/>
  </conditionalFormatting>
  <conditionalFormatting sqref="E61 E65">
    <cfRule type="aboveAverage" dxfId="325" priority="169"/>
  </conditionalFormatting>
  <conditionalFormatting sqref="C68 C70">
    <cfRule type="aboveAverage" dxfId="324" priority="168"/>
  </conditionalFormatting>
  <conditionalFormatting sqref="C72 C74">
    <cfRule type="aboveAverage" dxfId="323" priority="167"/>
  </conditionalFormatting>
  <conditionalFormatting sqref="E69 E73">
    <cfRule type="aboveAverage" dxfId="322" priority="166"/>
  </conditionalFormatting>
  <conditionalFormatting sqref="G63 G71">
    <cfRule type="aboveAverage" dxfId="321" priority="165"/>
  </conditionalFormatting>
  <conditionalFormatting sqref="G75 G77">
    <cfRule type="aboveAverage" dxfId="320" priority="164"/>
  </conditionalFormatting>
  <conditionalFormatting sqref="C60 C62 C64 C66 C68 C70 C72 C74 E61 E65 E69 E73 G63 G71 G75 G77">
    <cfRule type="containsBlanks" dxfId="319" priority="163">
      <formula>LEN(TRIM(C60))=0</formula>
    </cfRule>
  </conditionalFormatting>
  <conditionalFormatting sqref="E81 E83">
    <cfRule type="aboveAverage" dxfId="318" priority="162"/>
  </conditionalFormatting>
  <conditionalFormatting sqref="E85 E87">
    <cfRule type="aboveAverage" dxfId="317" priority="161"/>
  </conditionalFormatting>
  <conditionalFormatting sqref="G82 G86">
    <cfRule type="aboveAverage" dxfId="316" priority="160"/>
  </conditionalFormatting>
  <conditionalFormatting sqref="G89 G91">
    <cfRule type="aboveAverage" dxfId="315" priority="159"/>
  </conditionalFormatting>
  <conditionalFormatting sqref="C98 C100">
    <cfRule type="aboveAverage" dxfId="314" priority="157"/>
  </conditionalFormatting>
  <conditionalFormatting sqref="C102 C104">
    <cfRule type="aboveAverage" dxfId="313" priority="156"/>
  </conditionalFormatting>
  <conditionalFormatting sqref="E99 E103">
    <cfRule type="aboveAverage" dxfId="312" priority="155"/>
  </conditionalFormatting>
  <conditionalFormatting sqref="C106 C108">
    <cfRule type="aboveAverage" dxfId="311" priority="154"/>
  </conditionalFormatting>
  <conditionalFormatting sqref="C110 C112">
    <cfRule type="aboveAverage" dxfId="310" priority="153"/>
  </conditionalFormatting>
  <conditionalFormatting sqref="E107 E111">
    <cfRule type="aboveAverage" dxfId="309" priority="152"/>
  </conditionalFormatting>
  <conditionalFormatting sqref="G101 G109">
    <cfRule type="aboveAverage" dxfId="308" priority="151"/>
  </conditionalFormatting>
  <conditionalFormatting sqref="C98 C100 C102 C104 C106 C108 C110 C112 E99 E103 E107 E111 G101 G109">
    <cfRule type="containsBlanks" dxfId="307" priority="150">
      <formula>LEN(TRIM(C98))=0</formula>
    </cfRule>
  </conditionalFormatting>
  <conditionalFormatting sqref="Y7:Y11 W7:W11 S7:S11 S14:S18 W14:W18 Y14:Y18 Y28:Y32 W28:W32 S28:S32 S35:S53 W35:W53 Y35:Y53">
    <cfRule type="expression" dxfId="306" priority="149">
      <formula>AND(T7="",COUNTIF(S7,"*,*")=0)</formula>
    </cfRule>
  </conditionalFormatting>
  <conditionalFormatting sqref="U7:U11 U14:U18 U28:U32 U35:U53">
    <cfRule type="expression" dxfId="305" priority="147">
      <formula>AND(V7="",FIND(",",U7))</formula>
    </cfRule>
    <cfRule type="expression" dxfId="304" priority="148">
      <formula>AND(V7="",COUNTIF(U7,"*,*")=0)</formula>
    </cfRule>
  </conditionalFormatting>
  <conditionalFormatting sqref="D28 C29">
    <cfRule type="aboveAverage" dxfId="303" priority="146"/>
  </conditionalFormatting>
  <conditionalFormatting sqref="E28 C30">
    <cfRule type="aboveAverage" dxfId="302" priority="145"/>
  </conditionalFormatting>
  <conditionalFormatting sqref="F28 C31">
    <cfRule type="aboveAverage" dxfId="301" priority="144"/>
  </conditionalFormatting>
  <conditionalFormatting sqref="E29 D30">
    <cfRule type="aboveAverage" dxfId="300" priority="143"/>
  </conditionalFormatting>
  <conditionalFormatting sqref="G28 C32">
    <cfRule type="aboveAverage" dxfId="299" priority="142"/>
  </conditionalFormatting>
  <conditionalFormatting sqref="F29 D31">
    <cfRule type="aboveAverage" dxfId="298" priority="141"/>
  </conditionalFormatting>
  <conditionalFormatting sqref="G29 D32">
    <cfRule type="aboveAverage" dxfId="297" priority="140"/>
  </conditionalFormatting>
  <conditionalFormatting sqref="F30 E31">
    <cfRule type="aboveAverage" dxfId="296" priority="139"/>
  </conditionalFormatting>
  <conditionalFormatting sqref="G30 E32">
    <cfRule type="aboveAverage" dxfId="295" priority="138"/>
  </conditionalFormatting>
  <conditionalFormatting sqref="F32 G31">
    <cfRule type="aboveAverage" dxfId="294" priority="137"/>
  </conditionalFormatting>
  <conditionalFormatting sqref="D35 C36">
    <cfRule type="aboveAverage" dxfId="293" priority="136"/>
  </conditionalFormatting>
  <conditionalFormatting sqref="E35 C37">
    <cfRule type="aboveAverage" dxfId="292" priority="135"/>
  </conditionalFormatting>
  <conditionalFormatting sqref="F35 C38">
    <cfRule type="aboveAverage" dxfId="291" priority="134"/>
  </conditionalFormatting>
  <conditionalFormatting sqref="E36 D37">
    <cfRule type="aboveAverage" dxfId="290" priority="133"/>
  </conditionalFormatting>
  <conditionalFormatting sqref="G35 C39:C40 C48:C53">
    <cfRule type="aboveAverage" dxfId="289" priority="132"/>
  </conditionalFormatting>
  <conditionalFormatting sqref="F36 D38">
    <cfRule type="aboveAverage" dxfId="288" priority="131"/>
  </conditionalFormatting>
  <conditionalFormatting sqref="G36 D39:D40 D48:D53">
    <cfRule type="aboveAverage" dxfId="287" priority="130"/>
  </conditionalFormatting>
  <conditionalFormatting sqref="F37 E38">
    <cfRule type="aboveAverage" dxfId="286" priority="129"/>
  </conditionalFormatting>
  <conditionalFormatting sqref="G37 E39:E40 E48:E53">
    <cfRule type="aboveAverage" dxfId="285" priority="128"/>
  </conditionalFormatting>
  <conditionalFormatting sqref="F39:F40 G38 F48:F53">
    <cfRule type="aboveAverage" dxfId="284" priority="127"/>
  </conditionalFormatting>
  <conditionalFormatting sqref="I10:I11">
    <cfRule type="expression" dxfId="283" priority="125">
      <formula>FIND(2,I10,1)</formula>
    </cfRule>
    <cfRule type="expression" dxfId="282" priority="126">
      <formula>FIND(1,I10,1)</formula>
    </cfRule>
  </conditionalFormatting>
  <conditionalFormatting sqref="I35:I40 I48:I53">
    <cfRule type="expression" dxfId="281" priority="123">
      <formula>FIND(2,I35,1)</formula>
    </cfRule>
    <cfRule type="expression" dxfId="280" priority="124">
      <formula>FIND(1,I35,1)</formula>
    </cfRule>
  </conditionalFormatting>
  <conditionalFormatting sqref="B320:B322">
    <cfRule type="containsBlanks" dxfId="279" priority="121">
      <formula>LEN(TRIM(B320))=0</formula>
    </cfRule>
    <cfRule type="duplicateValues" dxfId="278" priority="122"/>
  </conditionalFormatting>
  <conditionalFormatting sqref="I7:I9">
    <cfRule type="expression" dxfId="277" priority="119">
      <formula>FIND(2,I7,1)</formula>
    </cfRule>
    <cfRule type="expression" dxfId="276" priority="120">
      <formula>FIND(1,I7,1)</formula>
    </cfRule>
  </conditionalFormatting>
  <conditionalFormatting sqref="I14:I18">
    <cfRule type="expression" dxfId="275" priority="117">
      <formula>FIND(2,I14,1)</formula>
    </cfRule>
    <cfRule type="expression" dxfId="274" priority="118">
      <formula>FIND(1,I14,1)</formula>
    </cfRule>
  </conditionalFormatting>
  <conditionalFormatting sqref="I28:I32">
    <cfRule type="expression" dxfId="273" priority="115">
      <formula>FIND(2,I28,1)</formula>
    </cfRule>
    <cfRule type="expression" dxfId="272" priority="116">
      <formula>FIND(1,I28,1)</formula>
    </cfRule>
  </conditionalFormatting>
  <conditionalFormatting sqref="A60:A74">
    <cfRule type="cellIs" dxfId="271" priority="113" operator="equal">
      <formula>"-"</formula>
    </cfRule>
    <cfRule type="duplicateValues" dxfId="270" priority="114"/>
  </conditionalFormatting>
  <conditionalFormatting sqref="A98:A112">
    <cfRule type="cellIs" dxfId="269" priority="111" operator="equal">
      <formula>"-"</formula>
    </cfRule>
    <cfRule type="duplicateValues" dxfId="268" priority="112"/>
  </conditionalFormatting>
  <conditionalFormatting sqref="G40 G48:G53">
    <cfRule type="expression" dxfId="267" priority="109">
      <formula>FIND(2,G40,1)</formula>
    </cfRule>
    <cfRule type="expression" dxfId="266" priority="110">
      <formula>FIND(1,G40,1)</formula>
    </cfRule>
  </conditionalFormatting>
  <conditionalFormatting sqref="B323:B330">
    <cfRule type="containsBlanks" dxfId="265" priority="172">
      <formula>LEN(TRIM(B323))=0</formula>
    </cfRule>
    <cfRule type="duplicateValues" dxfId="264" priority="173"/>
  </conditionalFormatting>
  <conditionalFormatting sqref="G113 G115">
    <cfRule type="containsBlanks" dxfId="263" priority="107">
      <formula>LEN(TRIM(G113))=0</formula>
    </cfRule>
  </conditionalFormatting>
  <conditionalFormatting sqref="G113 G115">
    <cfRule type="aboveAverage" dxfId="262" priority="108"/>
  </conditionalFormatting>
  <conditionalFormatting sqref="D14 C15">
    <cfRule type="aboveAverage" dxfId="261" priority="106"/>
  </conditionalFormatting>
  <conditionalFormatting sqref="E14 C16">
    <cfRule type="aboveAverage" dxfId="260" priority="105"/>
  </conditionalFormatting>
  <conditionalFormatting sqref="F14 C17">
    <cfRule type="aboveAverage" dxfId="259" priority="104"/>
  </conditionalFormatting>
  <conditionalFormatting sqref="E15 D16">
    <cfRule type="aboveAverage" dxfId="258" priority="103"/>
  </conditionalFormatting>
  <conditionalFormatting sqref="G14 C18">
    <cfRule type="aboveAverage" dxfId="257" priority="102"/>
  </conditionalFormatting>
  <conditionalFormatting sqref="F15 D17">
    <cfRule type="aboveAverage" dxfId="256" priority="101"/>
  </conditionalFormatting>
  <conditionalFormatting sqref="G15 D18">
    <cfRule type="aboveAverage" dxfId="255" priority="100"/>
  </conditionalFormatting>
  <conditionalFormatting sqref="F16 E17">
    <cfRule type="aboveAverage" dxfId="254" priority="99"/>
  </conditionalFormatting>
  <conditionalFormatting sqref="G16 E18">
    <cfRule type="aboveAverage" dxfId="253" priority="98"/>
  </conditionalFormatting>
  <conditionalFormatting sqref="F18 G17">
    <cfRule type="aboveAverage" dxfId="252" priority="97"/>
  </conditionalFormatting>
  <conditionalFormatting sqref="D7 C8">
    <cfRule type="aboveAverage" dxfId="251" priority="96"/>
  </conditionalFormatting>
  <conditionalFormatting sqref="E7 C9">
    <cfRule type="aboveAverage" dxfId="250" priority="95"/>
  </conditionalFormatting>
  <conditionalFormatting sqref="F7 C10">
    <cfRule type="aboveAverage" dxfId="249" priority="94"/>
  </conditionalFormatting>
  <conditionalFormatting sqref="E8 D9">
    <cfRule type="aboveAverage" dxfId="248" priority="93"/>
  </conditionalFormatting>
  <conditionalFormatting sqref="G7 C11">
    <cfRule type="aboveAverage" dxfId="247" priority="92"/>
  </conditionalFormatting>
  <conditionalFormatting sqref="F8 D10">
    <cfRule type="aboveAverage" dxfId="246" priority="91"/>
  </conditionalFormatting>
  <conditionalFormatting sqref="G8 D11">
    <cfRule type="aboveAverage" dxfId="245" priority="90"/>
  </conditionalFormatting>
  <conditionalFormatting sqref="F9 E10">
    <cfRule type="aboveAverage" dxfId="244" priority="89"/>
  </conditionalFormatting>
  <conditionalFormatting sqref="G9 E11">
    <cfRule type="aboveAverage" dxfId="243" priority="88"/>
  </conditionalFormatting>
  <conditionalFormatting sqref="F11 G10">
    <cfRule type="aboveAverage" dxfId="242" priority="87"/>
  </conditionalFormatting>
  <conditionalFormatting sqref="S21:S25 W21:W25 Y21:Y25">
    <cfRule type="expression" dxfId="241" priority="86">
      <formula>AND(T21="",COUNTIF(S21,"*,*")=0)</formula>
    </cfRule>
  </conditionalFormatting>
  <conditionalFormatting sqref="U21:U25">
    <cfRule type="expression" dxfId="240" priority="84">
      <formula>AND(V21="",FIND(",",U21))</formula>
    </cfRule>
    <cfRule type="expression" dxfId="239" priority="85">
      <formula>AND(V21="",COUNTIF(U21,"*,*")=0)</formula>
    </cfRule>
  </conditionalFormatting>
  <conditionalFormatting sqref="I21:I25">
    <cfRule type="expression" dxfId="238" priority="82">
      <formula>FIND(2,I21,1)</formula>
    </cfRule>
    <cfRule type="expression" dxfId="237" priority="83">
      <formula>FIND(1,I21,1)</formula>
    </cfRule>
  </conditionalFormatting>
  <conditionalFormatting sqref="D21 C22">
    <cfRule type="aboveAverage" dxfId="236" priority="81"/>
  </conditionalFormatting>
  <conditionalFormatting sqref="E21 C23">
    <cfRule type="aboveAverage" dxfId="235" priority="80"/>
  </conditionalFormatting>
  <conditionalFormatting sqref="F21 C24">
    <cfRule type="aboveAverage" dxfId="234" priority="79"/>
  </conditionalFormatting>
  <conditionalFormatting sqref="E22 D23">
    <cfRule type="aboveAverage" dxfId="233" priority="78"/>
  </conditionalFormatting>
  <conditionalFormatting sqref="G21 C25">
    <cfRule type="aboveAverage" dxfId="232" priority="77"/>
  </conditionalFormatting>
  <conditionalFormatting sqref="F22 D24">
    <cfRule type="aboveAverage" dxfId="231" priority="76"/>
  </conditionalFormatting>
  <conditionalFormatting sqref="G22 D25">
    <cfRule type="aboveAverage" dxfId="230" priority="75"/>
  </conditionalFormatting>
  <conditionalFormatting sqref="F23 E24">
    <cfRule type="aboveAverage" dxfId="229" priority="74"/>
  </conditionalFormatting>
  <conditionalFormatting sqref="G23 E25">
    <cfRule type="aboveAverage" dxfId="228" priority="73"/>
  </conditionalFormatting>
  <conditionalFormatting sqref="F25 G24">
    <cfRule type="aboveAverage" dxfId="227" priority="72"/>
  </conditionalFormatting>
  <conditionalFormatting sqref="K14:K18">
    <cfRule type="expression" dxfId="226" priority="60">
      <formula>AND(J14=3,IF(COUNTIF(J$14:J$18,"=3")&gt;=2,TRUE))</formula>
    </cfRule>
    <cfRule type="expression" dxfId="225" priority="70">
      <formula>AND(J14=1,IF(COUNTIF(J$14:J$18,"=1")&gt;=2,TRUE))</formula>
    </cfRule>
    <cfRule type="expression" dxfId="224" priority="71">
      <formula>AND(J14=2,IF(COUNTIF(J$14:J$18,"=2")&gt;=2,TRUE))</formula>
    </cfRule>
  </conditionalFormatting>
  <conditionalFormatting sqref="K21:K25">
    <cfRule type="expression" dxfId="223" priority="59">
      <formula>AND(J21=3,IF(COUNTIF(J$21:J$25,"=3")&gt;=2,TRUE))</formula>
    </cfRule>
    <cfRule type="expression" dxfId="222" priority="68">
      <formula>AND(J21=1,IF(COUNTIF(J$21:J$25,"=1")&gt;=2,TRUE))</formula>
    </cfRule>
    <cfRule type="expression" dxfId="221" priority="69">
      <formula>AND(J21=2,IF(COUNTIF(J$21:J$25,"=2")&gt;=2,TRUE))</formula>
    </cfRule>
  </conditionalFormatting>
  <conditionalFormatting sqref="K28:K32">
    <cfRule type="expression" dxfId="220" priority="58">
      <formula>AND(J28=3,IF(COUNTIF(J$28:J$32,"=3")&gt;=2,TRUE))</formula>
    </cfRule>
    <cfRule type="expression" dxfId="219" priority="66">
      <formula>AND(J28=1,IF(COUNTIF(J$28:J$32,"=1")&gt;=2,TRUE))</formula>
    </cfRule>
    <cfRule type="expression" dxfId="218" priority="67">
      <formula>AND(J28=2,IF(COUNTIF(J$28:J$32,"=2")&gt;=2,TRUE))</formula>
    </cfRule>
  </conditionalFormatting>
  <conditionalFormatting sqref="K35:K39">
    <cfRule type="expression" dxfId="217" priority="57">
      <formula>AND(J35=3,IF(COUNTIF(J$35:J$39,"=2")&gt;=3,TRUE))</formula>
    </cfRule>
    <cfRule type="expression" dxfId="216" priority="64">
      <formula>AND(J35=1,IF(COUNTIF(J$35:J$39,"=1")&gt;=2,TRUE))</formula>
    </cfRule>
    <cfRule type="expression" dxfId="215" priority="65">
      <formula>AND(J35=2,IF(COUNTIF(J$35:J$39,"=2")&gt;=2,TRUE))</formula>
    </cfRule>
  </conditionalFormatting>
  <conditionalFormatting sqref="K7:K11">
    <cfRule type="expression" dxfId="214" priority="61">
      <formula>AND(J7=3,IF(COUNTIF(J$7:J$11,"=3")&gt;=2,TRUE))</formula>
    </cfRule>
    <cfRule type="expression" dxfId="213" priority="62">
      <formula>AND(J7=1,IF(COUNTIF(J$7:J$11,"=1")&gt;=2,TRUE))</formula>
    </cfRule>
    <cfRule type="expression" dxfId="212" priority="63">
      <formula>AND(J7=2,IF(COUNTIF(J$7:J$11,"=2")&gt;=2,TRUE))</formula>
    </cfRule>
  </conditionalFormatting>
  <conditionalFormatting sqref="L14:L18">
    <cfRule type="expression" dxfId="211" priority="51">
      <formula>OR(J14=0,J14=4)</formula>
    </cfRule>
    <cfRule type="expression" dxfId="210" priority="55">
      <formula>AND(J14=1,IF(COUNTIF(J$14:J$18,"=1")=1,TRUE))</formula>
    </cfRule>
    <cfRule type="expression" dxfId="209" priority="56">
      <formula>AND(J14=3,IF(COUNTIF(J$14:J$18,"=3")=1,TRUE))</formula>
    </cfRule>
  </conditionalFormatting>
  <conditionalFormatting sqref="L21:L25">
    <cfRule type="expression" dxfId="208" priority="52">
      <formula>OR(J21=0,J21=4)</formula>
    </cfRule>
    <cfRule type="expression" dxfId="207" priority="53">
      <formula>AND(J21=1,IF(COUNTIF(J$21:J$25,"=1")=1,TRUE))</formula>
    </cfRule>
    <cfRule type="expression" dxfId="206" priority="54">
      <formula>AND(J21=3,IF(COUNTIF(J$21:J$25,"=3")=1,TRUE))</formula>
    </cfRule>
  </conditionalFormatting>
  <conditionalFormatting sqref="L7:L11">
    <cfRule type="expression" dxfId="205" priority="48">
      <formula>OR(J7=0,J7=4)</formula>
    </cfRule>
    <cfRule type="expression" dxfId="204" priority="49">
      <formula>AND(J7=1,IF(COUNTIF(J$7:J$11,"=1")=1,TRUE))</formula>
    </cfRule>
    <cfRule type="expression" dxfId="203" priority="50">
      <formula>AND(J7=3,IF(COUNTIF(J$7:J$11,"=3")=1,TRUE))</formula>
    </cfRule>
  </conditionalFormatting>
  <conditionalFormatting sqref="L28:L32">
    <cfRule type="expression" dxfId="202" priority="45">
      <formula>OR(J28=0,J28=4)</formula>
    </cfRule>
    <cfRule type="expression" dxfId="201" priority="46">
      <formula>AND(J28=1,IF(COUNTIF(J$28:J$32,"=1")=1,TRUE))</formula>
    </cfRule>
    <cfRule type="expression" dxfId="200" priority="47">
      <formula>AND(J28=3,IF(COUNTIF(J$28:J$32,"=3")=1,TRUE))</formula>
    </cfRule>
  </conditionalFormatting>
  <conditionalFormatting sqref="L35:L39">
    <cfRule type="expression" dxfId="199" priority="42">
      <formula>OR(J35=0,J35=4)</formula>
    </cfRule>
    <cfRule type="expression" dxfId="198" priority="43">
      <formula>AND(J35=1,IF(COUNTIF(J$35:J$39,"=1")=1,TRUE))</formula>
    </cfRule>
    <cfRule type="expression" dxfId="197" priority="44">
      <formula>AND(J35=3,IF(COUNTIF(J$35:J$39,"=3")=1,TRUE))</formula>
    </cfRule>
  </conditionalFormatting>
  <conditionalFormatting sqref="H7:H11">
    <cfRule type="expression" dxfId="196" priority="27">
      <formula>AND(J7=1,IF(COUNTIF(J$7:J$11,"=1")&gt;=2,TRUE))</formula>
    </cfRule>
    <cfRule type="expression" dxfId="195" priority="40">
      <formula>AND(J7=3,IF(COUNTIF(J$7:J$11,"=3")&gt;=2,TRUE))</formula>
    </cfRule>
    <cfRule type="expression" dxfId="194" priority="41">
      <formula>AND(J7=2,IF(COUNTIF(J$7:J$11,"=2")&gt;=2,TRUE))</formula>
    </cfRule>
  </conditionalFormatting>
  <conditionalFormatting sqref="H14:H18">
    <cfRule type="expression" dxfId="193" priority="28">
      <formula>AND(J14=1,IF(COUNTIF(J$14:J$18,"=1")&gt;=2,TRUE))</formula>
    </cfRule>
    <cfRule type="expression" dxfId="192" priority="38">
      <formula>AND(J14=3,IF(COUNTIF(J$14:J$18,"=3")&gt;=2,TRUE))</formula>
    </cfRule>
    <cfRule type="expression" dxfId="191" priority="39">
      <formula>AND(J14=2,IF(COUNTIF(J$14:J$18,"=2")&gt;=2,TRUE))</formula>
    </cfRule>
  </conditionalFormatting>
  <conditionalFormatting sqref="H21:H25">
    <cfRule type="expression" dxfId="190" priority="29">
      <formula>AND(J21=1,IF(COUNTIF(J$21:J$25,"=1")&gt;=2,TRUE))</formula>
    </cfRule>
    <cfRule type="expression" dxfId="189" priority="36">
      <formula>AND(J21=3,IF(COUNTIF(J$21:J$25,"=3")&gt;=2,TRUE))</formula>
    </cfRule>
    <cfRule type="expression" dxfId="188" priority="37">
      <formula>AND(J21=2,IF(COUNTIF(J$21:J$25,"=2")&gt;=2,TRUE))</formula>
    </cfRule>
  </conditionalFormatting>
  <conditionalFormatting sqref="H28:H32">
    <cfRule type="expression" dxfId="187" priority="30">
      <formula>AND(J28=1,IF(COUNTIF(J$28:J$32,"=1")&gt;=2,TRUE))</formula>
    </cfRule>
    <cfRule type="expression" dxfId="186" priority="34">
      <formula>AND(J28=3,IF(COUNTIF(J$28:J$32,"=3")&gt;=2,TRUE))</formula>
    </cfRule>
    <cfRule type="expression" dxfId="185" priority="35">
      <formula>AND(J28=2,IF(COUNTIF(J$28:J$32,"=2")&gt;=2,TRUE))</formula>
    </cfRule>
  </conditionalFormatting>
  <conditionalFormatting sqref="H35:H39">
    <cfRule type="expression" dxfId="184" priority="31">
      <formula>AND(J35=1,IF(COUNTIF(J$35:J$39,"=1")&gt;=2,TRUE))</formula>
    </cfRule>
    <cfRule type="expression" dxfId="183" priority="32">
      <formula>AND(J35=3,IF(COUNTIF(J$35:J$39,"=3")&gt;=2,TRUE))</formula>
    </cfRule>
    <cfRule type="expression" dxfId="182" priority="33">
      <formula>AND(J35=2,IF(COUNTIF(J$35:J$39,"=2")&gt;=2,TRUE))</formula>
    </cfRule>
  </conditionalFormatting>
  <pageMargins left="0.78740157480314965" right="0.39370078740157483" top="0.78740157480314965" bottom="0.31496062992125984" header="0.59055118110236227" footer="0"/>
  <pageSetup paperSize="9" fitToHeight="0" orientation="landscape" verticalDpi="1200" r:id="rId1"/>
  <headerFooter>
    <oddHeader>&amp;R&amp;"Arial,Regular"&amp;9Page &amp;P of &amp;N</oddHeader>
  </headerFooter>
  <rowBreaks count="2" manualBreakCount="2">
    <brk id="56" max="16383" man="1"/>
    <brk id="94" max="16383" man="1"/>
  </rowBreaks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AB319"/>
  <sheetViews>
    <sheetView showGridLines="0" zoomScaleNormal="100" workbookViewId="0">
      <pane ySplit="2" topLeftCell="A24" activePane="bottomLeft" state="frozen"/>
      <selection activeCell="C152" sqref="C152"/>
      <selection pane="bottomLeft" activeCell="C152" sqref="C152"/>
    </sheetView>
  </sheetViews>
  <sheetFormatPr defaultRowHeight="12.75" x14ac:dyDescent="0.2"/>
  <cols>
    <col min="1" max="1" width="5.5703125" style="139" customWidth="1"/>
    <col min="2" max="2" width="31.7109375" style="139" bestFit="1" customWidth="1"/>
    <col min="3" max="8" width="6.7109375" style="139" customWidth="1"/>
    <col min="9" max="9" width="5.140625" style="139" bestFit="1" customWidth="1"/>
    <col min="10" max="10" width="4.5703125" style="139" customWidth="1"/>
    <col min="11" max="11" width="2.28515625" style="139" customWidth="1"/>
    <col min="12" max="12" width="3.5703125" style="139" customWidth="1"/>
    <col min="13" max="13" width="6" style="139" customWidth="1"/>
    <col min="14" max="14" width="4.28515625" style="139" customWidth="1"/>
    <col min="15" max="15" width="5.5703125" style="139" customWidth="1"/>
    <col min="16" max="16" width="8.5703125" style="139" bestFit="1" customWidth="1"/>
    <col min="17" max="17" width="9.140625" style="139"/>
    <col min="18" max="18" width="7.7109375" style="139" hidden="1" customWidth="1"/>
    <col min="19" max="19" width="17.140625" style="139" hidden="1" customWidth="1"/>
    <col min="20" max="20" width="6" style="139" hidden="1" customWidth="1"/>
    <col min="21" max="21" width="32.7109375" style="139" hidden="1" customWidth="1"/>
    <col min="22" max="22" width="6" style="139" hidden="1" customWidth="1"/>
    <col min="23" max="23" width="17.28515625" style="139" hidden="1" customWidth="1"/>
    <col min="24" max="24" width="6" style="139" hidden="1" customWidth="1"/>
    <col min="25" max="25" width="13.85546875" style="139" hidden="1" customWidth="1"/>
    <col min="26" max="26" width="6" style="139" hidden="1" customWidth="1"/>
    <col min="27" max="16384" width="9.140625" style="139"/>
  </cols>
  <sheetData>
    <row r="1" spans="1:27" x14ac:dyDescent="0.2">
      <c r="A1" s="86" t="str">
        <f>UPPER((Kalend!E3)&amp;" - "&amp;(Kalend!C3)&amp;" - "&amp;(Kalend!D3))</f>
        <v>R - VÕISTLUS - MÄNGUVIIS</v>
      </c>
      <c r="D1" s="51" t="str">
        <f>HYPERLINK("#'Kalend'!I1","Kalender")</f>
        <v>Kalender</v>
      </c>
      <c r="F1" s="51" t="str">
        <f>HYPERLINK("#'V'!AE1","Reiting")</f>
        <v>Reiting</v>
      </c>
      <c r="G1" s="88"/>
      <c r="H1" s="88"/>
      <c r="J1" s="502" t="s">
        <v>380</v>
      </c>
      <c r="L1" s="585"/>
      <c r="M1" s="504"/>
      <c r="R1" s="502" t="s">
        <v>380</v>
      </c>
      <c r="S1" s="504"/>
      <c r="T1" s="504"/>
      <c r="U1" s="503"/>
      <c r="V1" s="504"/>
      <c r="W1" s="504"/>
      <c r="X1" s="504"/>
      <c r="Y1" s="504"/>
      <c r="Z1" s="504"/>
    </row>
    <row r="2" spans="1:27" x14ac:dyDescent="0.2">
      <c r="A2" s="186" t="str">
        <f>"Toimumisaeg: "&amp;(Kalend!A3)&amp;" kell "&amp;(Kalend!B3)</f>
        <v>Toimumisaeg: Kuupäev kell Aeg</v>
      </c>
      <c r="S2" s="314"/>
      <c r="U2" s="314"/>
    </row>
    <row r="3" spans="1:27" x14ac:dyDescent="0.2">
      <c r="A3" s="186" t="str">
        <f>"Toimumiskoht: "&amp;(Kalend!F3)</f>
        <v>Toimumiskoht: Toimumiskoht</v>
      </c>
      <c r="S3" s="505" t="s">
        <v>381</v>
      </c>
      <c r="U3" s="314"/>
      <c r="W3" s="261"/>
    </row>
    <row r="4" spans="1:27" x14ac:dyDescent="0.2">
      <c r="A4" s="186" t="str">
        <f>"Korraldaja: "&amp;(Kalend!G3)</f>
        <v>Korraldaja: Korraldaja</v>
      </c>
      <c r="R4" s="506" t="s">
        <v>36</v>
      </c>
      <c r="S4" s="507"/>
      <c r="T4" s="508"/>
      <c r="U4" s="509"/>
      <c r="V4" s="508"/>
      <c r="W4" s="508"/>
      <c r="X4" s="508"/>
      <c r="Y4" s="508"/>
      <c r="Z4" s="508"/>
    </row>
    <row r="5" spans="1:27" x14ac:dyDescent="0.2">
      <c r="R5" s="506" t="s">
        <v>382</v>
      </c>
      <c r="S5" s="510" t="s">
        <v>383</v>
      </c>
      <c r="T5" s="510"/>
      <c r="U5" s="511" t="s">
        <v>384</v>
      </c>
      <c r="V5" s="510"/>
      <c r="W5" s="510" t="s">
        <v>385</v>
      </c>
      <c r="X5" s="510"/>
      <c r="Y5" s="510" t="s">
        <v>386</v>
      </c>
      <c r="Z5" s="512"/>
    </row>
    <row r="6" spans="1:27" s="188" customFormat="1" x14ac:dyDescent="0.2">
      <c r="A6" s="126" t="s">
        <v>66</v>
      </c>
      <c r="B6" s="648" t="s">
        <v>473</v>
      </c>
      <c r="C6" s="91">
        <v>1</v>
      </c>
      <c r="D6" s="91">
        <v>2</v>
      </c>
      <c r="E6" s="91">
        <v>3</v>
      </c>
      <c r="F6" s="91">
        <v>4</v>
      </c>
      <c r="G6" s="91">
        <v>5</v>
      </c>
      <c r="H6" s="91" t="s">
        <v>73</v>
      </c>
      <c r="I6" s="438" t="s">
        <v>46</v>
      </c>
      <c r="J6" s="577" t="s">
        <v>273</v>
      </c>
      <c r="K6" s="649" t="s">
        <v>273</v>
      </c>
      <c r="L6" s="650" t="s">
        <v>430</v>
      </c>
      <c r="M6" s="188" t="b">
        <f>OR(AND(COUNTA(B7:B11)=3,COUNTA(C7:G11)=6),AND(COUNTA(B7:B11)=4,COUNTA(C7:G11)=12),AND(COUNTA(B7:B11)=5,COUNTA(C7:G11)=20))</f>
        <v>1</v>
      </c>
      <c r="P6" s="139"/>
      <c r="Q6" s="139"/>
      <c r="R6" s="506" t="s">
        <v>387</v>
      </c>
      <c r="S6" s="507"/>
      <c r="T6" s="508"/>
      <c r="U6" s="507"/>
      <c r="V6" s="508"/>
      <c r="W6" s="513"/>
      <c r="X6" s="513"/>
      <c r="Y6" s="513"/>
      <c r="Z6" s="513"/>
    </row>
    <row r="7" spans="1:27" s="188" customFormat="1" x14ac:dyDescent="0.2">
      <c r="A7" s="126"/>
      <c r="B7" s="581" t="s">
        <v>168</v>
      </c>
      <c r="C7" s="127"/>
      <c r="D7" s="93">
        <v>10</v>
      </c>
      <c r="E7" s="93">
        <v>1</v>
      </c>
      <c r="F7" s="93">
        <v>1</v>
      </c>
      <c r="G7" s="93">
        <v>3</v>
      </c>
      <c r="H7" s="576" t="str">
        <f>(IF(D7-C8&gt;0,1)+IF(E7-C9&gt;0,1)+IF(F7-C10&gt;0,1)+IF(G7-C11&gt;0,1))&amp;"-"&amp;(IF(D7-C8&lt;0,1)+IF(E7-C9&lt;0,1)+IF(F7-C10&lt;0,1)+IF(G7-C11&lt;0,1))</f>
        <v>0-4</v>
      </c>
      <c r="I7" s="93" t="str">
        <f>IF(AND(B7&lt;&gt;"",M$6=TRUE),A$6&amp;RANK(M7,M$7:M$11,0),"")</f>
        <v>A5</v>
      </c>
      <c r="J7" s="584">
        <f>VALUE(LEFT(H7,1))</f>
        <v>0</v>
      </c>
      <c r="K7" s="651">
        <f>IF(AND(J7=1,J8=1,D7&gt;C8),1)+IF(AND(J7=1,J9=1,E7&gt;C9),1)+IF(AND(J7=1,J10=1,F7&gt;C10),1)+IF(AND(J7=1,J11=1,G7&gt;C11),1)+IF(AND(J7=2,J8=2,D7&gt;C8),1)+IF(AND(J7=2,J9=2,E7&gt;C9),1)+IF(AND(J7=2,J10=2,F7&gt;C10),1)+IF(AND(J7=2,J11=2,G7&gt;C11),1)+IF(AND(J7=3,J8=3,D7&gt;C8),1)+IF(AND(J7=3,J9=3,E7&gt;C9),1)+IF(AND(J7=3,J10=3,F7&gt;C10),1)+IF(AND(J7=3,J11=3,G7&gt;C11),1)</f>
        <v>0</v>
      </c>
      <c r="L7" s="652">
        <f>IF(AND(J7=1,J8=1),D7-C8)+IF(AND(J7=1,J9=1),E7-C9)+IF(AND(J7=1,J10=1),F7-C10)+IF(AND(J7=1,J11=1),G7-C11)+IF(AND(J7=2,J8=2),D7-C8)+IF(AND(J7=2,J9=2),E7-C9)+IF(AND(J7=2,J10=2),F7-C10)+IF(AND(J7=2,J11=2),G7-C11)+IF(AND(J7=3,J8=3),D7-C8)+IF(AND(J7=3,J9=3),E7-C9)+IF(AND(J7=3,J10=3),F7-C10)+IF(AND(J7=3,J11=3),G7-C11)</f>
        <v>0</v>
      </c>
      <c r="M7" s="668">
        <f>10000*J7+K7*100+L7</f>
        <v>0</v>
      </c>
      <c r="N7" s="569"/>
      <c r="O7" s="310"/>
      <c r="P7" s="139"/>
      <c r="Q7" s="140"/>
      <c r="R7" s="512">
        <f>SUM(T7:Z7)</f>
        <v>102</v>
      </c>
      <c r="S7" s="514" t="str">
        <f t="shared" ref="S7:S10" si="0">IFERROR(LEFT($B7,(FIND(",",$B7,1)-1)),"")</f>
        <v>Heili Vasser</v>
      </c>
      <c r="T7" s="515">
        <f>IFERROR(INDEX(V!$O:$O,MATCH(S7,V!$J:$J,0)),"")</f>
        <v>31.5</v>
      </c>
      <c r="U7" s="514" t="str">
        <f t="shared" ref="U7:U37" si="1">IFERROR(MID($B7,FIND(", ",$B7)+2,256),"")</f>
        <v>Vello Vasser</v>
      </c>
      <c r="V7" s="515">
        <f>IFERROR(INDEX(V!$O:$O,MATCH(U7,V!$J:$J,0)),"")</f>
        <v>70.5</v>
      </c>
      <c r="W7" s="516" t="str">
        <f t="shared" ref="W7:W37" si="2">IFERROR(MID($B7,FIND("^",SUBSTITUTE($B7,", ","^",1))+2,FIND("^",SUBSTITUTE($B7,", ","^",2))-FIND("^",SUBSTITUTE($B7,", ","^",1))-2),"")</f>
        <v/>
      </c>
      <c r="X7" s="515" t="str">
        <f>IFERROR(INDEX(V!$O:$O,MATCH(W7,V!$J:$J,0)),"")</f>
        <v/>
      </c>
      <c r="Y7" s="516" t="str">
        <f t="shared" ref="Y7:Y38" si="3">IFERROR(MID($B7,FIND(", ",$B7,FIND(", ",$B7,FIND(", ",$B7))+1)+2,30000),"")</f>
        <v/>
      </c>
      <c r="Z7" s="515" t="str">
        <f>IFERROR(INDEX(V!$O:$O,MATCH(Y7,V!$J:$J,0)),"")</f>
        <v/>
      </c>
    </row>
    <row r="8" spans="1:27" s="188" customFormat="1" x14ac:dyDescent="0.2">
      <c r="A8" s="126">
        <v>2</v>
      </c>
      <c r="B8" s="581" t="s">
        <v>175</v>
      </c>
      <c r="C8" s="93">
        <v>13</v>
      </c>
      <c r="D8" s="127"/>
      <c r="E8" s="316">
        <v>12</v>
      </c>
      <c r="F8" s="93">
        <v>5</v>
      </c>
      <c r="G8" s="316">
        <v>13</v>
      </c>
      <c r="H8" s="576" t="str">
        <f>(IF(C8-D7&gt;0,1)+IF(E8-D9&gt;0,1)+IF(F8-D10&gt;0,1)+IF(G8-D11&gt;0,1))&amp;"-"&amp;(IF(C8-D7&lt;0,1)+IF(E8-D9&lt;0,1)+IF(F8-D10&lt;0,1)+IF(G8-D11&lt;0,1))</f>
        <v>2-2</v>
      </c>
      <c r="I8" s="93" t="str">
        <f>IF(AND(B8&lt;&gt;"",M$6=TRUE),A$6&amp;RANK(M8,M$7:M$11,0),"")</f>
        <v>A2</v>
      </c>
      <c r="J8" s="584">
        <f t="shared" ref="J8:J11" si="4">VALUE(LEFT(H8,1))</f>
        <v>2</v>
      </c>
      <c r="K8" s="653">
        <f>IF(AND(J8=1,J7=1,C8&gt;D7),1)+IF(AND(J8=1,J9=1,E8&gt;D9),1)+IF(AND(J8=1,J10=1,F8&gt;D10),1)+IF(AND(J8=1,J11=1,G8&gt;D11),1)+IF(AND(J8=2,J7=2,C8&gt;D7),1)+IF(AND(J8=2,J9=2,E8&gt;D9),1)+IF(AND(J8=2,J10=2,F8&gt;D10),1)+IF(AND(J8=2,J11=2,G8&gt;D11),1)+IF(AND(J8=3,J7=3,C8&gt;D7),1)+IF(AND(J8=3,J9=3,E8&gt;D9),1)+IF(AND(J8=3,J10=3,F8&gt;D10),1)+IF(AND(J8=3,J11=3,G8&gt;D11),1)</f>
        <v>1</v>
      </c>
      <c r="L8" s="652">
        <f>IF(AND(J8=1,J7=1),C8-D7)+IF(AND(J8=1,J9=1),E8-D9)+IF(AND(J8=1,J10=1),F8-D10)+IF(AND(J8=1,J11=1),G8-D11)+IF(AND(J8=2,J7=2),C8-D7)+IF(AND(J8=2,J9=2),E8-D9)+IF(AND(J8=2,J10=2),F8-D10)+IF(AND(J8=2,J11=2),G8-D11)+IF(AND(J8=3,J7=3),C8-D7)+IF(AND(J8=3,J9=3),E8-D9)+IF(AND(J8=3,J10=3),F8-D10)+IF(AND(J8=3,J11=3),G8-D11)</f>
        <v>6</v>
      </c>
      <c r="M8" s="668">
        <f t="shared" ref="M8:M11" si="5">10000*J8+K8*100+L8</f>
        <v>20106</v>
      </c>
      <c r="N8" s="569"/>
      <c r="O8" s="310"/>
      <c r="P8" s="139"/>
      <c r="Q8" s="140"/>
      <c r="R8" s="512">
        <f t="shared" ref="R8:R39" si="6">SUM(T8:Z8)</f>
        <v>134</v>
      </c>
      <c r="S8" s="514" t="str">
        <f t="shared" si="0"/>
        <v>Klavdia Piik</v>
      </c>
      <c r="T8" s="515">
        <f>IFERROR(INDEX(V!$O:$O,MATCH(S8,V!$J:$J,0)),"")</f>
        <v>72</v>
      </c>
      <c r="U8" s="514" t="str">
        <f t="shared" si="1"/>
        <v>Ülo Piik</v>
      </c>
      <c r="V8" s="515">
        <f>IFERROR(INDEX(V!$O:$O,MATCH(U8,V!$J:$J,0)),"")</f>
        <v>62</v>
      </c>
      <c r="W8" s="516" t="str">
        <f t="shared" si="2"/>
        <v/>
      </c>
      <c r="X8" s="515" t="str">
        <f>IFERROR(INDEX(V!$O:$O,MATCH(W8,V!$J:$J,0)),"")</f>
        <v/>
      </c>
      <c r="Y8" s="516" t="str">
        <f t="shared" si="3"/>
        <v/>
      </c>
      <c r="Z8" s="515" t="str">
        <f>IFERROR(INDEX(V!$O:$O,MATCH(Y8,V!$J:$J,0)),"")</f>
        <v/>
      </c>
    </row>
    <row r="9" spans="1:27" s="188" customFormat="1" x14ac:dyDescent="0.2">
      <c r="A9" s="126">
        <v>3</v>
      </c>
      <c r="B9" s="581" t="s">
        <v>472</v>
      </c>
      <c r="C9" s="93">
        <v>13</v>
      </c>
      <c r="D9" s="403">
        <v>13</v>
      </c>
      <c r="E9" s="127"/>
      <c r="F9" s="93">
        <v>7</v>
      </c>
      <c r="G9" s="316">
        <v>8</v>
      </c>
      <c r="H9" s="576" t="str">
        <f>(IF(C9-E7&gt;0,1)+IF(D9-E8&gt;0,1)+IF(F9-E10&gt;0,1)+IF(G9-E11&gt;0,1))&amp;"-"&amp;(IF(C9-E7&lt;0,1)+IF(D9-E8&lt;0,1)+IF(F9-E10&lt;0,1)+IF(G9-E11&lt;0,1))</f>
        <v>2-2</v>
      </c>
      <c r="I9" s="93" t="str">
        <f>IF(AND(B9&lt;&gt;"",M$6=TRUE),A$6&amp;RANK(M9,M$7:M$11,0),"")</f>
        <v>A4</v>
      </c>
      <c r="J9" s="584">
        <f t="shared" si="4"/>
        <v>2</v>
      </c>
      <c r="K9" s="653">
        <f>IF(AND(J9=1,J7=1,C9&gt;E7),1)+IF(AND(J9=1,J8=1,D9&gt;E8),1)+IF(AND(J9=1,J10=1,F9&gt;E10),1)+IF(AND(J9=1,J11=1,G9&gt;E11),1)+IF(AND(J9=2,J7=2,C9&gt;E7),1)+IF(AND(J9=2,J8=2,D9&gt;E8),1)+IF(AND(J9=2,J10=2,F9&gt;E10),1)+IF(AND(J9=2,J11=2,G9&gt;E11),1)+IF(AND(J9=3,J7=3,C9&gt;E7),1)+IF(AND(J9=3,J8=3,D9&gt;E8),1)+IF(AND(J9=3,J10=3,F9&gt;E10),1)+IF(AND(J9=3,J11=3,G9&gt;E11),1)</f>
        <v>1</v>
      </c>
      <c r="L9" s="652">
        <f>IF(AND(J9=1,J7=1),C9-E7)+IF(AND(J9=1,J8=1),D9-E8)+IF(AND(J9=1,J10=1),F9-E10)+IF(AND(J9=1,J11=1),G9-E11)+IF(AND(J9=2,J7=2),C9-E7)+IF(AND(J9=2,J8=2),D9-E8)+IF(AND(J9=2,J10=2),F9-E10)+IF(AND(J9=2,J11=2),G9-E11)+IF(AND(J9=3,J7=3),C9-E7)+IF(AND(J9=3,J8=3),D9-E8)+IF(AND(J9=3,J10=3),F9-E10)+IF(AND(J9=3,J11=3),G9-E11)</f>
        <v>-4</v>
      </c>
      <c r="M9" s="668">
        <f t="shared" si="5"/>
        <v>20096</v>
      </c>
      <c r="N9" s="569"/>
      <c r="O9" s="310"/>
      <c r="P9" s="139"/>
      <c r="Q9" s="140"/>
      <c r="R9" s="512">
        <f t="shared" si="6"/>
        <v>83</v>
      </c>
      <c r="S9" s="514" t="str">
        <f t="shared" si="0"/>
        <v>Karla Purgats</v>
      </c>
      <c r="T9" s="515">
        <f>IFERROR(INDEX(V!$O:$O,MATCH(S9,V!$J:$J,0)),"")</f>
        <v>66</v>
      </c>
      <c r="U9" s="514" t="str">
        <f t="shared" si="1"/>
        <v>Tõnu Kapper</v>
      </c>
      <c r="V9" s="515">
        <f>IFERROR(INDEX(V!$O:$O,MATCH(U9,V!$J:$J,0)),"")</f>
        <v>17</v>
      </c>
      <c r="W9" s="516" t="str">
        <f t="shared" si="2"/>
        <v/>
      </c>
      <c r="X9" s="515" t="str">
        <f>IFERROR(INDEX(V!$O:$O,MATCH(W9,V!$J:$J,0)),"")</f>
        <v/>
      </c>
      <c r="Y9" s="516" t="str">
        <f t="shared" si="3"/>
        <v/>
      </c>
      <c r="Z9" s="515" t="str">
        <f>IFERROR(INDEX(V!$O:$O,MATCH(Y9,V!$J:$J,0)),"")</f>
        <v/>
      </c>
    </row>
    <row r="10" spans="1:27" s="188" customFormat="1" x14ac:dyDescent="0.2">
      <c r="A10" s="126">
        <v>4</v>
      </c>
      <c r="B10" s="581" t="s">
        <v>167</v>
      </c>
      <c r="C10" s="93">
        <v>13</v>
      </c>
      <c r="D10" s="548">
        <v>13</v>
      </c>
      <c r="E10" s="93">
        <v>13</v>
      </c>
      <c r="F10" s="127"/>
      <c r="G10" s="128">
        <v>13</v>
      </c>
      <c r="H10" s="576" t="str">
        <f>(IF(C10-F7&gt;0,1)+IF(D10-F8&gt;0,1)+IF(E10-F9&gt;0,1)+IF(G10-F11&gt;0,1))&amp;"-"&amp;(IF(C10-F7&lt;0,1)+IF(D10-F8&lt;0,1)+IF(E10-F9&lt;0,1)+IF(G10-F11&lt;0,1))</f>
        <v>4-0</v>
      </c>
      <c r="I10" s="93" t="str">
        <f t="shared" ref="I10:I11" si="7">IF(AND(B10&lt;&gt;"",M$6=TRUE),A$6&amp;RANK(M10,M$7:M$11,0),"")</f>
        <v>A1</v>
      </c>
      <c r="J10" s="584">
        <f t="shared" si="4"/>
        <v>4</v>
      </c>
      <c r="K10" s="653">
        <f>IF(AND(J10=1,J7=1,C10&gt;F7),1)+IF(AND(J10=1,J8=1,D10&gt;F8),1)+IF(AND(J10=1,J9=1,E10&gt;F9),1)+IF(AND(J10=1,J11=1,G10&gt;F11),1)+IF(AND(J10=2,J7=2,C10&gt;F7),1)+IF(AND(J10=2,J8=2,D10&gt;F8),1)+IF(AND(J10=2,J9=2,E10&gt;F9),1)+IF(AND(J10=2,J11=2,G10&gt;F11),1)+IF(AND(J10=3,J7=3,C10&gt;F7),1)+IF(AND(J10=3,J8=3,D10&gt;F8),1)+IF(AND(J10=3,J9=3,E10&gt;F9),1)+IF(AND(J10=3,J11=3,G10&gt;F11),1)</f>
        <v>0</v>
      </c>
      <c r="L10" s="652">
        <f>IF(AND(J10=1,J7=1),C10-F7)+IF(AND(J10=1,J8=1),D10-F8)+IF(AND(J10=1,J9=1),E10-F9)+IF(AND(J10=1,J11=1),G10-F11)+IF(AND(J10=2,J7=2),C10-F7)+IF(AND(J10=2,J8=2),D10-F8)+IF(AND(J10=2,J9=2),E10-F9)+IF(AND(J10=2,J11=2),G10-F11)+IF(AND(J10=3,J7=3),C10-F7)+IF(AND(J10=3,J8=3),D10-F8)+IF(AND(J10=3,J9=3),E10-F9)+IF(AND(J10=3,J11=3),G10-F11)</f>
        <v>0</v>
      </c>
      <c r="M10" s="668">
        <f t="shared" si="5"/>
        <v>40000</v>
      </c>
      <c r="N10" s="569"/>
      <c r="O10" s="310"/>
      <c r="P10" s="139"/>
      <c r="Q10" s="140"/>
      <c r="R10" s="512">
        <f t="shared" si="6"/>
        <v>66</v>
      </c>
      <c r="S10" s="514" t="str">
        <f t="shared" si="0"/>
        <v>Illar Tõnurist</v>
      </c>
      <c r="T10" s="515">
        <f>IFERROR(INDEX(V!$O:$O,MATCH(S10,V!$J:$J,0)),"")</f>
        <v>41</v>
      </c>
      <c r="U10" s="514" t="str">
        <f t="shared" si="1"/>
        <v>Jaan Saar</v>
      </c>
      <c r="V10" s="515">
        <f>IFERROR(INDEX(V!$O:$O,MATCH(U10,V!$J:$J,0)),"")</f>
        <v>25</v>
      </c>
      <c r="W10" s="516" t="str">
        <f t="shared" si="2"/>
        <v/>
      </c>
      <c r="X10" s="515" t="str">
        <f>IFERROR(INDEX(V!$O:$O,MATCH(W10,V!$J:$J,0)),"")</f>
        <v/>
      </c>
      <c r="Y10" s="516" t="str">
        <f t="shared" si="3"/>
        <v/>
      </c>
      <c r="Z10" s="515" t="str">
        <f>IFERROR(INDEX(V!$O:$O,MATCH(Y10,V!$J:$J,0)),"")</f>
        <v/>
      </c>
    </row>
    <row r="11" spans="1:27" s="188" customFormat="1" x14ac:dyDescent="0.2">
      <c r="A11" s="126">
        <v>5</v>
      </c>
      <c r="B11" s="581" t="s">
        <v>611</v>
      </c>
      <c r="C11" s="93">
        <v>13</v>
      </c>
      <c r="D11" s="316">
        <v>6</v>
      </c>
      <c r="E11" s="316">
        <v>13</v>
      </c>
      <c r="F11" s="93">
        <v>2</v>
      </c>
      <c r="G11" s="127"/>
      <c r="H11" s="576" t="str">
        <f>(IF(C11-G7&gt;0,1)+IF(D11-G8&gt;0,1)+IF(E11-G9&gt;0,1)+IF(F11-G10&gt;0,1))&amp;"-"&amp;(IF(C11-G7&lt;0,1)+IF(D11-G8&lt;0,1)+IF(E11-G9&lt;0,1)+IF(F11-G10&lt;0,1))</f>
        <v>2-2</v>
      </c>
      <c r="I11" s="93" t="str">
        <f t="shared" si="7"/>
        <v>A3</v>
      </c>
      <c r="J11" s="584">
        <f t="shared" si="4"/>
        <v>2</v>
      </c>
      <c r="K11" s="653">
        <f>IF(AND(J11=1,J7=1,C11&gt;G7),1)+IF(AND(J11=1,J8=1,D11&gt;G8),1)+IF(AND(J11=1,J9=1,E11&gt;G9),1)+IF(AND(J11=1,J10=1,F11&gt;G10),1)+IF(AND(J11=2,J7=2,C11&gt;G7),1)+IF(AND(J11=2,J8=2,D11&gt;G8),1)+IF(AND(J11=2,J9=2,E11&gt;G9),1)+IF(AND(J11=2,J10=2,F11&gt;G10),1)+IF(AND(J11=3,J7=3,C11&gt;G7),1)+IF(AND(J11=3,J8=3,D11&gt;G8),1)+IF(AND(J11=3,J9=3,E11&gt;G9),1)+IF(AND(J11=3,J10=3,F11&gt;G10),1)</f>
        <v>1</v>
      </c>
      <c r="L11" s="652">
        <f>IF(AND(J11=1,J7=1),C11-G7)+IF(AND(J11=1,J8=1),D11-G8)+IF(AND(J11=1,J9=1),E11-G9)+IF(AND(J11=1,J10=1),F11-G10)+IF(AND(J11=2,J7=2),C11-G7)+IF(AND(J11=2,J8=2),D11-G8)+IF(AND(J11=2,J9=2),E11-G9)+IF(AND(J11=2,J10=2),F11-G10)+IF(AND(J11=3,J7=3),C11-G7)+IF(AND(J11=3,J8=3),D11-G8)+IF(AND(J11=3,J9=3),E11-G9)+IF(AND(J11=3,J10=3),F11-G10)</f>
        <v>-2</v>
      </c>
      <c r="M11" s="668">
        <f t="shared" si="5"/>
        <v>20098</v>
      </c>
      <c r="N11" s="569"/>
      <c r="O11" s="310"/>
      <c r="P11" s="139"/>
      <c r="Q11" s="140"/>
      <c r="R11" s="512">
        <f t="shared" si="6"/>
        <v>134</v>
      </c>
      <c r="S11" s="514" t="str">
        <f t="shared" ref="S11:S39" si="8">IFERROR(LEFT($B11,(FIND(",",$B11,1)-1)),"")</f>
        <v>Kenneth Muusikus</v>
      </c>
      <c r="T11" s="515">
        <f>IFERROR(INDEX(V!$O:$O,MATCH(S11,V!$J:$J,0)),"")</f>
        <v>80</v>
      </c>
      <c r="U11" s="514" t="str">
        <f t="shared" si="1"/>
        <v>Peep Peenema</v>
      </c>
      <c r="V11" s="515">
        <f>IFERROR(INDEX(V!$O:$O,MATCH(U11,V!$J:$J,0)),"")</f>
        <v>54</v>
      </c>
      <c r="W11" s="516" t="str">
        <f t="shared" si="2"/>
        <v/>
      </c>
      <c r="X11" s="515" t="str">
        <f>IFERROR(INDEX(V!$O:$O,MATCH(W11,V!$J:$J,0)),"")</f>
        <v/>
      </c>
      <c r="Y11" s="516" t="str">
        <f t="shared" si="3"/>
        <v/>
      </c>
      <c r="Z11" s="515" t="str">
        <f>IFERROR(INDEX(V!$O:$O,MATCH(Y11,V!$J:$J,0)),"")</f>
        <v/>
      </c>
    </row>
    <row r="12" spans="1:27" s="188" customFormat="1" x14ac:dyDescent="0.2">
      <c r="A12" s="121"/>
      <c r="B12" s="422"/>
      <c r="C12" s="96"/>
      <c r="D12" s="312"/>
      <c r="E12" s="96"/>
      <c r="F12" s="97"/>
      <c r="H12" s="402"/>
      <c r="I12" s="580"/>
      <c r="J12" s="585"/>
      <c r="K12" s="654"/>
      <c r="L12" s="655"/>
      <c r="M12" s="585"/>
      <c r="N12" s="569"/>
      <c r="O12" s="310"/>
      <c r="P12" s="139"/>
      <c r="Q12" s="139"/>
      <c r="R12" s="186"/>
      <c r="S12" s="186"/>
      <c r="T12" s="186"/>
      <c r="U12" s="186"/>
      <c r="V12" s="186"/>
      <c r="W12" s="186"/>
      <c r="X12" s="186"/>
      <c r="Y12" s="186"/>
      <c r="Z12" s="186"/>
      <c r="AA12" s="88"/>
    </row>
    <row r="13" spans="1:27" s="186" customFormat="1" x14ac:dyDescent="0.2">
      <c r="A13" s="126" t="s">
        <v>90</v>
      </c>
      <c r="B13" s="648" t="s">
        <v>473</v>
      </c>
      <c r="C13" s="91">
        <v>1</v>
      </c>
      <c r="D13" s="91">
        <v>2</v>
      </c>
      <c r="E13" s="91">
        <v>3</v>
      </c>
      <c r="F13" s="91">
        <v>4</v>
      </c>
      <c r="G13" s="91">
        <v>5</v>
      </c>
      <c r="H13" s="438" t="s">
        <v>73</v>
      </c>
      <c r="I13" s="438" t="s">
        <v>46</v>
      </c>
      <c r="J13" s="586" t="s">
        <v>273</v>
      </c>
      <c r="K13" s="649" t="s">
        <v>273</v>
      </c>
      <c r="L13" s="656" t="s">
        <v>430</v>
      </c>
      <c r="M13" s="588" t="b">
        <f>OR(AND(COUNTA(B14:B18)=3,COUNTA(C14:G18)=6),AND(COUNTA(B14:B18)=4,COUNTA(C14:G18)=12),AND(COUNTA(B14:B18)=5,COUNTA(C14:G18)=20))</f>
        <v>1</v>
      </c>
      <c r="Q13" s="139"/>
      <c r="AA13" s="88"/>
    </row>
    <row r="14" spans="1:27" s="186" customFormat="1" x14ac:dyDescent="0.2">
      <c r="A14" s="126">
        <v>1</v>
      </c>
      <c r="B14" s="581" t="s">
        <v>168</v>
      </c>
      <c r="C14" s="127"/>
      <c r="D14" s="93">
        <v>10</v>
      </c>
      <c r="E14" s="93">
        <v>13</v>
      </c>
      <c r="F14" s="93">
        <v>1</v>
      </c>
      <c r="G14" s="93">
        <v>3</v>
      </c>
      <c r="H14" s="576" t="str">
        <f>(IF(D14-C15&gt;0,1)+IF(E14-C16&gt;0,1)+IF(F14-C17&gt;0,1)+IF(G14-C18&gt;0,1))&amp;"-"&amp;(IF(D14-C15&lt;0,1)+IF(E14-C16&lt;0,1)+IF(F14-C17&lt;0,1)+IF(G14-C18&lt;0,1))</f>
        <v>1-3</v>
      </c>
      <c r="I14" s="93" t="str">
        <f>IF(AND(B14&lt;&gt;"",M$13=TRUE),A$13&amp;RANK(M14,M$14:M$18,0),"")</f>
        <v>B5</v>
      </c>
      <c r="J14" s="584">
        <f>VALUE(LEFT(H14,1))</f>
        <v>1</v>
      </c>
      <c r="K14" s="651">
        <f>IF(AND(J14=1,J15=1,D14&gt;C15),1)+IF(AND(J14=1,J16=1,E14&gt;C16),1)+IF(AND(J14=1,J17=1,F14&gt;C17),1)+IF(AND(J14=1,J18=1,G14&gt;C18),1)+IF(AND(J14=2,J15=2,D14&gt;C15),1)+IF(AND(J14=2,J16=2,E14&gt;C16),1)+IF(AND(J14=2,J17=2,F14&gt;C17),1)+IF(AND(J14=2,J18=2,G14&gt;C18),1)+IF(AND(J14=3,J15=3,D14&gt;C15),1)+IF(AND(J14=3,J16=3,E14&gt;C16),1)+IF(AND(J14=3,J17=3,F14&gt;C17),1)+IF(AND(J14=3,J18=3,G14&gt;C18),1)</f>
        <v>0</v>
      </c>
      <c r="L14" s="652">
        <f>IF(AND(J14=1,J15=1),D14-C15)+IF(AND(J14=1,J16=1),E14-C16)+IF(AND(J14=1,J17=1),F14-C17)+IF(AND(J14=1,J18=1),G14-C18)+IF(AND(J14=2,J15=2),D14-C15)+IF(AND(J14=2,J16=2),E14-C16)+IF(AND(J14=2,J17=2),F14-C17)+IF(AND(J14=2,J18=2),G14-C18)+IF(AND(J14=3,J15=3),D14-C15)+IF(AND(J14=3,J16=3),E14-C16)+IF(AND(J14=3,J17=3),F14-C17)+IF(AND(J14=3,J18=3),G14-C18)</f>
        <v>0</v>
      </c>
      <c r="M14" s="668">
        <f>10000*J14+K14*100+L14</f>
        <v>10000</v>
      </c>
      <c r="Q14" s="139"/>
      <c r="R14" s="512">
        <f t="shared" si="6"/>
        <v>102</v>
      </c>
      <c r="S14" s="514" t="str">
        <f t="shared" si="8"/>
        <v>Heili Vasser</v>
      </c>
      <c r="T14" s="515">
        <f>IFERROR(INDEX(V!$O:$O,MATCH(S14,V!$J:$J,0)),"")</f>
        <v>31.5</v>
      </c>
      <c r="U14" s="514" t="str">
        <f t="shared" si="1"/>
        <v>Vello Vasser</v>
      </c>
      <c r="V14" s="515">
        <f>IFERROR(INDEX(V!$O:$O,MATCH(U14,V!$J:$J,0)),"")</f>
        <v>70.5</v>
      </c>
      <c r="W14" s="516" t="str">
        <f t="shared" si="2"/>
        <v/>
      </c>
      <c r="X14" s="515" t="str">
        <f>IFERROR(INDEX(V!$O:$O,MATCH(W14,V!$J:$J,0)),"")</f>
        <v/>
      </c>
      <c r="Y14" s="516" t="str">
        <f t="shared" si="3"/>
        <v/>
      </c>
      <c r="Z14" s="515" t="str">
        <f>IFERROR(INDEX(V!$O:$O,MATCH(Y14,V!$J:$J,0)),"")</f>
        <v/>
      </c>
    </row>
    <row r="15" spans="1:27" s="186" customFormat="1" x14ac:dyDescent="0.2">
      <c r="A15" s="126">
        <v>2</v>
      </c>
      <c r="B15" s="581" t="s">
        <v>175</v>
      </c>
      <c r="C15" s="93">
        <v>13</v>
      </c>
      <c r="D15" s="127"/>
      <c r="E15" s="316">
        <v>12</v>
      </c>
      <c r="F15" s="93">
        <v>13</v>
      </c>
      <c r="G15" s="316">
        <v>6</v>
      </c>
      <c r="H15" s="576" t="str">
        <f>(IF(C15-D14&gt;0,1)+IF(E15-D16&gt;0,1)+IF(F15-D17&gt;0,1)+IF(G15-D18&gt;0,1))&amp;"-"&amp;(IF(C15-D14&lt;0,1)+IF(E15-D16&lt;0,1)+IF(F15-D17&lt;0,1)+IF(G15-D18&lt;0,1))</f>
        <v>2-2</v>
      </c>
      <c r="I15" s="93" t="str">
        <f t="shared" ref="I15:I18" si="9">IF(AND(B15&lt;&gt;"",M$13=TRUE),A$13&amp;RANK(M15,M$14:M$18,0),"")</f>
        <v>B4</v>
      </c>
      <c r="J15" s="584">
        <f t="shared" ref="J15:J18" si="10">VALUE(LEFT(H15,1))</f>
        <v>2</v>
      </c>
      <c r="K15" s="653">
        <f>IF(AND(J15=1,J14=1,C15&gt;D14),1)+IF(AND(J15=1,J16=1,E15&gt;D16),1)+IF(AND(J15=1,J17=1,F15&gt;D17),1)+IF(AND(J15=1,J18=1,G15&gt;D18),1)+IF(AND(J15=2,J14=2,C15&gt;D14),1)+IF(AND(J15=2,J16=2,E15&gt;D16),1)+IF(AND(J15=2,J17=2,F15&gt;D17),1)+IF(AND(J15=2,J18=2,G15&gt;D18),1)+IF(AND(J15=3,J14=3,C15&gt;D14),1)+IF(AND(J15=3,J16=3,E15&gt;D16),1)+IF(AND(J15=3,J17=3,F15&gt;D17),1)+IF(AND(J15=3,J18=3,G15&gt;D18),1)</f>
        <v>0</v>
      </c>
      <c r="L15" s="652">
        <f>IF(AND(J15=1,J14=1),C15-D14)+IF(AND(J15=1,J16=1),E15-D16)+IF(AND(J15=1,J17=1),F15-D17)+IF(AND(J15=1,J18=1),G15-D18)+IF(AND(J15=2,J14=2),C15-D14)+IF(AND(J15=2,J16=2),E15-D16)+IF(AND(J15=2,J17=2),F15-D17)+IF(AND(J15=2,J18=2),G15-D18)+IF(AND(J15=3,J14=3),C15-D14)+IF(AND(J15=3,J16=3),E15-D16)+IF(AND(J15=3,J17=3),F15-D17)+IF(AND(J15=3,J18=3),G15-D18)</f>
        <v>-8</v>
      </c>
      <c r="M15" s="668">
        <f t="shared" ref="M15:M18" si="11">10000*J15+K15*100+L15</f>
        <v>19992</v>
      </c>
      <c r="Q15" s="139"/>
      <c r="R15" s="512">
        <f t="shared" si="6"/>
        <v>134</v>
      </c>
      <c r="S15" s="514" t="str">
        <f t="shared" si="8"/>
        <v>Klavdia Piik</v>
      </c>
      <c r="T15" s="515">
        <f>IFERROR(INDEX(V!$O:$O,MATCH(S15,V!$J:$J,0)),"")</f>
        <v>72</v>
      </c>
      <c r="U15" s="514" t="str">
        <f t="shared" si="1"/>
        <v>Ülo Piik</v>
      </c>
      <c r="V15" s="515">
        <f>IFERROR(INDEX(V!$O:$O,MATCH(U15,V!$J:$J,0)),"")</f>
        <v>62</v>
      </c>
      <c r="W15" s="516" t="str">
        <f t="shared" si="2"/>
        <v/>
      </c>
      <c r="X15" s="515" t="str">
        <f>IFERROR(INDEX(V!$O:$O,MATCH(W15,V!$J:$J,0)),"")</f>
        <v/>
      </c>
      <c r="Y15" s="516" t="str">
        <f t="shared" si="3"/>
        <v/>
      </c>
      <c r="Z15" s="515" t="str">
        <f>IFERROR(INDEX(V!$O:$O,MATCH(Y15,V!$J:$J,0)),"")</f>
        <v/>
      </c>
    </row>
    <row r="16" spans="1:27" s="186" customFormat="1" x14ac:dyDescent="0.2">
      <c r="A16" s="126">
        <v>3</v>
      </c>
      <c r="B16" s="581" t="s">
        <v>472</v>
      </c>
      <c r="C16" s="93">
        <v>1</v>
      </c>
      <c r="D16" s="403">
        <v>13</v>
      </c>
      <c r="E16" s="127"/>
      <c r="F16" s="93">
        <v>7</v>
      </c>
      <c r="G16" s="316">
        <v>13</v>
      </c>
      <c r="H16" s="576" t="str">
        <f>(IF(C16-E14&gt;0,1)+IF(D16-E15&gt;0,1)+IF(F16-E17&gt;0,1)+IF(G16-E18&gt;0,1))&amp;"-"&amp;(IF(C16-E14&lt;0,1)+IF(D16-E15&lt;0,1)+IF(F16-E17&lt;0,1)+IF(G16-E18&lt;0,1))</f>
        <v>2-2</v>
      </c>
      <c r="I16" s="93" t="str">
        <f t="shared" si="9"/>
        <v>B2</v>
      </c>
      <c r="J16" s="584">
        <f t="shared" si="10"/>
        <v>2</v>
      </c>
      <c r="K16" s="653">
        <f>IF(AND(J16=1,J14=1,C16&gt;E14),1)+IF(AND(J16=1,J15=1,D16&gt;E15),1)+IF(AND(J16=1,J17=1,F16&gt;E17),1)+IF(AND(J16=1,J18=1,G16&gt;E18),1)+IF(AND(J16=2,J14=2,C16&gt;E14),1)+IF(AND(J16=2,J15=2,D16&gt;E15),1)+IF(AND(J16=2,J17=2,F16&gt;E17),1)+IF(AND(J16=2,J18=2,G16&gt;E18),1)+IF(AND(J16=3,J14=3,C16&gt;E14),1)+IF(AND(J16=3,J15=3,D16&gt;E15),1)+IF(AND(J16=3,J17=3,F16&gt;E17),1)+IF(AND(J16=3,J18=3,G16&gt;E18),1)</f>
        <v>2</v>
      </c>
      <c r="L16" s="652">
        <f>IF(AND(J16=1,J14=1),C16-E14)+IF(AND(J16=1,J15=1),D16-E15)+IF(AND(J16=1,J17=1),F16-E17)+IF(AND(J16=1,J18=1),G16-E18)+IF(AND(J16=2,J14=2),C16-E14)+IF(AND(J16=2,J15=2),D16-E15)+IF(AND(J16=2,J17=2),F16-E17)+IF(AND(J16=2,J18=2),G16-E18)+IF(AND(J16=3,J14=3),C16-E14)+IF(AND(J16=3,J15=3),D16-E15)+IF(AND(J16=3,J17=3),F16-E17)+IF(AND(J16=3,J18=3),G16-E18)</f>
        <v>6</v>
      </c>
      <c r="M16" s="668">
        <f t="shared" si="11"/>
        <v>20206</v>
      </c>
      <c r="Q16" s="139"/>
      <c r="R16" s="512">
        <f t="shared" si="6"/>
        <v>83</v>
      </c>
      <c r="S16" s="514" t="str">
        <f t="shared" si="8"/>
        <v>Karla Purgats</v>
      </c>
      <c r="T16" s="515">
        <f>IFERROR(INDEX(V!$O:$O,MATCH(S16,V!$J:$J,0)),"")</f>
        <v>66</v>
      </c>
      <c r="U16" s="514" t="str">
        <f t="shared" si="1"/>
        <v>Tõnu Kapper</v>
      </c>
      <c r="V16" s="515">
        <f>IFERROR(INDEX(V!$O:$O,MATCH(U16,V!$J:$J,0)),"")</f>
        <v>17</v>
      </c>
      <c r="W16" s="516" t="str">
        <f t="shared" si="2"/>
        <v/>
      </c>
      <c r="X16" s="515" t="str">
        <f>IFERROR(INDEX(V!$O:$O,MATCH(W16,V!$J:$J,0)),"")</f>
        <v/>
      </c>
      <c r="Y16" s="516" t="str">
        <f t="shared" si="3"/>
        <v/>
      </c>
      <c r="Z16" s="515" t="str">
        <f>IFERROR(INDEX(V!$O:$O,MATCH(Y16,V!$J:$J,0)),"")</f>
        <v/>
      </c>
    </row>
    <row r="17" spans="1:27" s="186" customFormat="1" x14ac:dyDescent="0.2">
      <c r="A17" s="126">
        <v>4</v>
      </c>
      <c r="B17" s="581" t="s">
        <v>167</v>
      </c>
      <c r="C17" s="93">
        <v>13</v>
      </c>
      <c r="D17" s="548">
        <v>6</v>
      </c>
      <c r="E17" s="93">
        <v>13</v>
      </c>
      <c r="F17" s="127"/>
      <c r="G17" s="128">
        <v>13</v>
      </c>
      <c r="H17" s="576" t="str">
        <f>(IF(C17-F14&gt;0,1)+IF(D17-F15&gt;0,1)+IF(E17-F16&gt;0,1)+IF(G17-F18&gt;0,1))&amp;"-"&amp;(IF(C17-F14&lt;0,1)+IF(D17-F15&lt;0,1)+IF(E17-F16&lt;0,1)+IF(G17-F18&lt;0,1))</f>
        <v>3-1</v>
      </c>
      <c r="I17" s="93" t="str">
        <f t="shared" si="9"/>
        <v>B1</v>
      </c>
      <c r="J17" s="584">
        <f t="shared" si="10"/>
        <v>3</v>
      </c>
      <c r="K17" s="653">
        <f>IF(AND(J17=1,J14=1,C17&gt;F14),1)+IF(AND(J17=1,J15=1,D17&gt;F15),1)+IF(AND(J17=1,J16=1,E17&gt;F16),1)+IF(AND(J17=1,J18=1,G17&gt;F18),1)+IF(AND(J17=2,J14=2,C17&gt;F14),1)+IF(AND(J17=2,J15=2,D17&gt;F15),1)+IF(AND(J17=2,J16=2,E17&gt;F16),1)+IF(AND(J17=2,J18=2,G17&gt;F18),1)+IF(AND(J17=3,J14=3,C17&gt;F14),1)+IF(AND(J17=3,J15=3,D17&gt;F15),1)+IF(AND(J17=3,J16=3,E17&gt;F16),1)+IF(AND(J17=3,J18=3,G17&gt;F18),1)</f>
        <v>0</v>
      </c>
      <c r="L17" s="652">
        <f>IF(AND(J17=1,J14=1),C17-F14)+IF(AND(J17=1,J15=1),D17-F15)+IF(AND(J17=1,J16=1),E17-F16)+IF(AND(J17=1,J18=1),G17-F18)+IF(AND(J17=2,J14=2),C17-F14)+IF(AND(J17=2,J15=2),D17-F15)+IF(AND(J17=2,J16=2),E17-F16)+IF(AND(J17=2,J18=2),G17-F18)+IF(AND(J17=3,J14=3),C17-F14)+IF(AND(J17=3,J15=3),D17-F15)+IF(AND(J17=3,J16=3),E17-F16)+IF(AND(J17=3,J18=3),G17-F18)</f>
        <v>0</v>
      </c>
      <c r="M17" s="668">
        <f t="shared" si="11"/>
        <v>30000</v>
      </c>
      <c r="Q17" s="139"/>
      <c r="R17" s="512">
        <f t="shared" si="6"/>
        <v>66</v>
      </c>
      <c r="S17" s="514" t="str">
        <f t="shared" si="8"/>
        <v>Illar Tõnurist</v>
      </c>
      <c r="T17" s="515">
        <f>IFERROR(INDEX(V!$O:$O,MATCH(S17,V!$J:$J,0)),"")</f>
        <v>41</v>
      </c>
      <c r="U17" s="514" t="str">
        <f t="shared" si="1"/>
        <v>Jaan Saar</v>
      </c>
      <c r="V17" s="515">
        <f>IFERROR(INDEX(V!$O:$O,MATCH(U17,V!$J:$J,0)),"")</f>
        <v>25</v>
      </c>
      <c r="W17" s="516" t="str">
        <f t="shared" si="2"/>
        <v/>
      </c>
      <c r="X17" s="515" t="str">
        <f>IFERROR(INDEX(V!$O:$O,MATCH(W17,V!$J:$J,0)),"")</f>
        <v/>
      </c>
      <c r="Y17" s="516" t="str">
        <f t="shared" si="3"/>
        <v/>
      </c>
      <c r="Z17" s="515" t="str">
        <f>IFERROR(INDEX(V!$O:$O,MATCH(Y17,V!$J:$J,0)),"")</f>
        <v/>
      </c>
    </row>
    <row r="18" spans="1:27" s="186" customFormat="1" x14ac:dyDescent="0.2">
      <c r="A18" s="126">
        <v>5</v>
      </c>
      <c r="B18" s="581" t="s">
        <v>611</v>
      </c>
      <c r="C18" s="93">
        <v>13</v>
      </c>
      <c r="D18" s="316">
        <v>13</v>
      </c>
      <c r="E18" s="316">
        <v>8</v>
      </c>
      <c r="F18" s="93">
        <v>6</v>
      </c>
      <c r="G18" s="127"/>
      <c r="H18" s="576" t="str">
        <f>(IF(C18-G14&gt;0,1)+IF(D18-G15&gt;0,1)+IF(E18-G16&gt;0,1)+IF(F18-G17&gt;0,1))&amp;"-"&amp;(IF(C18-G14&lt;0,1)+IF(D18-G15&lt;0,1)+IF(E18-G16&lt;0,1)+IF(F18-G17&lt;0,1))</f>
        <v>2-2</v>
      </c>
      <c r="I18" s="93" t="str">
        <f t="shared" si="9"/>
        <v>B3</v>
      </c>
      <c r="J18" s="584">
        <f t="shared" si="10"/>
        <v>2</v>
      </c>
      <c r="K18" s="653">
        <f>IF(AND(J18=1,J14=1,C18&gt;G14),1)+IF(AND(J18=1,J15=1,D18&gt;G15),1)+IF(AND(J18=1,J16=1,E18&gt;G16),1)+IF(AND(J18=1,J17=1,F18&gt;G17),1)+IF(AND(J18=2,J14=2,C18&gt;G14),1)+IF(AND(J18=2,J15=2,D18&gt;G15),1)+IF(AND(J18=2,J16=2,E18&gt;G16),1)+IF(AND(J18=2,J17=2,F18&gt;G17),1)+IF(AND(J18=3,J14=3,C18&gt;G14),1)+IF(AND(J18=3,J15=3,D18&gt;G15),1)+IF(AND(J18=3,J16=3,E18&gt;G16),1)+IF(AND(J18=3,J17=3,F18&gt;G17),1)</f>
        <v>1</v>
      </c>
      <c r="L18" s="652">
        <f>IF(AND(J18=1,J14=1),C18-G14)+IF(AND(J18=1,J15=1),D18-G15)+IF(AND(J18=1,J16=1),E18-G16)+IF(AND(J18=1,J17=1),F18-G17)+IF(AND(J18=2,J14=2),C18-G14)+IF(AND(J18=2,J15=2),D18-G15)+IF(AND(J18=2,J16=2),E18-G16)+IF(AND(J18=2,J17=2),F18-G17)+IF(AND(J18=3,J14=3),C18-G14)+IF(AND(J18=3,J15=3),D18-G15)+IF(AND(J18=3,J16=3),E18-G16)+IF(AND(J18=3,J17=3),F18-G17)</f>
        <v>2</v>
      </c>
      <c r="M18" s="668">
        <f t="shared" si="11"/>
        <v>20102</v>
      </c>
      <c r="Q18" s="139"/>
      <c r="R18" s="512">
        <f t="shared" si="6"/>
        <v>134</v>
      </c>
      <c r="S18" s="514" t="str">
        <f t="shared" si="8"/>
        <v>Kenneth Muusikus</v>
      </c>
      <c r="T18" s="515">
        <f>IFERROR(INDEX(V!$O:$O,MATCH(S18,V!$J:$J,0)),"")</f>
        <v>80</v>
      </c>
      <c r="U18" s="514" t="str">
        <f t="shared" si="1"/>
        <v>Peep Peenema</v>
      </c>
      <c r="V18" s="515">
        <f>IFERROR(INDEX(V!$O:$O,MATCH(U18,V!$J:$J,0)),"")</f>
        <v>54</v>
      </c>
      <c r="W18" s="516" t="str">
        <f t="shared" si="2"/>
        <v/>
      </c>
      <c r="X18" s="515" t="str">
        <f>IFERROR(INDEX(V!$O:$O,MATCH(W18,V!$J:$J,0)),"")</f>
        <v/>
      </c>
      <c r="Y18" s="516" t="str">
        <f t="shared" si="3"/>
        <v/>
      </c>
      <c r="Z18" s="515" t="str">
        <f>IFERROR(INDEX(V!$O:$O,MATCH(Y18,V!$J:$J,0)),"")</f>
        <v/>
      </c>
    </row>
    <row r="19" spans="1:27" s="188" customFormat="1" x14ac:dyDescent="0.2">
      <c r="A19" s="121"/>
      <c r="B19" s="422"/>
      <c r="C19" s="96"/>
      <c r="D19" s="312"/>
      <c r="E19" s="96"/>
      <c r="F19" s="97"/>
      <c r="H19" s="402"/>
      <c r="I19" s="580"/>
      <c r="J19" s="585"/>
      <c r="K19" s="657"/>
      <c r="L19" s="655"/>
      <c r="M19" s="585"/>
      <c r="N19" s="186"/>
      <c r="O19" s="186"/>
      <c r="P19" s="186"/>
      <c r="Q19" s="139"/>
      <c r="R19" s="186"/>
      <c r="S19" s="186"/>
      <c r="T19" s="186"/>
      <c r="U19" s="186"/>
      <c r="V19" s="186"/>
      <c r="W19" s="186"/>
      <c r="X19" s="186"/>
      <c r="Y19" s="186"/>
      <c r="Z19" s="186"/>
      <c r="AA19" s="88"/>
    </row>
    <row r="20" spans="1:27" s="186" customFormat="1" x14ac:dyDescent="0.2">
      <c r="A20" s="126" t="s">
        <v>166</v>
      </c>
      <c r="B20" s="648" t="s">
        <v>473</v>
      </c>
      <c r="C20" s="91">
        <v>1</v>
      </c>
      <c r="D20" s="91">
        <v>2</v>
      </c>
      <c r="E20" s="91">
        <v>3</v>
      </c>
      <c r="F20" s="91">
        <v>4</v>
      </c>
      <c r="G20" s="91">
        <v>5</v>
      </c>
      <c r="H20" s="438" t="s">
        <v>73</v>
      </c>
      <c r="I20" s="438" t="s">
        <v>46</v>
      </c>
      <c r="J20" s="586" t="s">
        <v>273</v>
      </c>
      <c r="K20" s="649" t="s">
        <v>273</v>
      </c>
      <c r="L20" s="656" t="s">
        <v>430</v>
      </c>
      <c r="M20" s="588" t="b">
        <f>OR(AND(COUNTA(B21:B25)=3,COUNTA(C21:G25)=6),AND(COUNTA(B21:B25)=4,COUNTA(C21:G25)=12),AND(COUNTA(B21:B25)=5,COUNTA(C21:G25)=20))</f>
        <v>1</v>
      </c>
      <c r="Q20" s="139"/>
      <c r="AA20" s="88"/>
    </row>
    <row r="21" spans="1:27" s="186" customFormat="1" x14ac:dyDescent="0.2">
      <c r="A21" s="126">
        <v>1</v>
      </c>
      <c r="B21" s="581" t="s">
        <v>168</v>
      </c>
      <c r="C21" s="127"/>
      <c r="D21" s="93">
        <v>10</v>
      </c>
      <c r="E21" s="93">
        <v>1</v>
      </c>
      <c r="F21" s="93">
        <v>1</v>
      </c>
      <c r="G21" s="93">
        <v>3</v>
      </c>
      <c r="H21" s="576" t="str">
        <f>(IF(D21-C22&gt;0,1)+IF(E21-C23&gt;0,1)+IF(F21-C24&gt;0,1)+IF(G21-C25&gt;0,1))&amp;"-"&amp;(IF(D21-C22&lt;0,1)+IF(E21-C23&lt;0,1)+IF(F21-C24&lt;0,1)+IF(G21-C25&lt;0,1))</f>
        <v>0-4</v>
      </c>
      <c r="I21" s="93" t="str">
        <f>IF(AND(B21&lt;&gt;"",M$20=TRUE),A$20&amp;RANK(M21,M$21:M$25,0),"")</f>
        <v>C5</v>
      </c>
      <c r="J21" s="584">
        <f>VALUE(LEFT(H21,1))</f>
        <v>0</v>
      </c>
      <c r="K21" s="651">
        <f>IF(AND(J21=1,J22=1,D21&gt;C22),1)+IF(AND(J21=1,J23=1,E21&gt;C23),1)+IF(AND(J21=1,J24=1,F21&gt;C24),1)+IF(AND(J21=1,J25=1,G21&gt;C25),1)+IF(AND(J21=2,J22=2,D21&gt;C22),1)+IF(AND(J21=2,J23=2,E21&gt;C23),1)+IF(AND(J21=2,J24=2,F21&gt;C24),1)+IF(AND(J21=2,J25=2,G21&gt;C25),1)+IF(AND(J21=3,J22=3,D21&gt;C22),1)+IF(AND(J21=3,J23=3,E21&gt;C23),1)+IF(AND(J21=3,J24=3,F21&gt;C24),1)+IF(AND(J21=3,J25=3,G21&gt;C25),1)</f>
        <v>0</v>
      </c>
      <c r="L21" s="652">
        <f>IF(AND(J21=1,J22=1),D21-C22)+IF(AND(J21=1,J23=1),E21-C23)+IF(AND(J21=1,J24=1),F21-C24)+IF(AND(J21=1,J25=1),G21-C25)+IF(AND(J21=2,J22=2),D21-C22)+IF(AND(J21=2,J23=2),E21-C23)+IF(AND(J21=2,J24=2),F21-C24)+IF(AND(J21=2,J25=2),G21-C25)+IF(AND(J21=3,J22=3),D21-C22)+IF(AND(J21=3,J23=3),E21-C23)+IF(AND(J21=3,J24=3),F21-C24)+IF(AND(J21=3,J25=3),G21-C25)</f>
        <v>0</v>
      </c>
      <c r="M21" s="668">
        <f>10000*J21+K21*100+L21</f>
        <v>0</v>
      </c>
      <c r="Q21" s="139"/>
      <c r="R21" s="512">
        <f t="shared" ref="R21:R25" si="12">SUM(T21:Z21)</f>
        <v>102</v>
      </c>
      <c r="S21" s="514" t="str">
        <f t="shared" si="8"/>
        <v>Heili Vasser</v>
      </c>
      <c r="T21" s="515">
        <f>IFERROR(INDEX(V!$O:$O,MATCH(S21,V!$J:$J,0)),"")</f>
        <v>31.5</v>
      </c>
      <c r="U21" s="514" t="str">
        <f t="shared" si="1"/>
        <v>Vello Vasser</v>
      </c>
      <c r="V21" s="515">
        <f>IFERROR(INDEX(V!$O:$O,MATCH(U21,V!$J:$J,0)),"")</f>
        <v>70.5</v>
      </c>
      <c r="W21" s="516" t="str">
        <f t="shared" si="2"/>
        <v/>
      </c>
      <c r="X21" s="515" t="str">
        <f>IFERROR(INDEX(V!$O:$O,MATCH(W21,V!$J:$J,0)),"")</f>
        <v/>
      </c>
      <c r="Y21" s="516" t="str">
        <f t="shared" si="3"/>
        <v/>
      </c>
      <c r="Z21" s="515" t="str">
        <f>IFERROR(INDEX(V!$O:$O,MATCH(Y21,V!$J:$J,0)),"")</f>
        <v/>
      </c>
    </row>
    <row r="22" spans="1:27" s="186" customFormat="1" x14ac:dyDescent="0.2">
      <c r="A22" s="126">
        <v>2</v>
      </c>
      <c r="B22" s="581" t="s">
        <v>175</v>
      </c>
      <c r="C22" s="93">
        <v>13</v>
      </c>
      <c r="D22" s="127"/>
      <c r="E22" s="316">
        <v>12</v>
      </c>
      <c r="F22" s="316">
        <v>13</v>
      </c>
      <c r="G22" s="93">
        <v>13</v>
      </c>
      <c r="H22" s="576" t="str">
        <f>(IF(C22-D21&gt;0,1)+IF(E22-D23&gt;0,1)+IF(F22-D24&gt;0,1)+IF(G22-D25&gt;0,1))&amp;"-"&amp;(IF(C22-D21&lt;0,1)+IF(E22-D23&lt;0,1)+IF(F22-D24&lt;0,1)+IF(G22-D25&lt;0,1))</f>
        <v>3-1</v>
      </c>
      <c r="I22" s="93" t="str">
        <f>IF(AND(B22&lt;&gt;"",M$20=TRUE),A$20&amp;RANK(M22,M$21:M$25,0),"")</f>
        <v>C1</v>
      </c>
      <c r="J22" s="584">
        <f t="shared" ref="J22:J25" si="13">VALUE(LEFT(H22,1))</f>
        <v>3</v>
      </c>
      <c r="K22" s="653">
        <f>IF(AND(J22=1,J21=1,C22&gt;D21),1)+IF(AND(J22=1,J23=1,E22&gt;D23),1)+IF(AND(J22=1,J24=1,F22&gt;D24),1)+IF(AND(J22=1,J25=1,G22&gt;D25),1)+IF(AND(J22=2,J21=2,C22&gt;D21),1)+IF(AND(J22=2,J23=2,E22&gt;D23),1)+IF(AND(J22=2,J24=2,F22&gt;D24),1)+IF(AND(J22=2,J25=2,G22&gt;D25),1)+IF(AND(J22=3,J21=3,C22&gt;D21),1)+IF(AND(J22=3,J23=3,E22&gt;D23),1)+IF(AND(J22=3,J24=3,F22&gt;D24),1)+IF(AND(J22=3,J25=3,G22&gt;D25),1)</f>
        <v>1</v>
      </c>
      <c r="L22" s="652">
        <f>IF(AND(J22=1,J21=1),C22-D21)+IF(AND(J22=1,J23=1),E22-D23)+IF(AND(J22=1,J24=1),F22-D24)+IF(AND(J22=1,J25=1),G22-D25)+IF(AND(J22=2,J21=2),C22-D21)+IF(AND(J22=2,J23=2),E22-D23)+IF(AND(J22=2,J24=2),F22-D24)+IF(AND(J22=2,J25=2),G22-D25)+IF(AND(J22=3,J21=3),C22-D21)+IF(AND(J22=3,J23=3),E22-D23)+IF(AND(J22=3,J24=3),F22-D24)+IF(AND(J22=3,J25=3),G22-D25)</f>
        <v>6</v>
      </c>
      <c r="M22" s="668">
        <f t="shared" ref="M22:M25" si="14">10000*J22+K22*100+L22</f>
        <v>30106</v>
      </c>
      <c r="Q22" s="139"/>
      <c r="R22" s="512">
        <f t="shared" si="12"/>
        <v>134</v>
      </c>
      <c r="S22" s="514" t="str">
        <f t="shared" si="8"/>
        <v>Klavdia Piik</v>
      </c>
      <c r="T22" s="515">
        <f>IFERROR(INDEX(V!$O:$O,MATCH(S22,V!$J:$J,0)),"")</f>
        <v>72</v>
      </c>
      <c r="U22" s="514" t="str">
        <f t="shared" si="1"/>
        <v>Ülo Piik</v>
      </c>
      <c r="V22" s="515">
        <f>IFERROR(INDEX(V!$O:$O,MATCH(U22,V!$J:$J,0)),"")</f>
        <v>62</v>
      </c>
      <c r="W22" s="516" t="str">
        <f t="shared" si="2"/>
        <v/>
      </c>
      <c r="X22" s="515" t="str">
        <f>IFERROR(INDEX(V!$O:$O,MATCH(W22,V!$J:$J,0)),"")</f>
        <v/>
      </c>
      <c r="Y22" s="516" t="str">
        <f t="shared" si="3"/>
        <v/>
      </c>
      <c r="Z22" s="515" t="str">
        <f>IFERROR(INDEX(V!$O:$O,MATCH(Y22,V!$J:$J,0)),"")</f>
        <v/>
      </c>
    </row>
    <row r="23" spans="1:27" s="186" customFormat="1" x14ac:dyDescent="0.2">
      <c r="A23" s="126">
        <v>3</v>
      </c>
      <c r="B23" s="581" t="s">
        <v>472</v>
      </c>
      <c r="C23" s="93">
        <v>13</v>
      </c>
      <c r="D23" s="403">
        <v>13</v>
      </c>
      <c r="E23" s="127"/>
      <c r="F23" s="316">
        <v>7</v>
      </c>
      <c r="G23" s="93">
        <v>13</v>
      </c>
      <c r="H23" s="576" t="str">
        <f>(IF(C23-E21&gt;0,1)+IF(D23-E22&gt;0,1)+IF(F23-E24&gt;0,1)+IF(G23-E25&gt;0,1))&amp;"-"&amp;(IF(C23-E21&lt;0,1)+IF(D23-E22&lt;0,1)+IF(F23-E24&lt;0,1)+IF(G23-E25&lt;0,1))</f>
        <v>3-1</v>
      </c>
      <c r="I23" s="93" t="str">
        <f>IF(AND(B23&lt;&gt;"",M$20=TRUE),A$20&amp;RANK(M23,M$21:M$25,0),"")</f>
        <v>C3</v>
      </c>
      <c r="J23" s="584">
        <f t="shared" si="13"/>
        <v>3</v>
      </c>
      <c r="K23" s="653">
        <f>IF(AND(J23=1,J21=1,C23&gt;E21),1)+IF(AND(J23=1,J22=1,D23&gt;E22),1)+IF(AND(J23=1,J24=1,F23&gt;E24),1)+IF(AND(J23=1,J25=1,G23&gt;E25),1)+IF(AND(J23=2,J21=2,C23&gt;E21),1)+IF(AND(J23=2,J22=2,D23&gt;E22),1)+IF(AND(J23=2,J24=2,F23&gt;E24),1)+IF(AND(J23=2,J25=2,G23&gt;E25),1)+IF(AND(J23=3,J21=3,C23&gt;E21),1)+IF(AND(J23=3,J22=3,D23&gt;E22),1)+IF(AND(J23=3,J24=3,F23&gt;E24),1)+IF(AND(J23=3,J25=3,G23&gt;E25),1)</f>
        <v>1</v>
      </c>
      <c r="L23" s="652">
        <f>IF(AND(J23=1,J21=1),C23-E21)+IF(AND(J23=1,J22=1),D23-E22)+IF(AND(J23=1,J24=1),F23-E24)+IF(AND(J23=1,J25=1),G23-E25)+IF(AND(J23=2,J21=2),C23-E21)+IF(AND(J23=2,J22=2),D23-E22)+IF(AND(J23=2,J24=2),F23-E24)+IF(AND(J23=2,J25=2),G23-E25)+IF(AND(J23=3,J21=3),C23-E21)+IF(AND(J23=3,J22=3),D23-E22)+IF(AND(J23=3,J24=3),F23-E24)+IF(AND(J23=3,J25=3),G23-E25)</f>
        <v>-5</v>
      </c>
      <c r="M23" s="668">
        <f t="shared" si="14"/>
        <v>30095</v>
      </c>
      <c r="Q23" s="139"/>
      <c r="R23" s="512">
        <f t="shared" si="12"/>
        <v>83</v>
      </c>
      <c r="S23" s="514" t="str">
        <f t="shared" si="8"/>
        <v>Karla Purgats</v>
      </c>
      <c r="T23" s="515">
        <f>IFERROR(INDEX(V!$O:$O,MATCH(S23,V!$J:$J,0)),"")</f>
        <v>66</v>
      </c>
      <c r="U23" s="514" t="str">
        <f t="shared" si="1"/>
        <v>Tõnu Kapper</v>
      </c>
      <c r="V23" s="515">
        <f>IFERROR(INDEX(V!$O:$O,MATCH(U23,V!$J:$J,0)),"")</f>
        <v>17</v>
      </c>
      <c r="W23" s="516" t="str">
        <f t="shared" si="2"/>
        <v/>
      </c>
      <c r="X23" s="515" t="str">
        <f>IFERROR(INDEX(V!$O:$O,MATCH(W23,V!$J:$J,0)),"")</f>
        <v/>
      </c>
      <c r="Y23" s="516" t="str">
        <f t="shared" si="3"/>
        <v/>
      </c>
      <c r="Z23" s="515" t="str">
        <f>IFERROR(INDEX(V!$O:$O,MATCH(Y23,V!$J:$J,0)),"")</f>
        <v/>
      </c>
    </row>
    <row r="24" spans="1:27" s="186" customFormat="1" x14ac:dyDescent="0.2">
      <c r="A24" s="126">
        <v>4</v>
      </c>
      <c r="B24" s="581" t="s">
        <v>167</v>
      </c>
      <c r="C24" s="93">
        <v>13</v>
      </c>
      <c r="D24" s="403">
        <v>6</v>
      </c>
      <c r="E24" s="316">
        <v>13</v>
      </c>
      <c r="F24" s="127"/>
      <c r="G24" s="128">
        <v>13</v>
      </c>
      <c r="H24" s="576" t="str">
        <f>(IF(C24-F21&gt;0,1)+IF(D24-F22&gt;0,1)+IF(E24-F23&gt;0,1)+IF(G24-F25&gt;0,1))&amp;"-"&amp;(IF(C24-F21&lt;0,1)+IF(D24-F22&lt;0,1)+IF(E24-F23&lt;0,1)+IF(G24-F25&lt;0,1))</f>
        <v>3-1</v>
      </c>
      <c r="I24" s="93" t="str">
        <f>IF(AND(B24&lt;&gt;"",M$20=TRUE),A$20&amp;RANK(M24,M$21:M$25,0),"")</f>
        <v>C2</v>
      </c>
      <c r="J24" s="584">
        <f t="shared" si="13"/>
        <v>3</v>
      </c>
      <c r="K24" s="653">
        <f>IF(AND(J24=1,J21=1,C24&gt;F21),1)+IF(AND(J24=1,J22=1,D24&gt;F22),1)+IF(AND(J24=1,J23=1,E24&gt;F23),1)+IF(AND(J24=1,J25=1,G24&gt;F25),1)+IF(AND(J24=2,J21=2,C24&gt;F21),1)+IF(AND(J24=2,J22=2,D24&gt;F22),1)+IF(AND(J24=2,J23=2,E24&gt;F23),1)+IF(AND(J24=2,J25=2,G24&gt;F25),1)+IF(AND(J24=3,J21=3,C24&gt;F21),1)+IF(AND(J24=3,J22=3,D24&gt;F22),1)+IF(AND(J24=3,J23=3,E24&gt;F23),1)+IF(AND(J24=3,J25=3,G24&gt;F25),1)</f>
        <v>1</v>
      </c>
      <c r="L24" s="652">
        <f>IF(AND(J24=1,J21=1),C24-F21)+IF(AND(J24=1,J22=1),D24-F22)+IF(AND(J24=1,J23=1),E24-F23)+IF(AND(J24=1,J25=1),G24-F25)+IF(AND(J24=2,J21=2),C24-F21)+IF(AND(J24=2,J22=2),D24-F22)+IF(AND(J24=2,J23=2),E24-F23)+IF(AND(J24=2,J25=2),G24-F25)+IF(AND(J24=3,J21=3),C24-F21)+IF(AND(J24=3,J22=3),D24-F22)+IF(AND(J24=3,J23=3),E24-F23)+IF(AND(J24=3,J25=3),G24-F25)</f>
        <v>-1</v>
      </c>
      <c r="M24" s="668">
        <f t="shared" si="14"/>
        <v>30099</v>
      </c>
      <c r="Q24" s="139"/>
      <c r="R24" s="512">
        <f t="shared" si="12"/>
        <v>66</v>
      </c>
      <c r="S24" s="514" t="str">
        <f t="shared" si="8"/>
        <v>Illar Tõnurist</v>
      </c>
      <c r="T24" s="515">
        <f>IFERROR(INDEX(V!$O:$O,MATCH(S24,V!$J:$J,0)),"")</f>
        <v>41</v>
      </c>
      <c r="U24" s="514" t="str">
        <f t="shared" si="1"/>
        <v>Jaan Saar</v>
      </c>
      <c r="V24" s="515">
        <f>IFERROR(INDEX(V!$O:$O,MATCH(U24,V!$J:$J,0)),"")</f>
        <v>25</v>
      </c>
      <c r="W24" s="516" t="str">
        <f t="shared" si="2"/>
        <v/>
      </c>
      <c r="X24" s="515" t="str">
        <f>IFERROR(INDEX(V!$O:$O,MATCH(W24,V!$J:$J,0)),"")</f>
        <v/>
      </c>
      <c r="Y24" s="516" t="str">
        <f t="shared" si="3"/>
        <v/>
      </c>
      <c r="Z24" s="515" t="str">
        <f>IFERROR(INDEX(V!$O:$O,MATCH(Y24,V!$J:$J,0)),"")</f>
        <v/>
      </c>
    </row>
    <row r="25" spans="1:27" s="186" customFormat="1" x14ac:dyDescent="0.2">
      <c r="A25" s="126">
        <v>5</v>
      </c>
      <c r="B25" s="581" t="s">
        <v>611</v>
      </c>
      <c r="C25" s="93">
        <v>13</v>
      </c>
      <c r="D25" s="93">
        <v>3</v>
      </c>
      <c r="E25" s="93">
        <v>8</v>
      </c>
      <c r="F25" s="93">
        <v>6</v>
      </c>
      <c r="G25" s="93"/>
      <c r="H25" s="576" t="str">
        <f>(IF(C25-G21&gt;0,1)+IF(D25-G22&gt;0,1)+IF(E25-G23&gt;0,1)+IF(F25-G24&gt;0,1))&amp;"-"&amp;(IF(C25-G21&lt;0,1)+IF(D25-G22&lt;0,1)+IF(E25-G23&lt;0,1)+IF(F25-G24&lt;0,1))</f>
        <v>1-3</v>
      </c>
      <c r="I25" s="93" t="str">
        <f>IF(AND(B25&lt;&gt;"",M$20=TRUE),A$20&amp;RANK(M25,M$21:M$25,0),"")</f>
        <v>C4</v>
      </c>
      <c r="J25" s="584">
        <f t="shared" si="13"/>
        <v>1</v>
      </c>
      <c r="K25" s="653">
        <f>IF(AND(J25=1,J21=1,C25&gt;G21),1)+IF(AND(J25=1,J22=1,D25&gt;G22),1)+IF(AND(J25=1,J23=1,E25&gt;G23),1)+IF(AND(J25=1,J24=1,F25&gt;G24),1)+IF(AND(J25=2,J21=2,C25&gt;G21),1)+IF(AND(J25=2,J22=2,D25&gt;G22),1)+IF(AND(J25=2,J23=2,E25&gt;G23),1)+IF(AND(J25=2,J24=2,F25&gt;G24),1)+IF(AND(J25=3,J21=3,C25&gt;G21),1)+IF(AND(J25=3,J22=3,D25&gt;G22),1)+IF(AND(J25=3,J23=3,E25&gt;G23),1)+IF(AND(J25=3,J24=3,F25&gt;G24),1)</f>
        <v>0</v>
      </c>
      <c r="L25" s="652">
        <f>IF(AND(J25=1,J21=1),C25-G21)+IF(AND(J25=1,J22=1),D25-G22)+IF(AND(J25=1,J23=1),E25-G23)+IF(AND(J25=1,J24=1),F25-G24)+IF(AND(J25=2,J21=2),C25-G21)+IF(AND(J25=2,J22=2),D25-G22)+IF(AND(J25=2,J23=2),E25-G23)+IF(AND(J25=2,J24=2),F25-G24)+IF(AND(J25=3,J21=3),C25-G21)+IF(AND(J25=3,J22=3),D25-G22)+IF(AND(J25=3,J23=3),E25-G23)+IF(AND(J25=3,J24=3),F25-G24)</f>
        <v>0</v>
      </c>
      <c r="M25" s="668">
        <f t="shared" si="14"/>
        <v>10000</v>
      </c>
      <c r="Q25" s="139"/>
      <c r="R25" s="512">
        <f t="shared" si="12"/>
        <v>134</v>
      </c>
      <c r="S25" s="514" t="str">
        <f t="shared" si="8"/>
        <v>Kenneth Muusikus</v>
      </c>
      <c r="T25" s="515">
        <f>IFERROR(INDEX(V!$O:$O,MATCH(S25,V!$J:$J,0)),"")</f>
        <v>80</v>
      </c>
      <c r="U25" s="514" t="str">
        <f t="shared" si="1"/>
        <v>Peep Peenema</v>
      </c>
      <c r="V25" s="515">
        <f>IFERROR(INDEX(V!$O:$O,MATCH(U25,V!$J:$J,0)),"")</f>
        <v>54</v>
      </c>
      <c r="W25" s="516" t="str">
        <f t="shared" si="2"/>
        <v/>
      </c>
      <c r="X25" s="515" t="str">
        <f>IFERROR(INDEX(V!$O:$O,MATCH(W25,V!$J:$J,0)),"")</f>
        <v/>
      </c>
      <c r="Y25" s="516" t="str">
        <f t="shared" si="3"/>
        <v/>
      </c>
      <c r="Z25" s="515" t="str">
        <f>IFERROR(INDEX(V!$O:$O,MATCH(Y25,V!$J:$J,0)),"")</f>
        <v/>
      </c>
    </row>
    <row r="26" spans="1:27" s="186" customFormat="1" x14ac:dyDescent="0.2">
      <c r="A26" s="87"/>
      <c r="B26" s="88"/>
      <c r="C26" s="309"/>
      <c r="D26" s="309"/>
      <c r="E26" s="309"/>
      <c r="H26" s="589"/>
      <c r="I26" s="590"/>
      <c r="J26" s="591"/>
      <c r="K26" s="654"/>
      <c r="L26" s="658"/>
      <c r="M26" s="591"/>
      <c r="Q26" s="139"/>
      <c r="AA26" s="88"/>
    </row>
    <row r="27" spans="1:27" s="188" customFormat="1" x14ac:dyDescent="0.2">
      <c r="A27" s="126" t="s">
        <v>323</v>
      </c>
      <c r="B27" s="659" t="s">
        <v>474</v>
      </c>
      <c r="C27" s="91">
        <v>1</v>
      </c>
      <c r="D27" s="91">
        <v>2</v>
      </c>
      <c r="E27" s="91">
        <v>3</v>
      </c>
      <c r="F27" s="91">
        <v>4</v>
      </c>
      <c r="G27" s="91"/>
      <c r="H27" s="438" t="s">
        <v>73</v>
      </c>
      <c r="I27" s="438" t="s">
        <v>46</v>
      </c>
      <c r="J27" s="586" t="s">
        <v>273</v>
      </c>
      <c r="K27" s="649" t="s">
        <v>273</v>
      </c>
      <c r="L27" s="656" t="s">
        <v>430</v>
      </c>
      <c r="M27" s="588" t="b">
        <f>OR(AND(COUNTA(B28:B32)=3,COUNTA(C28:G32)=6),AND(COUNTA(B28:B32)=4,COUNTA(C28:G32)=12),AND(COUNTA(B28:B32)=5,COUNTA(C28:G32)=20))</f>
        <v>1</v>
      </c>
      <c r="N27" s="186"/>
      <c r="O27" s="186"/>
      <c r="P27" s="186"/>
      <c r="Q27" s="139"/>
      <c r="R27" s="186"/>
      <c r="S27" s="186"/>
      <c r="T27" s="186"/>
      <c r="U27" s="186"/>
      <c r="V27" s="186"/>
      <c r="W27" s="186"/>
      <c r="X27" s="186"/>
      <c r="Y27" s="186"/>
      <c r="Z27" s="186"/>
      <c r="AA27" s="88"/>
    </row>
    <row r="28" spans="1:27" s="188" customFormat="1" x14ac:dyDescent="0.2">
      <c r="A28" s="126">
        <v>1</v>
      </c>
      <c r="B28" s="581" t="s">
        <v>470</v>
      </c>
      <c r="C28" s="127"/>
      <c r="D28" s="93">
        <v>12</v>
      </c>
      <c r="E28" s="93">
        <v>2</v>
      </c>
      <c r="F28" s="93">
        <v>4</v>
      </c>
      <c r="G28" s="128"/>
      <c r="H28" s="576" t="str">
        <f>(IF(D28-C29&gt;0,1)+IF(E28-C30&gt;0,1)+IF(F28-C31&gt;0,1)+IF(G28-C32&gt;0,1))&amp;"-"&amp;(IF(D28-C29&lt;0,1)+IF(E28-C30&lt;0,1)+IF(F28-C31&lt;0,1)+IF(G28-C32&lt;0,1))</f>
        <v>0-3</v>
      </c>
      <c r="I28" s="93" t="str">
        <f>IF(AND(B28&lt;&gt;"",M$27=TRUE),A$27&amp;RANK(M28,M$28:M$32,0),"")</f>
        <v>D4</v>
      </c>
      <c r="J28" s="584">
        <f>VALUE(LEFT(H28,1))</f>
        <v>0</v>
      </c>
      <c r="K28" s="651">
        <f>IF(AND(J28=1,J29=1,D28&gt;C29),1)+IF(AND(J28=1,J30=1,E28&gt;C30),1)+IF(AND(J28=1,J31=1,F28&gt;C31),1)+IF(AND(J28=1,J32=1,G28&gt;C32),1)+IF(AND(J28=2,J29=2,D28&gt;C29),1)+IF(AND(J28=2,J30=2,E28&gt;C30),1)+IF(AND(J28=2,J31=2,F28&gt;C31),1)+IF(AND(J28=2,J32=2,G28&gt;C32),1)+IF(AND(J28=3,J29=3,D28&gt;C29),1)+IF(AND(J28=3,J30=3,E28&gt;C30),1)+IF(AND(J28=3,J31=3,F28&gt;C31),1)+IF(AND(J28=3,J32=3,G28&gt;C32),1)</f>
        <v>0</v>
      </c>
      <c r="L28" s="652">
        <f>IF(AND(J28=1,J29=1),D28-C29)+IF(AND(J28=1,J30=1),E28-C30)+IF(AND(J28=1,J31=1),F28-C31)+IF(AND(J28=1,J32=1),G28-C32)+IF(AND(J28=2,J29=2),D28-C29)+IF(AND(J28=2,J30=2),E28-C30)+IF(AND(J28=2,J31=2),F28-C31)+IF(AND(J28=2,J32=2),G28-C32)+IF(AND(J28=3,J29=3),D28-C29)+IF(AND(J28=3,J30=3),E28-C30)+IF(AND(J28=3,J31=3),F28-C31)+IF(AND(J28=3,J32=3),G28-C32)</f>
        <v>0</v>
      </c>
      <c r="M28" s="668">
        <f>10000*J28+K28*100+L28</f>
        <v>0</v>
      </c>
      <c r="N28" s="186"/>
      <c r="O28" s="186"/>
      <c r="P28" s="186"/>
      <c r="Q28" s="139"/>
      <c r="R28" s="512">
        <f t="shared" si="6"/>
        <v>102</v>
      </c>
      <c r="S28" s="514" t="str">
        <f t="shared" si="8"/>
        <v>Enn Tokman</v>
      </c>
      <c r="T28" s="515">
        <f>IFERROR(INDEX(V!$O:$O,MATCH(S28,V!$J:$J,0)),"")</f>
        <v>41</v>
      </c>
      <c r="U28" s="514" t="str">
        <f t="shared" si="1"/>
        <v>Kati Tuzberg</v>
      </c>
      <c r="V28" s="515">
        <f>IFERROR(INDEX(V!$O:$O,MATCH(U28,V!$J:$J,0)),"")</f>
        <v>61</v>
      </c>
      <c r="W28" s="516" t="str">
        <f t="shared" si="2"/>
        <v/>
      </c>
      <c r="X28" s="515" t="str">
        <f>IFERROR(INDEX(V!$O:$O,MATCH(W28,V!$J:$J,0)),"")</f>
        <v/>
      </c>
      <c r="Y28" s="516" t="str">
        <f t="shared" si="3"/>
        <v/>
      </c>
      <c r="Z28" s="515" t="str">
        <f>IFERROR(INDEX(V!$O:$O,MATCH(Y28,V!$J:$J,0)),"")</f>
        <v/>
      </c>
    </row>
    <row r="29" spans="1:27" s="188" customFormat="1" x14ac:dyDescent="0.2">
      <c r="A29" s="126">
        <v>2</v>
      </c>
      <c r="B29" s="581" t="s">
        <v>471</v>
      </c>
      <c r="C29" s="131">
        <v>13</v>
      </c>
      <c r="D29" s="127"/>
      <c r="E29" s="316">
        <v>13</v>
      </c>
      <c r="F29" s="316">
        <v>10</v>
      </c>
      <c r="G29" s="128"/>
      <c r="H29" s="576" t="str">
        <f>(IF(C29-D28&gt;0,1)+IF(E29-D30&gt;0,1)+IF(F29-D31&gt;0,1)+IF(G29-D32&gt;0,1))&amp;"-"&amp;(IF(C29-D28&lt;0,1)+IF(E29-D30&lt;0,1)+IF(F29-D31&lt;0,1)+IF(G29-D32&lt;0,1))</f>
        <v>2-1</v>
      </c>
      <c r="I29" s="93" t="str">
        <f t="shared" ref="I29:I33" si="15">IF(AND(B29&lt;&gt;"",M$27=TRUE),A$27&amp;RANK(M29,M$28:M$32,0),"")</f>
        <v>D1</v>
      </c>
      <c r="J29" s="584">
        <f t="shared" ref="J29:J32" si="16">VALUE(LEFT(H29,1))</f>
        <v>2</v>
      </c>
      <c r="K29" s="653">
        <f>IF(AND(J29=1,J28=1,C29&gt;D28),1)+IF(AND(J29=1,J30=1,E29&gt;D30),1)+IF(AND(J29=1,J31=1,F29&gt;D31),1)+IF(AND(J29=1,J32=1,G29&gt;D32),1)+IF(AND(J29=2,J28=2,C29&gt;D28),1)+IF(AND(J29=2,J30=2,E29&gt;D30),1)+IF(AND(J29=2,J31=2,F29&gt;D31),1)+IF(AND(J29=2,J32=2,G29&gt;D32),1)+IF(AND(J29=3,J28=3,C29&gt;D28),1)+IF(AND(J29=3,J30=3,E29&gt;D30),1)+IF(AND(J29=3,J31=3,F29&gt;D31),1)+IF(AND(J29=3,J32=3,G29&gt;D32),1)</f>
        <v>1</v>
      </c>
      <c r="L29" s="652">
        <f>IF(AND(J29=1,J28=1),C29-D28)+IF(AND(J29=1,J30=1),E29-D30)+IF(AND(J29=1,J31=1),F29-D31)+IF(AND(J29=1,J32=1),G29-D32)+IF(AND(J29=2,J28=2),C29-D28)+IF(AND(J29=2,J30=2),E29-D30)+IF(AND(J29=2,J31=2),F29-D31)+IF(AND(J29=2,J32=2),G29-D32)+IF(AND(J29=3,J28=3),C29-D28)+IF(AND(J29=3,J30=3),E29-D30)+IF(AND(J29=3,J31=3),F29-D31)+IF(AND(J29=3,J32=3),G29-D32)</f>
        <v>2</v>
      </c>
      <c r="M29" s="668">
        <f t="shared" ref="M29:M32" si="17">10000*J29+K29*100+L29</f>
        <v>20102</v>
      </c>
      <c r="N29" s="186"/>
      <c r="O29" s="186"/>
      <c r="P29" s="186"/>
      <c r="Q29" s="139"/>
      <c r="R29" s="512">
        <f t="shared" si="6"/>
        <v>148</v>
      </c>
      <c r="S29" s="514" t="str">
        <f t="shared" si="8"/>
        <v>Boriss Klubov</v>
      </c>
      <c r="T29" s="515">
        <f>IFERROR(INDEX(V!$O:$O,MATCH(S29,V!$J:$J,0)),"")</f>
        <v>89</v>
      </c>
      <c r="U29" s="514" t="str">
        <f t="shared" si="1"/>
        <v>Mait Metsla</v>
      </c>
      <c r="V29" s="515">
        <f>IFERROR(INDEX(V!$O:$O,MATCH(U29,V!$J:$J,0)),"")</f>
        <v>59</v>
      </c>
      <c r="W29" s="516" t="str">
        <f t="shared" si="2"/>
        <v/>
      </c>
      <c r="X29" s="515" t="str">
        <f>IFERROR(INDEX(V!$O:$O,MATCH(W29,V!$J:$J,0)),"")</f>
        <v/>
      </c>
      <c r="Y29" s="516" t="str">
        <f t="shared" si="3"/>
        <v/>
      </c>
      <c r="Z29" s="515" t="str">
        <f>IFERROR(INDEX(V!$O:$O,MATCH(Y29,V!$J:$J,0)),"")</f>
        <v/>
      </c>
    </row>
    <row r="30" spans="1:27" s="188" customFormat="1" x14ac:dyDescent="0.2">
      <c r="A30" s="126">
        <v>3</v>
      </c>
      <c r="B30" s="581" t="s">
        <v>417</v>
      </c>
      <c r="C30" s="93">
        <v>13</v>
      </c>
      <c r="D30" s="403">
        <v>8</v>
      </c>
      <c r="E30" s="127"/>
      <c r="F30" s="316">
        <v>13</v>
      </c>
      <c r="G30" s="128"/>
      <c r="H30" s="576" t="str">
        <f>(IF(C30-E28&gt;0,1)+IF(D30-E29&gt;0,1)+IF(F30-E31&gt;0,1)+IF(G30-E32&gt;0,1))&amp;"-"&amp;(IF(C30-E28&lt;0,1)+IF(D30-E29&lt;0,1)+IF(F30-E31&lt;0,1)+IF(G30-E32&lt;0,1))</f>
        <v>2-1</v>
      </c>
      <c r="I30" s="93" t="str">
        <f t="shared" si="15"/>
        <v>D2</v>
      </c>
      <c r="J30" s="584">
        <f t="shared" si="16"/>
        <v>2</v>
      </c>
      <c r="K30" s="653">
        <f>IF(AND(J30=1,J28=1,C30&gt;E28),1)+IF(AND(J30=1,J29=1,D30&gt;E29),1)+IF(AND(J30=1,J31=1,F30&gt;E31),1)+IF(AND(J30=1,J32=1,G30&gt;E32),1)+IF(AND(J30=2,J28=2,C30&gt;E28),1)+IF(AND(J30=2,J29=2,D30&gt;E29),1)+IF(AND(J30=2,J31=2,F30&gt;E31),1)+IF(AND(J30=2,J32=2,G30&gt;E32),1)+IF(AND(J30=3,J28=3,C30&gt;E28),1)+IF(AND(J30=3,J29=3,D30&gt;E29),1)+IF(AND(J30=3,J31=3,F30&gt;E31),1)+IF(AND(J30=3,J32=3,G30&gt;E32),1)</f>
        <v>1</v>
      </c>
      <c r="L30" s="652">
        <f>IF(AND(J30=1,J28=1),C30-E28)+IF(AND(J30=1,J29=1),D30-E29)+IF(AND(J30=1,J31=1),F30-E31)+IF(AND(J30=1,J32=1),G30-E32)+IF(AND(J30=2,J28=2),C30-E28)+IF(AND(J30=2,J29=2),D30-E29)+IF(AND(J30=2,J31=2),F30-E31)+IF(AND(J30=2,J32=2),G30-E32)+IF(AND(J30=3,J28=3),C30-E28)+IF(AND(J30=3,J29=3),D30-E29)+IF(AND(J30=3,J31=3),F30-E31)+IF(AND(J30=3,J32=3),G30-E32)</f>
        <v>0</v>
      </c>
      <c r="M30" s="668">
        <f t="shared" si="17"/>
        <v>20100</v>
      </c>
      <c r="N30" s="186"/>
      <c r="O30" s="186"/>
      <c r="P30" s="186"/>
      <c r="Q30" s="139"/>
      <c r="R30" s="512">
        <f t="shared" si="6"/>
        <v>103</v>
      </c>
      <c r="S30" s="514" t="str">
        <f t="shared" si="8"/>
        <v>Andres Viisitam</v>
      </c>
      <c r="T30" s="515">
        <f>IFERROR(INDEX(V!$O:$O,MATCH(S30,V!$J:$J,0)),"")</f>
        <v>30</v>
      </c>
      <c r="U30" s="514" t="str">
        <f t="shared" si="1"/>
        <v>Tõnu Piik</v>
      </c>
      <c r="V30" s="515">
        <f>IFERROR(INDEX(V!$O:$O,MATCH(U30,V!$J:$J,0)),"")</f>
        <v>73</v>
      </c>
      <c r="W30" s="516" t="str">
        <f t="shared" si="2"/>
        <v/>
      </c>
      <c r="X30" s="515" t="str">
        <f>IFERROR(INDEX(V!$O:$O,MATCH(W30,V!$J:$J,0)),"")</f>
        <v/>
      </c>
      <c r="Y30" s="516" t="str">
        <f t="shared" si="3"/>
        <v/>
      </c>
      <c r="Z30" s="515" t="str">
        <f>IFERROR(INDEX(V!$O:$O,MATCH(Y30,V!$J:$J,0)),"")</f>
        <v/>
      </c>
    </row>
    <row r="31" spans="1:27" s="188" customFormat="1" x14ac:dyDescent="0.2">
      <c r="A31" s="126">
        <v>4</v>
      </c>
      <c r="B31" s="164" t="s">
        <v>117</v>
      </c>
      <c r="C31" s="93">
        <v>13</v>
      </c>
      <c r="D31" s="403">
        <v>13</v>
      </c>
      <c r="E31" s="316">
        <v>8</v>
      </c>
      <c r="F31" s="127"/>
      <c r="G31" s="128"/>
      <c r="H31" s="576" t="str">
        <f>(IF(C31-F28&gt;0,1)+IF(D31-F29&gt;0,1)+IF(E31-F30&gt;0,1)+IF(G31-F32&gt;0,1))&amp;"-"&amp;(IF(C31-F28&lt;0,1)+IF(D31-F29&lt;0,1)+IF(E31-F30&lt;0,1)+IF(G31-F32&lt;0,1))</f>
        <v>2-1</v>
      </c>
      <c r="I31" s="93" t="str">
        <f t="shared" si="15"/>
        <v>D3</v>
      </c>
      <c r="J31" s="584">
        <f t="shared" si="16"/>
        <v>2</v>
      </c>
      <c r="K31" s="653">
        <f>IF(AND(J31=1,J28=1,C31&gt;F28),1)+IF(AND(J31=1,J29=1,D31&gt;F29),1)+IF(AND(J31=1,J30=1,E31&gt;F30),1)+IF(AND(J31=1,J32=1,G31&gt;F32),1)+IF(AND(J31=2,J28=2,C31&gt;F28),1)+IF(AND(J31=2,J29=2,D31&gt;F29),1)+IF(AND(J31=2,J30=2,E31&gt;F30),1)+IF(AND(J31=2,J32=2,G31&gt;F32),1)+IF(AND(J31=3,J28=3,C31&gt;F28),1)+IF(AND(J31=3,J29=3,D31&gt;F29),1)+IF(AND(J31=3,J30=3,E31&gt;F30),1)+IF(AND(J31=3,J32=3,G31&gt;F32),1)</f>
        <v>1</v>
      </c>
      <c r="L31" s="652">
        <f>IF(AND(J31=1,J28=1),C31-F28)+IF(AND(J31=1,J29=1),D31-F29)+IF(AND(J31=1,J30=1),E31-F30)+IF(AND(J31=1,J32=1),G31-F32)+IF(AND(J31=2,J28=2),C31-F28)+IF(AND(J31=2,J29=2),D31-F29)+IF(AND(J31=2,J30=2),E31-F30)+IF(AND(J31=2,J32=2),G31-F32)+IF(AND(J31=3,J28=3),C31-F28)+IF(AND(J31=3,J29=3),D31-F29)+IF(AND(J31=3,J30=3),E31-F30)+IF(AND(J31=3,J32=3),G31-F32)</f>
        <v>-2</v>
      </c>
      <c r="M31" s="668">
        <f t="shared" si="17"/>
        <v>20098</v>
      </c>
      <c r="N31" s="186"/>
      <c r="O31" s="186"/>
      <c r="P31" s="186"/>
      <c r="Q31" s="139"/>
      <c r="R31" s="512">
        <f t="shared" si="6"/>
        <v>102</v>
      </c>
      <c r="S31" s="514" t="str">
        <f t="shared" si="8"/>
        <v>Ljudmila Varendi</v>
      </c>
      <c r="T31" s="515">
        <f>IFERROR(INDEX(V!$O:$O,MATCH(S31,V!$J:$J,0)),"")</f>
        <v>51</v>
      </c>
      <c r="U31" s="514" t="str">
        <f t="shared" si="1"/>
        <v>Viktor Švarõgin</v>
      </c>
      <c r="V31" s="515">
        <f>IFERROR(INDEX(V!$O:$O,MATCH(U31,V!$J:$J,0)),"")</f>
        <v>51</v>
      </c>
      <c r="W31" s="516" t="str">
        <f t="shared" si="2"/>
        <v/>
      </c>
      <c r="X31" s="515" t="str">
        <f>IFERROR(INDEX(V!$O:$O,MATCH(W31,V!$J:$J,0)),"")</f>
        <v/>
      </c>
      <c r="Y31" s="516" t="str">
        <f t="shared" si="3"/>
        <v/>
      </c>
      <c r="Z31" s="515" t="str">
        <f>IFERROR(INDEX(V!$O:$O,MATCH(Y31,V!$J:$J,0)),"")</f>
        <v/>
      </c>
    </row>
    <row r="32" spans="1:27" s="188" customFormat="1" x14ac:dyDescent="0.2">
      <c r="A32" s="126"/>
      <c r="B32" s="164"/>
      <c r="C32" s="93"/>
      <c r="D32" s="93"/>
      <c r="E32" s="93"/>
      <c r="F32" s="93"/>
      <c r="G32" s="127"/>
      <c r="H32" s="576" t="str">
        <f>(IF(C32-G28&gt;0,1)+IF(D32-G29&gt;0,1)+IF(E32-G30&gt;0,1)+IF(F32-G31&gt;0,1))&amp;"-"&amp;(IF(C32-G28&lt;0,1)+IF(D32-G29&lt;0,1)+IF(E32-G30&lt;0,1)+IF(F32-G31&lt;0,1))</f>
        <v>0-0</v>
      </c>
      <c r="I32" s="93" t="str">
        <f t="shared" si="15"/>
        <v/>
      </c>
      <c r="J32" s="584">
        <f t="shared" si="16"/>
        <v>0</v>
      </c>
      <c r="K32" s="653">
        <f>IF(AND(J32=1,J28=1,C32&gt;G28),1)+IF(AND(J32=1,J29=1,D32&gt;G29),1)+IF(AND(J32=1,J30=1,E32&gt;G30),1)+IF(AND(J32=1,J31=1,F32&gt;G31),1)+IF(AND(J32=2,J28=2,C32&gt;G28),1)+IF(AND(J32=2,J29=2,D32&gt;G29),1)+IF(AND(J32=2,J30=2,E32&gt;G30),1)+IF(AND(J32=2,J31=2,F32&gt;G31),1)+IF(AND(J32=3,J28=3,C32&gt;G28),1)+IF(AND(J32=3,J29=3,D32&gt;G29),1)+IF(AND(J32=3,J30=3,E32&gt;G30),1)+IF(AND(J32=3,J31=3,F32&gt;G31),1)</f>
        <v>0</v>
      </c>
      <c r="L32" s="652">
        <f>IF(AND(J32=1,J28=1),C32-G28)+IF(AND(J32=1,J29=1),D32-G29)+IF(AND(J32=1,J30=1),E32-G30)+IF(AND(J32=1,J31=1),F32-G31)+IF(AND(J32=2,J28=2),C32-G28)+IF(AND(J32=2,J29=2),D32-G29)+IF(AND(J32=2,J30=2),E32-G30)+IF(AND(J32=2,J31=2),F32-G31)+IF(AND(J32=3,J28=3),C32-G28)+IF(AND(J32=3,J29=3),D32-G29)+IF(AND(J32=3,J30=3),E32-G30)+IF(AND(J32=3,J31=3),F32-G31)</f>
        <v>0</v>
      </c>
      <c r="M32" s="668">
        <f t="shared" si="17"/>
        <v>0</v>
      </c>
      <c r="N32" s="186"/>
      <c r="O32" s="186"/>
      <c r="P32" s="186"/>
      <c r="Q32" s="139"/>
      <c r="R32" s="512">
        <f t="shared" si="6"/>
        <v>0</v>
      </c>
      <c r="S32" s="514" t="str">
        <f t="shared" si="8"/>
        <v/>
      </c>
      <c r="T32" s="515" t="str">
        <f>IFERROR(INDEX(V!$O:$O,MATCH(S32,V!$J:$J,0)),"")</f>
        <v/>
      </c>
      <c r="U32" s="514" t="str">
        <f t="shared" si="1"/>
        <v/>
      </c>
      <c r="V32" s="515" t="str">
        <f>IFERROR(INDEX(V!$O:$O,MATCH(U32,V!$J:$J,0)),"")</f>
        <v/>
      </c>
      <c r="W32" s="516" t="str">
        <f t="shared" si="2"/>
        <v/>
      </c>
      <c r="X32" s="515" t="str">
        <f>IFERROR(INDEX(V!$O:$O,MATCH(W32,V!$J:$J,0)),"")</f>
        <v/>
      </c>
      <c r="Y32" s="516" t="str">
        <f t="shared" si="3"/>
        <v/>
      </c>
      <c r="Z32" s="515" t="str">
        <f>IFERROR(INDEX(V!$O:$O,MATCH(Y32,V!$J:$J,0)),"")</f>
        <v/>
      </c>
    </row>
    <row r="33" spans="1:28" s="188" customFormat="1" x14ac:dyDescent="0.2">
      <c r="A33" s="121"/>
      <c r="B33" s="217"/>
      <c r="C33" s="96"/>
      <c r="D33" s="501"/>
      <c r="F33" s="94"/>
      <c r="H33" s="592"/>
      <c r="I33" s="593" t="str">
        <f t="shared" si="15"/>
        <v/>
      </c>
      <c r="J33" s="588"/>
      <c r="K33" s="590"/>
      <c r="L33" s="660"/>
      <c r="M33" s="588"/>
      <c r="N33" s="186"/>
      <c r="O33" s="186"/>
      <c r="P33" s="186"/>
      <c r="Q33" s="139"/>
      <c r="R33" s="186"/>
      <c r="S33" s="186"/>
      <c r="T33" s="186"/>
      <c r="U33" s="186"/>
      <c r="V33" s="186"/>
      <c r="W33" s="186"/>
      <c r="X33" s="186"/>
      <c r="Y33" s="186"/>
      <c r="Z33" s="186"/>
      <c r="AA33" s="88"/>
      <c r="AB33" s="88"/>
    </row>
    <row r="34" spans="1:28" s="188" customFormat="1" x14ac:dyDescent="0.2">
      <c r="A34" s="126" t="s">
        <v>324</v>
      </c>
      <c r="B34" s="659" t="s">
        <v>474</v>
      </c>
      <c r="C34" s="91">
        <v>1</v>
      </c>
      <c r="D34" s="91">
        <v>2</v>
      </c>
      <c r="E34" s="91">
        <v>3</v>
      </c>
      <c r="F34" s="91">
        <v>4</v>
      </c>
      <c r="G34" s="91"/>
      <c r="H34" s="438" t="s">
        <v>73</v>
      </c>
      <c r="I34" s="438" t="s">
        <v>46</v>
      </c>
      <c r="J34" s="586" t="s">
        <v>273</v>
      </c>
      <c r="K34" s="649" t="s">
        <v>273</v>
      </c>
      <c r="L34" s="656" t="s">
        <v>430</v>
      </c>
      <c r="M34" s="588" t="b">
        <f>OR(AND(COUNTA(B35:B39)=3,COUNTA(C35:G39)=6),AND(COUNTA(B35:B39)=4,COUNTA(C35:G39)=12),AND(COUNTA(B35:B39)=5,COUNTA(C35:G39)=20))</f>
        <v>1</v>
      </c>
      <c r="N34" s="186"/>
      <c r="O34" s="186"/>
      <c r="P34" s="186"/>
      <c r="Q34" s="139"/>
      <c r="R34" s="186"/>
      <c r="S34" s="186"/>
      <c r="T34" s="186"/>
      <c r="U34" s="186"/>
      <c r="V34" s="186"/>
      <c r="W34" s="186"/>
      <c r="X34" s="186"/>
      <c r="Y34" s="186"/>
      <c r="Z34" s="186"/>
      <c r="AA34" s="88"/>
      <c r="AB34" s="88"/>
    </row>
    <row r="35" spans="1:28" s="188" customFormat="1" x14ac:dyDescent="0.2">
      <c r="A35" s="126">
        <v>1</v>
      </c>
      <c r="B35" s="581" t="s">
        <v>168</v>
      </c>
      <c r="C35" s="127"/>
      <c r="D35" s="93">
        <v>13</v>
      </c>
      <c r="E35" s="316">
        <v>9</v>
      </c>
      <c r="F35" s="93">
        <v>13</v>
      </c>
      <c r="G35" s="128"/>
      <c r="H35" s="576" t="str">
        <f>(IF(D35-C36&gt;0,1)+IF(E35-C37&gt;0,1)+IF(F35-C38&gt;0,1)+IF(G35-C39&gt;0,1))&amp;"-"&amp;(IF(D35-C36&lt;0,1)+IF(E35-C37&lt;0,1)+IF(F35-C38&lt;0,1)+IF(G35-C39&lt;0,1))</f>
        <v>2-1</v>
      </c>
      <c r="I35" s="93" t="str">
        <f>IF(AND(B35&lt;&gt;"",M$34=TRUE),A$34&amp;RANK(M35,M$35:M$39,0),"")</f>
        <v>E2</v>
      </c>
      <c r="J35" s="584">
        <f>VALUE(LEFT(H35,1))</f>
        <v>2</v>
      </c>
      <c r="K35" s="651">
        <f>IF(AND(J35=1,J36=1,D35&gt;C36),1)+IF(AND(J35=1,J37=1,E35&gt;C37),1)+IF(AND(J35=1,J38=1,F35&gt;C38),1)+IF(AND(J35=1,J39=1,G35&gt;C39),1)+IF(AND(J35=2,J36=2,D35&gt;C36),1)+IF(AND(J35=2,J37=2,E35&gt;C37),1)+IF(AND(J35=2,J38=2,F35&gt;C38),1)+IF(AND(J35=2,J39=2,G35&gt;C39),1)+IF(AND(J35=3,J36=3,D35&gt;C36),1)+IF(AND(J35=3,J37=3,E35&gt;C37),1)+IF(AND(J35=3,J38=3,F35&gt;C38),1)+IF(AND(J35=3,J39=3,G35&gt;C39),1)</f>
        <v>0</v>
      </c>
      <c r="L35" s="670">
        <f>IF(AND(J35=1,J36=1),D35-C36)+IF(AND(J35=1,J37=1),E35-C37)+IF(AND(J35=1,J38=1),F35-C38)+IF(AND(J35=1,J39=1),G35-C39)+IF(AND(J35=2,J36=2),D35-C36)+IF(AND(J35=2,J37=2),E35-C37)+IF(AND(J35=2,J38=2),F35-C38)+IF(AND(J35=2,J39=2),G35-C39)+IF(AND(J35=3,J36=3),D35-C36)+IF(AND(J35=3,J37=3),E35-C37)+IF(AND(J35=3,J38=3),F35-C38)+IF(AND(J35=3,J39=3),G35-C39)</f>
        <v>-4</v>
      </c>
      <c r="M35" s="668">
        <f>10000*J35+K35*100+L35</f>
        <v>19996</v>
      </c>
      <c r="N35" s="186"/>
      <c r="O35" s="186"/>
      <c r="P35" s="186"/>
      <c r="Q35" s="139"/>
      <c r="R35" s="512">
        <f t="shared" si="6"/>
        <v>102</v>
      </c>
      <c r="S35" s="514" t="str">
        <f t="shared" si="8"/>
        <v>Heili Vasser</v>
      </c>
      <c r="T35" s="515">
        <f>IFERROR(INDEX(V!$O:$O,MATCH(S35,V!$J:$J,0)),"")</f>
        <v>31.5</v>
      </c>
      <c r="U35" s="514" t="str">
        <f t="shared" si="1"/>
        <v>Vello Vasser</v>
      </c>
      <c r="V35" s="515">
        <f>IFERROR(INDEX(V!$O:$O,MATCH(U35,V!$J:$J,0)),"")</f>
        <v>70.5</v>
      </c>
      <c r="W35" s="516" t="str">
        <f t="shared" si="2"/>
        <v/>
      </c>
      <c r="X35" s="515" t="str">
        <f>IFERROR(INDEX(V!$O:$O,MATCH(W35,V!$J:$J,0)),"")</f>
        <v/>
      </c>
      <c r="Y35" s="516" t="str">
        <f t="shared" si="3"/>
        <v/>
      </c>
      <c r="Z35" s="515" t="str">
        <f>IFERROR(INDEX(V!$O:$O,MATCH(Y35,V!$J:$J,0)),"")</f>
        <v/>
      </c>
    </row>
    <row r="36" spans="1:28" s="188" customFormat="1" x14ac:dyDescent="0.2">
      <c r="A36" s="126">
        <v>2</v>
      </c>
      <c r="B36" s="581" t="s">
        <v>115</v>
      </c>
      <c r="C36" s="128">
        <v>6</v>
      </c>
      <c r="D36" s="127"/>
      <c r="E36" s="93">
        <v>9</v>
      </c>
      <c r="F36" s="661">
        <v>13</v>
      </c>
      <c r="G36" s="128"/>
      <c r="H36" s="576" t="str">
        <f>(IF(C36-D35&gt;0,1)+IF(E36-D37&gt;0,1)+IF(F36-D38&gt;0,1)+IF(G36-D39&gt;0,1))&amp;"-"&amp;(IF(C36-D35&lt;0,1)+IF(E36-D37&lt;0,1)+IF(F36-D38&lt;0,1)+IF(G36-D39&lt;0,1))</f>
        <v>1-2</v>
      </c>
      <c r="I36" s="93" t="str">
        <f t="shared" ref="I36:I39" si="18">IF(AND(B36&lt;&gt;"",M$34=TRUE),A$34&amp;RANK(M36,M$35:M$39,0),"")</f>
        <v>E3</v>
      </c>
      <c r="J36" s="584">
        <f t="shared" ref="J36:J39" si="19">VALUE(LEFT(H36,1))</f>
        <v>1</v>
      </c>
      <c r="K36" s="653">
        <f>IF(AND(J36=1,J35=1,C36&gt;D35),1)+IF(AND(J36=1,J37=1,E36&gt;D37),1)+IF(AND(J36=1,J38=1,F36&gt;D38),1)+IF(AND(J36=1,J39=1,G36&gt;D39),1)+IF(AND(J36=2,J35=2,C36&gt;D35),1)+IF(AND(J36=2,J37=2,E36&gt;D37),1)+IF(AND(J36=2,J38=2,F36&gt;D38),1)+IF(AND(J36=2,J39=2,G36&gt;D39),1)+IF(AND(J36=3,J35=3,C36&gt;D35),1)+IF(AND(J36=3,J37=3,E36&gt;D37),1)+IF(AND(J36=3,J38=3,F36&gt;D38),1)+IF(AND(J36=3,J39=3,G36&gt;D39),1)</f>
        <v>1</v>
      </c>
      <c r="L36" s="670">
        <f>IF(AND(J36=1,J35=1),C36-D35)+IF(AND(J36=1,J37=1),E36-D37)+IF(AND(J36=1,J38=1),F36-D38)+IF(AND(J36=1,J39=1),G36-D39)+IF(AND(J36=2,J35=2),C36-D35)+IF(AND(J36=2,J37=2),E36-D37)+IF(AND(J36=2,J38=2),F36-D38)+IF(AND(J36=2,J39=2),G36-D39)+IF(AND(J36=3,J35=3),C36-D35)+IF(AND(J36=3,J37=3),E36-D37)+IF(AND(J36=3,J38=3),F36-D38)+IF(AND(J36=3,J39=3),G36-D39)</f>
        <v>5</v>
      </c>
      <c r="M36" s="668">
        <f t="shared" ref="M36:M39" si="20">10000*J36+K36*100+L36</f>
        <v>10105</v>
      </c>
      <c r="N36" s="186"/>
      <c r="O36" s="186"/>
      <c r="P36" s="186"/>
      <c r="Q36" s="139"/>
      <c r="R36" s="512">
        <f t="shared" si="6"/>
        <v>162</v>
      </c>
      <c r="S36" s="514" t="str">
        <f t="shared" si="8"/>
        <v>Andres Veski</v>
      </c>
      <c r="T36" s="515">
        <f>IFERROR(INDEX(V!$O:$O,MATCH(S36,V!$J:$J,0)),"")</f>
        <v>76</v>
      </c>
      <c r="U36" s="514" t="str">
        <f t="shared" si="1"/>
        <v>Svetlana Veski</v>
      </c>
      <c r="V36" s="515">
        <f>IFERROR(INDEX(V!$O:$O,MATCH(U36,V!$J:$J,0)),"")</f>
        <v>86</v>
      </c>
      <c r="W36" s="516" t="str">
        <f t="shared" si="2"/>
        <v/>
      </c>
      <c r="X36" s="515" t="str">
        <f>IFERROR(INDEX(V!$O:$O,MATCH(W36,V!$J:$J,0)),"")</f>
        <v/>
      </c>
      <c r="Y36" s="516" t="str">
        <f t="shared" si="3"/>
        <v/>
      </c>
      <c r="Z36" s="515" t="str">
        <f>IFERROR(INDEX(V!$O:$O,MATCH(Y36,V!$J:$J,0)),"")</f>
        <v/>
      </c>
    </row>
    <row r="37" spans="1:28" s="188" customFormat="1" x14ac:dyDescent="0.2">
      <c r="A37" s="126">
        <v>3</v>
      </c>
      <c r="B37" s="581" t="s">
        <v>393</v>
      </c>
      <c r="C37" s="316">
        <v>13</v>
      </c>
      <c r="D37" s="311">
        <v>13</v>
      </c>
      <c r="E37" s="127"/>
      <c r="F37" s="93">
        <v>2</v>
      </c>
      <c r="G37" s="128"/>
      <c r="H37" s="576" t="str">
        <f>(IF(C37-E35&gt;0,1)+IF(D37-E36&gt;0,1)+IF(F37-E38&gt;0,1)+IF(G37-E39&gt;0,1))&amp;"-"&amp;(IF(C37-E35&lt;0,1)+IF(D37-E36&lt;0,1)+IF(F37-E38&lt;0,1)+IF(G37-E39&lt;0,1))</f>
        <v>2-1</v>
      </c>
      <c r="I37" s="93" t="str">
        <f t="shared" si="18"/>
        <v>E1</v>
      </c>
      <c r="J37" s="584">
        <f t="shared" si="19"/>
        <v>2</v>
      </c>
      <c r="K37" s="653">
        <f>IF(AND(J37=1,J35=1,C37&gt;E35),1)+IF(AND(J37=1,J36=1,D37&gt;E36),1)+IF(AND(J37=1,J38=1,F37&gt;E38),1)+IF(AND(J37=1,J39=1,G37&gt;E39),1)+IF(AND(J37=2,J35=2,C37&gt;E35),1)+IF(AND(J37=2,J36=2,D37&gt;E36),1)+IF(AND(J37=2,J38=2,F37&gt;E38),1)+IF(AND(J37=2,J39=2,G37&gt;E39),1)+IF(AND(J37=3,J35=3,C37&gt;E35),1)+IF(AND(J37=3,J36=3,D37&gt;E36),1)+IF(AND(J37=3,J38=3,F37&gt;E38),1)+IF(AND(J37=3,J39=3,G37&gt;E39),1)</f>
        <v>1</v>
      </c>
      <c r="L37" s="670">
        <f>IF(AND(J37=1,J35=1),C37-E35)+IF(AND(J37=1,J36=1),D37-E36)+IF(AND(J37=1,J38=1),F37-E38)+IF(AND(J37=1,J39=1),G37-E39)+IF(AND(J37=2,J35=2),C37-E35)+IF(AND(J37=2,J36=2),D37-E36)+IF(AND(J37=2,J38=2),F37-E38)+IF(AND(J37=2,J39=2),G37-E39)+IF(AND(J37=3,J35=3),C37-E35)+IF(AND(J37=3,J36=3),D37-E36)+IF(AND(J37=3,J38=3),F37-E38)+IF(AND(J37=3,J39=3),G37-E39)</f>
        <v>4</v>
      </c>
      <c r="M37" s="668">
        <f t="shared" si="20"/>
        <v>20104</v>
      </c>
      <c r="N37" s="186"/>
      <c r="O37" s="186"/>
      <c r="P37" s="186"/>
      <c r="Q37" s="139"/>
      <c r="R37" s="512">
        <f t="shared" si="6"/>
        <v>66</v>
      </c>
      <c r="S37" s="514" t="str">
        <f t="shared" si="8"/>
        <v>Karla Purgats</v>
      </c>
      <c r="T37" s="515">
        <f>IFERROR(INDEX(V!$O:$O,MATCH(S37,V!$J:$J,0)),"")</f>
        <v>66</v>
      </c>
      <c r="U37" s="514" t="str">
        <f t="shared" si="1"/>
        <v>Toomas Tedrekull / Jaan Saar</v>
      </c>
      <c r="V37" s="515" t="str">
        <f>IFERROR(INDEX(V!$O:$O,MATCH(U37,V!$J:$J,0)),"")</f>
        <v/>
      </c>
      <c r="W37" s="516" t="str">
        <f t="shared" si="2"/>
        <v/>
      </c>
      <c r="X37" s="515" t="str">
        <f>IFERROR(INDEX(V!$O:$O,MATCH(W37,V!$J:$J,0)),"")</f>
        <v/>
      </c>
      <c r="Y37" s="516" t="str">
        <f t="shared" si="3"/>
        <v/>
      </c>
      <c r="Z37" s="515" t="str">
        <f>IFERROR(INDEX(V!$O:$O,MATCH(Y37,V!$J:$J,0)),"")</f>
        <v/>
      </c>
    </row>
    <row r="38" spans="1:28" s="188" customFormat="1" x14ac:dyDescent="0.2">
      <c r="A38" s="126">
        <v>4</v>
      </c>
      <c r="B38" s="583" t="s">
        <v>392</v>
      </c>
      <c r="C38" s="93">
        <v>6</v>
      </c>
      <c r="D38" s="662">
        <v>8</v>
      </c>
      <c r="E38" s="93">
        <v>13</v>
      </c>
      <c r="F38" s="127"/>
      <c r="G38" s="128"/>
      <c r="H38" s="576" t="str">
        <f>(IF(C38-F35&gt;0,1)+IF(D38-F36&gt;0,1)+IF(E38-F37&gt;0,1)+IF(G38-F39&gt;0,1))&amp;"-"&amp;(IF(C38-F35&lt;0,1)+IF(D38-F36&lt;0,1)+IF(E38-F37&lt;0,1)+IF(G38-F39&lt;0,1))</f>
        <v>1-2</v>
      </c>
      <c r="I38" s="93" t="str">
        <f t="shared" si="18"/>
        <v>E4</v>
      </c>
      <c r="J38" s="584">
        <f t="shared" si="19"/>
        <v>1</v>
      </c>
      <c r="K38" s="653">
        <f>IF(AND(J38=1,J35=1,C38&gt;F35),1)+IF(AND(J38=1,J36=1,D38&gt;F36),1)+IF(AND(J38=1,J37=1,E38&gt;F37),1)+IF(AND(J38=1,J39=1,G38&gt;F39),1)+IF(AND(J38=2,J35=2,C38&gt;F35),1)+IF(AND(J38=2,J36=2,D38&gt;F36),1)+IF(AND(J38=2,J37=2,E38&gt;F37),1)+IF(AND(J38=2,J39=2,G38&gt;F39),1)+IF(AND(J38=3,J35=3,C38&gt;F35),1)+IF(AND(J38=3,J36=3,D38&gt;F36),1)+IF(AND(J38=3,J37=3,E38&gt;F37),1)+IF(AND(J38=3,J39=3,G38&gt;F39),1)</f>
        <v>0</v>
      </c>
      <c r="L38" s="670">
        <f>IF(AND(J38=1,J35=1),C38-F35)+IF(AND(J38=1,J36=1),D38-F36)+IF(AND(J38=1,J37=1),E38-F37)+IF(AND(J38=1,J39=1),G38-F39)+IF(AND(J38=2,J35=2),C38-F35)+IF(AND(J38=2,J36=2),D38-F36)+IF(AND(J38=2,J37=2),E38-F37)+IF(AND(J38=2,J39=2),G38-F39)+IF(AND(J38=3,J35=3),C38-F35)+IF(AND(J38=3,J36=3),D38-F36)+IF(AND(J38=3,J37=3),E38-F37)+IF(AND(J38=3,J39=3),G38-F39)</f>
        <v>-5</v>
      </c>
      <c r="M38" s="668">
        <f t="shared" si="20"/>
        <v>9995</v>
      </c>
      <c r="N38" s="186"/>
      <c r="O38" s="186"/>
      <c r="P38" s="186"/>
      <c r="Q38" s="139"/>
      <c r="R38" s="512">
        <f t="shared" si="6"/>
        <v>94</v>
      </c>
      <c r="S38" s="514" t="str">
        <f t="shared" si="8"/>
        <v>Einar Juhkam</v>
      </c>
      <c r="T38" s="515">
        <f>IFERROR(INDEX(V!$O:$O,MATCH(S38,V!$J:$J,0)),"")</f>
        <v>53</v>
      </c>
      <c r="U38" s="514" t="str">
        <f t="shared" ref="U38:U39" si="21">IFERROR(MID($B38,FIND(", ",$B38)+2,256),"")</f>
        <v>Illar Tõnurist</v>
      </c>
      <c r="V38" s="515">
        <f>IFERROR(INDEX(V!$O:$O,MATCH(U38,V!$J:$J,0)),"")</f>
        <v>41</v>
      </c>
      <c r="W38" s="516" t="str">
        <f t="shared" ref="W38:W39" si="22">IFERROR(MID($B38,FIND("^",SUBSTITUTE($B38,", ","^",1))+2,FIND("^",SUBSTITUTE($B38,", ","^",2))-FIND("^",SUBSTITUTE($B38,", ","^",1))-2),"")</f>
        <v/>
      </c>
      <c r="X38" s="515" t="str">
        <f>IFERROR(INDEX(V!$O:$O,MATCH(W38,V!$J:$J,0)),"")</f>
        <v/>
      </c>
      <c r="Y38" s="516" t="str">
        <f t="shared" si="3"/>
        <v/>
      </c>
      <c r="Z38" s="515" t="str">
        <f>IFERROR(INDEX(V!$O:$O,MATCH(Y38,V!$J:$J,0)),"")</f>
        <v/>
      </c>
    </row>
    <row r="39" spans="1:28" s="188" customFormat="1" x14ac:dyDescent="0.2">
      <c r="A39" s="126"/>
      <c r="B39" s="164"/>
      <c r="C39" s="93"/>
      <c r="D39" s="93"/>
      <c r="E39" s="93"/>
      <c r="F39" s="93"/>
      <c r="G39" s="127"/>
      <c r="H39" s="576" t="str">
        <f>(IF(C39-G35&gt;0,1)+IF(D39-G36&gt;0,1)+IF(E39-G37&gt;0,1)+IF(F39-G38&gt;0,1))&amp;"-"&amp;(IF(C39-G35&lt;0,1)+IF(D39-G36&lt;0,1)+IF(E39-G37&lt;0,1)+IF(F39-G38&lt;0,1))</f>
        <v>0-0</v>
      </c>
      <c r="I39" s="93" t="str">
        <f t="shared" si="18"/>
        <v/>
      </c>
      <c r="J39" s="584">
        <f t="shared" si="19"/>
        <v>0</v>
      </c>
      <c r="K39" s="653">
        <f>IF(AND(J39=1,J35=1,C39&gt;G35),1)+IF(AND(J39=1,J36=1,D39&gt;G36),1)+IF(AND(J39=1,J37=1,E39&gt;G37),1)+IF(AND(J39=1,J38=1,F39&gt;G38),1)+IF(AND(J39=2,J35=2,C39&gt;G35),1)+IF(AND(J39=2,J36=2,D39&gt;G36),1)+IF(AND(J39=2,J37=2,E39&gt;G37),1)+IF(AND(J39=2,J38=2,F39&gt;G38),1)+IF(AND(J39=3,J35=3,C39&gt;G35),1)+IF(AND(J39=3,J36=3,D39&gt;G36),1)+IF(AND(J39=3,J37=3,E39&gt;G37),1)+IF(AND(J39=3,J38=3,F39&gt;G38),1)</f>
        <v>0</v>
      </c>
      <c r="L39" s="670">
        <f>IF(AND(J39=1,J35=1),C39-G35)+IF(AND(J39=1,J36=1),D39-G36)+IF(AND(J39=1,J37=1),E39-G37)+IF(AND(J39=1,J38=1),F39-G38)+IF(AND(J39=2,J35=2),C39-G35)+IF(AND(J39=2,J36=2),D39-G36)+IF(AND(J39=2,J37=2),E39-G37)+IF(AND(J39=2,J38=2),F39-G38)+IF(AND(J39=3,J35=3),C39-G35)+IF(AND(J39=3,J36=3),D39-G36)+IF(AND(J39=3,J37=3),E39-G37)+IF(AND(J39=3,J38=3),F39-G38)</f>
        <v>0</v>
      </c>
      <c r="M39" s="668">
        <f t="shared" si="20"/>
        <v>0</v>
      </c>
      <c r="N39" s="186"/>
      <c r="O39" s="186"/>
      <c r="P39" s="186"/>
      <c r="Q39" s="139"/>
      <c r="R39" s="512">
        <f t="shared" si="6"/>
        <v>0</v>
      </c>
      <c r="S39" s="514" t="str">
        <f t="shared" si="8"/>
        <v/>
      </c>
      <c r="T39" s="515" t="str">
        <f>IFERROR(INDEX(V!$O:$O,MATCH(S39,V!$J:$J,0)),"")</f>
        <v/>
      </c>
      <c r="U39" s="514" t="str">
        <f t="shared" si="21"/>
        <v/>
      </c>
      <c r="V39" s="515" t="str">
        <f>IFERROR(INDEX(V!$O:$O,MATCH(U39,V!$J:$J,0)),"")</f>
        <v/>
      </c>
      <c r="W39" s="516" t="str">
        <f t="shared" si="22"/>
        <v/>
      </c>
      <c r="X39" s="515" t="str">
        <f>IFERROR(INDEX(V!$O:$O,MATCH(W39,V!$J:$J,0)),"")</f>
        <v/>
      </c>
      <c r="Y39" s="516" t="str">
        <f t="shared" ref="Y39" si="23">IFERROR(MID($B39,FIND(", ",$B39,FIND(", ",$B39,FIND(", ",$B39))+1)+2,30000),"")</f>
        <v/>
      </c>
      <c r="Z39" s="515" t="str">
        <f>IFERROR(INDEX(V!$O:$O,MATCH(Y39,V!$J:$J,0)),"")</f>
        <v/>
      </c>
      <c r="AA39" s="88"/>
      <c r="AB39" s="88"/>
    </row>
    <row r="40" spans="1:28" s="188" customFormat="1" x14ac:dyDescent="0.2">
      <c r="A40" s="121"/>
      <c r="B40" s="217"/>
      <c r="C40" s="97"/>
      <c r="D40" s="97"/>
      <c r="E40" s="97"/>
      <c r="F40" s="97"/>
      <c r="G40" s="97"/>
      <c r="H40" s="639"/>
      <c r="I40" s="97"/>
      <c r="J40" s="584"/>
      <c r="K40" s="663"/>
      <c r="L40" s="584"/>
      <c r="M40" s="584"/>
      <c r="N40" s="569"/>
      <c r="O40" s="310"/>
      <c r="P40" s="139"/>
      <c r="Q40" s="139"/>
      <c r="R40" s="186"/>
      <c r="S40" s="186"/>
      <c r="T40" s="186"/>
      <c r="U40" s="186"/>
      <c r="V40" s="186"/>
      <c r="W40" s="186"/>
      <c r="X40" s="186"/>
      <c r="Y40" s="186"/>
      <c r="Z40" s="186"/>
      <c r="AA40" s="186"/>
      <c r="AB40" s="88"/>
    </row>
    <row r="41" spans="1:28" s="188" customFormat="1" x14ac:dyDescent="0.2">
      <c r="B41" s="213"/>
      <c r="C41" s="98"/>
      <c r="D41" s="98"/>
      <c r="Q41" s="139"/>
      <c r="R41" s="186"/>
      <c r="S41" s="186"/>
      <c r="T41" s="186"/>
      <c r="U41" s="186"/>
      <c r="V41" s="186"/>
      <c r="W41" s="186"/>
      <c r="X41" s="186"/>
      <c r="Y41" s="186"/>
      <c r="Z41" s="186"/>
      <c r="AA41" s="186"/>
      <c r="AB41" s="88"/>
    </row>
    <row r="42" spans="1:28" s="188" customFormat="1" x14ac:dyDescent="0.2">
      <c r="B42" s="213"/>
      <c r="C42" s="98"/>
      <c r="D42" s="98"/>
      <c r="Q42" s="139"/>
      <c r="R42" s="186"/>
      <c r="S42" s="186"/>
      <c r="T42" s="186"/>
      <c r="U42" s="186"/>
      <c r="V42" s="186"/>
      <c r="W42" s="186"/>
      <c r="X42" s="186"/>
      <c r="Y42" s="186"/>
      <c r="Z42" s="186"/>
      <c r="AA42" s="186"/>
      <c r="AB42" s="88"/>
    </row>
    <row r="43" spans="1:28" s="188" customFormat="1" x14ac:dyDescent="0.2">
      <c r="B43" s="213" t="s">
        <v>98</v>
      </c>
      <c r="C43" s="98" t="s">
        <v>102</v>
      </c>
      <c r="D43" s="98"/>
      <c r="Q43" s="139"/>
      <c r="R43" s="186"/>
      <c r="S43" s="186"/>
      <c r="T43" s="186"/>
      <c r="U43" s="186"/>
      <c r="V43" s="186"/>
      <c r="W43" s="186"/>
      <c r="X43" s="186"/>
      <c r="Y43" s="186"/>
      <c r="Z43" s="186"/>
      <c r="AA43" s="186"/>
      <c r="AB43" s="88"/>
    </row>
    <row r="44" spans="1:28" s="188" customFormat="1" x14ac:dyDescent="0.2">
      <c r="B44" s="213" t="s">
        <v>101</v>
      </c>
      <c r="C44" s="98" t="s">
        <v>100</v>
      </c>
      <c r="Q44" s="139"/>
      <c r="R44" s="186"/>
      <c r="S44" s="186"/>
      <c r="T44" s="186"/>
      <c r="U44" s="186"/>
      <c r="V44" s="186"/>
      <c r="W44" s="186"/>
      <c r="X44" s="186"/>
      <c r="Y44" s="186"/>
      <c r="Z44" s="186"/>
      <c r="AA44" s="186"/>
      <c r="AB44" s="88"/>
    </row>
    <row r="45" spans="1:28" s="188" customFormat="1" x14ac:dyDescent="0.2">
      <c r="B45" s="213" t="s">
        <v>104</v>
      </c>
      <c r="C45" s="98" t="s">
        <v>92</v>
      </c>
      <c r="Q45" s="139"/>
      <c r="R45" s="186"/>
      <c r="S45" s="186"/>
      <c r="T45" s="186"/>
      <c r="U45" s="186"/>
      <c r="V45" s="186"/>
      <c r="W45" s="186"/>
      <c r="X45" s="186"/>
      <c r="Y45" s="186"/>
      <c r="Z45" s="186"/>
      <c r="AA45" s="186"/>
      <c r="AB45" s="88"/>
    </row>
    <row r="46" spans="1:28" s="188" customFormat="1" x14ac:dyDescent="0.2">
      <c r="Q46" s="139"/>
      <c r="R46" s="186"/>
      <c r="S46" s="186"/>
      <c r="T46" s="186"/>
      <c r="U46" s="186"/>
      <c r="V46" s="186"/>
      <c r="W46" s="186"/>
      <c r="X46" s="186"/>
      <c r="Y46" s="186"/>
      <c r="Z46" s="186"/>
      <c r="AA46" s="186"/>
      <c r="AB46" s="88"/>
    </row>
    <row r="47" spans="1:28" s="188" customFormat="1" x14ac:dyDescent="0.2">
      <c r="B47" s="213" t="s">
        <v>98</v>
      </c>
      <c r="C47" s="98" t="s">
        <v>99</v>
      </c>
      <c r="D47" s="98" t="s">
        <v>100</v>
      </c>
      <c r="Q47" s="139"/>
      <c r="R47" s="186"/>
      <c r="S47" s="186"/>
      <c r="T47" s="186"/>
      <c r="U47" s="186"/>
      <c r="V47" s="186"/>
      <c r="W47" s="186"/>
      <c r="X47" s="186"/>
      <c r="Y47" s="186"/>
      <c r="Z47" s="186"/>
      <c r="AA47" s="186"/>
      <c r="AB47" s="88"/>
    </row>
    <row r="48" spans="1:28" s="188" customFormat="1" x14ac:dyDescent="0.2">
      <c r="A48" s="121"/>
      <c r="B48" s="213" t="s">
        <v>101</v>
      </c>
      <c r="C48" s="98" t="s">
        <v>102</v>
      </c>
      <c r="D48" s="98" t="s">
        <v>103</v>
      </c>
      <c r="E48" s="97"/>
      <c r="F48" s="97"/>
      <c r="G48" s="97"/>
      <c r="H48" s="639"/>
      <c r="I48" s="97"/>
      <c r="J48" s="584"/>
      <c r="K48" s="663"/>
      <c r="L48" s="584"/>
      <c r="M48" s="584"/>
      <c r="N48" s="569"/>
      <c r="O48" s="310"/>
      <c r="P48" s="579"/>
      <c r="Q48" s="88"/>
      <c r="R48" s="186"/>
      <c r="S48" s="186"/>
      <c r="T48" s="186"/>
      <c r="U48" s="186"/>
      <c r="V48" s="186"/>
      <c r="W48" s="186"/>
      <c r="X48" s="186"/>
      <c r="Y48" s="186"/>
      <c r="Z48" s="186"/>
      <c r="AA48" s="186"/>
      <c r="AB48" s="88"/>
    </row>
    <row r="49" spans="1:28" s="188" customFormat="1" x14ac:dyDescent="0.2">
      <c r="A49" s="121"/>
      <c r="B49" s="213" t="s">
        <v>104</v>
      </c>
      <c r="C49" s="98" t="s">
        <v>92</v>
      </c>
      <c r="D49" s="98" t="s">
        <v>105</v>
      </c>
      <c r="E49" s="97"/>
      <c r="F49" s="97"/>
      <c r="G49" s="97"/>
      <c r="H49" s="639"/>
      <c r="I49" s="97"/>
      <c r="J49" s="584"/>
      <c r="K49" s="579"/>
      <c r="L49" s="584"/>
      <c r="M49" s="584"/>
      <c r="N49" s="569"/>
      <c r="O49" s="310"/>
      <c r="P49" s="579"/>
      <c r="Q49" s="88"/>
      <c r="R49" s="186"/>
      <c r="S49" s="186"/>
      <c r="T49" s="186"/>
      <c r="U49" s="186"/>
      <c r="V49" s="186"/>
      <c r="W49" s="186"/>
      <c r="X49" s="186"/>
      <c r="Y49" s="186"/>
      <c r="Z49" s="186"/>
      <c r="AA49" s="186"/>
      <c r="AB49" s="88"/>
    </row>
    <row r="50" spans="1:28" s="188" customFormat="1" x14ac:dyDescent="0.2">
      <c r="A50" s="121"/>
      <c r="B50" s="217"/>
      <c r="C50" s="97"/>
      <c r="D50" s="97"/>
      <c r="E50" s="97"/>
      <c r="F50" s="97"/>
      <c r="G50" s="97"/>
      <c r="H50" s="639"/>
      <c r="I50" s="97"/>
      <c r="J50" s="584"/>
      <c r="K50" s="579"/>
      <c r="L50" s="584"/>
      <c r="M50" s="584"/>
      <c r="N50" s="569"/>
      <c r="O50" s="310"/>
      <c r="P50" s="579"/>
      <c r="Q50" s="88"/>
      <c r="R50" s="186"/>
      <c r="S50" s="186"/>
      <c r="T50" s="186"/>
      <c r="U50" s="186"/>
      <c r="V50" s="186"/>
      <c r="W50" s="186"/>
      <c r="X50" s="186"/>
      <c r="Y50" s="186"/>
      <c r="Z50" s="186"/>
      <c r="AA50" s="186"/>
      <c r="AB50" s="88"/>
    </row>
    <row r="51" spans="1:28" s="188" customFormat="1" x14ac:dyDescent="0.2">
      <c r="A51" s="121"/>
      <c r="B51" s="213" t="s">
        <v>98</v>
      </c>
      <c r="C51" s="98" t="s">
        <v>106</v>
      </c>
      <c r="D51" s="98" t="s">
        <v>103</v>
      </c>
      <c r="E51" s="97"/>
      <c r="F51" s="97"/>
      <c r="G51" s="97"/>
      <c r="H51" s="639"/>
      <c r="I51" s="97"/>
      <c r="J51" s="584"/>
      <c r="K51" s="579"/>
      <c r="L51" s="584"/>
      <c r="M51" s="584"/>
      <c r="N51" s="569"/>
      <c r="O51" s="310"/>
      <c r="P51" s="579"/>
      <c r="Q51" s="88"/>
      <c r="R51" s="186"/>
      <c r="S51" s="186"/>
      <c r="T51" s="186"/>
      <c r="U51" s="186"/>
      <c r="V51" s="186"/>
      <c r="W51" s="186"/>
      <c r="X51" s="186"/>
      <c r="Y51" s="186"/>
      <c r="Z51" s="186"/>
      <c r="AA51" s="186"/>
      <c r="AB51" s="88"/>
    </row>
    <row r="52" spans="1:28" s="188" customFormat="1" x14ac:dyDescent="0.2">
      <c r="A52" s="121"/>
      <c r="B52" s="213" t="s">
        <v>101</v>
      </c>
      <c r="C52" s="98" t="s">
        <v>102</v>
      </c>
      <c r="D52" s="98" t="s">
        <v>107</v>
      </c>
      <c r="E52" s="97"/>
      <c r="F52" s="97"/>
      <c r="G52" s="97"/>
      <c r="H52" s="639"/>
      <c r="I52" s="97"/>
      <c r="J52" s="584"/>
      <c r="K52" s="579"/>
      <c r="L52" s="584"/>
      <c r="M52" s="584"/>
      <c r="N52" s="569"/>
      <c r="O52" s="310"/>
      <c r="P52" s="579"/>
      <c r="Q52" s="88"/>
      <c r="R52" s="186"/>
      <c r="S52" s="186"/>
      <c r="T52" s="186"/>
      <c r="U52" s="186"/>
      <c r="V52" s="186"/>
      <c r="W52" s="186"/>
      <c r="X52" s="186"/>
      <c r="Y52" s="186"/>
      <c r="Z52" s="186"/>
      <c r="AA52" s="186"/>
      <c r="AB52" s="88"/>
    </row>
    <row r="53" spans="1:28" s="188" customFormat="1" x14ac:dyDescent="0.2">
      <c r="A53" s="121"/>
      <c r="B53" s="213" t="s">
        <v>104</v>
      </c>
      <c r="C53" s="98" t="s">
        <v>108</v>
      </c>
      <c r="D53" s="98" t="s">
        <v>105</v>
      </c>
      <c r="E53" s="97"/>
      <c r="F53" s="97"/>
      <c r="G53" s="97"/>
      <c r="H53" s="639"/>
      <c r="I53" s="97"/>
      <c r="J53" s="584"/>
      <c r="K53" s="579"/>
      <c r="L53" s="584"/>
      <c r="M53" s="584"/>
      <c r="N53" s="569"/>
      <c r="O53" s="310"/>
      <c r="P53" s="579"/>
      <c r="Q53" s="88"/>
      <c r="R53" s="186"/>
      <c r="S53" s="186"/>
      <c r="T53" s="186"/>
      <c r="U53" s="186"/>
      <c r="V53" s="186"/>
      <c r="W53" s="186"/>
      <c r="X53" s="186"/>
      <c r="Y53" s="186"/>
      <c r="Z53" s="186"/>
      <c r="AA53" s="186"/>
      <c r="AB53" s="88"/>
    </row>
    <row r="54" spans="1:28" s="188" customFormat="1" x14ac:dyDescent="0.2">
      <c r="A54" s="314"/>
      <c r="B54" s="213" t="s">
        <v>109</v>
      </c>
      <c r="C54" s="98" t="s">
        <v>91</v>
      </c>
      <c r="D54" s="98" t="s">
        <v>110</v>
      </c>
      <c r="E54" s="314"/>
      <c r="F54" s="314"/>
      <c r="G54" s="314"/>
      <c r="K54" s="579"/>
      <c r="N54" s="88"/>
      <c r="O54" s="88"/>
      <c r="P54" s="579"/>
      <c r="Q54" s="88"/>
      <c r="R54" s="186"/>
      <c r="S54" s="186"/>
      <c r="T54" s="186"/>
      <c r="U54" s="186"/>
      <c r="V54" s="186"/>
      <c r="W54" s="186"/>
      <c r="X54" s="186"/>
      <c r="Y54" s="186"/>
      <c r="Z54" s="186"/>
      <c r="AA54" s="186"/>
      <c r="AB54" s="88"/>
    </row>
    <row r="55" spans="1:28" s="188" customFormat="1" x14ac:dyDescent="0.2">
      <c r="A55" s="314"/>
      <c r="B55" s="213" t="s">
        <v>111</v>
      </c>
      <c r="C55" s="98" t="s">
        <v>100</v>
      </c>
      <c r="D55" s="98" t="s">
        <v>99</v>
      </c>
      <c r="E55" s="314"/>
      <c r="F55" s="314"/>
      <c r="G55" s="314"/>
      <c r="K55" s="579"/>
      <c r="N55" s="88"/>
      <c r="O55" s="88"/>
      <c r="P55" s="579"/>
      <c r="Q55" s="88"/>
      <c r="R55" s="186"/>
      <c r="S55" s="186"/>
      <c r="T55" s="186"/>
      <c r="U55" s="186"/>
      <c r="V55" s="186"/>
      <c r="W55" s="186"/>
      <c r="X55" s="186"/>
      <c r="Y55" s="186"/>
      <c r="Z55" s="186"/>
      <c r="AA55" s="186"/>
      <c r="AB55" s="88"/>
    </row>
    <row r="56" spans="1:28" s="188" customFormat="1" x14ac:dyDescent="0.2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579"/>
      <c r="Q56" s="88"/>
      <c r="R56" s="186"/>
      <c r="S56" s="186"/>
      <c r="T56" s="186"/>
      <c r="U56" s="186"/>
      <c r="V56" s="186"/>
      <c r="W56" s="186"/>
      <c r="X56" s="186"/>
      <c r="Y56" s="186"/>
      <c r="Z56" s="186"/>
      <c r="AA56" s="186"/>
      <c r="AB56" s="88"/>
    </row>
    <row r="57" spans="1:28" s="188" customFormat="1" x14ac:dyDescent="0.2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Q57" s="88"/>
      <c r="R57" s="186"/>
      <c r="S57" s="186"/>
      <c r="T57" s="186"/>
      <c r="U57" s="186"/>
      <c r="V57" s="186"/>
      <c r="W57" s="186"/>
      <c r="X57" s="186"/>
      <c r="Y57" s="186"/>
      <c r="Z57" s="186"/>
      <c r="AA57" s="186"/>
      <c r="AB57" s="88"/>
    </row>
    <row r="58" spans="1:28" s="88" customFormat="1" x14ac:dyDescent="0.2">
      <c r="R58" s="186"/>
      <c r="S58" s="186"/>
      <c r="T58" s="186"/>
      <c r="U58" s="186"/>
      <c r="V58" s="186"/>
      <c r="W58" s="186"/>
      <c r="X58" s="186"/>
      <c r="Y58" s="186"/>
      <c r="Z58" s="186"/>
      <c r="AA58" s="186"/>
    </row>
    <row r="59" spans="1:28" s="88" customFormat="1" x14ac:dyDescent="0.2">
      <c r="R59" s="186"/>
      <c r="S59" s="186"/>
      <c r="T59" s="186"/>
      <c r="U59" s="186"/>
      <c r="V59" s="186"/>
      <c r="W59" s="186"/>
      <c r="X59" s="186"/>
      <c r="Y59" s="186"/>
      <c r="Z59" s="186"/>
      <c r="AA59" s="186"/>
    </row>
    <row r="60" spans="1:28" s="88" customFormat="1" x14ac:dyDescent="0.2">
      <c r="R60" s="186"/>
      <c r="S60" s="186"/>
      <c r="T60" s="186"/>
      <c r="U60" s="186"/>
      <c r="V60" s="186"/>
      <c r="W60" s="186"/>
      <c r="X60" s="186"/>
      <c r="Y60" s="186"/>
      <c r="Z60" s="186"/>
      <c r="AA60" s="186"/>
    </row>
    <row r="61" spans="1:28" s="88" customFormat="1" x14ac:dyDescent="0.2">
      <c r="R61" s="186"/>
      <c r="S61" s="186"/>
      <c r="T61" s="186"/>
      <c r="U61" s="186"/>
      <c r="V61" s="186"/>
      <c r="W61" s="186"/>
      <c r="X61" s="186"/>
      <c r="Y61" s="186"/>
      <c r="Z61" s="186"/>
      <c r="AA61" s="186"/>
    </row>
    <row r="62" spans="1:28" s="88" customFormat="1" x14ac:dyDescent="0.2">
      <c r="R62" s="186"/>
      <c r="S62" s="186"/>
      <c r="T62" s="186"/>
      <c r="U62" s="186"/>
      <c r="V62" s="186"/>
      <c r="W62" s="186"/>
      <c r="X62" s="186"/>
      <c r="Y62" s="186"/>
      <c r="Z62" s="186"/>
      <c r="AA62" s="186"/>
    </row>
    <row r="63" spans="1:28" s="88" customFormat="1" x14ac:dyDescent="0.2">
      <c r="R63" s="188"/>
      <c r="S63" s="215"/>
    </row>
    <row r="64" spans="1:28" s="88" customFormat="1" x14ac:dyDescent="0.2">
      <c r="R64" s="188"/>
      <c r="S64" s="215"/>
    </row>
    <row r="65" spans="18:19" s="88" customFormat="1" x14ac:dyDescent="0.2">
      <c r="R65" s="188"/>
      <c r="S65" s="188"/>
    </row>
    <row r="66" spans="18:19" s="88" customFormat="1" x14ac:dyDescent="0.2">
      <c r="R66" s="188"/>
      <c r="S66" s="517"/>
    </row>
    <row r="67" spans="18:19" s="88" customFormat="1" x14ac:dyDescent="0.2">
      <c r="S67" s="215"/>
    </row>
    <row r="68" spans="18:19" s="88" customFormat="1" x14ac:dyDescent="0.2"/>
    <row r="69" spans="18:19" s="88" customFormat="1" x14ac:dyDescent="0.2"/>
    <row r="70" spans="18:19" s="88" customFormat="1" x14ac:dyDescent="0.2"/>
    <row r="71" spans="18:19" s="88" customFormat="1" x14ac:dyDescent="0.2"/>
    <row r="72" spans="18:19" s="88" customFormat="1" x14ac:dyDescent="0.2"/>
    <row r="73" spans="18:19" s="88" customFormat="1" x14ac:dyDescent="0.2"/>
    <row r="74" spans="18:19" s="88" customFormat="1" x14ac:dyDescent="0.2"/>
    <row r="75" spans="18:19" s="88" customFormat="1" x14ac:dyDescent="0.2"/>
    <row r="76" spans="18:19" s="88" customFormat="1" x14ac:dyDescent="0.2"/>
    <row r="77" spans="18:19" s="88" customFormat="1" x14ac:dyDescent="0.2"/>
    <row r="78" spans="18:19" s="88" customFormat="1" x14ac:dyDescent="0.2"/>
    <row r="79" spans="18:19" s="88" customFormat="1" x14ac:dyDescent="0.2"/>
    <row r="80" spans="18:19" s="88" customFormat="1" x14ac:dyDescent="0.2"/>
    <row r="81" spans="1:18" s="88" customFormat="1" x14ac:dyDescent="0.2"/>
    <row r="82" spans="1:18" s="88" customFormat="1" x14ac:dyDescent="0.2">
      <c r="R82" s="188"/>
    </row>
    <row r="83" spans="1:18" s="88" customFormat="1" x14ac:dyDescent="0.2">
      <c r="R83" s="188"/>
    </row>
    <row r="84" spans="1:18" s="88" customFormat="1" x14ac:dyDescent="0.2">
      <c r="R84" s="215"/>
    </row>
    <row r="85" spans="1:18" s="88" customFormat="1" x14ac:dyDescent="0.2"/>
    <row r="86" spans="1:18" s="88" customFormat="1" x14ac:dyDescent="0.2"/>
    <row r="87" spans="1:18" s="88" customFormat="1" x14ac:dyDescent="0.2"/>
    <row r="88" spans="1:18" s="88" customFormat="1" x14ac:dyDescent="0.2"/>
    <row r="89" spans="1:18" s="88" customFormat="1" x14ac:dyDescent="0.2"/>
    <row r="90" spans="1:18" s="88" customFormat="1" x14ac:dyDescent="0.2"/>
    <row r="91" spans="1:18" s="88" customFormat="1" x14ac:dyDescent="0.2"/>
    <row r="92" spans="1:18" s="88" customFormat="1" x14ac:dyDescent="0.2"/>
    <row r="93" spans="1:18" s="88" customFormat="1" x14ac:dyDescent="0.2"/>
    <row r="94" spans="1:18" s="88" customFormat="1" x14ac:dyDescent="0.2"/>
    <row r="95" spans="1:18" s="349" customFormat="1" x14ac:dyDescent="0.2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</row>
    <row r="96" spans="1:18" x14ac:dyDescent="0.2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</row>
    <row r="97" spans="1:15" x14ac:dyDescent="0.2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</row>
    <row r="98" spans="1:15" x14ac:dyDescent="0.2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</row>
    <row r="99" spans="1:15" x14ac:dyDescent="0.2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</row>
    <row r="100" spans="1:15" x14ac:dyDescent="0.2">
      <c r="A100" s="214" t="s">
        <v>411</v>
      </c>
      <c r="B100" s="99"/>
      <c r="C100" s="96"/>
      <c r="D100" s="96"/>
      <c r="E100" s="96"/>
      <c r="F100" s="97"/>
      <c r="G100" s="98"/>
      <c r="H100" s="88"/>
      <c r="I100" s="88"/>
      <c r="J100" s="88"/>
      <c r="K100" s="88"/>
      <c r="L100" s="88"/>
      <c r="M100" s="88"/>
      <c r="N100" s="88"/>
      <c r="O100" s="88"/>
    </row>
    <row r="101" spans="1:15" x14ac:dyDescent="0.2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</row>
    <row r="102" spans="1:15" x14ac:dyDescent="0.2">
      <c r="A102" s="106"/>
      <c r="B102" s="404" t="str">
        <f>IFERROR(INDEX(B$1:B$100,MATCH(A102,I$1:I$100,0)),"")</f>
        <v/>
      </c>
      <c r="C102" s="120" t="str">
        <f>IF(B102="-",0,IF(B104="-",13,""))</f>
        <v/>
      </c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</row>
    <row r="103" spans="1:15" x14ac:dyDescent="0.2">
      <c r="A103" s="107"/>
      <c r="B103" s="405"/>
      <c r="C103" s="524" t="str">
        <f>IF(COUNT(C102,C104)=2,IF(C102&gt;C104,B102,B104),"")</f>
        <v/>
      </c>
      <c r="D103" s="88"/>
      <c r="E103" s="120" t="str">
        <f>IF(C103="-",0,IF(C107="-",13,""))</f>
        <v/>
      </c>
      <c r="F103" s="88"/>
      <c r="G103" s="88"/>
      <c r="H103" s="88"/>
      <c r="I103" s="88"/>
      <c r="J103" s="88"/>
      <c r="K103" s="88"/>
      <c r="L103" s="88"/>
      <c r="M103" s="88"/>
      <c r="N103" s="88"/>
      <c r="O103" s="88"/>
    </row>
    <row r="104" spans="1:15" x14ac:dyDescent="0.2">
      <c r="A104" s="107"/>
      <c r="B104" s="525" t="str">
        <f>IFERROR(INDEX(B$1:B$100,MATCH(A104,I$1:I$100,0)),"")</f>
        <v/>
      </c>
      <c r="C104" s="110" t="str">
        <f>IF(B104="-",0,IF(B102="-",13,""))</f>
        <v/>
      </c>
      <c r="D104" s="671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</row>
    <row r="105" spans="1:15" x14ac:dyDescent="0.2">
      <c r="A105" s="107"/>
      <c r="B105" s="407"/>
      <c r="C105" s="88"/>
      <c r="D105" s="112"/>
      <c r="E105" s="524" t="str">
        <f>IF(COUNT(E103,E107)=2,IF(E103&gt;E107,C103,C107),"")</f>
        <v/>
      </c>
      <c r="F105" s="88"/>
      <c r="G105" s="120" t="str">
        <f>IF(E105="-",0,IF(E113="-",13,""))</f>
        <v/>
      </c>
      <c r="H105" s="88"/>
      <c r="I105" s="88"/>
      <c r="J105" s="88"/>
      <c r="K105" s="88"/>
      <c r="L105" s="88"/>
      <c r="M105" s="88"/>
      <c r="N105" s="88"/>
      <c r="O105" s="88"/>
    </row>
    <row r="106" spans="1:15" x14ac:dyDescent="0.2">
      <c r="A106" s="107"/>
      <c r="B106" s="404" t="str">
        <f>IFERROR(INDEX(B$1:B$100,MATCH(A106,I$1:I$100,0)),"")</f>
        <v/>
      </c>
      <c r="C106" s="120" t="str">
        <f>IF(B106="-",0,IF(B108="-",13,""))</f>
        <v/>
      </c>
      <c r="D106" s="112"/>
      <c r="E106" s="664"/>
      <c r="F106" s="671"/>
      <c r="G106" s="88"/>
      <c r="H106" s="88"/>
      <c r="I106" s="88"/>
      <c r="J106" s="88"/>
      <c r="K106" s="88"/>
      <c r="L106" s="88"/>
      <c r="M106" s="88"/>
      <c r="N106" s="88"/>
      <c r="O106" s="88"/>
    </row>
    <row r="107" spans="1:15" x14ac:dyDescent="0.2">
      <c r="A107" s="107"/>
      <c r="B107" s="672"/>
      <c r="C107" s="524" t="str">
        <f>IF(COUNT(C106,C108)=2,IF(C106&gt;C108,B106,B108),"")</f>
        <v/>
      </c>
      <c r="D107" s="234"/>
      <c r="E107" s="110" t="str">
        <f>IF(C107="-",0,IF(C103="-",13,""))</f>
        <v/>
      </c>
      <c r="F107" s="112"/>
      <c r="G107" s="88"/>
      <c r="H107" s="88"/>
      <c r="I107" s="88"/>
      <c r="J107" s="88"/>
      <c r="K107" s="88"/>
      <c r="L107" s="88"/>
      <c r="M107" s="88"/>
      <c r="N107" s="88"/>
      <c r="O107" s="88"/>
    </row>
    <row r="108" spans="1:15" x14ac:dyDescent="0.2">
      <c r="A108" s="107"/>
      <c r="B108" s="525" t="str">
        <f>IFERROR(INDEX(B$1:B$100,MATCH(A108,I$1:I$100,0)),"")</f>
        <v/>
      </c>
      <c r="C108" s="110" t="str">
        <f>IF(B108="-",0,IF(B106="-",13,""))</f>
        <v/>
      </c>
      <c r="D108" s="88"/>
      <c r="E108" s="99"/>
      <c r="F108" s="112"/>
      <c r="G108" s="88"/>
      <c r="H108" s="88"/>
      <c r="I108" s="88"/>
      <c r="J108" s="88"/>
      <c r="K108" s="88"/>
      <c r="L108" s="88"/>
      <c r="M108" s="88"/>
      <c r="N108" s="88"/>
      <c r="O108" s="88"/>
    </row>
    <row r="109" spans="1:15" ht="13.5" thickBot="1" x14ac:dyDescent="0.25">
      <c r="A109" s="87"/>
      <c r="B109" s="407"/>
      <c r="C109" s="88"/>
      <c r="D109" s="88"/>
      <c r="E109" s="99"/>
      <c r="F109" s="112"/>
      <c r="G109" s="88"/>
      <c r="H109" s="184" t="str">
        <f>IF(COUNT(G105,G113)=2,IF(G105&gt;G113,E105,E113),"")</f>
        <v/>
      </c>
      <c r="I109" s="88"/>
      <c r="J109" s="88"/>
      <c r="K109" s="88"/>
      <c r="L109" s="88"/>
      <c r="M109" s="88"/>
      <c r="N109" s="88"/>
      <c r="O109" s="88"/>
    </row>
    <row r="110" spans="1:15" x14ac:dyDescent="0.2">
      <c r="A110" s="106"/>
      <c r="B110" s="404" t="str">
        <f>IFERROR(INDEX(B$1:B$100,MATCH(A110,I$1:I$100,0)),"")</f>
        <v/>
      </c>
      <c r="C110" s="120" t="str">
        <f>IF(B110="-",0,IF(B112="-",13,""))</f>
        <v/>
      </c>
      <c r="D110" s="88"/>
      <c r="E110" s="88"/>
      <c r="F110" s="112"/>
      <c r="G110" s="673"/>
      <c r="H110" s="379" t="s">
        <v>275</v>
      </c>
      <c r="I110" s="378"/>
      <c r="J110" s="88"/>
      <c r="K110" s="88"/>
      <c r="L110" s="88"/>
      <c r="M110" s="88"/>
      <c r="N110" s="88"/>
      <c r="O110" s="88"/>
    </row>
    <row r="111" spans="1:15" x14ac:dyDescent="0.2">
      <c r="A111" s="107"/>
      <c r="B111" s="672"/>
      <c r="C111" s="524" t="str">
        <f>IF(COUNT(C110,C112)=2,IF(C110&gt;C112,B110,B112),"")</f>
        <v/>
      </c>
      <c r="D111" s="88"/>
      <c r="E111" s="120" t="str">
        <f>IF(C111="-",0,IF(C115="-",13,""))</f>
        <v/>
      </c>
      <c r="F111" s="112"/>
      <c r="G111" s="99"/>
      <c r="H111" s="88"/>
      <c r="I111" s="88"/>
      <c r="J111" s="88"/>
      <c r="K111" s="88"/>
      <c r="L111" s="88"/>
      <c r="M111" s="88"/>
      <c r="N111" s="88"/>
      <c r="O111" s="88"/>
    </row>
    <row r="112" spans="1:15" x14ac:dyDescent="0.2">
      <c r="A112" s="107"/>
      <c r="B112" s="525" t="str">
        <f>IFERROR(INDEX(B$1:B$100,MATCH(A112,I$1:I$100,0)),"")</f>
        <v/>
      </c>
      <c r="C112" s="110" t="str">
        <f>IF(B112="-",0,IF(B110="-",13,""))</f>
        <v/>
      </c>
      <c r="D112" s="671"/>
      <c r="E112" s="88"/>
      <c r="F112" s="112"/>
      <c r="G112" s="99"/>
      <c r="H112" s="88"/>
      <c r="I112" s="88"/>
      <c r="J112" s="88"/>
      <c r="K112" s="88"/>
      <c r="L112" s="88"/>
      <c r="M112" s="88"/>
      <c r="N112" s="88"/>
      <c r="O112" s="88"/>
    </row>
    <row r="113" spans="1:15" x14ac:dyDescent="0.2">
      <c r="A113" s="107"/>
      <c r="B113" s="407"/>
      <c r="C113" s="88"/>
      <c r="D113" s="112"/>
      <c r="E113" s="524" t="str">
        <f>IF(COUNT(E111,E115)=2,IF(E111&gt;E115,C111,C115),"")</f>
        <v/>
      </c>
      <c r="F113" s="234"/>
      <c r="G113" s="110" t="str">
        <f>IF(E113="-",0,IF(E105="-",13,""))</f>
        <v/>
      </c>
      <c r="H113" s="88"/>
      <c r="I113" s="88"/>
      <c r="J113" s="88"/>
      <c r="K113" s="88"/>
      <c r="L113" s="88"/>
      <c r="M113" s="88"/>
      <c r="N113" s="88"/>
      <c r="O113" s="88"/>
    </row>
    <row r="114" spans="1:15" ht="13.5" thickBot="1" x14ac:dyDescent="0.25">
      <c r="A114" s="107"/>
      <c r="B114" s="404" t="str">
        <f>IFERROR(INDEX(B$1:B$100,MATCH(A114,I$1:I$100,0)),"")</f>
        <v/>
      </c>
      <c r="C114" s="120" t="str">
        <f>IF(B114="-",0,IF(B116="-",13,""))</f>
        <v/>
      </c>
      <c r="D114" s="112"/>
      <c r="E114" s="664"/>
      <c r="F114" s="99"/>
      <c r="G114" s="99"/>
      <c r="H114" s="184" t="str">
        <f>IF(COUNT(G105,G113)=2,IF(G105&lt;G113,E105,E113),"")</f>
        <v/>
      </c>
      <c r="I114" s="119"/>
      <c r="J114" s="88"/>
      <c r="K114" s="88"/>
      <c r="L114" s="88"/>
      <c r="M114" s="88"/>
      <c r="N114" s="88"/>
      <c r="O114" s="88"/>
    </row>
    <row r="115" spans="1:15" x14ac:dyDescent="0.2">
      <c r="A115" s="107"/>
      <c r="B115" s="672"/>
      <c r="C115" s="524" t="str">
        <f>IF(COUNT(C114,C116)=2,IF(C114&gt;C116,B114,B116),"")</f>
        <v/>
      </c>
      <c r="D115" s="234"/>
      <c r="E115" s="110" t="str">
        <f>IF(C115="-",0,IF(C111="-",13,""))</f>
        <v/>
      </c>
      <c r="F115" s="88"/>
      <c r="G115" s="99"/>
      <c r="H115" s="379" t="s">
        <v>276</v>
      </c>
      <c r="I115" s="99"/>
      <c r="J115" s="88"/>
      <c r="K115" s="88"/>
      <c r="L115" s="88"/>
      <c r="M115" s="88"/>
      <c r="N115" s="88"/>
      <c r="O115" s="88"/>
    </row>
    <row r="116" spans="1:15" x14ac:dyDescent="0.2">
      <c r="A116" s="107"/>
      <c r="B116" s="525" t="str">
        <f>IFERROR(INDEX(B$1:B$100,MATCH(A116,I$1:I$100,0)),"")</f>
        <v/>
      </c>
      <c r="C116" s="110" t="str">
        <f>IF(B116="-",0,IF(B114="-",13,""))</f>
        <v/>
      </c>
      <c r="D116" s="88"/>
      <c r="E116" s="99"/>
      <c r="F116" s="99"/>
      <c r="G116" s="99"/>
      <c r="H116" s="88"/>
      <c r="I116" s="88"/>
      <c r="J116" s="88"/>
      <c r="K116" s="88"/>
      <c r="L116" s="88"/>
      <c r="M116" s="88"/>
      <c r="N116" s="88"/>
      <c r="O116" s="88"/>
    </row>
    <row r="117" spans="1:15" x14ac:dyDescent="0.2">
      <c r="A117" s="87"/>
      <c r="B117" s="407"/>
      <c r="C117" s="88"/>
      <c r="D117" s="88"/>
      <c r="E117" s="217" t="str">
        <f>IF(COUNT(E103,E107)=2,IF(E103&lt;E107,C103,C107),"")</f>
        <v/>
      </c>
      <c r="F117" s="88"/>
      <c r="G117" s="120" t="str">
        <f>IF(E117="-",0,IF(E119="-",13,""))</f>
        <v/>
      </c>
      <c r="H117" s="88"/>
      <c r="I117" s="88"/>
      <c r="J117" s="88"/>
      <c r="K117" s="88"/>
      <c r="L117" s="88"/>
      <c r="M117" s="88"/>
      <c r="N117" s="88"/>
      <c r="O117" s="88"/>
    </row>
    <row r="118" spans="1:15" ht="13.5" thickBot="1" x14ac:dyDescent="0.25">
      <c r="A118" s="88"/>
      <c r="B118" s="88"/>
      <c r="C118" s="88"/>
      <c r="D118" s="88"/>
      <c r="E118" s="674"/>
      <c r="F118" s="671"/>
      <c r="G118" s="119"/>
      <c r="H118" s="184" t="str">
        <f>IF(COUNT(G117,G119)=2,IF(G117&gt;G119,E117,E119),"")</f>
        <v/>
      </c>
      <c r="I118" s="119"/>
      <c r="J118" s="88"/>
      <c r="K118" s="88"/>
      <c r="L118" s="88"/>
      <c r="M118" s="88"/>
      <c r="N118" s="88"/>
      <c r="O118" s="88"/>
    </row>
    <row r="119" spans="1:15" x14ac:dyDescent="0.2">
      <c r="A119" s="88"/>
      <c r="B119" s="88"/>
      <c r="C119" s="88"/>
      <c r="D119" s="88"/>
      <c r="E119" s="528" t="str">
        <f>IF(COUNT(E111,E115)=2,IF(E111&lt;E115,C111,C115),"")</f>
        <v/>
      </c>
      <c r="F119" s="234"/>
      <c r="G119" s="110" t="str">
        <f>IF(E119="-",0,IF(E117="-",13,""))</f>
        <v/>
      </c>
      <c r="H119" s="121" t="s">
        <v>277</v>
      </c>
      <c r="I119" s="99"/>
      <c r="J119" s="88"/>
      <c r="K119" s="88"/>
      <c r="L119" s="88"/>
      <c r="M119" s="88"/>
      <c r="N119" s="88"/>
      <c r="O119" s="88"/>
    </row>
    <row r="120" spans="1:15" x14ac:dyDescent="0.2">
      <c r="A120" s="88"/>
      <c r="B120" s="88"/>
      <c r="C120" s="88"/>
      <c r="D120" s="88"/>
      <c r="E120" s="88"/>
      <c r="F120" s="88"/>
      <c r="G120" s="88"/>
      <c r="H120" s="99"/>
      <c r="I120" s="99"/>
      <c r="J120" s="88"/>
      <c r="K120" s="88"/>
      <c r="L120" s="88"/>
      <c r="M120" s="88"/>
      <c r="N120" s="88"/>
      <c r="O120" s="88"/>
    </row>
    <row r="121" spans="1:15" ht="13.5" thickBot="1" x14ac:dyDescent="0.25">
      <c r="A121" s="88"/>
      <c r="B121" s="88"/>
      <c r="C121" s="88"/>
      <c r="D121" s="88"/>
      <c r="E121" s="99"/>
      <c r="F121" s="99"/>
      <c r="G121" s="88"/>
      <c r="H121" s="184" t="str">
        <f>IF(COUNT(G117,G119)=2,IF(G117&lt;G119,E117,E119),"")</f>
        <v/>
      </c>
      <c r="I121" s="119"/>
      <c r="J121" s="88"/>
      <c r="K121" s="88"/>
      <c r="L121" s="88"/>
      <c r="M121" s="88"/>
      <c r="N121" s="88"/>
      <c r="O121" s="88"/>
    </row>
    <row r="122" spans="1:15" x14ac:dyDescent="0.2">
      <c r="A122" s="88"/>
      <c r="B122" s="88"/>
      <c r="C122" s="88"/>
      <c r="D122" s="88"/>
      <c r="E122" s="88"/>
      <c r="F122" s="88"/>
      <c r="G122" s="88"/>
      <c r="H122" s="87" t="s">
        <v>50</v>
      </c>
      <c r="I122" s="88"/>
      <c r="J122" s="88"/>
      <c r="K122" s="88"/>
      <c r="L122" s="88"/>
      <c r="M122" s="88"/>
      <c r="N122" s="88"/>
      <c r="O122" s="88"/>
    </row>
    <row r="123" spans="1:15" x14ac:dyDescent="0.2">
      <c r="A123" s="88"/>
      <c r="B123" s="88"/>
      <c r="C123" s="528" t="str">
        <f>IF(COUNT(C102,C104)=2,IF(C102&lt;C104,B102,B104),"")</f>
        <v/>
      </c>
      <c r="D123" s="88"/>
      <c r="E123" s="120" t="str">
        <f>IF(C123="-",0,IF(C125="-",13,""))</f>
        <v/>
      </c>
      <c r="F123" s="120"/>
      <c r="G123" s="120"/>
      <c r="H123" s="88"/>
      <c r="I123" s="88"/>
      <c r="J123" s="88"/>
      <c r="K123" s="88"/>
      <c r="L123" s="88"/>
      <c r="M123" s="88"/>
      <c r="N123" s="88"/>
      <c r="O123" s="88"/>
    </row>
    <row r="124" spans="1:15" x14ac:dyDescent="0.2">
      <c r="A124" s="88"/>
      <c r="B124" s="88"/>
      <c r="C124" s="675"/>
      <c r="D124" s="676"/>
      <c r="E124" s="524" t="str">
        <f>IF(COUNT(E123,E125)=2,IF(E123&gt;E125,C123,C125),"")</f>
        <v/>
      </c>
      <c r="F124" s="88"/>
      <c r="G124" s="120" t="str">
        <f>IF(E124="-",0,IF(E128="-",13,""))</f>
        <v/>
      </c>
      <c r="H124" s="88"/>
      <c r="I124" s="88"/>
      <c r="J124" s="88"/>
      <c r="K124" s="88"/>
      <c r="L124" s="88"/>
      <c r="M124" s="88"/>
      <c r="N124" s="88"/>
      <c r="O124" s="88"/>
    </row>
    <row r="125" spans="1:15" x14ac:dyDescent="0.2">
      <c r="A125" s="88"/>
      <c r="B125" s="88"/>
      <c r="C125" s="528" t="str">
        <f>IF(COUNT(C106,C108)=2,IF(C106&lt;C108,B106,B108),"")</f>
        <v/>
      </c>
      <c r="D125" s="529"/>
      <c r="E125" s="110" t="str">
        <f>IF(C125="-",0,IF(C123="-",13,""))</f>
        <v/>
      </c>
      <c r="F125" s="676"/>
      <c r="G125" s="120"/>
      <c r="H125" s="88"/>
      <c r="I125" s="88"/>
      <c r="J125" s="88"/>
      <c r="K125" s="88"/>
      <c r="L125" s="88"/>
      <c r="M125" s="88"/>
      <c r="N125" s="88"/>
      <c r="O125" s="88"/>
    </row>
    <row r="126" spans="1:15" ht="13.5" thickBot="1" x14ac:dyDescent="0.25">
      <c r="A126" s="88"/>
      <c r="B126" s="88"/>
      <c r="C126" s="120"/>
      <c r="D126" s="120"/>
      <c r="E126" s="113"/>
      <c r="F126" s="221"/>
      <c r="G126" s="120"/>
      <c r="H126" s="184" t="str">
        <f>IF(COUNT(G124,G128)=2,IF(G124&gt;G128,E124,E128),"")</f>
        <v/>
      </c>
      <c r="I126" s="88"/>
      <c r="J126" s="88"/>
      <c r="K126" s="88"/>
      <c r="L126" s="88"/>
      <c r="M126" s="88"/>
      <c r="N126" s="88"/>
      <c r="O126" s="88"/>
    </row>
    <row r="127" spans="1:15" x14ac:dyDescent="0.2">
      <c r="A127" s="88"/>
      <c r="B127" s="88"/>
      <c r="C127" s="528" t="str">
        <f>IF(COUNT(C110,C112)=2,IF(C110&lt;C112,B110,B112),"")</f>
        <v/>
      </c>
      <c r="D127" s="120"/>
      <c r="E127" s="120" t="str">
        <f>IF(C127="-",0,IF(C129="-",13,""))</f>
        <v/>
      </c>
      <c r="F127" s="221"/>
      <c r="G127" s="549"/>
      <c r="H127" s="379" t="s">
        <v>51</v>
      </c>
      <c r="I127" s="378"/>
      <c r="J127" s="88"/>
      <c r="K127" s="88"/>
      <c r="L127" s="88"/>
      <c r="M127" s="88"/>
      <c r="N127" s="88"/>
      <c r="O127" s="88"/>
    </row>
    <row r="128" spans="1:15" x14ac:dyDescent="0.2">
      <c r="A128" s="88"/>
      <c r="B128" s="88"/>
      <c r="C128" s="675"/>
      <c r="D128" s="676"/>
      <c r="E128" s="524" t="str">
        <f>IF(COUNT(E127,E129)=2,IF(E127&gt;E129,C127,C129),"")</f>
        <v/>
      </c>
      <c r="F128" s="234"/>
      <c r="G128" s="110" t="str">
        <f>IF(E128="-",0,IF(E124="-",13,""))</f>
        <v/>
      </c>
      <c r="H128" s="88"/>
      <c r="I128" s="88"/>
      <c r="J128" s="88"/>
      <c r="K128" s="88"/>
      <c r="L128" s="88"/>
      <c r="M128" s="88"/>
      <c r="N128" s="88"/>
      <c r="O128" s="88"/>
    </row>
    <row r="129" spans="1:15" ht="13.5" thickBot="1" x14ac:dyDescent="0.25">
      <c r="A129" s="88"/>
      <c r="B129" s="88"/>
      <c r="C129" s="528" t="str">
        <f>IF(COUNT(C114,C116)=2,IF(C114&lt;C116,B114,B116),"")</f>
        <v/>
      </c>
      <c r="D129" s="529"/>
      <c r="E129" s="110" t="str">
        <f>IF(C129="-",0,IF(C127="-",13,""))</f>
        <v/>
      </c>
      <c r="F129" s="120"/>
      <c r="G129" s="113"/>
      <c r="H129" s="184" t="str">
        <f>IF(COUNT(G124,G128)=2,IF(G124&lt;G128,E124,E128),"")</f>
        <v/>
      </c>
      <c r="I129" s="119"/>
      <c r="J129" s="88"/>
      <c r="K129" s="88"/>
      <c r="L129" s="88"/>
      <c r="M129" s="88"/>
      <c r="N129" s="88"/>
      <c r="O129" s="88"/>
    </row>
    <row r="130" spans="1:15" x14ac:dyDescent="0.2">
      <c r="A130" s="88"/>
      <c r="B130" s="88"/>
      <c r="C130" s="120"/>
      <c r="D130" s="120"/>
      <c r="E130" s="120"/>
      <c r="F130" s="120"/>
      <c r="G130" s="113"/>
      <c r="H130" s="379" t="s">
        <v>52</v>
      </c>
      <c r="I130" s="99"/>
      <c r="J130" s="88"/>
      <c r="K130" s="88"/>
      <c r="L130" s="88"/>
      <c r="M130" s="88"/>
      <c r="N130" s="88"/>
      <c r="O130" s="88"/>
    </row>
    <row r="131" spans="1:15" x14ac:dyDescent="0.2">
      <c r="A131" s="88"/>
      <c r="B131" s="88"/>
      <c r="C131" s="120"/>
      <c r="D131" s="113"/>
      <c r="E131" s="217" t="str">
        <f>IF(COUNT(E123,E125)=2,IF(E123&lt;E125,C123,C125),"")</f>
        <v/>
      </c>
      <c r="F131" s="88"/>
      <c r="G131" s="120" t="str">
        <f>IF(E131="-",0,IF(E133="-",13,""))</f>
        <v/>
      </c>
      <c r="H131" s="99"/>
      <c r="I131" s="99"/>
    </row>
    <row r="132" spans="1:15" ht="13.5" thickBot="1" x14ac:dyDescent="0.25">
      <c r="A132" s="88"/>
      <c r="B132" s="88"/>
      <c r="C132" s="120"/>
      <c r="D132" s="113"/>
      <c r="E132" s="674"/>
      <c r="F132" s="671"/>
      <c r="G132" s="119"/>
      <c r="H132" s="184" t="str">
        <f>IF(COUNT(G131,G133)=2,IF(G131&gt;G133,E131,E133),"")</f>
        <v/>
      </c>
      <c r="I132" s="119"/>
    </row>
    <row r="133" spans="1:15" x14ac:dyDescent="0.2">
      <c r="A133" s="88"/>
      <c r="B133" s="88"/>
      <c r="C133" s="120"/>
      <c r="D133" s="113"/>
      <c r="E133" s="528" t="str">
        <f>IF(COUNT(E127,E129)=2,IF(E127&lt;E129,C127,C129),"")</f>
        <v/>
      </c>
      <c r="F133" s="234"/>
      <c r="G133" s="110" t="str">
        <f>IF(E133="-",0,IF(E131="-",13,""))</f>
        <v/>
      </c>
      <c r="H133" s="121" t="s">
        <v>53</v>
      </c>
      <c r="I133" s="99"/>
    </row>
    <row r="134" spans="1:15" x14ac:dyDescent="0.2">
      <c r="A134" s="88"/>
      <c r="B134" s="88"/>
      <c r="C134" s="88"/>
      <c r="D134" s="99"/>
      <c r="E134" s="88"/>
      <c r="F134" s="88"/>
      <c r="G134" s="88"/>
      <c r="H134" s="99"/>
      <c r="I134" s="99"/>
    </row>
    <row r="135" spans="1:15" ht="13.5" thickBot="1" x14ac:dyDescent="0.25">
      <c r="A135" s="88"/>
      <c r="B135" s="88"/>
      <c r="C135" s="88"/>
      <c r="D135" s="88"/>
      <c r="E135" s="99"/>
      <c r="F135" s="99"/>
      <c r="G135" s="88"/>
      <c r="H135" s="119" t="str">
        <f>IF(COUNT(G131,G133)=2,IF(G131&lt;G133,E131,E133),"")</f>
        <v/>
      </c>
      <c r="I135" s="119"/>
    </row>
    <row r="136" spans="1:15" x14ac:dyDescent="0.2">
      <c r="A136" s="95"/>
      <c r="B136" s="410"/>
      <c r="C136" s="97"/>
      <c r="D136" s="97"/>
      <c r="E136" s="97"/>
      <c r="F136" s="97"/>
      <c r="G136" s="402"/>
      <c r="H136" s="227" t="s">
        <v>54</v>
      </c>
      <c r="I136" s="188"/>
    </row>
    <row r="299" spans="1:3" x14ac:dyDescent="0.2">
      <c r="C299" s="264" t="s">
        <v>263</v>
      </c>
    </row>
    <row r="300" spans="1:3" x14ac:dyDescent="0.2">
      <c r="A300" s="424">
        <v>1</v>
      </c>
      <c r="B300" s="124" t="str">
        <f>IFERROR(INDEX(H$100:H$300,MATCH(A300&amp;". koht",H$101:H$301,0)),"")</f>
        <v/>
      </c>
      <c r="C300" s="88">
        <f>MAX(A300:A400)</f>
        <v>20</v>
      </c>
    </row>
    <row r="301" spans="1:3" x14ac:dyDescent="0.2">
      <c r="A301" s="424">
        <v>2</v>
      </c>
      <c r="B301" s="615" t="str">
        <f t="shared" ref="B301:B319" si="24">IFERROR(INDEX(H$100:H$300,MATCH(A301&amp;". koht",H$101:H$301,0)),"")</f>
        <v/>
      </c>
      <c r="C301" s="88">
        <f t="shared" ref="C301:C319" si="25">C300-1</f>
        <v>19</v>
      </c>
    </row>
    <row r="302" spans="1:3" x14ac:dyDescent="0.2">
      <c r="A302" s="424">
        <v>3</v>
      </c>
      <c r="B302" s="616" t="str">
        <f t="shared" si="24"/>
        <v/>
      </c>
      <c r="C302" s="88">
        <f t="shared" si="25"/>
        <v>18</v>
      </c>
    </row>
    <row r="303" spans="1:3" x14ac:dyDescent="0.2">
      <c r="A303" s="424">
        <v>4</v>
      </c>
      <c r="B303" s="665" t="str">
        <f t="shared" si="24"/>
        <v/>
      </c>
      <c r="C303" s="88">
        <f t="shared" si="25"/>
        <v>17</v>
      </c>
    </row>
    <row r="304" spans="1:3" x14ac:dyDescent="0.2">
      <c r="A304" s="424">
        <v>5</v>
      </c>
      <c r="B304" s="665" t="str">
        <f t="shared" si="24"/>
        <v/>
      </c>
      <c r="C304" s="88">
        <f t="shared" si="25"/>
        <v>16</v>
      </c>
    </row>
    <row r="305" spans="1:16" x14ac:dyDescent="0.2">
      <c r="A305" s="424">
        <v>6</v>
      </c>
      <c r="B305" s="665" t="str">
        <f t="shared" si="24"/>
        <v/>
      </c>
      <c r="C305" s="88">
        <f t="shared" si="25"/>
        <v>15</v>
      </c>
    </row>
    <row r="306" spans="1:16" x14ac:dyDescent="0.2">
      <c r="A306" s="424">
        <v>7</v>
      </c>
      <c r="B306" s="665" t="str">
        <f t="shared" si="24"/>
        <v/>
      </c>
      <c r="C306" s="88">
        <f t="shared" si="25"/>
        <v>14</v>
      </c>
    </row>
    <row r="307" spans="1:16" x14ac:dyDescent="0.2">
      <c r="A307" s="424">
        <v>8</v>
      </c>
      <c r="B307" s="665" t="str">
        <f t="shared" si="24"/>
        <v/>
      </c>
      <c r="C307" s="88">
        <f t="shared" si="25"/>
        <v>13</v>
      </c>
      <c r="E307" s="188"/>
      <c r="F307" s="188"/>
    </row>
    <row r="308" spans="1:16" x14ac:dyDescent="0.2">
      <c r="A308" s="424">
        <v>9</v>
      </c>
      <c r="B308" s="665" t="str">
        <f t="shared" si="24"/>
        <v/>
      </c>
      <c r="C308" s="88">
        <f t="shared" si="25"/>
        <v>12</v>
      </c>
      <c r="E308" s="188"/>
      <c r="F308" s="188"/>
    </row>
    <row r="309" spans="1:16" x14ac:dyDescent="0.2">
      <c r="A309" s="424">
        <v>10</v>
      </c>
      <c r="B309" s="665" t="str">
        <f t="shared" si="24"/>
        <v/>
      </c>
      <c r="C309" s="88">
        <f t="shared" si="25"/>
        <v>11</v>
      </c>
      <c r="E309" s="188"/>
      <c r="F309" s="215"/>
    </row>
    <row r="310" spans="1:16" x14ac:dyDescent="0.2">
      <c r="A310" s="424">
        <v>11</v>
      </c>
      <c r="B310" s="665" t="str">
        <f t="shared" si="24"/>
        <v/>
      </c>
      <c r="C310" s="88">
        <f t="shared" si="25"/>
        <v>10</v>
      </c>
      <c r="E310" s="188"/>
      <c r="F310" s="212"/>
    </row>
    <row r="311" spans="1:16" x14ac:dyDescent="0.2">
      <c r="A311" s="424">
        <v>12</v>
      </c>
      <c r="B311" s="665" t="str">
        <f t="shared" si="24"/>
        <v/>
      </c>
      <c r="C311" s="88">
        <f t="shared" si="25"/>
        <v>9</v>
      </c>
      <c r="E311" s="188"/>
      <c r="F311" s="188"/>
    </row>
    <row r="312" spans="1:16" x14ac:dyDescent="0.2">
      <c r="A312" s="424">
        <v>13</v>
      </c>
      <c r="B312" s="665" t="str">
        <f t="shared" si="24"/>
        <v/>
      </c>
      <c r="C312" s="88">
        <f t="shared" si="25"/>
        <v>8</v>
      </c>
      <c r="E312" s="188"/>
      <c r="F312" s="212"/>
    </row>
    <row r="313" spans="1:16" x14ac:dyDescent="0.2">
      <c r="A313" s="424">
        <v>14</v>
      </c>
      <c r="B313" s="665" t="str">
        <f t="shared" si="24"/>
        <v/>
      </c>
      <c r="C313" s="88">
        <f t="shared" si="25"/>
        <v>7</v>
      </c>
      <c r="E313" s="188"/>
      <c r="F313" s="188"/>
      <c r="G313" s="188"/>
      <c r="H313" s="188"/>
      <c r="I313" s="188"/>
      <c r="K313" s="188"/>
      <c r="M313" s="188"/>
      <c r="N313" s="188"/>
      <c r="O313" s="188"/>
      <c r="P313" s="188"/>
    </row>
    <row r="314" spans="1:16" x14ac:dyDescent="0.2">
      <c r="A314" s="424">
        <v>15</v>
      </c>
      <c r="B314" s="665" t="str">
        <f t="shared" si="24"/>
        <v/>
      </c>
      <c r="C314" s="88">
        <f t="shared" si="25"/>
        <v>6</v>
      </c>
      <c r="E314" s="188"/>
      <c r="F314" s="188"/>
      <c r="G314" s="188"/>
      <c r="H314" s="188"/>
      <c r="I314" s="188"/>
      <c r="K314" s="188"/>
      <c r="M314" s="188"/>
      <c r="N314" s="188"/>
      <c r="O314" s="188"/>
      <c r="P314" s="188"/>
    </row>
    <row r="315" spans="1:16" x14ac:dyDescent="0.2">
      <c r="A315" s="424">
        <v>16</v>
      </c>
      <c r="B315" s="665" t="str">
        <f t="shared" si="24"/>
        <v/>
      </c>
      <c r="C315" s="88">
        <f t="shared" si="25"/>
        <v>5</v>
      </c>
    </row>
    <row r="316" spans="1:16" x14ac:dyDescent="0.2">
      <c r="A316" s="424">
        <v>17</v>
      </c>
      <c r="B316" s="665" t="str">
        <f t="shared" si="24"/>
        <v/>
      </c>
      <c r="C316" s="88">
        <f t="shared" si="25"/>
        <v>4</v>
      </c>
    </row>
    <row r="317" spans="1:16" x14ac:dyDescent="0.2">
      <c r="A317" s="424">
        <v>18</v>
      </c>
      <c r="B317" s="665" t="str">
        <f t="shared" si="24"/>
        <v/>
      </c>
      <c r="C317" s="88">
        <f t="shared" si="25"/>
        <v>3</v>
      </c>
    </row>
    <row r="318" spans="1:16" x14ac:dyDescent="0.2">
      <c r="A318" s="424">
        <v>19</v>
      </c>
      <c r="B318" s="665" t="str">
        <f t="shared" si="24"/>
        <v/>
      </c>
      <c r="C318" s="88">
        <f t="shared" si="25"/>
        <v>2</v>
      </c>
    </row>
    <row r="319" spans="1:16" x14ac:dyDescent="0.2">
      <c r="A319" s="424">
        <v>20</v>
      </c>
      <c r="B319" s="665" t="str">
        <f t="shared" si="24"/>
        <v/>
      </c>
      <c r="C319" s="88">
        <f t="shared" si="25"/>
        <v>1</v>
      </c>
    </row>
  </sheetData>
  <conditionalFormatting sqref="S7:S11 W7:W11 Y7:Y11 Y14:Y18 W14:W18 S14:S18 S21:S25 W21:W25 Y21:Y25 Y28:Y32 W28:W32 S28:S32 S35:S39 W35:W39 Y35:Y39">
    <cfRule type="expression" dxfId="181" priority="139">
      <formula>AND(T7="",COUNTIF(S7,"*,*")=0)</formula>
    </cfRule>
  </conditionalFormatting>
  <conditionalFormatting sqref="U7:U11 U14:U18 U21:U25 U28:U32 U35:U39">
    <cfRule type="expression" dxfId="180" priority="137">
      <formula>AND(V7="",FIND(",",U7))</formula>
    </cfRule>
    <cfRule type="expression" dxfId="179" priority="138">
      <formula>AND(V7="",COUNTIF(U7,"*,*")=0)</formula>
    </cfRule>
  </conditionalFormatting>
  <conditionalFormatting sqref="D28 C29">
    <cfRule type="aboveAverage" dxfId="178" priority="136"/>
  </conditionalFormatting>
  <conditionalFormatting sqref="E28 C30">
    <cfRule type="aboveAverage" dxfId="177" priority="135"/>
  </conditionalFormatting>
  <conditionalFormatting sqref="F28 C31">
    <cfRule type="aboveAverage" dxfId="176" priority="134"/>
  </conditionalFormatting>
  <conditionalFormatting sqref="E29 D30">
    <cfRule type="aboveAverage" dxfId="175" priority="133"/>
  </conditionalFormatting>
  <conditionalFormatting sqref="G28 C32">
    <cfRule type="aboveAverage" dxfId="174" priority="132"/>
  </conditionalFormatting>
  <conditionalFormatting sqref="F29 D31">
    <cfRule type="aboveAverage" dxfId="173" priority="131"/>
  </conditionalFormatting>
  <conditionalFormatting sqref="G29 D32">
    <cfRule type="aboveAverage" dxfId="172" priority="130"/>
  </conditionalFormatting>
  <conditionalFormatting sqref="F30 E31">
    <cfRule type="aboveAverage" dxfId="171" priority="129"/>
  </conditionalFormatting>
  <conditionalFormatting sqref="G30 E32">
    <cfRule type="aboveAverage" dxfId="170" priority="128"/>
  </conditionalFormatting>
  <conditionalFormatting sqref="F32 G31">
    <cfRule type="aboveAverage" dxfId="169" priority="127"/>
  </conditionalFormatting>
  <conditionalFormatting sqref="D35 C36">
    <cfRule type="aboveAverage" dxfId="168" priority="126"/>
  </conditionalFormatting>
  <conditionalFormatting sqref="E35 C37">
    <cfRule type="aboveAverage" dxfId="167" priority="125"/>
  </conditionalFormatting>
  <conditionalFormatting sqref="F35 C38">
    <cfRule type="aboveAverage" dxfId="166" priority="124"/>
  </conditionalFormatting>
  <conditionalFormatting sqref="E36 D37">
    <cfRule type="aboveAverage" dxfId="165" priority="123"/>
  </conditionalFormatting>
  <conditionalFormatting sqref="G35 C39:C40 C50 C54:C55">
    <cfRule type="aboveAverage" dxfId="164" priority="122"/>
  </conditionalFormatting>
  <conditionalFormatting sqref="F36 D38">
    <cfRule type="aboveAverage" dxfId="163" priority="121"/>
  </conditionalFormatting>
  <conditionalFormatting sqref="G36 D39:D40 D50 D54:D55">
    <cfRule type="aboveAverage" dxfId="162" priority="120"/>
  </conditionalFormatting>
  <conditionalFormatting sqref="F37 E38">
    <cfRule type="aboveAverage" dxfId="161" priority="119"/>
  </conditionalFormatting>
  <conditionalFormatting sqref="G37 E39:E40 E48:E53">
    <cfRule type="aboveAverage" dxfId="160" priority="118"/>
  </conditionalFormatting>
  <conditionalFormatting sqref="F39:F40 G38 F48:F53">
    <cfRule type="aboveAverage" dxfId="159" priority="117"/>
  </conditionalFormatting>
  <conditionalFormatting sqref="I10:I11">
    <cfRule type="expression" dxfId="158" priority="115">
      <formula>FIND(2,I10,1)</formula>
    </cfRule>
    <cfRule type="expression" dxfId="157" priority="116">
      <formula>FIND(1,I10,1)</formula>
    </cfRule>
  </conditionalFormatting>
  <conditionalFormatting sqref="I35:I40 I48:I53">
    <cfRule type="expression" dxfId="156" priority="113">
      <formula>FIND(2,I35,1)</formula>
    </cfRule>
    <cfRule type="expression" dxfId="155" priority="114">
      <formula>FIND(1,I35,1)</formula>
    </cfRule>
  </conditionalFormatting>
  <conditionalFormatting sqref="B300:B319">
    <cfRule type="containsBlanks" dxfId="154" priority="111">
      <formula>LEN(TRIM(B300))=0</formula>
    </cfRule>
    <cfRule type="duplicateValues" dxfId="153" priority="112"/>
  </conditionalFormatting>
  <conditionalFormatting sqref="I7:I9">
    <cfRule type="expression" dxfId="152" priority="109">
      <formula>FIND(2,I7,1)</formula>
    </cfRule>
    <cfRule type="expression" dxfId="151" priority="110">
      <formula>FIND(1,I7,1)</formula>
    </cfRule>
  </conditionalFormatting>
  <conditionalFormatting sqref="I14:I18">
    <cfRule type="expression" dxfId="150" priority="107">
      <formula>FIND(2,I14,1)</formula>
    </cfRule>
    <cfRule type="expression" dxfId="149" priority="108">
      <formula>FIND(1,I14,1)</formula>
    </cfRule>
  </conditionalFormatting>
  <conditionalFormatting sqref="I28:I32">
    <cfRule type="expression" dxfId="148" priority="105">
      <formula>FIND(2,I28,1)</formula>
    </cfRule>
    <cfRule type="expression" dxfId="147" priority="106">
      <formula>FIND(1,I28,1)</formula>
    </cfRule>
  </conditionalFormatting>
  <conditionalFormatting sqref="G40 G48:G53">
    <cfRule type="expression" dxfId="146" priority="99">
      <formula>FIND(2,G40,1)</formula>
    </cfRule>
    <cfRule type="expression" dxfId="145" priority="100">
      <formula>FIND(1,G40,1)</formula>
    </cfRule>
  </conditionalFormatting>
  <conditionalFormatting sqref="D14 C15">
    <cfRule type="aboveAverage" dxfId="144" priority="96"/>
  </conditionalFormatting>
  <conditionalFormatting sqref="E14 C16">
    <cfRule type="aboveAverage" dxfId="143" priority="95"/>
  </conditionalFormatting>
  <conditionalFormatting sqref="F14 C17">
    <cfRule type="aboveAverage" dxfId="142" priority="94"/>
  </conditionalFormatting>
  <conditionalFormatting sqref="E15 D16">
    <cfRule type="aboveAverage" dxfId="141" priority="93"/>
  </conditionalFormatting>
  <conditionalFormatting sqref="G14 C18">
    <cfRule type="aboveAverage" dxfId="140" priority="92"/>
  </conditionalFormatting>
  <conditionalFormatting sqref="F15 D17">
    <cfRule type="aboveAverage" dxfId="139" priority="91"/>
  </conditionalFormatting>
  <conditionalFormatting sqref="G15 D18">
    <cfRule type="aboveAverage" dxfId="138" priority="90"/>
  </conditionalFormatting>
  <conditionalFormatting sqref="F16 E17">
    <cfRule type="aboveAverage" dxfId="137" priority="89"/>
  </conditionalFormatting>
  <conditionalFormatting sqref="G16 E18">
    <cfRule type="aboveAverage" dxfId="136" priority="88"/>
  </conditionalFormatting>
  <conditionalFormatting sqref="F18 G17">
    <cfRule type="aboveAverage" dxfId="135" priority="87"/>
  </conditionalFormatting>
  <conditionalFormatting sqref="D7 C8">
    <cfRule type="aboveAverage" dxfId="134" priority="86"/>
  </conditionalFormatting>
  <conditionalFormatting sqref="E7 C9">
    <cfRule type="aboveAverage" dxfId="133" priority="85"/>
  </conditionalFormatting>
  <conditionalFormatting sqref="F7 C10">
    <cfRule type="aboveAverage" dxfId="132" priority="84"/>
  </conditionalFormatting>
  <conditionalFormatting sqref="E8 D9">
    <cfRule type="aboveAverage" dxfId="131" priority="83"/>
  </conditionalFormatting>
  <conditionalFormatting sqref="G7 C11">
    <cfRule type="aboveAverage" dxfId="130" priority="82"/>
  </conditionalFormatting>
  <conditionalFormatting sqref="F8 D10">
    <cfRule type="aboveAverage" dxfId="129" priority="81"/>
  </conditionalFormatting>
  <conditionalFormatting sqref="G8 D11">
    <cfRule type="aboveAverage" dxfId="128" priority="80"/>
  </conditionalFormatting>
  <conditionalFormatting sqref="F9 E10">
    <cfRule type="aboveAverage" dxfId="127" priority="79"/>
  </conditionalFormatting>
  <conditionalFormatting sqref="G9 E11">
    <cfRule type="aboveAverage" dxfId="126" priority="78"/>
  </conditionalFormatting>
  <conditionalFormatting sqref="F11 G10">
    <cfRule type="aboveAverage" dxfId="125" priority="77"/>
  </conditionalFormatting>
  <conditionalFormatting sqref="I21:I25">
    <cfRule type="expression" dxfId="124" priority="72">
      <formula>FIND(2,I21,1)</formula>
    </cfRule>
    <cfRule type="expression" dxfId="123" priority="73">
      <formula>FIND(1,I21,1)</formula>
    </cfRule>
  </conditionalFormatting>
  <conditionalFormatting sqref="D21 C22">
    <cfRule type="aboveAverage" dxfId="122" priority="71"/>
  </conditionalFormatting>
  <conditionalFormatting sqref="E21 C23">
    <cfRule type="aboveAverage" dxfId="121" priority="70"/>
  </conditionalFormatting>
  <conditionalFormatting sqref="F21 C24">
    <cfRule type="aboveAverage" dxfId="120" priority="69"/>
  </conditionalFormatting>
  <conditionalFormatting sqref="E22 D23">
    <cfRule type="aboveAverage" dxfId="119" priority="68"/>
  </conditionalFormatting>
  <conditionalFormatting sqref="G21 C25">
    <cfRule type="aboveAverage" dxfId="118" priority="67"/>
  </conditionalFormatting>
  <conditionalFormatting sqref="F22 D24">
    <cfRule type="aboveAverage" dxfId="117" priority="66"/>
  </conditionalFormatting>
  <conditionalFormatting sqref="G22 D25">
    <cfRule type="aboveAverage" dxfId="116" priority="65"/>
  </conditionalFormatting>
  <conditionalFormatting sqref="F23 E24">
    <cfRule type="aboveAverage" dxfId="115" priority="64"/>
  </conditionalFormatting>
  <conditionalFormatting sqref="G23 E25">
    <cfRule type="aboveAverage" dxfId="114" priority="63"/>
  </conditionalFormatting>
  <conditionalFormatting sqref="F25 G24">
    <cfRule type="aboveAverage" dxfId="113" priority="62"/>
  </conditionalFormatting>
  <conditionalFormatting sqref="K14:K18">
    <cfRule type="expression" dxfId="112" priority="50">
      <formula>AND(J14=3,IF(COUNTIF(J$14:J$18,"=3")&gt;=2,TRUE))</formula>
    </cfRule>
    <cfRule type="expression" dxfId="111" priority="60">
      <formula>AND(J14=1,IF(COUNTIF(J$14:J$18,"=1")&gt;=2,TRUE))</formula>
    </cfRule>
    <cfRule type="expression" dxfId="110" priority="61">
      <formula>AND(J14=2,IF(COUNTIF(J$14:J$18,"=2")&gt;=2,TRUE))</formula>
    </cfRule>
  </conditionalFormatting>
  <conditionalFormatting sqref="K21:K25">
    <cfRule type="expression" dxfId="109" priority="49">
      <formula>AND(J21=3,IF(COUNTIF(J$21:J$25,"=3")&gt;=2,TRUE))</formula>
    </cfRule>
    <cfRule type="expression" dxfId="108" priority="58">
      <formula>AND(J21=1,IF(COUNTIF(J$21:J$25,"=1")&gt;=2,TRUE))</formula>
    </cfRule>
    <cfRule type="expression" dxfId="107" priority="59">
      <formula>AND(J21=2,IF(COUNTIF(J$21:J$25,"=2")&gt;=2,TRUE))</formula>
    </cfRule>
  </conditionalFormatting>
  <conditionalFormatting sqref="K28:K32">
    <cfRule type="expression" dxfId="106" priority="48">
      <formula>AND(J28=3,IF(COUNTIF(J$28:J$32,"=3")&gt;=2,TRUE))</formula>
    </cfRule>
    <cfRule type="expression" dxfId="105" priority="56">
      <formula>AND(J28=1,IF(COUNTIF(J$28:J$32,"=1")&gt;=2,TRUE))</formula>
    </cfRule>
    <cfRule type="expression" dxfId="104" priority="57">
      <formula>AND(J28=2,IF(COUNTIF(J$28:J$32,"=2")&gt;=2,TRUE))</formula>
    </cfRule>
  </conditionalFormatting>
  <conditionalFormatting sqref="K35:K39">
    <cfRule type="expression" dxfId="103" priority="47">
      <formula>AND(J35=3,IF(COUNTIF(J$35:J$39,"=2")&gt;=3,TRUE))</formula>
    </cfRule>
    <cfRule type="expression" dxfId="102" priority="54">
      <formula>AND(J35=1,IF(COUNTIF(J$35:J$39,"=1")&gt;=2,TRUE))</formula>
    </cfRule>
    <cfRule type="expression" dxfId="101" priority="55">
      <formula>AND(J35=2,IF(COUNTIF(J$35:J$39,"=2")&gt;=2,TRUE))</formula>
    </cfRule>
  </conditionalFormatting>
  <conditionalFormatting sqref="K7:K11">
    <cfRule type="expression" dxfId="100" priority="51">
      <formula>AND(J7=3,IF(COUNTIF(J$7:J$11,"=3")&gt;=2,TRUE))</formula>
    </cfRule>
    <cfRule type="expression" dxfId="99" priority="52">
      <formula>AND(J7=1,IF(COUNTIF(J$7:J$11,"=1")&gt;=2,TRUE))</formula>
    </cfRule>
    <cfRule type="expression" dxfId="98" priority="53">
      <formula>AND(J7=2,IF(COUNTIF(J$7:J$11,"=2")&gt;=2,TRUE))</formula>
    </cfRule>
  </conditionalFormatting>
  <conditionalFormatting sqref="L14:L18">
    <cfRule type="expression" dxfId="97" priority="41">
      <formula>OR(J14=0,J14=4)</formula>
    </cfRule>
    <cfRule type="expression" dxfId="96" priority="45">
      <formula>AND(J14=1,IF(COUNTIF(J$14:J$18,"=1")=1,TRUE))</formula>
    </cfRule>
    <cfRule type="expression" dxfId="95" priority="46">
      <formula>AND(J14=3,IF(COUNTIF(J$14:J$18,"=3")=1,TRUE))</formula>
    </cfRule>
  </conditionalFormatting>
  <conditionalFormatting sqref="L21:L25">
    <cfRule type="expression" dxfId="94" priority="42">
      <formula>OR(J21=0,J21=4)</formula>
    </cfRule>
    <cfRule type="expression" dxfId="93" priority="43">
      <formula>AND(J21=1,IF(COUNTIF(J$21:J$25,"=1")=1,TRUE))</formula>
    </cfRule>
    <cfRule type="expression" dxfId="92" priority="44">
      <formula>AND(J21=3,IF(COUNTIF(J$21:J$25,"=3")=1,TRUE))</formula>
    </cfRule>
  </conditionalFormatting>
  <conditionalFormatting sqref="L7:L11">
    <cfRule type="expression" dxfId="91" priority="38">
      <formula>OR(J7=0,J7=4)</formula>
    </cfRule>
    <cfRule type="expression" dxfId="90" priority="39">
      <formula>AND(J7=1,IF(COUNTIF(J$7:J$11,"=1")=1,TRUE))</formula>
    </cfRule>
    <cfRule type="expression" dxfId="89" priority="40">
      <formula>AND(J7=3,IF(COUNTIF(J$7:J$11,"=3")=1,TRUE))</formula>
    </cfRule>
  </conditionalFormatting>
  <conditionalFormatting sqref="L28:L32">
    <cfRule type="expression" dxfId="88" priority="35">
      <formula>OR(J28=0,J28=4)</formula>
    </cfRule>
    <cfRule type="expression" dxfId="87" priority="36">
      <formula>AND(J28=1,IF(COUNTIF(J$28:J$32,"=1")=1,TRUE))</formula>
    </cfRule>
    <cfRule type="expression" dxfId="86" priority="37">
      <formula>AND(J28=3,IF(COUNTIF(J$28:J$32,"=3")=1,TRUE))</formula>
    </cfRule>
  </conditionalFormatting>
  <conditionalFormatting sqref="L35:L39">
    <cfRule type="expression" dxfId="85" priority="32">
      <formula>OR(J35=0,J35=4)</formula>
    </cfRule>
    <cfRule type="expression" dxfId="84" priority="33">
      <formula>AND(J35=1,IF(COUNTIF(J$35:J$39,"=1")=1,TRUE))</formula>
    </cfRule>
    <cfRule type="expression" dxfId="83" priority="34">
      <formula>AND(J35=3,IF(COUNTIF(J$35:J$39,"=3")=1,TRUE))</formula>
    </cfRule>
  </conditionalFormatting>
  <conditionalFormatting sqref="H7:H11">
    <cfRule type="expression" dxfId="82" priority="17">
      <formula>AND(J7=1,IF(COUNTIF(J$7:J$11,"=1")&gt;=2,TRUE))</formula>
    </cfRule>
    <cfRule type="expression" dxfId="81" priority="30">
      <formula>AND(J7=3,IF(COUNTIF(J$7:J$11,"=3")&gt;=2,TRUE))</formula>
    </cfRule>
    <cfRule type="expression" dxfId="80" priority="31">
      <formula>AND(J7=2,IF(COUNTIF(J$7:J$11,"=2")&gt;=2,TRUE))</formula>
    </cfRule>
  </conditionalFormatting>
  <conditionalFormatting sqref="H14:H18">
    <cfRule type="expression" dxfId="79" priority="18">
      <formula>AND(J14=1,IF(COUNTIF(J$14:J$18,"=1")&gt;=2,TRUE))</formula>
    </cfRule>
    <cfRule type="expression" dxfId="78" priority="28">
      <formula>AND(J14=3,IF(COUNTIF(J$14:J$18,"=3")&gt;=2,TRUE))</formula>
    </cfRule>
    <cfRule type="expression" dxfId="77" priority="29">
      <formula>AND(J14=2,IF(COUNTIF(J$14:J$18,"=2")&gt;=2,TRUE))</formula>
    </cfRule>
  </conditionalFormatting>
  <conditionalFormatting sqref="H21:H25">
    <cfRule type="expression" dxfId="76" priority="19">
      <formula>AND(J21=1,IF(COUNTIF(J$21:J$25,"=1")&gt;=2,TRUE))</formula>
    </cfRule>
    <cfRule type="expression" dxfId="75" priority="26">
      <formula>AND(J21=3,IF(COUNTIF(J$21:J$25,"=3")&gt;=2,TRUE))</formula>
    </cfRule>
    <cfRule type="expression" dxfId="74" priority="27">
      <formula>AND(J21=2,IF(COUNTIF(J$21:J$25,"=2")&gt;=2,TRUE))</formula>
    </cfRule>
  </conditionalFormatting>
  <conditionalFormatting sqref="H28:H32">
    <cfRule type="expression" dxfId="73" priority="20">
      <formula>AND(J28=1,IF(COUNTIF(J$28:J$32,"=1")&gt;=2,TRUE))</formula>
    </cfRule>
    <cfRule type="expression" dxfId="72" priority="24">
      <formula>AND(J28=3,IF(COUNTIF(J$28:J$32,"=3")&gt;=2,TRUE))</formula>
    </cfRule>
    <cfRule type="expression" dxfId="71" priority="25">
      <formula>AND(J28=2,IF(COUNTIF(J$28:J$32,"=2")&gt;=2,TRUE))</formula>
    </cfRule>
  </conditionalFormatting>
  <conditionalFormatting sqref="H35:H39">
    <cfRule type="expression" dxfId="70" priority="21">
      <formula>AND(J35=1,IF(COUNTIF(J$35:J$39,"=1")&gt;=2,TRUE))</formula>
    </cfRule>
    <cfRule type="expression" dxfId="69" priority="22">
      <formula>AND(J35=3,IF(COUNTIF(J$35:J$39,"=3")&gt;=2,TRUE))</formula>
    </cfRule>
    <cfRule type="expression" dxfId="68" priority="23">
      <formula>AND(J35=2,IF(COUNTIF(J$35:J$39,"=2")&gt;=2,TRUE))</formula>
    </cfRule>
  </conditionalFormatting>
  <conditionalFormatting sqref="A102:A116">
    <cfRule type="cellIs" dxfId="67" priority="1" operator="equal">
      <formula>"-"</formula>
    </cfRule>
    <cfRule type="duplicateValues" dxfId="66" priority="16"/>
  </conditionalFormatting>
  <conditionalFormatting sqref="E123 E125">
    <cfRule type="aboveAverage" dxfId="65" priority="15"/>
  </conditionalFormatting>
  <conditionalFormatting sqref="E127 E129">
    <cfRule type="aboveAverage" dxfId="64" priority="14"/>
  </conditionalFormatting>
  <conditionalFormatting sqref="G124 G128">
    <cfRule type="aboveAverage" dxfId="63" priority="13"/>
  </conditionalFormatting>
  <conditionalFormatting sqref="G131 G133">
    <cfRule type="aboveAverage" dxfId="62" priority="12"/>
  </conditionalFormatting>
  <conditionalFormatting sqref="E123 E125 E127 E129 G124 G128 G131 G133">
    <cfRule type="containsBlanks" dxfId="61" priority="11">
      <formula>LEN(TRIM(E123))=0</formula>
    </cfRule>
  </conditionalFormatting>
  <conditionalFormatting sqref="C102 C104">
    <cfRule type="aboveAverage" dxfId="60" priority="10"/>
  </conditionalFormatting>
  <conditionalFormatting sqref="C106 C108">
    <cfRule type="aboveAverage" dxfId="59" priority="9"/>
  </conditionalFormatting>
  <conditionalFormatting sqref="E103 E107">
    <cfRule type="aboveAverage" dxfId="58" priority="8"/>
  </conditionalFormatting>
  <conditionalFormatting sqref="C110 C112">
    <cfRule type="aboveAverage" dxfId="57" priority="7"/>
  </conditionalFormatting>
  <conditionalFormatting sqref="C114 C116">
    <cfRule type="aboveAverage" dxfId="56" priority="6"/>
  </conditionalFormatting>
  <conditionalFormatting sqref="E111 E115">
    <cfRule type="aboveAverage" dxfId="55" priority="5"/>
  </conditionalFormatting>
  <conditionalFormatting sqref="G105 G113">
    <cfRule type="aboveAverage" dxfId="54" priority="4"/>
  </conditionalFormatting>
  <conditionalFormatting sqref="G117 G119">
    <cfRule type="aboveAverage" dxfId="53" priority="3"/>
  </conditionalFormatting>
  <conditionalFormatting sqref="C102 C104 C106 C108 C110 C112 C114 C116 E103 E107 E111 E115 G105 G113 G117 G119">
    <cfRule type="containsBlanks" dxfId="52" priority="2">
      <formula>LEN(TRIM(C102))=0</formula>
    </cfRule>
  </conditionalFormatting>
  <pageMargins left="0.78740157480314965" right="0.39370078740157483" top="0.78740157480314965" bottom="0.31496062992125984" header="0.59055118110236227" footer="0"/>
  <pageSetup paperSize="9" fitToHeight="0" orientation="landscape" verticalDpi="1200" r:id="rId1"/>
  <headerFooter>
    <oddHeader>&amp;R&amp;"Arial,Regular"&amp;9Page &amp;P of &amp;N</oddHeader>
  </headerFooter>
  <rowBreaks count="2" manualBreakCount="2">
    <brk id="57" max="16383" man="1"/>
    <brk id="98" max="16383" man="1"/>
  </rowBreaks>
  <legacy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5:U16"/>
  <sheetViews>
    <sheetView workbookViewId="0">
      <selection activeCell="C152" sqref="C152"/>
    </sheetView>
  </sheetViews>
  <sheetFormatPr defaultRowHeight="12.75" x14ac:dyDescent="0.2"/>
  <cols>
    <col min="1" max="1" width="5.28515625" customWidth="1"/>
    <col min="2" max="2" width="29" customWidth="1"/>
    <col min="3" max="7" width="7" customWidth="1"/>
    <col min="8" max="9" width="7" style="32" customWidth="1"/>
    <col min="10" max="14" width="7" customWidth="1"/>
    <col min="15" max="15" width="6.5703125" customWidth="1"/>
    <col min="16" max="16" width="6.85546875" customWidth="1"/>
    <col min="17" max="17" width="6" customWidth="1"/>
    <col min="18" max="18" width="3.5703125" bestFit="1" customWidth="1"/>
    <col min="19" max="19" width="2.7109375" bestFit="1" customWidth="1"/>
    <col min="20" max="20" width="3.5703125" bestFit="1" customWidth="1"/>
    <col min="21" max="21" width="2.85546875" bestFit="1" customWidth="1"/>
  </cols>
  <sheetData>
    <row r="5" spans="1:21" x14ac:dyDescent="0.2">
      <c r="J5" s="595" t="str">
        <f>IF(COUNTIF(J7:J13,"3-2")&gt;=4,"Kontrolli omavaheliste mängude võite!","")</f>
        <v>Kontrolli omavaheliste mängude võite!</v>
      </c>
    </row>
    <row r="6" spans="1:21" x14ac:dyDescent="0.2">
      <c r="A6" s="126" t="s">
        <v>66</v>
      </c>
      <c r="B6" s="126"/>
      <c r="C6" s="91">
        <v>1</v>
      </c>
      <c r="D6" s="91">
        <v>2</v>
      </c>
      <c r="E6" s="91">
        <v>3</v>
      </c>
      <c r="F6" s="91">
        <v>4</v>
      </c>
      <c r="G6" s="91">
        <v>5</v>
      </c>
      <c r="H6" s="91">
        <v>6</v>
      </c>
      <c r="I6" s="91">
        <v>7</v>
      </c>
      <c r="J6" s="438" t="s">
        <v>73</v>
      </c>
      <c r="K6" s="438" t="s">
        <v>21</v>
      </c>
      <c r="L6" s="586" t="s">
        <v>273</v>
      </c>
      <c r="M6" s="587" t="s">
        <v>430</v>
      </c>
      <c r="N6" s="588" t="b">
        <f>OR(AND(COUNTA(B7:B13)=3,COUNTA(C7:I13)=6),AND(COUNTA(B7:B13)=4,COUNTA(C7:I13)=12),AND(COUNTA(B7:B13)=5,COUNTA(C7:I13)=20),AND(COUNTA(B7:B13)=6,COUNTA(C7:I13)=30),AND(COUNTA(B7:B13)=7,COUNTA(C7:I13)=42))</f>
        <v>1</v>
      </c>
    </row>
    <row r="7" spans="1:21" x14ac:dyDescent="0.2">
      <c r="A7" s="126">
        <v>1</v>
      </c>
      <c r="B7" s="581" t="s">
        <v>433</v>
      </c>
      <c r="C7" s="127"/>
      <c r="D7" s="93">
        <v>13</v>
      </c>
      <c r="E7" s="93">
        <v>11</v>
      </c>
      <c r="F7" s="93">
        <v>6</v>
      </c>
      <c r="G7" s="128">
        <v>13</v>
      </c>
      <c r="H7" s="128">
        <v>12</v>
      </c>
      <c r="I7" s="128"/>
      <c r="J7" s="597" t="str">
        <f>(IF(D7-C8&gt;0,1)+IF(E7-C9&gt;0,1)+IF(F7-C10&gt;0,1)+IF(G7-C11&gt;0,1)+IF(H7-C12&gt;0,1)+IF(I7-C13&gt;0,1))&amp;"-"&amp;(IF(D7-C8&lt;0,1)+IF(E7-C9&lt;0,1)+IF(F7-C10&lt;0,1)+IF(G7-C11&lt;0,1)+IF(H7-C12&lt;0,1)+IF(I7-C13&lt;0,1))</f>
        <v>2-3</v>
      </c>
      <c r="K7" s="600" t="str">
        <f>IF(AND(B7&lt;&gt;"",N$6=TRUE),A$6&amp;RANK(N7,N$7:N$13,0),"")</f>
        <v>A5</v>
      </c>
      <c r="L7" s="584">
        <f>VALUE(LEFT(J7,1))</f>
        <v>2</v>
      </c>
      <c r="M7" s="584">
        <f>IF(AND(L7=1,L8=1),D7-C8)+IF(AND(L7=1,L9=1),E7-C9)+IF(AND(L7=1,L10=1),F7-C10)+IF(AND(L7=1,L11=1),G7-C11)+IF(AND(L7=1,L12=1),H7-C12)+IF(AND(L7=1,L13=1),I7-C13)+IF(AND(L7=2,L8=2),D7-C8)+IF(AND(L7=2,L9=2),E7-C9)+IF(AND(L7=2,L10=2),F7-C10)+IF(AND(L7=2,L11=2),G7-C11)+IF(AND(L7=2,L12=2),H7-C12)+IF(AND(L7=2,L13=2),I7-C13)+IF(AND(L7=3,L8=3),D7-C8)+IF(AND(L7=3,L9=3),E7-C9)+IF(AND(L7=3,L10=3),F7-C10)+IF(AND(L7=3,L11=3),G7-C11)+IF(AND(L7=3,L12=3),H7-C12)+IF(AND(L7=3,L13=3),I7-C13)+IF(AND(L7=4,L8=4),D7-C8)+IF(AND(L7=4,L9=4),E7-C9)+IF(AND(L7=4,L10=4),F7-C10)+IF(AND(L7=4,L11=4),G7-C11)+IF(AND(L7=4,L12=4),H7-C12)+IF(AND(L7=4,L13=4),I7-C13)+IF(AND(L7=5,L8=5),D7-C8)+IF(AND(L7=5,L9=5),E7-C9)+IF(AND(L7=5,L10=5),F7-C10)+IF(AND(L7=5,L11=5),G7-C11)+IF(AND(L7=5,L12=5),H7-C12)+IF(AND(L7=5,L13=5),I7-C13)</f>
        <v>0</v>
      </c>
      <c r="N7" s="584">
        <f t="shared" ref="N7:N13" si="0">1000*L7+M7</f>
        <v>2000</v>
      </c>
      <c r="R7" t="s">
        <v>100</v>
      </c>
      <c r="S7" t="s">
        <v>273</v>
      </c>
      <c r="T7" s="599"/>
    </row>
    <row r="8" spans="1:21" x14ac:dyDescent="0.2">
      <c r="A8" s="126">
        <v>2</v>
      </c>
      <c r="B8" s="581" t="s">
        <v>434</v>
      </c>
      <c r="C8" s="128">
        <v>6</v>
      </c>
      <c r="D8" s="127"/>
      <c r="E8" s="316">
        <v>8</v>
      </c>
      <c r="F8" s="93">
        <v>13</v>
      </c>
      <c r="G8" s="316">
        <v>13</v>
      </c>
      <c r="H8" s="316">
        <v>13</v>
      </c>
      <c r="I8" s="128"/>
      <c r="J8" s="602" t="str">
        <f>(IF(C8-D7&gt;0,1)+IF(E8-D9&gt;0,1)+IF(F8-D10&gt;0,1)+IF(G8-D11&gt;0,1)+IF(H8-D12&gt;0,1)+IF(I8-D13&gt;0,1))&amp;"-"&amp;(IF(C8-D7&lt;0,1)+IF(E8-D9&lt;0,1)+IF(F8-D10&lt;0,1)+IF(G8-D11&lt;0,1)+IF(H8-D12&lt;0,1)+IF(I8-D13&lt;0,1))</f>
        <v>3-2</v>
      </c>
      <c r="K8" s="606" t="str">
        <f t="shared" ref="K8:K13" si="1">IF(AND(B8&lt;&gt;"",N$6=TRUE),A$6&amp;RANK(N8,N$7:N$13,0),"")</f>
        <v>A1</v>
      </c>
      <c r="L8" s="584">
        <f t="shared" ref="L8:L13" si="2">VALUE(LEFT(J8,1))</f>
        <v>3</v>
      </c>
      <c r="M8" s="584">
        <f>IF(AND(L8=1,L7=1),C8-D7)+IF(AND(L8=1,L9=1),E8-D9)+IF(AND(L8=1,L10=1),F8-D10)+IF(AND(L8=1,L11=1),G8-D11)+IF(AND(L8=1,L12=1),H8-D12)+IF(AND(L8=1,L12=1),I8-D13)+IF(AND(L8=2,L7=2),C8-D7)+IF(AND(L8=2,L9=2),E8-D9)+IF(AND(L8=2,L10=2),F8-D10)+IF(AND(L8=2,L11=2),G8-D11)+IF(AND(L8=2,L12=2),H8-D12)+IF(AND(L8=2,L12=2),I8-D13)+IF(AND(L8=3,L7=3),C8-D7)+IF(AND(L8=3,L9=3),E8-D9)+IF(AND(L8=3,L10=3),F8-D10)+IF(AND(L8=3,L11=3),G8-D11)+IF(AND(L8=3,L12=3),H8-D12)+IF(AND(L8=3,L12=3),I8-D13)+IF(AND(L8=4,L7=4),C8-D7)+IF(AND(L8=4,L9=4),E8-D9)+IF(AND(L8=4,L10=4),F8-D10)+IF(AND(L8=4,L11=4),G8-D11)+IF(AND(L8=4,L12=4),H8-D12)+IF(AND(L8=4,L12=4),I8-D13)+IF(AND(L8=5,L7=5),C8-D7)+IF(AND(L8=5,L9=5),E8-D9)+IF(AND(L8=5,L10=5),F8-D10)+IF(AND(L8=5,L11=5),G8-D11)+IF(AND(L8=5,L12=5),H8-D12)+IF(AND(L8=5,L12=5),I8-D13)</f>
        <v>13</v>
      </c>
      <c r="N8" s="584">
        <f t="shared" si="0"/>
        <v>3013</v>
      </c>
      <c r="R8" s="607" t="s">
        <v>431</v>
      </c>
      <c r="T8" s="608" t="s">
        <v>91</v>
      </c>
      <c r="U8" s="594" t="s">
        <v>80</v>
      </c>
    </row>
    <row r="9" spans="1:21" x14ac:dyDescent="0.2">
      <c r="A9" s="126">
        <v>3</v>
      </c>
      <c r="B9" s="581" t="s">
        <v>435</v>
      </c>
      <c r="C9" s="93">
        <v>13</v>
      </c>
      <c r="D9" s="403">
        <v>13</v>
      </c>
      <c r="E9" s="127"/>
      <c r="F9" s="93">
        <v>13</v>
      </c>
      <c r="G9" s="316">
        <v>12</v>
      </c>
      <c r="H9" s="316">
        <v>9</v>
      </c>
      <c r="I9" s="128"/>
      <c r="J9" s="602" t="str">
        <f>(IF(C9-E7&gt;0,1)+IF(D9-E8&gt;0,1)+IF(F9-E10&gt;0,1)+IF(G9-E11&gt;0,1)+IF(H9-E12&gt;0,1)+IF(I9-E13&gt;0,1))&amp;"-"&amp;(IF(C9-E7&lt;0,1)+IF(D9-E8&lt;0,1)+IF(F9-E10&lt;0,1)+IF(G9-E11&lt;0,1)+IF(H9-E12&lt;0,1)+IF(I9-E13&lt;0,1))</f>
        <v>3-2</v>
      </c>
      <c r="K9" s="606" t="str">
        <f t="shared" si="1"/>
        <v>A2</v>
      </c>
      <c r="L9" s="584">
        <f t="shared" si="2"/>
        <v>3</v>
      </c>
      <c r="M9" s="584">
        <f>IF(AND(L9=1,L7=1),C9-E7)+IF(AND(L9=1,L8=1),D9-E8)+IF(AND(L9=1,L10=1),F9-E10)+IF(AND(L9=1,L11=1),G9-E11)+IF(AND(L9=1,L12=1),H9-E12)+IF(AND(L9=1,L13=1),I9-E13)+IF(AND(L9=2,L7=2),C9-E7)+IF(AND(L9=2,L8=2),D9-E8)+IF(AND(L9=2,L10=2),F9-E10)+IF(AND(L9=2,L11=2),G9-E11)+IF(AND(L9=2,L12=2),H9-E12)+IF(AND(L9=2,L13=2),I9-E13)+IF(AND(L9=3,L7=3),C9-E7)+IF(AND(L9=3,L8=3),D9-E8)+IF(AND(L9=3,L10=3),F9-E10)+IF(AND(L9=3,L11=3),G9-E11)+IF(AND(L9=3,L12=3),H9-E12)+IF(AND(L9=3,L13=3),I9-E13)+IF(AND(L9=4,L7=4),C9-E7)+IF(AND(L9=4,L8=4),D9-E8)+IF(AND(L9=4,L10=4),F9-E10)+IF(AND(L9=4,L11=4),G9-E11)+IF(AND(L9=4,L12=4),H9-E12)+IF(AND(L9=4,L13=4),I9-E13)+IF(AND(L9=5,L7=5),C9-E7)+IF(AND(L9=5,L8=5),D9-E8)+IF(AND(L9=5,L10=5),F9-E10)+IF(AND(L9=5,L11=5),G9-E11)+IF(AND(L9=5,L12=5),H9-E12)+IF(AND(L9=5,L13=5),I9-E13)</f>
        <v>0</v>
      </c>
      <c r="N9" s="584">
        <f t="shared" si="0"/>
        <v>3000</v>
      </c>
      <c r="R9" s="607" t="s">
        <v>431</v>
      </c>
      <c r="T9" s="609" t="s">
        <v>92</v>
      </c>
      <c r="U9" s="594" t="s">
        <v>113</v>
      </c>
    </row>
    <row r="10" spans="1:21" x14ac:dyDescent="0.2">
      <c r="A10" s="126">
        <v>4</v>
      </c>
      <c r="B10" s="581" t="s">
        <v>436</v>
      </c>
      <c r="C10" s="93">
        <v>13</v>
      </c>
      <c r="D10" s="311">
        <v>1</v>
      </c>
      <c r="E10" s="93">
        <v>11</v>
      </c>
      <c r="F10" s="127"/>
      <c r="G10" s="128">
        <v>8</v>
      </c>
      <c r="H10" s="128">
        <v>5</v>
      </c>
      <c r="I10" s="128"/>
      <c r="J10" s="597" t="str">
        <f>(IF(C10-F7&gt;0,1)+IF(D10-F8&gt;0,1)+IF(E10-F9&gt;0,1)+IF(G10-F11&gt;0,1)+IF(H10-F12&gt;0,1)+IF(I10-F13&gt;0,1))&amp;"-"&amp;(IF(C10-F7&lt;0,1)+IF(D10-F8&lt;0,1)+IF(E10-F9&lt;0,1)+IF(G10-F11&lt;0,1)+IF(H10-F12&lt;0,1)+IF(I10-F13&lt;0,1))</f>
        <v>1-4</v>
      </c>
      <c r="K10" s="600" t="str">
        <f t="shared" si="1"/>
        <v>A6</v>
      </c>
      <c r="L10" s="584">
        <f t="shared" si="2"/>
        <v>1</v>
      </c>
      <c r="M10" s="584">
        <f>IF(AND(L10=1,L7=1),C10-F7)+IF(AND(L10=1,L8=1),D10-F8)+IF(AND(L10=1,L9=1),E10-F9)+IF(AND(L10=1,L11=1),G10-F11)+IF(AND(L10=1,L12=1),H10-F12)+IF(AND(L10=1,L13=1),I10-F13)+IF(AND(L10=2,L7=2),C10-F7)+IF(AND(L10=2,L8=2),D10-F8)+IF(AND(L10=2,L9=2),E10-F9)+IF(AND(L10=2,L11=2),G10-F11)+IF(AND(L10=2,L12=2),H10-F12)+IF(AND(L10=2,L13=2),I10-F13)+IF(AND(L10=3,L7=3),C10-F7)+IF(AND(L10=3,L8=3),D10-F8)+IF(AND(L10=3,L9=3),E10-F9)+IF(AND(L10=3,L11=3),G10-F11)+IF(AND(L10=3,L12=3),H10-F12)+IF(AND(L10=3,L13=3),I10-F13)+IF(AND(L10=4,L7=4),C10-F7)+IF(AND(L10=4,L8=4),D10-F8)+IF(AND(L10=4,L9=4),E10-F9)+IF(AND(L10=4,L11=4),G10-F11)+IF(AND(L10=4,L12=4),H10-F12)+IF(AND(L10=4,L13=4),I10-F13)+IF(AND(L10=5,L7=5),C10-F7)+IF(AND(L10=5,L8=5),D10-F8)+IF(AND(L10=5,L9=5),E10-F9)+IF(AND(L10=5,L11=5),G10-F11)+IF(AND(L10=5,L12=5),H10-F12)+IF(AND(L10=5,L13=5),I10-F13)</f>
        <v>0</v>
      </c>
      <c r="N10" s="584">
        <f t="shared" si="0"/>
        <v>1000</v>
      </c>
      <c r="R10" t="s">
        <v>99</v>
      </c>
      <c r="S10" t="s">
        <v>432</v>
      </c>
      <c r="T10" s="599"/>
      <c r="U10" s="594"/>
    </row>
    <row r="11" spans="1:21" x14ac:dyDescent="0.2">
      <c r="A11" s="126">
        <v>5</v>
      </c>
      <c r="B11" s="189" t="s">
        <v>437</v>
      </c>
      <c r="C11" s="93">
        <v>10</v>
      </c>
      <c r="D11" s="316">
        <v>0</v>
      </c>
      <c r="E11" s="316">
        <v>13</v>
      </c>
      <c r="F11" s="93">
        <v>13</v>
      </c>
      <c r="G11" s="127"/>
      <c r="H11" s="316">
        <v>13</v>
      </c>
      <c r="I11" s="93"/>
      <c r="J11" s="602" t="str">
        <f>(IF(C11-G7&gt;0,1)+IF(D11-G8&gt;0,1)+IF(E11-G9&gt;0,1)+IF(F11-G10&gt;0,1)+IF(H11-G12&gt;0,1)+IF(I11-G13&gt;0,1))&amp;"-"&amp;(IF(C11-G7&lt;0,1)+IF(D11-G8&lt;0,1)+IF(E11-G9&lt;0,1)+IF(F11-G10&lt;0,1)+IF(H11-G12&lt;0,1)+IF(I11-G13&lt;0,1))</f>
        <v>3-2</v>
      </c>
      <c r="K11" s="606" t="str">
        <f t="shared" si="1"/>
        <v>A3</v>
      </c>
      <c r="L11" s="584">
        <f t="shared" si="2"/>
        <v>3</v>
      </c>
      <c r="M11" s="584">
        <f>IF(AND(L11=1,L7=1),C11-G7)+IF(AND(L11=1,L8=1),D11-G8)+IF(AND(L11=1,L9=1),E11-G9)+IF(AND(L11=1,L10=1),F11-G10)+IF(AND(L11=1,L12=1),H11-G12)+IF(AND(L11=1,L13=1),I11-G13)+IF(AND(L11=2,L7=2),C11-G7)+IF(AND(L11=2,L8=2),D11-G8)+IF(AND(L11=2,L9=2),E11-G9)+IF(AND(L11=2,L10=2),F11-G10)+IF(AND(L11=2,L12=2),H11-G12)+IF(AND(L11=2,L13=2),I11-G13)+IF(AND(L11=3,L7=3),C11-G7)+IF(AND(L11=3,L8=3),D11-G8)+IF(AND(L11=3,L9=3),E11-G9)+IF(AND(L11=3,L10=3),F11-G10)+IF(AND(L11=3,L12=3),H11-G12)+IF(AND(L11=3,L13=3),I11-G13)+IF(AND(L11=4,L7=4),C11-G7)+IF(AND(L11=4,L8=4),D11-G8)+IF(AND(L11=4,L9=4),E11-G9)+IF(AND(L11=4,L10=4),F11-G10)+IF(AND(L11=4,L12=4),H11-G12)+IF(AND(L11=4,L13=4),I11-G13)+IF(AND(L11=5,L7=5),C11-G7)+IF(AND(L11=5,L8=5),D11-G8)+IF(AND(L11=5,L9=5),E11-G9)+IF(AND(L11=5,L10=5),F11-G10)+IF(AND(L11=5,L12=5),H11-G12)+IF(AND(L11=5,L13=5),I11-G13)</f>
        <v>-3</v>
      </c>
      <c r="N11" s="584">
        <f t="shared" si="0"/>
        <v>2997</v>
      </c>
      <c r="R11" s="607" t="s">
        <v>431</v>
      </c>
      <c r="T11" s="608" t="s">
        <v>91</v>
      </c>
      <c r="U11" s="594" t="s">
        <v>81</v>
      </c>
    </row>
    <row r="12" spans="1:21" x14ac:dyDescent="0.2">
      <c r="A12" s="126">
        <v>6</v>
      </c>
      <c r="B12" s="581" t="s">
        <v>438</v>
      </c>
      <c r="C12" s="397">
        <v>13</v>
      </c>
      <c r="D12" s="601">
        <v>8</v>
      </c>
      <c r="E12" s="601">
        <v>13</v>
      </c>
      <c r="F12" s="397">
        <v>13</v>
      </c>
      <c r="G12" s="601">
        <v>4</v>
      </c>
      <c r="H12" s="596"/>
      <c r="I12" s="397"/>
      <c r="J12" s="603" t="str">
        <f>(IF(C12-H7&gt;0,1)+IF(D12-H8&gt;0,1)+IF(E12-H9&gt;0,1)+IF(F12-H10&gt;0,1)+IF(G12-H11&gt;0,1)+IF(I12-H13&gt;0,1))&amp;"-"&amp;(IF(C12-H7&lt;0,1)+IF(D12-H8&lt;0,1)+IF(E12-H9&lt;0,1)+IF(F12-H10&lt;0,1)+IF(G12-H11&lt;0,1)+IF(I12-H13&lt;0,1))</f>
        <v>3-2</v>
      </c>
      <c r="K12" s="606" t="str">
        <f t="shared" si="1"/>
        <v>A4</v>
      </c>
      <c r="L12" s="584">
        <f t="shared" si="2"/>
        <v>3</v>
      </c>
      <c r="M12" s="584">
        <f>IF(AND(L12=1,L7=1),C12-H7)+IF(AND(L12=1,L8=1),D12-H8)+IF(AND(L12=1,L9=1),E12-H9)+IF(AND(L12=1,L10=1),F12-H10)+IF(AND(L12=1,L11=1),G12-H11)+IF(AND(L12=1,L13=1),I12-H13)+IF(AND(L12=2,L7=2),C12-H7)+IF(AND(L12=2,L8=2),D12-H8)+IF(AND(L12=2,L9=2),E12-H9)+IF(AND(L12=2,L10=2),F12-H10)+IF(AND(L12=2,L11=2),G12-H11)+IF(AND(L12=2,L13=2),I12-H13)+IF(AND(L12=3,L7=3),C12-H7)+IF(AND(L12=3,L8=3),D12-H8)+IF(AND(L12=3,L9=3),E12-H9)+IF(AND(L12=3,L10=3),F12-H10)+IF(AND(L12=3,L11=3),G12-H11)+IF(AND(L12=3,L13=3),I12-H13)+IF(AND(L12=4,L7=4),C12-H7)+IF(AND(L12=4,L8=4),D12-H8)+IF(AND(L12=4,L9=4),E12-H9)+IF(AND(L12=4,L10=4),F12-H10)+IF(AND(L12=4,L11=4),G12-H11)+IF(AND(L12=4,L13=4),I12-H13)+IF(AND(L12=5,L7=5),C12-H7)+IF(AND(L12=5,L8=5),D12-H8)+IF(AND(L12=5,L9=5),E12-H9)+IF(AND(L12=5,L10=5),F12-H10)+IF(AND(L12=5,L11=5),G12-H11)+IF(AND(L12=5,L13=5),I12-H13)</f>
        <v>-10</v>
      </c>
      <c r="N12" s="584">
        <f t="shared" si="0"/>
        <v>2990</v>
      </c>
      <c r="R12" s="607" t="s">
        <v>431</v>
      </c>
      <c r="T12" s="306" t="s">
        <v>92</v>
      </c>
      <c r="U12" s="594" t="s">
        <v>82</v>
      </c>
    </row>
    <row r="13" spans="1:21" x14ac:dyDescent="0.2">
      <c r="A13" s="126">
        <v>7</v>
      </c>
      <c r="B13" s="581"/>
      <c r="C13" s="397"/>
      <c r="D13" s="397"/>
      <c r="E13" s="397"/>
      <c r="F13" s="397"/>
      <c r="G13" s="397"/>
      <c r="H13" s="397"/>
      <c r="I13" s="596"/>
      <c r="J13" s="598" t="str">
        <f>(IF(C13-I7&gt;0,1)+IF(D13-I8&gt;0,1)+IF(E13-I9&gt;0,1)+IF(F13-I10&gt;0,1)+IF(G13-I11&gt;0,1)+IF(H13-I12&gt;0,1))&amp;"-"&amp;(IF(C13-I7&lt;0,1)+IF(D13-I8&lt;0,1)+IF(E13-I9&lt;0,1)+IF(F13-I10&lt;0,1)+IF(G13-I11&lt;0,1)+IF(H13-I12&lt;0,1))</f>
        <v>0-0</v>
      </c>
      <c r="K13" s="93" t="str">
        <f t="shared" si="1"/>
        <v/>
      </c>
      <c r="L13" s="584">
        <f t="shared" si="2"/>
        <v>0</v>
      </c>
      <c r="M13" s="584">
        <f>IF(AND(L13=1,L7=1),C13-I7)+IF(AND(L13=1,L8=1),D13-I8)+IF(AND(L13=1,L9=1),E13-I9)+IF(AND(L13=1,L10=1),F13-I10)+IF(AND(L13=1,L11=1),G13-I11)+IF(AND(L13=1,L12=1),H13-I12)+IF(AND(L13=2,L7=2),C13-I7)+IF(AND(L13=2,L8=2),D13-I8)+IF(AND(L13=2,L9=2),E13-I9)+IF(AND(L13=2,L10=2),F13-I10)+IF(AND(L13=2,L11=2),G13-I11)+IF(AND(L13=2,L12=2),H13-I12)+IF(AND(L13=3,L7=3),C13-I7)+IF(AND(L13=3,L8=3),D13-I8)+IF(AND(L13=3,L9=3),E13-I9)+IF(AND(L13=3,L10=3),F13-I10)+IF(AND(L13=3,L11=3),G13-I11)+IF(AND(L13=3,L12=3),H13-I12)+IF(AND(L13=4,L7=4),C13-I7)+IF(AND(L13=4,L8=4),D13-I8)+IF(AND(L13=4,L9=4),E13-I9)+IF(AND(L13=4,L10=4),F13-I10)+IF(AND(L13=4,L11=4),G13-I11)+IF(AND(L13=4,L12=4),H13-I12)+IF(AND(L13=5,L7=5),C13-I7)+IF(AND(L13=5,L8=5),D13-I8)+IF(AND(L13=5,L9=5),E13-I9)+IF(AND(L13=5,L10=5),F13-I10)+IF(AND(L13=5,L11=5),G13-I11)+IF(AND(L13=5,L12=5),H13-I12)</f>
        <v>0</v>
      </c>
      <c r="N13" s="584">
        <f t="shared" si="0"/>
        <v>0</v>
      </c>
    </row>
    <row r="16" spans="1:21" x14ac:dyDescent="0.2">
      <c r="J16" t="s">
        <v>440</v>
      </c>
    </row>
  </sheetData>
  <conditionalFormatting sqref="K7:K13">
    <cfRule type="expression" dxfId="51" priority="25">
      <formula>FIND(2,K7,1)</formula>
    </cfRule>
    <cfRule type="expression" dxfId="50" priority="26">
      <formula>FIND(1,K7,1)</formula>
    </cfRule>
  </conditionalFormatting>
  <conditionalFormatting sqref="C8 D7">
    <cfRule type="aboveAverage" dxfId="49" priority="23"/>
  </conditionalFormatting>
  <conditionalFormatting sqref="E7 C9">
    <cfRule type="aboveAverage" dxfId="48" priority="22"/>
  </conditionalFormatting>
  <conditionalFormatting sqref="F7 C10">
    <cfRule type="aboveAverage" dxfId="47" priority="21"/>
  </conditionalFormatting>
  <conditionalFormatting sqref="D9 E8">
    <cfRule type="aboveAverage" dxfId="46" priority="20"/>
  </conditionalFormatting>
  <conditionalFormatting sqref="C11 G7">
    <cfRule type="aboveAverage" dxfId="45" priority="19"/>
  </conditionalFormatting>
  <conditionalFormatting sqref="D10 F8">
    <cfRule type="aboveAverage" dxfId="44" priority="18"/>
  </conditionalFormatting>
  <conditionalFormatting sqref="C12 H7">
    <cfRule type="aboveAverage" dxfId="43" priority="17"/>
  </conditionalFormatting>
  <conditionalFormatting sqref="D11 G8">
    <cfRule type="aboveAverage" dxfId="42" priority="16"/>
  </conditionalFormatting>
  <conditionalFormatting sqref="E10 F9">
    <cfRule type="aboveAverage" dxfId="41" priority="15"/>
  </conditionalFormatting>
  <conditionalFormatting sqref="C13 I7">
    <cfRule type="aboveAverage" dxfId="40" priority="14"/>
  </conditionalFormatting>
  <conditionalFormatting sqref="D12 H8">
    <cfRule type="aboveAverage" dxfId="39" priority="13"/>
  </conditionalFormatting>
  <conditionalFormatting sqref="E11 G9">
    <cfRule type="aboveAverage" dxfId="38" priority="12"/>
  </conditionalFormatting>
  <conditionalFormatting sqref="D13 I8">
    <cfRule type="aboveAverage" dxfId="37" priority="11"/>
  </conditionalFormatting>
  <conditionalFormatting sqref="E12 H9">
    <cfRule type="aboveAverage" dxfId="36" priority="10"/>
  </conditionalFormatting>
  <conditionalFormatting sqref="F11 G10">
    <cfRule type="aboveAverage" dxfId="35" priority="9"/>
  </conditionalFormatting>
  <conditionalFormatting sqref="E13 I9">
    <cfRule type="aboveAverage" dxfId="34" priority="8"/>
  </conditionalFormatting>
  <conditionalFormatting sqref="F12 H10">
    <cfRule type="aboveAverage" dxfId="33" priority="7"/>
  </conditionalFormatting>
  <conditionalFormatting sqref="F13 I10">
    <cfRule type="aboveAverage" dxfId="32" priority="6"/>
  </conditionalFormatting>
  <conditionalFormatting sqref="G12 H11">
    <cfRule type="aboveAverage" dxfId="31" priority="5"/>
  </conditionalFormatting>
  <conditionalFormatting sqref="G13 I11">
    <cfRule type="aboveAverage" dxfId="30" priority="4"/>
  </conditionalFormatting>
  <conditionalFormatting sqref="H13 I12">
    <cfRule type="aboveAverage" dxfId="29" priority="3"/>
  </conditionalFormatting>
  <conditionalFormatting sqref="J7:J13">
    <cfRule type="expression" dxfId="28" priority="1">
      <formula>IF(AND(J7="2-3",COUNTIF(J$7:J$13,"2-3")&gt;=4),TRUE,FALSE)</formula>
    </cfRule>
    <cfRule type="expression" dxfId="27" priority="2">
      <formula>IF(AND(J7="3-2",COUNTIF(J$7:J$13,"3-2")&gt;=4),TRUE,FALSE)</formula>
    </cfRule>
    <cfRule type="expression" dxfId="26" priority="24">
      <formula>B7=""</formula>
    </cfRule>
  </conditionalFormatting>
  <pageMargins left="0.7" right="0.7" top="0.75" bottom="0.75" header="0.3" footer="0.3"/>
  <pageSetup paperSize="9" orientation="portrait" verticalDpi="0" r:id="rId1"/>
  <legacy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5:Q16"/>
  <sheetViews>
    <sheetView topLeftCell="B1" zoomScaleNormal="100" workbookViewId="0">
      <selection activeCell="C152" sqref="C152"/>
    </sheetView>
  </sheetViews>
  <sheetFormatPr defaultRowHeight="12.75" x14ac:dyDescent="0.2"/>
  <cols>
    <col min="1" max="1" width="5.28515625" style="32" customWidth="1"/>
    <col min="2" max="2" width="44" style="32" customWidth="1"/>
    <col min="3" max="14" width="7" style="32" customWidth="1"/>
    <col min="15" max="15" width="6.5703125" style="32" customWidth="1"/>
    <col min="16" max="16" width="4.85546875" style="32" customWidth="1"/>
    <col min="17" max="17" width="6" style="32" customWidth="1"/>
    <col min="18" max="18" width="3.5703125" style="32" bestFit="1" customWidth="1"/>
    <col min="19" max="19" width="2.7109375" style="32" bestFit="1" customWidth="1"/>
    <col min="20" max="20" width="3.5703125" style="32" bestFit="1" customWidth="1"/>
    <col min="21" max="21" width="2.85546875" style="32" bestFit="1" customWidth="1"/>
    <col min="22" max="16384" width="9.140625" style="32"/>
  </cols>
  <sheetData>
    <row r="5" spans="1:17" x14ac:dyDescent="0.2">
      <c r="J5" s="595" t="str">
        <f>IF(COUNTIF(J7:J13,"2-3")&gt;=4,"Kontrolli omavaheliste mängude võite!","")</f>
        <v>Kontrolli omavaheliste mängude võite!</v>
      </c>
    </row>
    <row r="6" spans="1:17" x14ac:dyDescent="0.2">
      <c r="A6" s="126" t="s">
        <v>66</v>
      </c>
      <c r="B6" s="126"/>
      <c r="C6" s="91">
        <v>1</v>
      </c>
      <c r="D6" s="91">
        <v>2</v>
      </c>
      <c r="E6" s="91">
        <v>3</v>
      </c>
      <c r="F6" s="91">
        <v>4</v>
      </c>
      <c r="G6" s="91">
        <v>5</v>
      </c>
      <c r="H6" s="91">
        <v>6</v>
      </c>
      <c r="I6" s="91">
        <v>7</v>
      </c>
      <c r="J6" s="438" t="s">
        <v>73</v>
      </c>
      <c r="K6" s="438" t="s">
        <v>21</v>
      </c>
      <c r="L6" s="586" t="s">
        <v>273</v>
      </c>
      <c r="M6" s="587" t="s">
        <v>430</v>
      </c>
      <c r="N6" s="588" t="b">
        <f>OR(AND(COUNTA(B7:B13)=3,COUNTA(C7:I13)=6),AND(COUNTA(B7:B13)=4,COUNTA(C7:I13)=12),AND(COUNTA(B7:B13)=5,COUNTA(C7:I13)=20),AND(COUNTA(B7:B13)=6,COUNTA(C7:I13)=30),AND(COUNTA(B7:B13)=7,COUNTA(C7:I13)=42))</f>
        <v>1</v>
      </c>
    </row>
    <row r="7" spans="1:17" x14ac:dyDescent="0.2">
      <c r="A7" s="126">
        <v>1</v>
      </c>
      <c r="B7" s="581" t="s">
        <v>433</v>
      </c>
      <c r="C7" s="127"/>
      <c r="D7" s="604">
        <v>13</v>
      </c>
      <c r="E7" s="604">
        <v>13</v>
      </c>
      <c r="F7" s="93">
        <v>1</v>
      </c>
      <c r="G7" s="604">
        <v>1</v>
      </c>
      <c r="H7" s="128">
        <v>1</v>
      </c>
      <c r="I7" s="127"/>
      <c r="J7" s="597" t="str">
        <f>(IF(D7-C8&gt;0,1)+IF(E7-C9&gt;0,1)+IF(F7-C10&gt;0,1)+IF(G7-C11&gt;0,1)+IF(H7-C12&gt;0,1)+IF(I7-C13&gt;0,1))&amp;"-"&amp;(IF(D7-C8&lt;0,1)+IF(E7-C9&lt;0,1)+IF(F7-C10&lt;0,1)+IF(G7-C11&lt;0,1)+IF(H7-C12&lt;0,1)+IF(I7-C13&lt;0,1))</f>
        <v>2-3</v>
      </c>
      <c r="K7" s="93" t="str">
        <f t="shared" ref="K7:K13" si="0">IF(AND(B7&lt;&gt;"",N$6=TRUE),A$6&amp;RANK(N7,N$7:N$13,0),"")</f>
        <v>A4</v>
      </c>
      <c r="L7" s="584">
        <f>VALUE(LEFT(J7,1))</f>
        <v>2</v>
      </c>
      <c r="M7" s="584">
        <f>IF(AND(L7=1,L8=1),D7-C8)+IF(AND(L7=1,L9=1),E7-C9)+IF(AND(L7=1,L10=1),F7-C10)+IF(AND(L7=1,L11=1),G7-C11)+IF(AND(L7=1,L12=1),H7-C12)+IF(AND(L7=1,L13=1),I7-C13)+IF(AND(L7=2,L8=2),D7-C8)+IF(AND(L7=2,L9=2),E7-C9)+IF(AND(L7=2,L10=2),F7-C10)+IF(AND(L7=2,L11=2),G7-C11)+IF(AND(L7=2,L12=2),H7-C12)+IF(AND(L7=2,L13=2),I7-C13)+IF(AND(L7=3,L8=3),D7-C8)+IF(AND(L7=3,L9=3),E7-C9)+IF(AND(L7=3,L10=3),F7-C10)+IF(AND(L7=3,L11=3),G7-C11)+IF(AND(L7=3,L12=3),H7-C12)+IF(AND(L7=3,L13=3),I7-C13)+IF(AND(L7=4,L8=4),D7-C8)+IF(AND(L7=4,L9=4),E7-C9)+IF(AND(L7=4,L10=4),F7-C10)+IF(AND(L7=4,L11=4),G7-C11)+IF(AND(L7=4,L12=4),H7-C12)+IF(AND(L7=4,L13=4),I7-C13)+IF(AND(L7=5,L8=5),D7-C8)+IF(AND(L7=5,L9=5),E7-C9)+IF(AND(L7=5,L10=5),F7-C10)+IF(AND(L7=5,L11=5),G7-C11)+IF(AND(L7=5,L12=5),H7-C12)+IF(AND(L7=5,L13=5),I7-C13)</f>
        <v>1</v>
      </c>
      <c r="N7" s="584">
        <f t="shared" ref="N7:N13" si="1">1000*L7+M7</f>
        <v>2001</v>
      </c>
      <c r="P7" s="610" t="s">
        <v>91</v>
      </c>
      <c r="Q7" s="32">
        <v>3</v>
      </c>
    </row>
    <row r="8" spans="1:17" x14ac:dyDescent="0.2">
      <c r="A8" s="126">
        <v>2</v>
      </c>
      <c r="B8" s="581" t="s">
        <v>434</v>
      </c>
      <c r="C8" s="604">
        <v>1</v>
      </c>
      <c r="D8" s="127"/>
      <c r="E8" s="604">
        <v>13</v>
      </c>
      <c r="F8" s="93">
        <v>1</v>
      </c>
      <c r="G8" s="604">
        <v>13</v>
      </c>
      <c r="H8" s="93">
        <v>1</v>
      </c>
      <c r="I8" s="127"/>
      <c r="J8" s="602" t="str">
        <f>(IF(C8-D7&gt;0,1)+IF(E8-D9&gt;0,1)+IF(F8-D10&gt;0,1)+IF(G8-D11&gt;0,1)+IF(H8-D12&gt;0,1)+IF(I8-D13&gt;0,1))&amp;"-"&amp;(IF(C8-D7&lt;0,1)+IF(E8-D9&lt;0,1)+IF(F8-D10&lt;0,1)+IF(G8-D11&lt;0,1)+IF(H8-D12&lt;0,1)+IF(I8-D13&lt;0,1))</f>
        <v>2-3</v>
      </c>
      <c r="K8" s="93" t="str">
        <f t="shared" si="0"/>
        <v>A4</v>
      </c>
      <c r="L8" s="584">
        <f t="shared" ref="L8:L13" si="2">VALUE(LEFT(J8,1))</f>
        <v>2</v>
      </c>
      <c r="M8" s="584">
        <f>IF(AND(L8=1,L7=1),C8-D7)+IF(AND(L8=1,L9=1),E8-D9)+IF(AND(L8=1,L10=1),F8-D10)+IF(AND(L8=1,L11=1),G8-D11)+IF(AND(L8=1,L12=1),H8-D12)+IF(AND(L8=1,L12=1),I8-D13)+IF(AND(L8=2,L7=2),C8-D7)+IF(AND(L8=2,L9=2),E8-D9)+IF(AND(L8=2,L10=2),F8-D10)+IF(AND(L8=2,L11=2),G8-D11)+IF(AND(L8=2,L12=2),H8-D12)+IF(AND(L8=2,L12=2),I8-D13)+IF(AND(L8=3,L7=3),C8-D7)+IF(AND(L8=3,L9=3),E8-D9)+IF(AND(L8=3,L10=3),F8-D10)+IF(AND(L8=3,L11=3),G8-D11)+IF(AND(L8=3,L12=3),H8-D12)+IF(AND(L8=3,L12=3),I8-D13)+IF(AND(L8=4,L7=4),C8-D7)+IF(AND(L8=4,L9=4),E8-D9)+IF(AND(L8=4,L10=4),F8-D10)+IF(AND(L8=4,L11=4),G8-D11)+IF(AND(L8=4,L12=4),H8-D12)+IF(AND(L8=4,L12=4),I8-D13)+IF(AND(L8=5,L7=5),C8-D7)+IF(AND(L8=5,L9=5),E8-D9)+IF(AND(L8=5,L10=5),F8-D10)+IF(AND(L8=5,L11=5),G8-D11)+IF(AND(L8=5,L12=5),H8-D12)+IF(AND(L8=5,L12=5),I8-D13)</f>
        <v>1</v>
      </c>
      <c r="N8" s="584">
        <f t="shared" si="1"/>
        <v>2001</v>
      </c>
      <c r="P8" s="610" t="s">
        <v>91</v>
      </c>
      <c r="Q8" s="32">
        <v>4</v>
      </c>
    </row>
    <row r="9" spans="1:17" x14ac:dyDescent="0.2">
      <c r="A9" s="126">
        <v>3</v>
      </c>
      <c r="B9" s="581" t="s">
        <v>435</v>
      </c>
      <c r="C9" s="604">
        <v>12</v>
      </c>
      <c r="D9" s="605">
        <v>12</v>
      </c>
      <c r="E9" s="127"/>
      <c r="F9" s="93">
        <v>13</v>
      </c>
      <c r="G9" s="604">
        <v>13</v>
      </c>
      <c r="H9" s="93">
        <v>1</v>
      </c>
      <c r="I9" s="127"/>
      <c r="J9" s="602" t="str">
        <f>(IF(C9-E7&gt;0,1)+IF(D9-E8&gt;0,1)+IF(F9-E10&gt;0,1)+IF(G9-E11&gt;0,1)+IF(H9-E12&gt;0,1)+IF(I9-E13&gt;0,1))&amp;"-"&amp;(IF(C9-E7&lt;0,1)+IF(D9-E8&lt;0,1)+IF(F9-E10&lt;0,1)+IF(G9-E11&lt;0,1)+IF(H9-E12&lt;0,1)+IF(I9-E13&lt;0,1))</f>
        <v>2-3</v>
      </c>
      <c r="K9" s="93" t="str">
        <f t="shared" si="0"/>
        <v>A3</v>
      </c>
      <c r="L9" s="584">
        <f t="shared" si="2"/>
        <v>2</v>
      </c>
      <c r="M9" s="584">
        <f>IF(AND(L9=1,L7=1),C9-E7)+IF(AND(L9=1,L8=1),D9-E8)+IF(AND(L9=1,L10=1),F9-E10)+IF(AND(L9=1,L11=1),G9-E11)+IF(AND(L9=1,L12=1),H9-E12)+IF(AND(L9=1,L13=1),I9-E13)+IF(AND(L9=2,L7=2),C9-E7)+IF(AND(L9=2,L8=2),D9-E8)+IF(AND(L9=2,L10=2),F9-E10)+IF(AND(L9=2,L11=2),G9-E11)+IF(AND(L9=2,L12=2),H9-E12)+IF(AND(L9=2,L13=2),I9-E13)+IF(AND(L9=3,L7=3),C9-E7)+IF(AND(L9=3,L8=3),D9-E8)+IF(AND(L9=3,L10=3),F9-E10)+IF(AND(L9=3,L11=3),G9-E11)+IF(AND(L9=3,L12=3),H9-E12)+IF(AND(L9=3,L13=3),I9-E13)+IF(AND(L9=4,L7=4),C9-E7)+IF(AND(L9=4,L8=4),D9-E8)+IF(AND(L9=4,L10=4),F9-E10)+IF(AND(L9=4,L11=4),G9-E11)+IF(AND(L9=4,L12=4),H9-E12)+IF(AND(L9=4,L13=4),I9-E13)+IF(AND(L9=5,L7=5),C9-E7)+IF(AND(L9=5,L8=5),D9-E8)+IF(AND(L9=5,L10=5),F9-E10)+IF(AND(L9=5,L11=5),G9-E11)+IF(AND(L9=5,L12=5),H9-E12)+IF(AND(L9=5,L13=5),I9-E13)</f>
        <v>10</v>
      </c>
      <c r="N9" s="584">
        <f t="shared" si="1"/>
        <v>2010</v>
      </c>
      <c r="P9" s="611" t="s">
        <v>92</v>
      </c>
      <c r="Q9" s="32">
        <v>5</v>
      </c>
    </row>
    <row r="10" spans="1:17" x14ac:dyDescent="0.2">
      <c r="A10" s="126">
        <v>4</v>
      </c>
      <c r="B10" s="581" t="s">
        <v>436</v>
      </c>
      <c r="C10" s="93">
        <v>13</v>
      </c>
      <c r="D10" s="548">
        <v>13</v>
      </c>
      <c r="E10" s="93">
        <v>1</v>
      </c>
      <c r="F10" s="127"/>
      <c r="G10" s="93">
        <v>13</v>
      </c>
      <c r="H10" s="128">
        <v>1</v>
      </c>
      <c r="I10" s="127"/>
      <c r="J10" s="597" t="str">
        <f>(IF(C10-F7&gt;0,1)+IF(D10-F8&gt;0,1)+IF(E10-F9&gt;0,1)+IF(G10-F11&gt;0,1)+IF(H10-F12&gt;0,1)+IF(I10-F13&gt;0,1))&amp;"-"&amp;(IF(C10-F7&lt;0,1)+IF(D10-F8&lt;0,1)+IF(E10-F9&lt;0,1)+IF(G10-F11&lt;0,1)+IF(H10-F12&lt;0,1)+IF(I10-F13&lt;0,1))</f>
        <v>3-2</v>
      </c>
      <c r="K10" s="600" t="str">
        <f t="shared" si="0"/>
        <v>A2</v>
      </c>
      <c r="L10" s="584">
        <f t="shared" si="2"/>
        <v>3</v>
      </c>
      <c r="M10" s="584">
        <f>IF(AND(L10=1,L7=1),C10-F7)+IF(AND(L10=1,L8=1),D10-F8)+IF(AND(L10=1,L9=1),E10-F9)+IF(AND(L10=1,L11=1),G10-F11)+IF(AND(L10=1,L12=1),H10-F12)+IF(AND(L10=1,L13=1),I10-F13)+IF(AND(L10=2,L7=2),C10-F7)+IF(AND(L10=2,L8=2),D10-F8)+IF(AND(L10=2,L9=2),E10-F9)+IF(AND(L10=2,L11=2),G10-F11)+IF(AND(L10=2,L12=2),H10-F12)+IF(AND(L10=2,L13=2),I10-F13)+IF(AND(L10=3,L7=3),C10-F7)+IF(AND(L10=3,L8=3),D10-F8)+IF(AND(L10=3,L9=3),E10-F9)+IF(AND(L10=3,L11=3),G10-F11)+IF(AND(L10=3,L12=3),H10-F12)+IF(AND(L10=3,L13=3),I10-F13)+IF(AND(L10=4,L7=4),C10-F7)+IF(AND(L10=4,L8=4),D10-F8)+IF(AND(L10=4,L9=4),E10-F9)+IF(AND(L10=4,L11=4),G10-F11)+IF(AND(L10=4,L12=4),H10-F12)+IF(AND(L10=4,L13=4),I10-F13)+IF(AND(L10=5,L7=5),C10-F7)+IF(AND(L10=5,L8=5),D10-F8)+IF(AND(L10=5,L9=5),E10-F9)+IF(AND(L10=5,L11=5),G10-F11)+IF(AND(L10=5,L12=5),H10-F12)+IF(AND(L10=5,L13=5),I10-F13)</f>
        <v>0</v>
      </c>
      <c r="N10" s="584">
        <f t="shared" si="1"/>
        <v>3000</v>
      </c>
      <c r="P10" s="612"/>
    </row>
    <row r="11" spans="1:17" x14ac:dyDescent="0.2">
      <c r="A11" s="126">
        <v>5</v>
      </c>
      <c r="B11" s="189" t="s">
        <v>437</v>
      </c>
      <c r="C11" s="604">
        <v>13</v>
      </c>
      <c r="D11" s="604">
        <v>1</v>
      </c>
      <c r="E11" s="604">
        <v>1</v>
      </c>
      <c r="F11" s="93">
        <v>1</v>
      </c>
      <c r="G11" s="127"/>
      <c r="H11" s="93">
        <v>13</v>
      </c>
      <c r="I11" s="127"/>
      <c r="J11" s="602" t="str">
        <f>(IF(C11-G7&gt;0,1)+IF(D11-G8&gt;0,1)+IF(E11-G9&gt;0,1)+IF(F11-G10&gt;0,1)+IF(H11-G12&gt;0,1)+IF(I11-G13&gt;0,1))&amp;"-"&amp;(IF(C11-G7&lt;0,1)+IF(D11-G8&lt;0,1)+IF(E11-G9&lt;0,1)+IF(F11-G10&lt;0,1)+IF(H11-G12&lt;0,1)+IF(I11-G13&lt;0,1))</f>
        <v>2-3</v>
      </c>
      <c r="K11" s="93" t="str">
        <f t="shared" si="0"/>
        <v>A6</v>
      </c>
      <c r="L11" s="584">
        <f t="shared" si="2"/>
        <v>2</v>
      </c>
      <c r="M11" s="584">
        <f>IF(AND(L11=1,L7=1),C11-G7)+IF(AND(L11=1,L8=1),D11-G8)+IF(AND(L11=1,L9=1),E11-G9)+IF(AND(L11=1,L10=1),F11-G10)+IF(AND(L11=1,L12=1),H11-G12)+IF(AND(L11=1,L13=1),I11-G13)+IF(AND(L11=2,L7=2),C11-G7)+IF(AND(L11=2,L8=2),D11-G8)+IF(AND(L11=2,L9=2),E11-G9)+IF(AND(L11=2,L10=2),F11-G10)+IF(AND(L11=2,L12=2),H11-G12)+IF(AND(L11=2,L13=2),I11-G13)+IF(AND(L11=3,L7=3),C11-G7)+IF(AND(L11=3,L8=3),D11-G8)+IF(AND(L11=3,L9=3),E11-G9)+IF(AND(L11=3,L10=3),F11-G10)+IF(AND(L11=3,L12=3),H11-G12)+IF(AND(L11=3,L13=3),I11-G13)+IF(AND(L11=4,L7=4),C11-G7)+IF(AND(L11=4,L8=4),D11-G8)+IF(AND(L11=4,L9=4),E11-G9)+IF(AND(L11=4,L10=4),F11-G10)+IF(AND(L11=4,L12=4),H11-G12)+IF(AND(L11=4,L13=4),I11-G13)+IF(AND(L11=5,L7=5),C11-G7)+IF(AND(L11=5,L8=5),D11-G8)+IF(AND(L11=5,L9=5),E11-G9)+IF(AND(L11=5,L10=5),F11-G10)+IF(AND(L11=5,L12=5),H11-G12)+IF(AND(L11=5,L13=5),I11-G13)</f>
        <v>-12</v>
      </c>
      <c r="N11" s="584">
        <f t="shared" si="1"/>
        <v>1988</v>
      </c>
      <c r="P11" s="611" t="s">
        <v>92</v>
      </c>
      <c r="Q11" s="32">
        <v>6</v>
      </c>
    </row>
    <row r="12" spans="1:17" x14ac:dyDescent="0.2">
      <c r="A12" s="126">
        <v>6</v>
      </c>
      <c r="B12" s="581" t="s">
        <v>438</v>
      </c>
      <c r="C12" s="397">
        <v>13</v>
      </c>
      <c r="D12" s="598">
        <v>13</v>
      </c>
      <c r="E12" s="598">
        <v>13</v>
      </c>
      <c r="F12" s="598">
        <v>13</v>
      </c>
      <c r="G12" s="598">
        <v>1</v>
      </c>
      <c r="H12" s="596"/>
      <c r="I12" s="596"/>
      <c r="J12" s="603" t="str">
        <f>(IF(C12-H7&gt;0,1)+IF(D12-H8&gt;0,1)+IF(E12-H9&gt;0,1)+IF(F12-H10&gt;0,1)+IF(G12-H11&gt;0,1)+IF(I12-H13&gt;0,1))&amp;"-"&amp;(IF(C12-H7&lt;0,1)+IF(D12-H8&lt;0,1)+IF(E12-H9&lt;0,1)+IF(F12-H10&lt;0,1)+IF(G12-H11&lt;0,1)+IF(I12-H13&lt;0,1))</f>
        <v>4-1</v>
      </c>
      <c r="K12" s="600" t="str">
        <f t="shared" si="0"/>
        <v>A1</v>
      </c>
      <c r="L12" s="584">
        <f t="shared" si="2"/>
        <v>4</v>
      </c>
      <c r="M12" s="584">
        <f>IF(AND(L12=1,L7=1),C12-H7)+IF(AND(L12=1,L8=1),D12-H8)+IF(AND(L12=1,L9=1),E12-H9)+IF(AND(L12=1,L10=1),F12-H10)+IF(AND(L12=1,L11=1),G12-H11)+IF(AND(L12=1,L13=1),I12-H13)+IF(AND(L12=2,L7=2),C12-H7)+IF(AND(L12=2,L8=2),D12-H8)+IF(AND(L12=2,L9=2),E12-H9)+IF(AND(L12=2,L10=2),F12-H10)+IF(AND(L12=2,L11=2),G12-H11)+IF(AND(L12=2,L13=2),I12-H13)+IF(AND(L12=3,L7=3),C12-H7)+IF(AND(L12=3,L8=3),D12-H8)+IF(AND(L12=3,L9=3),E12-H9)+IF(AND(L12=3,L10=3),F12-H10)+IF(AND(L12=3,L11=3),G12-H11)+IF(AND(L12=3,L13=3),I12-H13)+IF(AND(L12=4,L7=4),C12-H7)+IF(AND(L12=4,L8=4),D12-H8)+IF(AND(L12=4,L9=4),E12-H9)+IF(AND(L12=4,L10=4),F12-H10)+IF(AND(L12=4,L11=4),G12-H11)+IF(AND(L12=4,L13=4),I12-H13)+IF(AND(L12=5,L7=5),C12-H7)+IF(AND(L12=5,L8=5),D12-H8)+IF(AND(L12=5,L9=5),E12-H9)+IF(AND(L12=5,L10=5),F12-H10)+IF(AND(L12=5,L11=5),G12-H11)+IF(AND(L12=5,L13=5),I12-H13)</f>
        <v>0</v>
      </c>
      <c r="N12" s="584">
        <f t="shared" si="1"/>
        <v>4000</v>
      </c>
      <c r="P12" s="612"/>
    </row>
    <row r="13" spans="1:17" x14ac:dyDescent="0.2">
      <c r="A13" s="126">
        <v>7</v>
      </c>
      <c r="B13" s="581"/>
      <c r="C13" s="596"/>
      <c r="D13" s="596"/>
      <c r="E13" s="596"/>
      <c r="F13" s="596"/>
      <c r="G13" s="596"/>
      <c r="H13" s="596"/>
      <c r="I13" s="596"/>
      <c r="J13" s="598" t="str">
        <f>(IF(C13-I7&gt;0,1)+IF(D13-I8&gt;0,1)+IF(E13-I9&gt;0,1)+IF(F13-I10&gt;0,1)+IF(G13-I11&gt;0,1)+IF(H13-I12&gt;0,1))&amp;"-"&amp;(IF(C13-I7&lt;0,1)+IF(D13-I8&lt;0,1)+IF(E13-I9&lt;0,1)+IF(F13-I10&lt;0,1)+IF(G13-I11&lt;0,1)+IF(H13-I12&lt;0,1))</f>
        <v>0-0</v>
      </c>
      <c r="K13" s="93" t="str">
        <f t="shared" si="0"/>
        <v/>
      </c>
      <c r="L13" s="584">
        <f t="shared" si="2"/>
        <v>0</v>
      </c>
      <c r="M13" s="584">
        <f>IF(AND(L13=1,L7=1),C13-I7)+IF(AND(L13=1,L8=1),D13-I8)+IF(AND(L13=1,L9=1),E13-I9)+IF(AND(L13=1,L10=1),F13-I10)+IF(AND(L13=1,L11=1),G13-I11)+IF(AND(L13=1,L12=1),H13-I12)+IF(AND(L13=2,L7=2),C13-I7)+IF(AND(L13=2,L8=2),D13-I8)+IF(AND(L13=2,L9=2),E13-I9)+IF(AND(L13=2,L10=2),F13-I10)+IF(AND(L13=2,L11=2),G13-I11)+IF(AND(L13=2,L12=2),H13-I12)+IF(AND(L13=3,L7=3),C13-I7)+IF(AND(L13=3,L8=3),D13-I8)+IF(AND(L13=3,L9=3),E13-I9)+IF(AND(L13=3,L10=3),F13-I10)+IF(AND(L13=3,L11=3),G13-I11)+IF(AND(L13=3,L12=3),H13-I12)+IF(AND(L13=4,L7=4),C13-I7)+IF(AND(L13=4,L8=4),D13-I8)+IF(AND(L13=4,L9=4),E13-I9)+IF(AND(L13=4,L10=4),F13-I10)+IF(AND(L13=4,L11=4),G13-I11)+IF(AND(L13=4,L12=4),H13-I12)+IF(AND(L13=5,L7=5),C13-I7)+IF(AND(L13=5,L8=5),D13-I8)+IF(AND(L13=5,L9=5),E13-I9)+IF(AND(L13=5,L10=5),F13-I10)+IF(AND(L13=5,L11=5),G13-I11)+IF(AND(L13=5,L12=5),H13-I12)</f>
        <v>0</v>
      </c>
      <c r="N13" s="584">
        <f t="shared" si="1"/>
        <v>0</v>
      </c>
      <c r="P13" s="612"/>
    </row>
    <row r="16" spans="1:17" x14ac:dyDescent="0.2">
      <c r="J16" s="32" t="s">
        <v>439</v>
      </c>
    </row>
  </sheetData>
  <conditionalFormatting sqref="K7:K13">
    <cfRule type="expression" dxfId="25" priority="26">
      <formula>FIND(2,K7,1)</formula>
    </cfRule>
    <cfRule type="expression" dxfId="24" priority="27">
      <formula>FIND(1,K7,1)</formula>
    </cfRule>
  </conditionalFormatting>
  <conditionalFormatting sqref="C8 D7">
    <cfRule type="aboveAverage" dxfId="23" priority="24"/>
  </conditionalFormatting>
  <conditionalFormatting sqref="E7 C9">
    <cfRule type="aboveAverage" dxfId="22" priority="23"/>
  </conditionalFormatting>
  <conditionalFormatting sqref="F7 C10">
    <cfRule type="aboveAverage" dxfId="21" priority="22"/>
  </conditionalFormatting>
  <conditionalFormatting sqref="D9 E8">
    <cfRule type="aboveAverage" dxfId="20" priority="21"/>
  </conditionalFormatting>
  <conditionalFormatting sqref="C11 G7">
    <cfRule type="aboveAverage" dxfId="19" priority="20"/>
  </conditionalFormatting>
  <conditionalFormatting sqref="D10 F8">
    <cfRule type="aboveAverage" dxfId="18" priority="19"/>
  </conditionalFormatting>
  <conditionalFormatting sqref="C12 H7">
    <cfRule type="aboveAverage" dxfId="17" priority="18"/>
  </conditionalFormatting>
  <conditionalFormatting sqref="D11 G8">
    <cfRule type="aboveAverage" dxfId="16" priority="17"/>
  </conditionalFormatting>
  <conditionalFormatting sqref="E10 F9">
    <cfRule type="aboveAverage" dxfId="15" priority="16"/>
  </conditionalFormatting>
  <conditionalFormatting sqref="C13 I7">
    <cfRule type="aboveAverage" dxfId="14" priority="15"/>
  </conditionalFormatting>
  <conditionalFormatting sqref="D12 H8">
    <cfRule type="aboveAverage" dxfId="13" priority="14"/>
  </conditionalFormatting>
  <conditionalFormatting sqref="E11 G9">
    <cfRule type="aboveAverage" dxfId="12" priority="13"/>
  </conditionalFormatting>
  <conditionalFormatting sqref="D13 I8">
    <cfRule type="aboveAverage" dxfId="11" priority="12"/>
  </conditionalFormatting>
  <conditionalFormatting sqref="E12 H9">
    <cfRule type="aboveAverage" dxfId="10" priority="11"/>
  </conditionalFormatting>
  <conditionalFormatting sqref="F11 G10">
    <cfRule type="aboveAverage" dxfId="9" priority="10"/>
  </conditionalFormatting>
  <conditionalFormatting sqref="E13 I9">
    <cfRule type="aboveAverage" dxfId="8" priority="9"/>
  </conditionalFormatting>
  <conditionalFormatting sqref="F12 H10">
    <cfRule type="aboveAverage" dxfId="7" priority="8"/>
  </conditionalFormatting>
  <conditionalFormatting sqref="F13 I10">
    <cfRule type="aboveAverage" dxfId="6" priority="7"/>
  </conditionalFormatting>
  <conditionalFormatting sqref="G12 H11">
    <cfRule type="aboveAverage" dxfId="5" priority="6"/>
  </conditionalFormatting>
  <conditionalFormatting sqref="G13 I11">
    <cfRule type="aboveAverage" dxfId="4" priority="5"/>
  </conditionalFormatting>
  <conditionalFormatting sqref="H13 I12">
    <cfRule type="aboveAverage" dxfId="3" priority="4"/>
  </conditionalFormatting>
  <conditionalFormatting sqref="J7:J13">
    <cfRule type="expression" dxfId="2" priority="1">
      <formula>IF(AND(J7="2-3",COUNTIF(J$7:J$13,"2-3")&gt;=4),TRUE,FALSE)</formula>
    </cfRule>
    <cfRule type="expression" dxfId="1" priority="2">
      <formula>IF(AND(J7="3-2",COUNTIF(J$7:J$13,"3-2")&gt;=4),TRUE,FALSE)</formula>
    </cfRule>
    <cfRule type="expression" dxfId="0" priority="3">
      <formula>B7=""</formula>
    </cfRule>
  </conditionalFormatting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43</vt:i4>
      </vt:variant>
      <vt:variant>
        <vt:lpstr>Named Ranges</vt:lpstr>
      </vt:variant>
      <vt:variant>
        <vt:i4>41</vt:i4>
      </vt:variant>
    </vt:vector>
  </HeadingPairs>
  <TitlesOfParts>
    <vt:vector size="84" baseType="lpstr">
      <vt:lpstr>Kalend</vt:lpstr>
      <vt:lpstr>Kal E</vt:lpstr>
      <vt:lpstr>Reit</vt:lpstr>
      <vt:lpstr>1</vt:lpstr>
      <vt:lpstr>2</vt:lpstr>
      <vt:lpstr>3</vt:lpstr>
      <vt:lpstr>4</vt:lpstr>
      <vt:lpstr>5</vt:lpstr>
      <vt:lpstr>K1</vt:lpstr>
      <vt:lpstr>6</vt:lpstr>
      <vt:lpstr>7</vt:lpstr>
      <vt:lpstr>K2</vt:lpstr>
      <vt:lpstr>KS</vt:lpstr>
      <vt:lpstr>R-1</vt:lpstr>
      <vt:lpstr>R-2</vt:lpstr>
      <vt:lpstr>R-S</vt:lpstr>
      <vt:lpstr>Reg-F</vt:lpstr>
      <vt:lpstr>V</vt:lpstr>
      <vt:lpstr>V1</vt:lpstr>
      <vt:lpstr>V2</vt:lpstr>
      <vt:lpstr>V3</vt:lpstr>
      <vt:lpstr>V4</vt:lpstr>
      <vt:lpstr>V5</vt:lpstr>
      <vt:lpstr>V-jh</vt:lpstr>
      <vt:lpstr>V-jh2</vt:lpstr>
      <vt:lpstr>V6</vt:lpstr>
      <vt:lpstr>V7</vt:lpstr>
      <vt:lpstr>V8</vt:lpstr>
      <vt:lpstr>V9</vt:lpstr>
      <vt:lpstr>V10</vt:lpstr>
      <vt:lpstr>EV100</vt:lpstr>
      <vt:lpstr>V11</vt:lpstr>
      <vt:lpstr>V12</vt:lpstr>
      <vt:lpstr>V13</vt:lpstr>
      <vt:lpstr>V-Fin</vt:lpstr>
      <vt:lpstr>ETAPP</vt:lpstr>
      <vt:lpstr>PIV</vt:lpstr>
      <vt:lpstr>PVO</vt:lpstr>
      <vt:lpstr>V templ</vt:lpstr>
      <vt:lpstr>ala</vt:lpstr>
      <vt:lpstr>ala (2)</vt:lpstr>
      <vt:lpstr>suurem alagr</vt:lpstr>
      <vt:lpstr>suurem alagr (2)</vt:lpstr>
      <vt:lpstr>'3'!Print_Area</vt:lpstr>
      <vt:lpstr>Kalend!Print_Area</vt:lpstr>
      <vt:lpstr>'Reg-F'!Print_Area</vt:lpstr>
      <vt:lpstr>'V4'!Print_Area</vt:lpstr>
      <vt:lpstr>'V8'!Print_Area</vt:lpstr>
      <vt:lpstr>'V9'!Print_Area</vt:lpstr>
      <vt:lpstr>'1'!Print_Titles</vt:lpstr>
      <vt:lpstr>'2'!Print_Titles</vt:lpstr>
      <vt:lpstr>'3'!Print_Titles</vt:lpstr>
      <vt:lpstr>'4'!Print_Titles</vt:lpstr>
      <vt:lpstr>'5'!Print_Titles</vt:lpstr>
      <vt:lpstr>'6'!Print_Titles</vt:lpstr>
      <vt:lpstr>'7'!Print_Titles</vt:lpstr>
      <vt:lpstr>ala!Print_Titles</vt:lpstr>
      <vt:lpstr>'ala (2)'!Print_Titles</vt:lpstr>
      <vt:lpstr>'EV100'!Print_Titles</vt:lpstr>
      <vt:lpstr>'K1'!Print_Titles</vt:lpstr>
      <vt:lpstr>'K2'!Print_Titles</vt:lpstr>
      <vt:lpstr>'Kal E'!Print_Titles</vt:lpstr>
      <vt:lpstr>Kalend!Print_Titles</vt:lpstr>
      <vt:lpstr>'R-1'!Print_Titles</vt:lpstr>
      <vt:lpstr>'R-2'!Print_Titles</vt:lpstr>
      <vt:lpstr>'Reg-F'!Print_Titles</vt:lpstr>
      <vt:lpstr>Reit!Print_Titles</vt:lpstr>
      <vt:lpstr>V!Print_Titles</vt:lpstr>
      <vt:lpstr>'V templ'!Print_Titles</vt:lpstr>
      <vt:lpstr>'V1'!Print_Titles</vt:lpstr>
      <vt:lpstr>'V10'!Print_Titles</vt:lpstr>
      <vt:lpstr>'V11'!Print_Titles</vt:lpstr>
      <vt:lpstr>'V12'!Print_Titles</vt:lpstr>
      <vt:lpstr>'V13'!Print_Titles</vt:lpstr>
      <vt:lpstr>'V2'!Print_Titles</vt:lpstr>
      <vt:lpstr>'V3'!Print_Titles</vt:lpstr>
      <vt:lpstr>'V4'!Print_Titles</vt:lpstr>
      <vt:lpstr>'V5'!Print_Titles</vt:lpstr>
      <vt:lpstr>'V6'!Print_Titles</vt:lpstr>
      <vt:lpstr>'V7'!Print_Titles</vt:lpstr>
      <vt:lpstr>'V8'!Print_Titles</vt:lpstr>
      <vt:lpstr>'V9'!Print_Titles</vt:lpstr>
      <vt:lpstr>'V-Fin'!Print_Titles</vt:lpstr>
      <vt:lpstr>'V-jh'!Print_Titles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2016-08-26T11:09:57Z</dcterms:created>
  <dcterms:modified xsi:type="dcterms:W3CDTF">2023-01-08T15:27:35Z</dcterms:modified>
</cp:coreProperties>
</file>