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1895" windowHeight="9525" tabRatio="811" activeTab="1"/>
  </bookViews>
  <sheets>
    <sheet name="Kalend" sheetId="3" r:id="rId1"/>
    <sheet name="Kal E" sheetId="1" r:id="rId2"/>
    <sheet name="Reit" sheetId="33" r:id="rId3"/>
    <sheet name="1" sheetId="4" r:id="rId4"/>
    <sheet name="2" sheetId="9" r:id="rId5"/>
    <sheet name="JT" sheetId="14" r:id="rId6"/>
    <sheet name="Tul" sheetId="15" r:id="rId7"/>
    <sheet name="3" sheetId="10" r:id="rId8"/>
    <sheet name="4" sheetId="6" r:id="rId9"/>
    <sheet name="Sõ" sheetId="34" r:id="rId10"/>
    <sheet name="5" sheetId="12" r:id="rId11"/>
    <sheet name="6" sheetId="35" r:id="rId12"/>
    <sheet name="7" sheetId="11" r:id="rId13"/>
    <sheet name="8" sheetId="13" r:id="rId14"/>
    <sheet name="9" sheetId="8" r:id="rId15"/>
    <sheet name="Reg-1" sheetId="20" r:id="rId16"/>
    <sheet name="Reg-2" sheetId="25" r:id="rId17"/>
    <sheet name="Reg-Sum" sheetId="22" r:id="rId18"/>
    <sheet name="Reg-Fin" sheetId="23" r:id="rId19"/>
  </sheets>
  <definedNames>
    <definedName name="_xlnm._FilterDatabase" localSheetId="2" hidden="1">Reit!$R$6:$T$44</definedName>
    <definedName name="Nimed" localSheetId="11">#REF!</definedName>
    <definedName name="Nimed" localSheetId="16">#REF!</definedName>
    <definedName name="Nimed" localSheetId="2">#REF!</definedName>
    <definedName name="Nimed" localSheetId="9">#REF!</definedName>
    <definedName name="Nimed" localSheetId="6">#REF!</definedName>
    <definedName name="Nimed">#REF!</definedName>
    <definedName name="_xlnm.Print_Area" localSheetId="0">Kalend!$A$1:$I$42</definedName>
    <definedName name="_xlnm.Print_Titles" localSheetId="3">'1'!$1:$2</definedName>
    <definedName name="_xlnm.Print_Titles" localSheetId="4">'2'!$1:$2</definedName>
    <definedName name="_xlnm.Print_Titles" localSheetId="7">'3'!$1:$2</definedName>
    <definedName name="_xlnm.Print_Titles" localSheetId="8">'4'!$1:$2</definedName>
    <definedName name="_xlnm.Print_Titles" localSheetId="10">'5'!$1:$2</definedName>
    <definedName name="_xlnm.Print_Titles" localSheetId="11">'6'!$1:$2</definedName>
    <definedName name="_xlnm.Print_Titles" localSheetId="12">'7'!$1:$2</definedName>
    <definedName name="_xlnm.Print_Titles" localSheetId="13">'8'!$1:$2</definedName>
    <definedName name="_xlnm.Print_Titles" localSheetId="14">'9'!$1:$2</definedName>
    <definedName name="_xlnm.Print_Titles" localSheetId="5">JT!$1:$2</definedName>
    <definedName name="_xlnm.Print_Titles" localSheetId="1">'Kal E'!$1:$3</definedName>
    <definedName name="_xlnm.Print_Titles" localSheetId="0">Kalend!$1:$2</definedName>
    <definedName name="_xlnm.Print_Titles" localSheetId="15">'Reg-1'!$1:$2</definedName>
    <definedName name="_xlnm.Print_Titles" localSheetId="16">'Reg-2'!$1:$2</definedName>
    <definedName name="_xlnm.Print_Titles" localSheetId="18">'Reg-Fin'!$1:$2</definedName>
    <definedName name="_xlnm.Print_Titles" localSheetId="2">Reit!$1:$3</definedName>
    <definedName name="_xlnm.Print_Titles" localSheetId="6">Tul!$1:$2</definedName>
  </definedNames>
  <calcPr calcId="145621"/>
</workbook>
</file>

<file path=xl/calcChain.xml><?xml version="1.0" encoding="utf-8"?>
<calcChain xmlns="http://schemas.openxmlformats.org/spreadsheetml/2006/main">
  <c r="J1" i="23" l="1"/>
  <c r="H1" i="22"/>
  <c r="J1" i="25"/>
  <c r="K1" i="20"/>
  <c r="L107" i="1"/>
  <c r="M106" i="1"/>
  <c r="K106" i="1"/>
  <c r="M98" i="1"/>
  <c r="K95" i="1"/>
  <c r="K91" i="1"/>
  <c r="M85" i="1"/>
  <c r="K85" i="1"/>
  <c r="K80" i="1"/>
  <c r="N74" i="1"/>
  <c r="K67" i="1"/>
  <c r="K60" i="1"/>
  <c r="L59" i="1"/>
  <c r="K57" i="1"/>
  <c r="M51" i="1"/>
  <c r="K51" i="1"/>
  <c r="K42" i="1"/>
  <c r="K39" i="1"/>
  <c r="M33" i="1"/>
  <c r="K27" i="1"/>
  <c r="N24" i="1"/>
  <c r="M20" i="1"/>
  <c r="K15" i="1"/>
  <c r="K12" i="1"/>
  <c r="K8" i="1"/>
  <c r="E6" i="1"/>
  <c r="I33" i="3"/>
  <c r="D27" i="3"/>
  <c r="D26" i="3"/>
  <c r="C7" i="3"/>
  <c r="M108" i="1"/>
  <c r="K108" i="1"/>
  <c r="M100" i="1"/>
  <c r="K97" i="1"/>
  <c r="K93" i="1"/>
  <c r="K82" i="1"/>
  <c r="K72" i="1"/>
  <c r="K69" i="1"/>
  <c r="K62" i="1"/>
  <c r="M59" i="1"/>
  <c r="K59" i="1"/>
  <c r="M53" i="1"/>
  <c r="K53" i="1"/>
  <c r="K43" i="1"/>
  <c r="K41" i="1"/>
  <c r="M35" i="1"/>
  <c r="K29" i="1"/>
  <c r="M22" i="1"/>
  <c r="K14" i="1"/>
  <c r="F20" i="3"/>
  <c r="M103" i="1"/>
  <c r="M97" i="1"/>
  <c r="K87" i="1"/>
  <c r="M87" i="1"/>
  <c r="M78" i="1"/>
  <c r="M72" i="1"/>
  <c r="M65" i="1"/>
  <c r="M56" i="1"/>
  <c r="M46" i="1"/>
  <c r="M25" i="1"/>
  <c r="M19" i="1"/>
  <c r="F32" i="3"/>
  <c r="F30" i="3"/>
  <c r="F27" i="3"/>
  <c r="F26" i="3"/>
  <c r="F25" i="3"/>
  <c r="F23" i="3"/>
  <c r="F22" i="3"/>
  <c r="F21" i="3"/>
  <c r="F17" i="3"/>
  <c r="F15" i="3"/>
  <c r="F14" i="3"/>
  <c r="F12" i="3"/>
  <c r="F11" i="3"/>
  <c r="F10" i="3"/>
  <c r="F7" i="3"/>
  <c r="G6" i="3"/>
  <c r="F6" i="3"/>
  <c r="M41" i="1"/>
  <c r="F33" i="3"/>
  <c r="F1" i="3"/>
  <c r="Q5" i="33" l="1"/>
  <c r="P5" i="33"/>
  <c r="O5" i="33"/>
  <c r="A2" i="13" l="1"/>
  <c r="K100" i="1" l="1"/>
  <c r="K99" i="1"/>
  <c r="M101" i="1" l="1"/>
  <c r="N15" i="1" l="1"/>
  <c r="W9" i="15" l="1"/>
  <c r="W10" i="15"/>
  <c r="W11" i="15"/>
  <c r="W12" i="15"/>
  <c r="W13" i="15"/>
  <c r="W14" i="15"/>
  <c r="W15" i="15"/>
  <c r="X15" i="15" s="1"/>
  <c r="W16" i="15"/>
  <c r="W17" i="15"/>
  <c r="W18" i="15"/>
  <c r="W25" i="15"/>
  <c r="W26" i="15"/>
  <c r="Y26" i="15"/>
  <c r="W27" i="15"/>
  <c r="W28" i="15"/>
  <c r="W29" i="15"/>
  <c r="W30" i="15"/>
  <c r="W31" i="15"/>
  <c r="W32" i="15"/>
  <c r="W33" i="15"/>
  <c r="W34" i="15"/>
  <c r="W35" i="15"/>
  <c r="W36" i="15"/>
  <c r="W37" i="15"/>
  <c r="W38" i="15"/>
  <c r="W39" i="15"/>
  <c r="W40" i="15"/>
  <c r="W41" i="15"/>
  <c r="W42" i="15"/>
  <c r="W43" i="15"/>
  <c r="W44" i="15"/>
  <c r="W45" i="15"/>
  <c r="W46" i="15"/>
  <c r="Z25" i="15" l="1"/>
  <c r="AA25" i="15"/>
  <c r="Y25" i="15"/>
  <c r="L105" i="1" l="1"/>
  <c r="K105" i="1"/>
  <c r="N104" i="1"/>
  <c r="L16" i="1" l="1"/>
  <c r="N16" i="1"/>
  <c r="A1" i="15" l="1"/>
  <c r="A4" i="35"/>
  <c r="A3" i="35"/>
  <c r="A2" i="35"/>
  <c r="J1" i="35"/>
  <c r="H1" i="35"/>
  <c r="M80" i="1" l="1"/>
  <c r="M84" i="1" l="1"/>
  <c r="K84" i="1"/>
  <c r="M4" i="33" l="1"/>
  <c r="I4" i="33"/>
  <c r="E16" i="34" l="1"/>
  <c r="E21" i="34" s="1"/>
  <c r="E27" i="34" s="1"/>
  <c r="E32" i="34" s="1"/>
  <c r="E37" i="34" s="1"/>
  <c r="D16" i="34"/>
  <c r="D21" i="34" s="1"/>
  <c r="D27" i="34" s="1"/>
  <c r="D32" i="34" s="1"/>
  <c r="D37" i="34" s="1"/>
  <c r="A4" i="34"/>
  <c r="A3" i="34"/>
  <c r="A2" i="34"/>
  <c r="E1" i="34"/>
  <c r="D20" i="3" l="1"/>
  <c r="A1" i="34" s="1"/>
  <c r="D14" i="3" l="1"/>
  <c r="K5" i="33"/>
  <c r="N5" i="33"/>
  <c r="M5" i="33"/>
  <c r="L5" i="33"/>
  <c r="J5" i="33"/>
  <c r="I5" i="33"/>
  <c r="G9" i="33" l="1"/>
  <c r="H9" i="33" a="1"/>
  <c r="H9" i="33"/>
  <c r="G8" i="33"/>
  <c r="H8" i="33" a="1"/>
  <c r="H8" i="33" s="1"/>
  <c r="G28" i="33"/>
  <c r="H28" i="33" a="1"/>
  <c r="H28" i="33"/>
  <c r="G21" i="33"/>
  <c r="H21" i="33" a="1"/>
  <c r="H21" i="33" s="1"/>
  <c r="G11" i="33"/>
  <c r="H11" i="33" a="1"/>
  <c r="H11" i="33"/>
  <c r="G12" i="33"/>
  <c r="H12" i="33" a="1"/>
  <c r="H12" i="33" s="1"/>
  <c r="G17" i="33"/>
  <c r="H17" i="33" a="1"/>
  <c r="H17" i="33" s="1"/>
  <c r="G16" i="33"/>
  <c r="H16" i="33" a="1"/>
  <c r="H16" i="33" s="1"/>
  <c r="G15" i="33"/>
  <c r="H15" i="33" a="1"/>
  <c r="H15" i="33"/>
  <c r="G23" i="33"/>
  <c r="H23" i="33" a="1"/>
  <c r="H23" i="33" s="1"/>
  <c r="G19" i="33"/>
  <c r="H19" i="33" a="1"/>
  <c r="H19" i="33" s="1"/>
  <c r="G13" i="33"/>
  <c r="H13" i="33" a="1"/>
  <c r="H13" i="33" s="1"/>
  <c r="G18" i="33"/>
  <c r="H18" i="33" a="1"/>
  <c r="H18" i="33"/>
  <c r="G26" i="33"/>
  <c r="H26" i="33" a="1"/>
  <c r="H26" i="33" s="1"/>
  <c r="G29" i="33"/>
  <c r="H29" i="33" a="1"/>
  <c r="H29" i="33" s="1"/>
  <c r="G24" i="33"/>
  <c r="H24" i="33" a="1"/>
  <c r="H24" i="33" s="1"/>
  <c r="G25" i="33"/>
  <c r="H25" i="33" a="1"/>
  <c r="H25" i="33" s="1"/>
  <c r="G22" i="33"/>
  <c r="H22" i="33" a="1"/>
  <c r="H22" i="33" s="1"/>
  <c r="G31" i="33"/>
  <c r="H31" i="33" a="1"/>
  <c r="H31" i="33" s="1"/>
  <c r="G10" i="33"/>
  <c r="H10" i="33" a="1"/>
  <c r="H10" i="33" s="1"/>
  <c r="G30" i="33"/>
  <c r="H30" i="33" a="1"/>
  <c r="H30" i="33"/>
  <c r="G38" i="33"/>
  <c r="H38" i="33" a="1"/>
  <c r="H38" i="33" s="1"/>
  <c r="G39" i="33"/>
  <c r="H39" i="33" a="1"/>
  <c r="H39" i="33" s="1"/>
  <c r="G37" i="33"/>
  <c r="H37" i="33" a="1"/>
  <c r="H37" i="33" s="1"/>
  <c r="G43" i="33"/>
  <c r="H43" i="33" a="1"/>
  <c r="H43" i="33" s="1"/>
  <c r="G33" i="33"/>
  <c r="H33" i="33" a="1"/>
  <c r="H33" i="33" s="1"/>
  <c r="G34" i="33"/>
  <c r="H34" i="33" a="1"/>
  <c r="H34" i="33" s="1"/>
  <c r="G20" i="33"/>
  <c r="H20" i="33" a="1"/>
  <c r="H20" i="33" s="1"/>
  <c r="G36" i="33"/>
  <c r="H36" i="33" a="1"/>
  <c r="H36" i="33"/>
  <c r="G27" i="33"/>
  <c r="H27" i="33" a="1"/>
  <c r="H27" i="33" s="1"/>
  <c r="G32" i="33"/>
  <c r="H32" i="33" a="1"/>
  <c r="H32" i="33" s="1"/>
  <c r="G14" i="33"/>
  <c r="H14" i="33" a="1"/>
  <c r="H14" i="33" s="1"/>
  <c r="G41" i="33"/>
  <c r="H41" i="33" a="1"/>
  <c r="H41" i="33" s="1"/>
  <c r="G42" i="33"/>
  <c r="H42" i="33" a="1"/>
  <c r="H42" i="33" s="1"/>
  <c r="G35" i="33"/>
  <c r="H35" i="33" a="1"/>
  <c r="H35" i="33" s="1"/>
  <c r="G40" i="33"/>
  <c r="H40" i="33" a="1"/>
  <c r="H40" i="33" s="1"/>
  <c r="G44" i="33"/>
  <c r="H44" i="33" a="1"/>
  <c r="H44" i="33" s="1"/>
  <c r="H7" i="33" a="1"/>
  <c r="H7" i="33" s="1"/>
  <c r="G7" i="33"/>
  <c r="Q4" i="33"/>
  <c r="P4" i="33"/>
  <c r="O4" i="33"/>
  <c r="N4" i="33"/>
  <c r="L4" i="33"/>
  <c r="K4" i="33"/>
  <c r="J4" i="33"/>
  <c r="T1" i="33"/>
  <c r="Q45" i="33"/>
  <c r="P45" i="33"/>
  <c r="I30" i="3" s="1"/>
  <c r="O45" i="33"/>
  <c r="N45" i="33"/>
  <c r="M45" i="33"/>
  <c r="I21" i="3" s="1"/>
  <c r="L45" i="33"/>
  <c r="K45" i="33"/>
  <c r="I15" i="3" s="1"/>
  <c r="J45" i="33"/>
  <c r="I45" i="33"/>
  <c r="B45" i="33"/>
  <c r="T44" i="33"/>
  <c r="S44" i="33"/>
  <c r="R44" i="33"/>
  <c r="T40" i="33"/>
  <c r="S40" i="33"/>
  <c r="R40" i="33"/>
  <c r="T35" i="33"/>
  <c r="S35" i="33"/>
  <c r="R35" i="33"/>
  <c r="T42" i="33"/>
  <c r="S42" i="33"/>
  <c r="R42" i="33"/>
  <c r="T41" i="33"/>
  <c r="S41" i="33"/>
  <c r="R41" i="33"/>
  <c r="T14" i="33"/>
  <c r="S14" i="33"/>
  <c r="R14" i="33"/>
  <c r="T32" i="33"/>
  <c r="S32" i="33"/>
  <c r="R32" i="33"/>
  <c r="T27" i="33"/>
  <c r="S27" i="33"/>
  <c r="R27" i="33"/>
  <c r="T36" i="33"/>
  <c r="S36" i="33"/>
  <c r="R36" i="33"/>
  <c r="T20" i="33"/>
  <c r="S20" i="33"/>
  <c r="R20" i="33"/>
  <c r="T34" i="33"/>
  <c r="S34" i="33"/>
  <c r="R34" i="33"/>
  <c r="T33" i="33"/>
  <c r="S33" i="33"/>
  <c r="R33" i="33"/>
  <c r="T43" i="33"/>
  <c r="S43" i="33"/>
  <c r="R43" i="33"/>
  <c r="T37" i="33"/>
  <c r="S37" i="33"/>
  <c r="R37" i="33"/>
  <c r="T39" i="33"/>
  <c r="S39" i="33"/>
  <c r="R39" i="33"/>
  <c r="T38" i="33"/>
  <c r="S38" i="33"/>
  <c r="R38" i="33"/>
  <c r="T30" i="33"/>
  <c r="S30" i="33"/>
  <c r="R30" i="33"/>
  <c r="T10" i="33"/>
  <c r="S10" i="33"/>
  <c r="R10" i="33"/>
  <c r="T31" i="33"/>
  <c r="S31" i="33"/>
  <c r="R31" i="33"/>
  <c r="T22" i="33"/>
  <c r="S22" i="33"/>
  <c r="R22" i="33"/>
  <c r="T25" i="33"/>
  <c r="S25" i="33"/>
  <c r="R25" i="33"/>
  <c r="T24" i="33"/>
  <c r="S24" i="33"/>
  <c r="R24" i="33"/>
  <c r="T29" i="33"/>
  <c r="S29" i="33"/>
  <c r="R29" i="33"/>
  <c r="T26" i="33"/>
  <c r="S26" i="33"/>
  <c r="R26" i="33"/>
  <c r="T18" i="33"/>
  <c r="S18" i="33"/>
  <c r="R18" i="33"/>
  <c r="T13" i="33"/>
  <c r="S13" i="33"/>
  <c r="R13" i="33"/>
  <c r="T19" i="33"/>
  <c r="S19" i="33"/>
  <c r="R19" i="33"/>
  <c r="T23" i="33"/>
  <c r="S23" i="33"/>
  <c r="R23" i="33"/>
  <c r="T15" i="33"/>
  <c r="S15" i="33"/>
  <c r="R15" i="33"/>
  <c r="T16" i="33"/>
  <c r="S16" i="33"/>
  <c r="R16" i="33"/>
  <c r="T17" i="33"/>
  <c r="S17" i="33"/>
  <c r="R17" i="33"/>
  <c r="T12" i="33"/>
  <c r="S12" i="33"/>
  <c r="R12" i="33"/>
  <c r="T11" i="33"/>
  <c r="S11" i="33"/>
  <c r="R11" i="33"/>
  <c r="T21" i="33"/>
  <c r="S21" i="33"/>
  <c r="R21" i="33"/>
  <c r="T28" i="33"/>
  <c r="S28" i="33"/>
  <c r="R28" i="33"/>
  <c r="T8" i="33"/>
  <c r="S8" i="33"/>
  <c r="R8" i="33"/>
  <c r="T9" i="33"/>
  <c r="S9" i="33"/>
  <c r="R9" i="33"/>
  <c r="T7" i="33"/>
  <c r="S7" i="33"/>
  <c r="R7" i="33"/>
  <c r="F7" i="33" l="1"/>
  <c r="J46" i="33"/>
  <c r="I10" i="3"/>
  <c r="L46" i="33"/>
  <c r="I17" i="3"/>
  <c r="N46" i="33"/>
  <c r="I23" i="3"/>
  <c r="I46" i="33"/>
  <c r="I6" i="3"/>
  <c r="O46" i="33"/>
  <c r="I25" i="3"/>
  <c r="Q46" i="33"/>
  <c r="I32" i="3"/>
  <c r="F40" i="33"/>
  <c r="F42" i="33"/>
  <c r="F14" i="33"/>
  <c r="F27" i="33"/>
  <c r="F20" i="33"/>
  <c r="F33" i="33"/>
  <c r="F37" i="33"/>
  <c r="F38" i="33"/>
  <c r="F10" i="33"/>
  <c r="F22" i="33"/>
  <c r="F24" i="33"/>
  <c r="F26" i="33"/>
  <c r="F13" i="33"/>
  <c r="F23" i="33"/>
  <c r="F16" i="33"/>
  <c r="F12" i="33"/>
  <c r="F21" i="33"/>
  <c r="F8" i="33"/>
  <c r="F44" i="33"/>
  <c r="F35" i="33"/>
  <c r="F41" i="33"/>
  <c r="F32" i="33"/>
  <c r="F36" i="33"/>
  <c r="F34" i="33"/>
  <c r="F43" i="33"/>
  <c r="F39" i="33"/>
  <c r="F30" i="33"/>
  <c r="F31" i="33"/>
  <c r="F25" i="33"/>
  <c r="F29" i="33"/>
  <c r="F18" i="33"/>
  <c r="F19" i="33"/>
  <c r="F15" i="33"/>
  <c r="F17" i="33"/>
  <c r="F11" i="33"/>
  <c r="F28" i="33"/>
  <c r="F9" i="33"/>
  <c r="S45" i="33"/>
  <c r="T45" i="33"/>
  <c r="A42" i="33" l="1"/>
  <c r="A35" i="33"/>
  <c r="A41" i="33"/>
  <c r="A19" i="33"/>
  <c r="A32" i="33"/>
  <c r="A36" i="33"/>
  <c r="A33" i="33"/>
  <c r="A38" i="33"/>
  <c r="A22" i="33"/>
  <c r="A29" i="33"/>
  <c r="A16" i="33"/>
  <c r="A12" i="33"/>
  <c r="A8" i="33"/>
  <c r="A7" i="33"/>
  <c r="A44" i="33"/>
  <c r="A34" i="33"/>
  <c r="A39" i="33"/>
  <c r="A31" i="33"/>
  <c r="A26" i="33"/>
  <c r="A23" i="33"/>
  <c r="A14" i="33"/>
  <c r="A27" i="33"/>
  <c r="A20" i="33"/>
  <c r="A43" i="33"/>
  <c r="A30" i="33"/>
  <c r="A24" i="33"/>
  <c r="A13" i="33"/>
  <c r="A15" i="33"/>
  <c r="A17" i="33"/>
  <c r="A11" i="33"/>
  <c r="A9" i="33"/>
  <c r="A28" i="33"/>
  <c r="A40" i="33"/>
  <c r="A37" i="33"/>
  <c r="A10" i="33"/>
  <c r="A25" i="33"/>
  <c r="A18" i="33"/>
  <c r="A21" i="33"/>
  <c r="C51" i="1" l="1"/>
  <c r="W23" i="15" l="1"/>
  <c r="W22" i="15"/>
  <c r="W21" i="15"/>
  <c r="W20" i="15"/>
  <c r="X10" i="15"/>
  <c r="X12" i="15" l="1"/>
  <c r="X14" i="15"/>
  <c r="X16" i="15"/>
  <c r="X18" i="15"/>
  <c r="X9" i="15"/>
  <c r="X11" i="15"/>
  <c r="X13" i="15"/>
  <c r="X17" i="15"/>
  <c r="M44" i="1" l="1"/>
  <c r="G52" i="1" l="1"/>
  <c r="E4" i="22" l="1"/>
  <c r="D4" i="22"/>
  <c r="M73" i="1"/>
  <c r="M23" i="1"/>
  <c r="D33" i="3"/>
  <c r="A1" i="23" s="1"/>
  <c r="D22" i="3"/>
  <c r="A1" i="25" s="1"/>
  <c r="D7" i="3"/>
  <c r="M95" i="1" l="1"/>
  <c r="M76" i="1"/>
  <c r="M70" i="1"/>
  <c r="M63" i="1"/>
  <c r="M54" i="1"/>
  <c r="M39" i="1"/>
  <c r="D32" i="3"/>
  <c r="A1" i="8" s="1"/>
  <c r="D30" i="3"/>
  <c r="A1" i="13" s="1"/>
  <c r="D25" i="3"/>
  <c r="A1" i="11" s="1"/>
  <c r="D23" i="3"/>
  <c r="A1" i="35" s="1"/>
  <c r="D21" i="3"/>
  <c r="A1" i="12" s="1"/>
  <c r="D17" i="3"/>
  <c r="A1" i="6" s="1"/>
  <c r="D15" i="3"/>
  <c r="A1" i="10" s="1"/>
  <c r="D11" i="3"/>
  <c r="A1" i="14" s="1"/>
  <c r="D10" i="3"/>
  <c r="A1" i="9" s="1"/>
  <c r="D6" i="3"/>
  <c r="A1" i="4" s="1"/>
  <c r="M17" i="1" l="1"/>
  <c r="G1" i="23" l="1"/>
  <c r="E1" i="22"/>
  <c r="F1" i="25"/>
  <c r="G1" i="20"/>
  <c r="H1" i="8"/>
  <c r="E1" i="13"/>
  <c r="F1" i="11"/>
  <c r="E1" i="12"/>
  <c r="H1" i="6"/>
  <c r="F1" i="10"/>
  <c r="Q1" i="15"/>
  <c r="F1" i="14"/>
  <c r="F1" i="9"/>
  <c r="E1" i="4"/>
  <c r="N31" i="1" l="1"/>
  <c r="A4" i="25" l="1"/>
  <c r="A3" i="25"/>
  <c r="A2" i="25"/>
  <c r="L29" i="1"/>
  <c r="A3" i="23" l="1"/>
  <c r="A2" i="23"/>
  <c r="A1" i="20" l="1"/>
  <c r="A4" i="23" l="1"/>
  <c r="A4" i="12"/>
  <c r="A3" i="12"/>
  <c r="A2" i="12"/>
  <c r="A3" i="4"/>
  <c r="A4" i="4"/>
  <c r="A2" i="4"/>
  <c r="L37" i="1" l="1"/>
  <c r="L31" i="1"/>
  <c r="C15" i="22" l="1"/>
  <c r="C16" i="22"/>
  <c r="C17" i="22"/>
  <c r="C18" i="22"/>
  <c r="C19" i="22"/>
  <c r="C20" i="22"/>
  <c r="C21" i="22"/>
  <c r="C22" i="22"/>
  <c r="C23" i="22"/>
  <c r="E9" i="1" l="1"/>
  <c r="E10" i="1"/>
  <c r="C8" i="22"/>
  <c r="C7" i="22"/>
  <c r="C13" i="22"/>
  <c r="C10" i="22"/>
  <c r="C11" i="22"/>
  <c r="C9" i="22"/>
  <c r="C12" i="22"/>
  <c r="C14" i="22"/>
  <c r="C6" i="22"/>
  <c r="E3" i="22"/>
  <c r="D3" i="22"/>
  <c r="A4" i="20"/>
  <c r="A3" i="20"/>
  <c r="A2" i="20"/>
  <c r="H9" i="1"/>
  <c r="H10" i="1"/>
  <c r="A4" i="15"/>
  <c r="A3" i="15"/>
  <c r="A2" i="15"/>
  <c r="X40" i="15"/>
  <c r="X38" i="15"/>
  <c r="Y32" i="15"/>
  <c r="Z31" i="15"/>
  <c r="Y30" i="15"/>
  <c r="Y28" i="15"/>
  <c r="A3" i="14"/>
  <c r="A4" i="14"/>
  <c r="A2" i="14"/>
  <c r="H1" i="14"/>
  <c r="A4" i="13"/>
  <c r="A3" i="13"/>
  <c r="G1" i="13"/>
  <c r="G1" i="12"/>
  <c r="A4" i="11"/>
  <c r="A3" i="11"/>
  <c r="A2" i="11"/>
  <c r="A4" i="10"/>
  <c r="A3" i="10"/>
  <c r="A2" i="10"/>
  <c r="A4" i="9"/>
  <c r="A3" i="9"/>
  <c r="A2" i="9"/>
  <c r="H1" i="11"/>
  <c r="H1" i="10"/>
  <c r="H1" i="9"/>
  <c r="A4" i="8"/>
  <c r="A3" i="8"/>
  <c r="A2" i="8"/>
  <c r="A4" i="6"/>
  <c r="A3" i="6"/>
  <c r="A2" i="6"/>
  <c r="J1" i="8"/>
  <c r="J1" i="6"/>
  <c r="G1" i="4"/>
  <c r="H6" i="1"/>
  <c r="I31" i="3"/>
  <c r="H7" i="1"/>
  <c r="F7" i="1"/>
  <c r="E7" i="1"/>
  <c r="K10" i="1"/>
  <c r="K16" i="1"/>
  <c r="K32" i="1"/>
  <c r="K38" i="1"/>
  <c r="Z29" i="15"/>
  <c r="Y29" i="15"/>
  <c r="AA29" i="15"/>
  <c r="Y31" i="15"/>
  <c r="AA31" i="15"/>
  <c r="X37" i="15"/>
  <c r="X39" i="15"/>
  <c r="X43" i="15"/>
  <c r="X46" i="15"/>
  <c r="X45" i="15"/>
  <c r="X42" i="15"/>
  <c r="Z27" i="15" l="1"/>
  <c r="X25" i="15" s="1"/>
  <c r="AA27" i="15"/>
  <c r="X26" i="15" s="1"/>
  <c r="Y27" i="15"/>
  <c r="X27" i="15" s="1"/>
  <c r="X30" i="15" l="1"/>
  <c r="X31" i="15"/>
  <c r="X32" i="15"/>
  <c r="X29" i="15"/>
  <c r="X28" i="15"/>
</calcChain>
</file>

<file path=xl/comments1.xml><?xml version="1.0" encoding="utf-8"?>
<comments xmlns="http://schemas.openxmlformats.org/spreadsheetml/2006/main">
  <authors>
    <author>Author</author>
  </authors>
  <commentList>
    <comment ref="F6" authorId="0">
      <text>
        <r>
          <rPr>
            <b/>
            <sz val="8"/>
            <color indexed="81"/>
            <rFont val="Tahoma"/>
            <family val="2"/>
            <charset val="186"/>
          </rPr>
          <t>Kohtla-Järve, Spordi 2, 
Vanalinna petangihall</t>
        </r>
      </text>
    </comment>
    <comment ref="F7" authorId="0">
      <text>
        <r>
          <rPr>
            <b/>
            <sz val="8"/>
            <color indexed="81"/>
            <rFont val="Tahoma"/>
            <family val="2"/>
            <charset val="186"/>
          </rPr>
          <t>Kohtla-Järve, Spordi 2, 
Vanalinna petangihall</t>
        </r>
      </text>
    </comment>
    <comment ref="F10" authorId="0">
      <text>
        <r>
          <rPr>
            <b/>
            <sz val="8"/>
            <color indexed="81"/>
            <rFont val="Tahoma"/>
            <family val="2"/>
            <charset val="186"/>
          </rPr>
          <t>Kohtla-Järve, Spordi 2, 
Vanalinna petangihall</t>
        </r>
      </text>
    </comment>
    <comment ref="F11" authorId="0">
      <text>
        <r>
          <rPr>
            <b/>
            <sz val="8"/>
            <color indexed="81"/>
            <rFont val="Tahoma"/>
            <family val="2"/>
            <charset val="186"/>
          </rPr>
          <t>Kohtla-Järve, Spordi 2, 
Vanalinna petangihall</t>
        </r>
      </text>
    </comment>
    <comment ref="F12" authorId="0">
      <text>
        <r>
          <rPr>
            <b/>
            <sz val="8"/>
            <color indexed="81"/>
            <rFont val="Tahoma"/>
            <family val="2"/>
            <charset val="186"/>
          </rPr>
          <t>Kohtla-Järve, Spordi 2, 
Vanalinna petangihall</t>
        </r>
      </text>
    </comment>
    <comment ref="F14" authorId="0">
      <text>
        <r>
          <rPr>
            <b/>
            <sz val="8"/>
            <color indexed="81"/>
            <rFont val="Tahoma"/>
            <family val="2"/>
            <charset val="186"/>
          </rPr>
          <t>Kohtla-Järve, Spordi 2, 
Vanalinna petangihall</t>
        </r>
      </text>
    </comment>
    <comment ref="F15" authorId="0">
      <text>
        <r>
          <rPr>
            <b/>
            <sz val="8"/>
            <color indexed="81"/>
            <rFont val="Tahoma"/>
            <family val="2"/>
            <charset val="186"/>
          </rPr>
          <t>Kohtla-Järve, Spordi 2, 
Vanalinna petangihall</t>
        </r>
      </text>
    </comment>
    <comment ref="F16" authorId="0">
      <text>
        <r>
          <rPr>
            <b/>
            <sz val="8"/>
            <color indexed="81"/>
            <rFont val="Tahoma"/>
            <family val="2"/>
            <charset val="186"/>
          </rPr>
          <t>Kohtla-Järve, Spordi 2, 
Vanalinna petangihall</t>
        </r>
      </text>
    </comment>
    <comment ref="F17" authorId="0">
      <text>
        <r>
          <rPr>
            <b/>
            <sz val="8"/>
            <color indexed="81"/>
            <rFont val="Tahoma"/>
            <family val="2"/>
            <charset val="186"/>
          </rPr>
          <t>Kohtla-Järve, Spordi 2, 
Vanalinna petangihall</t>
        </r>
      </text>
    </comment>
    <comment ref="F20" authorId="0">
      <text>
        <r>
          <rPr>
            <b/>
            <sz val="8"/>
            <color indexed="81"/>
            <rFont val="Tahoma"/>
            <family val="2"/>
            <charset val="186"/>
          </rPr>
          <t>Tallinn, Algi 38</t>
        </r>
      </text>
    </comment>
    <comment ref="F21" authorId="0">
      <text>
        <r>
          <rPr>
            <b/>
            <sz val="8"/>
            <color indexed="81"/>
            <rFont val="Tahoma"/>
            <family val="2"/>
            <charset val="186"/>
          </rPr>
          <t>Kohtla-Järve, Spordi 2, 
Vanalinna petangihall</t>
        </r>
      </text>
    </comment>
    <comment ref="F22" authorId="0">
      <text>
        <r>
          <rPr>
            <b/>
            <sz val="8"/>
            <color indexed="81"/>
            <rFont val="Tahoma"/>
            <family val="2"/>
            <charset val="186"/>
          </rPr>
          <t>Kohtla-Järve, Spordi 2, 
Vanalinna petangihall</t>
        </r>
      </text>
    </comment>
    <comment ref="F23" authorId="0">
      <text>
        <r>
          <rPr>
            <b/>
            <sz val="8"/>
            <color indexed="81"/>
            <rFont val="Tahoma"/>
            <family val="2"/>
            <charset val="186"/>
          </rPr>
          <t>Kohtla-Järve, Spordi 2, 
Vanalinna petangihall</t>
        </r>
      </text>
    </comment>
    <comment ref="F25" authorId="0">
      <text>
        <r>
          <rPr>
            <b/>
            <sz val="8"/>
            <color indexed="81"/>
            <rFont val="Tahoma"/>
            <family val="2"/>
            <charset val="186"/>
          </rPr>
          <t>Kohtla-Järve, Spordi 2, 
Vanalinna petangihall</t>
        </r>
      </text>
    </comment>
    <comment ref="F26" authorId="0">
      <text>
        <r>
          <rPr>
            <b/>
            <sz val="8"/>
            <color indexed="81"/>
            <rFont val="Tahoma"/>
            <family val="2"/>
            <charset val="186"/>
          </rPr>
          <t>Kohtla-Järve, Spordi 2, 
Vanalinna petangihall</t>
        </r>
      </text>
    </comment>
    <comment ref="H26" authorId="0">
      <text>
        <r>
          <rPr>
            <b/>
            <sz val="8"/>
            <color indexed="81"/>
            <rFont val="Tahoma"/>
            <family val="2"/>
            <charset val="186"/>
          </rPr>
          <t>Juunioridel 2 €</t>
        </r>
      </text>
    </comment>
    <comment ref="F27" authorId="0">
      <text>
        <r>
          <rPr>
            <b/>
            <sz val="8"/>
            <color indexed="81"/>
            <rFont val="Tahoma"/>
            <family val="2"/>
            <charset val="186"/>
          </rPr>
          <t>Kohtla-Järve, Spordi 2, 
Vanalinna petangihall</t>
        </r>
      </text>
    </comment>
    <comment ref="H27" authorId="0">
      <text>
        <r>
          <rPr>
            <b/>
            <sz val="8"/>
            <color indexed="81"/>
            <rFont val="Tahoma"/>
            <family val="2"/>
            <charset val="186"/>
          </rPr>
          <t>Juunioridel 2 €</t>
        </r>
      </text>
    </comment>
    <comment ref="F30" authorId="0">
      <text>
        <r>
          <rPr>
            <b/>
            <sz val="8"/>
            <color indexed="81"/>
            <rFont val="Tahoma"/>
            <family val="2"/>
            <charset val="186"/>
          </rPr>
          <t>Kohtla-Järve, Spordi 2, 
Vanalinna petangihall</t>
        </r>
      </text>
    </comment>
    <comment ref="F31" authorId="0">
      <text>
        <r>
          <rPr>
            <b/>
            <sz val="8"/>
            <color indexed="81"/>
            <rFont val="Tahoma"/>
            <family val="2"/>
            <charset val="186"/>
          </rPr>
          <t>Kohtla-Järve, Spordi 2, 
Vanalinna petangihall</t>
        </r>
      </text>
    </comment>
    <comment ref="F32" authorId="0">
      <text>
        <r>
          <rPr>
            <b/>
            <sz val="8"/>
            <color indexed="81"/>
            <rFont val="Tahoma"/>
            <family val="2"/>
            <charset val="186"/>
          </rPr>
          <t>Kohtla-Järve, Spordi 2, 
Vanalinna petangihall</t>
        </r>
      </text>
    </comment>
    <comment ref="F33" authorId="0">
      <text>
        <r>
          <rPr>
            <b/>
            <sz val="8"/>
            <color indexed="81"/>
            <rFont val="Tahoma"/>
            <family val="2"/>
            <charset val="186"/>
          </rPr>
          <t>Tallinn, Algi 38</t>
        </r>
      </text>
    </comment>
    <comment ref="I33" authorId="0">
      <text>
        <r>
          <rPr>
            <b/>
            <sz val="8"/>
            <color indexed="81"/>
            <rFont val="Tahoma"/>
            <family val="2"/>
            <charset val="186"/>
          </rPr>
          <t>Regioonide karika juhend</t>
        </r>
      </text>
    </comment>
  </commentList>
</comments>
</file>

<file path=xl/comments2.xml><?xml version="1.0" encoding="utf-8"?>
<comments xmlns="http://schemas.openxmlformats.org/spreadsheetml/2006/main">
  <authors>
    <author>Author</author>
  </authors>
  <commentList>
    <comment ref="E7" authorId="0">
      <text>
        <r>
          <rPr>
            <b/>
            <sz val="8"/>
            <color indexed="81"/>
            <rFont val="Tahoma"/>
            <family val="2"/>
            <charset val="186"/>
          </rPr>
          <t>Monaco, 
ZAC Saint-Antoine</t>
        </r>
      </text>
    </comment>
    <comment ref="K10" authorId="0">
      <text>
        <r>
          <rPr>
            <b/>
            <sz val="8"/>
            <color indexed="81"/>
            <rFont val="Tahoma"/>
            <family val="2"/>
            <charset val="186"/>
          </rPr>
          <t>Monaco, 
ZAC Saint-Antoine</t>
        </r>
      </text>
    </comment>
    <comment ref="K14" authorId="0">
      <text>
        <r>
          <rPr>
            <b/>
            <sz val="8"/>
            <color indexed="81"/>
            <rFont val="Tahoma"/>
            <family val="2"/>
            <charset val="186"/>
          </rPr>
          <t>Tallinn, Algi 38</t>
        </r>
      </text>
    </comment>
    <comment ref="K16" authorId="0">
      <text>
        <r>
          <rPr>
            <b/>
            <sz val="8"/>
            <color indexed="81"/>
            <rFont val="Tahoma"/>
            <family val="2"/>
            <charset val="186"/>
          </rPr>
          <t xml:space="preserve">Rootsi, Halmstad, Gentoftevägen 1 - Ståhlhallen. 
</t>
        </r>
        <r>
          <rPr>
            <sz val="8"/>
            <color indexed="81"/>
            <rFont val="Tahoma"/>
            <family val="2"/>
            <charset val="186"/>
          </rPr>
          <t>Algselt pidi toimuma Prantsusmaal Nîmes, kuid prantslased ei saanud korraldamisega hakkama</t>
        </r>
      </text>
    </comment>
    <comment ref="M22" authorId="0">
      <text>
        <r>
          <rPr>
            <b/>
            <sz val="8"/>
            <color indexed="81"/>
            <rFont val="Tahoma"/>
            <family val="2"/>
            <charset val="186"/>
          </rPr>
          <t>Tallinn, Algi 38</t>
        </r>
      </text>
    </comment>
    <comment ref="K29" authorId="0">
      <text>
        <r>
          <rPr>
            <b/>
            <sz val="8"/>
            <color indexed="81"/>
            <rFont val="Tahoma"/>
            <family val="2"/>
            <charset val="186"/>
          </rPr>
          <t>Tallinn, Algi 38</t>
        </r>
      </text>
    </comment>
    <comment ref="K32" authorId="0">
      <text>
        <r>
          <rPr>
            <b/>
            <sz val="8"/>
            <color indexed="81"/>
            <rFont val="Tahoma"/>
            <family val="2"/>
            <charset val="186"/>
          </rPr>
          <t>Palais de sport et de la Culture Mahamasina, Rue Andriba, Antananarivo, Madagaskar</t>
        </r>
      </text>
    </comment>
    <comment ref="M32" authorId="0">
      <text>
        <r>
          <rPr>
            <b/>
            <sz val="8"/>
            <color indexed="81"/>
            <rFont val="Tahoma"/>
            <family val="2"/>
            <charset val="186"/>
          </rPr>
          <t>Toimumiskoht ja -aeg kinnitati 20.05.2016</t>
        </r>
      </text>
    </comment>
    <comment ref="M35" authorId="0">
      <text>
        <r>
          <rPr>
            <b/>
            <sz val="8"/>
            <color indexed="81"/>
            <rFont val="Tahoma"/>
            <family val="2"/>
            <charset val="186"/>
          </rPr>
          <t>Tallinn, Algi 38</t>
        </r>
      </text>
    </comment>
    <comment ref="K38" authorId="0">
      <text>
        <r>
          <rPr>
            <b/>
            <sz val="8"/>
            <color indexed="81"/>
            <rFont val="Tahoma"/>
            <family val="2"/>
            <charset val="186"/>
          </rPr>
          <t>Ålgårdsvägen 30, Borås, Rootsi</t>
        </r>
      </text>
    </comment>
    <comment ref="K41" authorId="0">
      <text>
        <r>
          <rPr>
            <b/>
            <sz val="8"/>
            <color indexed="81"/>
            <rFont val="Tahoma"/>
            <family val="2"/>
            <charset val="186"/>
          </rPr>
          <t>Tallinn, Algi 38</t>
        </r>
      </text>
    </comment>
    <comment ref="L41" authorId="0">
      <text>
        <r>
          <rPr>
            <b/>
            <sz val="8"/>
            <color indexed="81"/>
            <rFont val="Tahoma"/>
            <family val="2"/>
            <charset val="186"/>
          </rPr>
          <t>Tallinn, Algi 38</t>
        </r>
      </text>
    </comment>
    <comment ref="L44" authorId="0">
      <text>
        <r>
          <rPr>
            <b/>
            <sz val="8"/>
            <color indexed="81"/>
            <rFont val="Tahoma"/>
            <family val="2"/>
            <charset val="186"/>
          </rPr>
          <t>jõululaupäev</t>
        </r>
      </text>
    </comment>
    <comment ref="N44" authorId="0">
      <text>
        <r>
          <rPr>
            <b/>
            <sz val="8"/>
            <color indexed="81"/>
            <rFont val="Tahoma"/>
            <family val="2"/>
            <charset val="186"/>
          </rPr>
          <t>esimene jõulupüha</t>
        </r>
      </text>
    </comment>
    <comment ref="B47" authorId="0">
      <text>
        <r>
          <rPr>
            <b/>
            <sz val="8"/>
            <color indexed="81"/>
            <rFont val="Tahoma"/>
            <family val="2"/>
            <charset val="186"/>
          </rPr>
          <t>teine jõulupüha</t>
        </r>
      </text>
    </comment>
    <comment ref="N47" authorId="0">
      <text>
        <r>
          <rPr>
            <b/>
            <sz val="8"/>
            <color indexed="81"/>
            <rFont val="Tahoma"/>
            <family val="2"/>
            <charset val="186"/>
          </rPr>
          <t>uusaasta</t>
        </r>
      </text>
    </comment>
    <comment ref="K53" authorId="0">
      <text>
        <r>
          <rPr>
            <b/>
            <sz val="8"/>
            <color indexed="81"/>
            <rFont val="Tahoma"/>
            <family val="2"/>
            <charset val="186"/>
          </rPr>
          <t>Tallinn, Algi 38</t>
        </r>
      </text>
    </comment>
    <comment ref="M53" authorId="0">
      <text>
        <r>
          <rPr>
            <b/>
            <sz val="8"/>
            <color indexed="81"/>
            <rFont val="Tahoma"/>
            <family val="2"/>
            <charset val="186"/>
          </rPr>
          <t>Tallinn, Algi 38</t>
        </r>
      </text>
    </comment>
    <comment ref="K59" authorId="0">
      <text>
        <r>
          <rPr>
            <b/>
            <sz val="8"/>
            <color indexed="81"/>
            <rFont val="Tahoma"/>
            <family val="2"/>
            <charset val="186"/>
          </rPr>
          <t>Tallinn, Algi 38</t>
        </r>
      </text>
    </comment>
    <comment ref="M59" authorId="0">
      <text>
        <r>
          <rPr>
            <b/>
            <sz val="8"/>
            <color indexed="81"/>
            <rFont val="Tahoma"/>
            <family val="2"/>
            <charset val="186"/>
          </rPr>
          <t>Tallinn, Algi 38</t>
        </r>
      </text>
    </comment>
    <comment ref="K62" authorId="0">
      <text>
        <r>
          <rPr>
            <b/>
            <sz val="8"/>
            <color indexed="81"/>
            <rFont val="Tahoma"/>
            <family val="2"/>
            <charset val="186"/>
          </rPr>
          <t>Tallinn, Algi 38</t>
        </r>
      </text>
    </comment>
    <comment ref="K69" authorId="0">
      <text>
        <r>
          <rPr>
            <b/>
            <sz val="8"/>
            <color indexed="81"/>
            <rFont val="Tahoma"/>
            <family val="2"/>
            <charset val="186"/>
          </rPr>
          <t>Tallinn, Algi 38</t>
        </r>
      </text>
    </comment>
    <comment ref="K72" authorId="0">
      <text>
        <r>
          <rPr>
            <b/>
            <sz val="8"/>
            <color indexed="81"/>
            <rFont val="Tahoma"/>
            <family val="2"/>
            <charset val="186"/>
          </rPr>
          <t>Tallinn, Algi 38</t>
        </r>
      </text>
    </comment>
    <comment ref="J76" authorId="0">
      <text>
        <r>
          <rPr>
            <b/>
            <sz val="8"/>
            <color indexed="81"/>
            <rFont val="Tahoma"/>
            <family val="2"/>
            <charset val="186"/>
          </rPr>
          <t>iseseisvuspäev, 
Eesti Vabariigi aastapäev</t>
        </r>
      </text>
    </comment>
    <comment ref="K82" authorId="0">
      <text>
        <r>
          <rPr>
            <b/>
            <sz val="8"/>
            <color indexed="81"/>
            <rFont val="Tahoma"/>
            <family val="2"/>
            <charset val="186"/>
          </rPr>
          <t>Tallinn, Algi 38</t>
        </r>
      </text>
    </comment>
    <comment ref="K84" authorId="0">
      <text>
        <r>
          <rPr>
            <b/>
            <sz val="8"/>
            <color indexed="81"/>
            <rFont val="Tahoma"/>
            <family val="2"/>
            <charset val="186"/>
          </rPr>
          <t>Helsingi, Pasila petangihall
kell 10:30</t>
        </r>
      </text>
    </comment>
    <comment ref="M84" authorId="0">
      <text>
        <r>
          <rPr>
            <b/>
            <sz val="8"/>
            <color indexed="81"/>
            <rFont val="Tahoma"/>
            <family val="2"/>
            <charset val="186"/>
          </rPr>
          <t>Helsingi, Pasila petangihall
kell 10:30</t>
        </r>
      </text>
    </comment>
    <comment ref="K93" authorId="0">
      <text>
        <r>
          <rPr>
            <b/>
            <sz val="8"/>
            <color indexed="81"/>
            <rFont val="Tahoma"/>
            <family val="2"/>
            <charset val="186"/>
          </rPr>
          <t>Tallinn, Algi 38</t>
        </r>
      </text>
    </comment>
    <comment ref="K95" authorId="0">
      <text>
        <r>
          <rPr>
            <b/>
            <sz val="8"/>
            <color indexed="81"/>
            <rFont val="Tahoma"/>
            <family val="2"/>
            <charset val="186"/>
          </rPr>
          <t>Osavõtutasu: täiskasvanud 5 €, juuniorid 1 €</t>
        </r>
      </text>
    </comment>
    <comment ref="K97" authorId="0">
      <text>
        <r>
          <rPr>
            <b/>
            <sz val="8"/>
            <color indexed="81"/>
            <rFont val="Tahoma"/>
            <family val="2"/>
            <charset val="186"/>
          </rPr>
          <t>Tallinn, Algi 38</t>
        </r>
      </text>
    </comment>
    <comment ref="K98" authorId="0">
      <text>
        <r>
          <rPr>
            <b/>
            <sz val="8"/>
            <color indexed="81"/>
            <rFont val="Tahoma"/>
            <family val="2"/>
            <charset val="186"/>
          </rPr>
          <t>Eestit esindab EuroCup-il Kohtla-Järve Spordihuvi klubi</t>
        </r>
      </text>
    </comment>
    <comment ref="K100" authorId="0">
      <text>
        <r>
          <rPr>
            <b/>
            <sz val="8"/>
            <color indexed="81"/>
            <rFont val="Tahoma"/>
            <family val="2"/>
            <charset val="186"/>
          </rPr>
          <t>Google-i kaardil on võõrustav Taani klubi "Hedebo Petanque Club" Karlslundes, mis asub Kopenhaageni lähedal (32 km Kastrupi lennujaamast). 
Tõenäoliselt toimub EuroCup hoovi ehitatud uues hallis Karlslundehallerne, mida google kaardil veel ei ole.</t>
        </r>
      </text>
    </comment>
    <comment ref="M100" authorId="0">
      <text>
        <r>
          <rPr>
            <b/>
            <sz val="8"/>
            <color indexed="81"/>
            <rFont val="Tahoma"/>
            <family val="2"/>
            <charset val="186"/>
          </rPr>
          <t>Tallinn, Algi 38</t>
        </r>
      </text>
    </comment>
    <comment ref="J101" authorId="0">
      <text>
        <r>
          <rPr>
            <b/>
            <sz val="8"/>
            <color indexed="81"/>
            <rFont val="Tahoma"/>
            <family val="2"/>
            <charset val="186"/>
          </rPr>
          <t>suur reede</t>
        </r>
      </text>
    </comment>
    <comment ref="N101" authorId="0">
      <text>
        <r>
          <rPr>
            <b/>
            <sz val="8"/>
            <color indexed="81"/>
            <rFont val="Tahoma"/>
            <family val="2"/>
            <charset val="186"/>
          </rPr>
          <t>ülestõusmispühade 1. püha</t>
        </r>
      </text>
    </comment>
    <comment ref="M104" authorId="0">
      <text>
        <r>
          <rPr>
            <b/>
            <sz val="8"/>
            <color indexed="81"/>
            <rFont val="Tahoma"/>
            <family val="2"/>
            <charset val="186"/>
          </rPr>
          <t>Toimub 5 võistlust: 
- meeste üksik
- naiste üksik
- meeste duo
- naiste duo
- segaduo
Osaleda saab igast riigist 2 meest ja 2 naist. 
Igaüks neist tohib osaleda kahel võistlusel. 
Eestit esindavad MM-il: 
Andero Kelu, Kaido Kopel, 
Maive Sein, Varje Reede</t>
        </r>
      </text>
    </comment>
    <comment ref="K105" authorId="0">
      <text>
        <r>
          <rPr>
            <b/>
            <sz val="8"/>
            <color indexed="81"/>
            <rFont val="Tahoma"/>
            <family val="2"/>
            <charset val="186"/>
          </rPr>
          <t>Gent, Zuiderlaan 14 - Topsporthal Vlaanderen</t>
        </r>
      </text>
    </comment>
    <comment ref="K108" authorId="0">
      <text>
        <r>
          <rPr>
            <b/>
            <sz val="8"/>
            <color indexed="81"/>
            <rFont val="Tahoma"/>
            <family val="2"/>
            <charset val="186"/>
          </rPr>
          <t>Tallinn, Algi 38</t>
        </r>
      </text>
    </comment>
    <comment ref="M108" authorId="0">
      <text>
        <r>
          <rPr>
            <b/>
            <sz val="8"/>
            <color indexed="81"/>
            <rFont val="Tahoma"/>
            <family val="2"/>
            <charset val="186"/>
          </rPr>
          <t>Tallinn, Algi 38</t>
        </r>
      </text>
    </comment>
  </commentList>
</comments>
</file>

<file path=xl/comments3.xml><?xml version="1.0" encoding="utf-8"?>
<comments xmlns="http://schemas.openxmlformats.org/spreadsheetml/2006/main">
  <authors>
    <author>Author</author>
  </authors>
  <commentList>
    <comment ref="Q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M3" authorId="0">
      <text>
        <r>
          <rPr>
            <b/>
            <sz val="8"/>
            <color indexed="81"/>
            <rFont val="Tahoma"/>
            <family val="2"/>
            <charset val="186"/>
          </rPr>
          <t>Teada saime sellise autasu olemasolust  alles 3. etapi lõpus</t>
        </r>
      </text>
    </comment>
    <comment ref="A6" authorId="0">
      <text>
        <r>
          <rPr>
            <b/>
            <sz val="8"/>
            <color indexed="81"/>
            <rFont val="Tahoma"/>
            <family val="2"/>
            <charset val="186"/>
          </rPr>
          <t>Valem arvutab punktisumma järgi võistleja koha. 
Võrdse punktisumma korral annab kõrgema koha võistlejale, kellel on rohkem 40-t, siis rohkem 34-a, 30-t jne.
Valem töötab Microsoft ja WPS Office-ga. 
Vahel ei tööta Libre ja Open Office-ga.</t>
        </r>
      </text>
    </comment>
    <comment ref="F6" authorId="0">
      <text>
        <r>
          <rPr>
            <b/>
            <sz val="8"/>
            <color indexed="81"/>
            <rFont val="Tahoma"/>
            <family val="2"/>
            <charset val="186"/>
          </rPr>
          <t xml:space="preserve">Valem arvutab punktisumma ja võtab kehvemad tulemused maha.
Valem töötab Microsoft ja WPS Office-ga. 
Vahel ei tööta Libre ja Open Office-ga.
</t>
        </r>
      </text>
    </comment>
  </commentList>
</comments>
</file>

<file path=xl/comments4.xml><?xml version="1.0" encoding="utf-8"?>
<comments xmlns="http://schemas.openxmlformats.org/spreadsheetml/2006/main">
  <authors>
    <author>Author</author>
  </authors>
  <commentList>
    <comment ref="Y25"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5.xml><?xml version="1.0" encoding="utf-8"?>
<comments xmlns="http://schemas.openxmlformats.org/spreadsheetml/2006/main">
  <authors>
    <author>Author</author>
  </authors>
  <commentList>
    <comment ref="I1" authorId="0">
      <text>
        <r>
          <rPr>
            <b/>
            <sz val="8"/>
            <color indexed="81"/>
            <rFont val="Tahoma"/>
            <family val="2"/>
            <charset val="186"/>
          </rPr>
          <t>Alagrupis võrdsete punktide korral selgitatakse paremusjärjestus järgnevalt: 
1) omavahelistes mängudes saavutatud võidud, 
2) omavaheliste mängude punktide vahe, 
3) üldine punktide vahe.</t>
        </r>
      </text>
    </comment>
  </commentList>
</comments>
</file>

<file path=xl/comments6.xml><?xml version="1.0" encoding="utf-8"?>
<comments xmlns="http://schemas.openxmlformats.org/spreadsheetml/2006/main">
  <authors>
    <author>Author</author>
  </authors>
  <commentList>
    <comment ref="H1" authorId="0">
      <text>
        <r>
          <rPr>
            <b/>
            <sz val="8"/>
            <color indexed="81"/>
            <rFont val="Tahoma"/>
            <family val="2"/>
            <charset val="186"/>
          </rPr>
          <t>Alagrupis võrdsete punktide korral selgitatakse paremusjärjestus järgnevalt: 
1) omavahelistes mängudes saavutatud võidud, 
2) omavaheliste mängude punktide vahe, 
3) üldine punktide vahe.</t>
        </r>
      </text>
    </comment>
  </commentList>
</comments>
</file>

<file path=xl/comments7.xml><?xml version="1.0" encoding="utf-8"?>
<comments xmlns="http://schemas.openxmlformats.org/spreadsheetml/2006/main">
  <authors>
    <author>Author</author>
  </authors>
  <commentList>
    <comment ref="F1" authorId="0">
      <text>
        <r>
          <rPr>
            <b/>
            <sz val="8"/>
            <color indexed="81"/>
            <rFont val="Tahoma"/>
            <family val="2"/>
            <charset val="186"/>
          </rPr>
          <t>Koht - Punkte
  1. - 20 p
  2. - 18 p
  3. - 16 p
  4. - 14 p
  5. - 13 p
  6. - 12 p
  7. - 11 p
  8. - 10 p
  9. -   9 p
10. -   8 p
11. -   7 p
12. -   6 p
13. -   5 p
14. -   4 p
15. -   3 p
16... - 1 p</t>
        </r>
      </text>
    </comment>
    <comment ref="C9" authorId="0">
      <text>
        <r>
          <rPr>
            <b/>
            <sz val="8"/>
            <color indexed="81"/>
            <rFont val="Tahoma"/>
            <family val="2"/>
            <charset val="186"/>
          </rPr>
          <t>Võrdsete punktide korral saab kõrgema koha teisel etapil kõrgema koha saanud võistkond.</t>
        </r>
      </text>
    </comment>
  </commentList>
</comments>
</file>

<file path=xl/sharedStrings.xml><?xml version="1.0" encoding="utf-8"?>
<sst xmlns="http://schemas.openxmlformats.org/spreadsheetml/2006/main" count="2183" uniqueCount="419">
  <si>
    <t>Esmaspäev</t>
  </si>
  <si>
    <t>Teisipäev</t>
  </si>
  <si>
    <t>Kolmapäev</t>
  </si>
  <si>
    <t>Neljapäev</t>
  </si>
  <si>
    <t>Reede</t>
  </si>
  <si>
    <t>Laupäev</t>
  </si>
  <si>
    <t>Pühapäev</t>
  </si>
  <si>
    <t>TRIO, TUL</t>
  </si>
  <si>
    <t>ÜKSIK</t>
  </si>
  <si>
    <t>DUO</t>
  </si>
  <si>
    <t>TRIO</t>
  </si>
  <si>
    <t>SEGADUO</t>
  </si>
  <si>
    <t>SEGATRIO</t>
  </si>
  <si>
    <t>Ida-Viru reitinguvõistlused on rasvases trükis ja sinise taustaga</t>
  </si>
  <si>
    <t>Viimased muudatused on punasega</t>
  </si>
  <si>
    <t>Aprill 2017</t>
  </si>
  <si>
    <t>Halmstad (Rootsi)</t>
  </si>
  <si>
    <t>November 2016</t>
  </si>
  <si>
    <t>Jaanuar 2017</t>
  </si>
  <si>
    <t>Detsember 2016</t>
  </si>
  <si>
    <t>Antananarivo (Madagask.</t>
  </si>
  <si>
    <t>Antananarivo(Madagaskar)</t>
  </si>
  <si>
    <t>Borås (Rootsi)</t>
  </si>
  <si>
    <t xml:space="preserve"> </t>
  </si>
  <si>
    <t xml:space="preserve">47. Meeste MM, </t>
  </si>
  <si>
    <t>"Jõulu(b)paar", DUO</t>
  </si>
  <si>
    <t xml:space="preserve">19. EuroCup finaal, </t>
  </si>
  <si>
    <t>Veebruar 2017</t>
  </si>
  <si>
    <t>TUL</t>
  </si>
  <si>
    <t>Märts 2017</t>
  </si>
  <si>
    <t>finaal, TRIO</t>
  </si>
  <si>
    <t>Oktoober 2016</t>
  </si>
  <si>
    <t>Monaco</t>
  </si>
  <si>
    <t>10. Jun EM, TRIO,TUL</t>
  </si>
  <si>
    <t>TRIO,TUL</t>
  </si>
  <si>
    <t xml:space="preserve">10. Juunioride EM, </t>
  </si>
  <si>
    <t>K-Järve</t>
  </si>
  <si>
    <t>EESTI JA IDA-VIRUMAA PETANGIKALENDER 2016-2017 SISE</t>
  </si>
  <si>
    <t>eelvoor, TUL</t>
  </si>
  <si>
    <t>DUO, TRIO</t>
  </si>
  <si>
    <t>Osalusi</t>
  </si>
  <si>
    <t>Esikolmikus</t>
  </si>
  <si>
    <t>Võite</t>
  </si>
  <si>
    <t>val</t>
  </si>
  <si>
    <t>Nimi</t>
  </si>
  <si>
    <t>K</t>
  </si>
  <si>
    <t>valem2</t>
  </si>
  <si>
    <t>valem1</t>
  </si>
  <si>
    <t>*</t>
  </si>
  <si>
    <t>**</t>
  </si>
  <si>
    <t>***</t>
  </si>
  <si>
    <t>Osalejaid</t>
  </si>
  <si>
    <t>Võistkondi</t>
  </si>
  <si>
    <t>Kuupäev</t>
  </si>
  <si>
    <t>Aeg</t>
  </si>
  <si>
    <t>Võistlus</t>
  </si>
  <si>
    <t>R</t>
  </si>
  <si>
    <t>Mänguviis</t>
  </si>
  <si>
    <t>Toimumiskoht</t>
  </si>
  <si>
    <t>Korraldaja</t>
  </si>
  <si>
    <t>Tasu</t>
  </si>
  <si>
    <t>Üksik</t>
  </si>
  <si>
    <t>K-Järve SHK, Ivar Viljaste</t>
  </si>
  <si>
    <t>SHK KV 2. etapp</t>
  </si>
  <si>
    <t>Duo</t>
  </si>
  <si>
    <t>Eesti reiting</t>
  </si>
  <si>
    <t>Trio</t>
  </si>
  <si>
    <t>Tulistamine</t>
  </si>
  <si>
    <t>SHK KV 3. etapp</t>
  </si>
  <si>
    <t>Erinevad</t>
  </si>
  <si>
    <t>SHK KV 4. etapp</t>
  </si>
  <si>
    <t>SHK KV 6. etapp</t>
  </si>
  <si>
    <t>Tulistamise vf, pf, finaal</t>
  </si>
  <si>
    <t>Eesti reitingusarja võistlused on kollase taustaga</t>
  </si>
  <si>
    <t>IDA-VIRUMAA PETANGIKALENDER 2016-2017 SISE</t>
  </si>
  <si>
    <t>P, 27.11.2016</t>
  </si>
  <si>
    <t>P, 18.12.2016</t>
  </si>
  <si>
    <t>Jõuluturniir</t>
  </si>
  <si>
    <t>Tulistamise eelvoor</t>
  </si>
  <si>
    <t>18:00</t>
  </si>
  <si>
    <t>vf, pf, finaal, TUL</t>
  </si>
  <si>
    <t>T, 03.01.2017</t>
  </si>
  <si>
    <t>P, 15.01.2017</t>
  </si>
  <si>
    <t>P, 25.12.2016</t>
  </si>
  <si>
    <t>N, 29.12.2016</t>
  </si>
  <si>
    <t>P, 29.01.2017</t>
  </si>
  <si>
    <t>P, 19.02.2017</t>
  </si>
  <si>
    <t>P, 26.02.2017</t>
  </si>
  <si>
    <t>P, 05.03.2017</t>
  </si>
  <si>
    <t>SHK KV 7. etapp</t>
  </si>
  <si>
    <t>L, 11.03.2017</t>
  </si>
  <si>
    <t>P, 12.03.2017</t>
  </si>
  <si>
    <t>Segaduo</t>
  </si>
  <si>
    <t>P, 02.04.2017</t>
  </si>
  <si>
    <t>SHK KV 8. etapp</t>
  </si>
  <si>
    <t>SHK KV 9. etapp</t>
  </si>
  <si>
    <t>A-puul</t>
  </si>
  <si>
    <t>1-4, 2-3</t>
  </si>
  <si>
    <t>Võitjad</t>
  </si>
  <si>
    <t>Kaotajad</t>
  </si>
  <si>
    <t>VK-KV</t>
  </si>
  <si>
    <t>Koht</t>
  </si>
  <si>
    <t>B-puul</t>
  </si>
  <si>
    <t>C-puul</t>
  </si>
  <si>
    <t>D-puul</t>
  </si>
  <si>
    <t>1 - 8 koht</t>
  </si>
  <si>
    <t>I koht</t>
  </si>
  <si>
    <t>II koht</t>
  </si>
  <si>
    <t>III koht</t>
  </si>
  <si>
    <t>4. koht</t>
  </si>
  <si>
    <t>5. koht</t>
  </si>
  <si>
    <t>6. koht</t>
  </si>
  <si>
    <t>7. koht</t>
  </si>
  <si>
    <t>8. koht</t>
  </si>
  <si>
    <t>9. koht</t>
  </si>
  <si>
    <t>10. koht</t>
  </si>
  <si>
    <t>11. koht</t>
  </si>
  <si>
    <t>12. koht</t>
  </si>
  <si>
    <t>13. koht</t>
  </si>
  <si>
    <t>14. koht</t>
  </si>
  <si>
    <t>15. koht</t>
  </si>
  <si>
    <t>16. koht</t>
  </si>
  <si>
    <t>1 - 4 koht</t>
  </si>
  <si>
    <t>5 - 8 koht</t>
  </si>
  <si>
    <r>
      <t>Koht</t>
    </r>
    <r>
      <rPr>
        <sz val="10"/>
        <color indexed="8"/>
        <rFont val="Arial"/>
        <family val="2"/>
        <charset val="186"/>
      </rPr>
      <t>/edasi</t>
    </r>
  </si>
  <si>
    <t>EELVOOR</t>
  </si>
  <si>
    <t>VEERANDFINAALID</t>
  </si>
  <si>
    <t>min</t>
  </si>
  <si>
    <t>max</t>
  </si>
  <si>
    <t>ÜMBERVISKED</t>
  </si>
  <si>
    <t>POOLFINAALID</t>
  </si>
  <si>
    <t>PRONKSIMÄNG</t>
  </si>
  <si>
    <t>FINAAL</t>
  </si>
  <si>
    <t>TRIO võit - 3 punkti</t>
  </si>
  <si>
    <t>DUO võit - 2 punkti</t>
  </si>
  <si>
    <t>ÜKSIKU võit - 1 punkt</t>
  </si>
  <si>
    <t>kaotus - 0 punkti</t>
  </si>
  <si>
    <t>SHK</t>
  </si>
  <si>
    <t>MAESTRO</t>
  </si>
  <si>
    <t>Mäguviis</t>
  </si>
  <si>
    <t>Osaleja</t>
  </si>
  <si>
    <t>Skoor</t>
  </si>
  <si>
    <t>PUNKTE PÄRAST 1. VOORU:</t>
  </si>
  <si>
    <t>DUO 2N</t>
  </si>
  <si>
    <t>PUNKTE PÄRAST 2. VOORU:</t>
  </si>
  <si>
    <t>TRIO 2N+M</t>
  </si>
  <si>
    <t>PUNKTE PÄRAST 3. VOORU:</t>
  </si>
  <si>
    <t>PUNKTE PÄRAST 4. VOORU:</t>
  </si>
  <si>
    <t>ÜKSIK N</t>
  </si>
  <si>
    <t>LÕPPTULEMUS:</t>
  </si>
  <si>
    <t>Rahvusvahelised võistlused on sinisega ja kaldkirjas</t>
  </si>
  <si>
    <t>SHK KV 1. etapp</t>
  </si>
  <si>
    <t>P, 12.02.2017</t>
  </si>
  <si>
    <t>Regioonide karika 2. etapp</t>
  </si>
  <si>
    <t>SHK KV 5. etapp</t>
  </si>
  <si>
    <t>Ida-Viru reitinguvõistlused on rasvases trükis ja valge taustaga</t>
  </si>
  <si>
    <t>A</t>
  </si>
  <si>
    <t>REGIOONIDE KARIKA EELVOORUDE SUMMA</t>
  </si>
  <si>
    <t>Võistkond</t>
  </si>
  <si>
    <t>Kokku</t>
  </si>
  <si>
    <t>-</t>
  </si>
  <si>
    <t>B2</t>
  </si>
  <si>
    <t>Tõnu Kapper</t>
  </si>
  <si>
    <t>1 - 6 koht</t>
  </si>
  <si>
    <t>V-K</t>
  </si>
  <si>
    <t>1-1</t>
  </si>
  <si>
    <t>C2</t>
  </si>
  <si>
    <t>Enn Tokman, Jaan Saar, Meelis Luud</t>
  </si>
  <si>
    <t>Ivar Viljaste, Kristo Viljaste, Sirje Viljaste</t>
  </si>
  <si>
    <t>Johannes Neiland, Oleg Rõndenkov, Toomas Tedrekull</t>
  </si>
  <si>
    <t>A2</t>
  </si>
  <si>
    <t>Andres Veski</t>
  </si>
  <si>
    <t>+</t>
  </si>
  <si>
    <t>2-0</t>
  </si>
  <si>
    <t>0-2</t>
  </si>
  <si>
    <t>Janek Tarto, Mait Metsla, Matti Vinni</t>
  </si>
  <si>
    <t>Elmo Lageda, Tõnu Kapper, Vladimir Ogneštšikov</t>
  </si>
  <si>
    <t>Aarne Välja, Andres Veski, Svetlana Veski</t>
  </si>
  <si>
    <t>Argo Sepp, Jaan Sepp, Oskar Sepp</t>
  </si>
  <si>
    <t>Aigi Orro, Andres Viisitam, Kalle Orro</t>
  </si>
  <si>
    <t>I</t>
  </si>
  <si>
    <t>II</t>
  </si>
  <si>
    <t>III</t>
  </si>
  <si>
    <t>Kristo Viljaste</t>
  </si>
  <si>
    <t>Ivar Viljaste</t>
  </si>
  <si>
    <t>Sirje Viljaste</t>
  </si>
  <si>
    <t>Mait Metsla</t>
  </si>
  <si>
    <t>Janek Tarto</t>
  </si>
  <si>
    <t>Matti Vinni</t>
  </si>
  <si>
    <t>Elmo Lageda</t>
  </si>
  <si>
    <t>Vladimir Ogneštšikov</t>
  </si>
  <si>
    <t>Aarne Välja</t>
  </si>
  <si>
    <t>Svetlana Veski</t>
  </si>
  <si>
    <t>Oleg Rõndenkov</t>
  </si>
  <si>
    <t>Johannes Neiland</t>
  </si>
  <si>
    <t>Toomas Tedrekull</t>
  </si>
  <si>
    <t>Jaan Saar</t>
  </si>
  <si>
    <t>Enn Tokman</t>
  </si>
  <si>
    <t>Meelis Luud</t>
  </si>
  <si>
    <t>Jaan Sepp</t>
  </si>
  <si>
    <t>Argo Sepp</t>
  </si>
  <si>
    <t>Oskar Sepp</t>
  </si>
  <si>
    <t>Ljudmila Varendi</t>
  </si>
  <si>
    <t>Viktor Švarõgin</t>
  </si>
  <si>
    <t>Andres Viisitam</t>
  </si>
  <si>
    <t>Aigi Orro</t>
  </si>
  <si>
    <t>Kalle Orro</t>
  </si>
  <si>
    <t>A1</t>
  </si>
  <si>
    <t>C1</t>
  </si>
  <si>
    <t>B1</t>
  </si>
  <si>
    <t>7 - 9 koht</t>
  </si>
  <si>
    <t>11:00</t>
  </si>
  <si>
    <t>IDAREGIOON</t>
  </si>
  <si>
    <t>Arvesse läheb 6 võistlust 9st (2 triot 3st + 2 duot 3st + 2 üksikut 3st)</t>
  </si>
  <si>
    <t>L, 22.04.2017</t>
  </si>
  <si>
    <t>Regioonide karika finaal</t>
  </si>
  <si>
    <t>LOOSI</t>
  </si>
  <si>
    <t>B</t>
  </si>
  <si>
    <t>2-1</t>
  </si>
  <si>
    <t>1-2</t>
  </si>
  <si>
    <t>A3</t>
  </si>
  <si>
    <t>B4</t>
  </si>
  <si>
    <t>B3</t>
  </si>
  <si>
    <t>A4</t>
  </si>
  <si>
    <t>6 - 8 võistkonda</t>
  </si>
  <si>
    <t>5 võistkonda</t>
  </si>
  <si>
    <t>1. voor</t>
  </si>
  <si>
    <t>1-4</t>
  </si>
  <si>
    <t>2-3</t>
  </si>
  <si>
    <t>2. voor</t>
  </si>
  <si>
    <t>1-3</t>
  </si>
  <si>
    <t>2-4</t>
  </si>
  <si>
    <t>3. voor</t>
  </si>
  <si>
    <t>3-4</t>
  </si>
  <si>
    <t>1-5</t>
  </si>
  <si>
    <t>4-5</t>
  </si>
  <si>
    <t>2-5</t>
  </si>
  <si>
    <t>4. voor</t>
  </si>
  <si>
    <t>3-5</t>
  </si>
  <si>
    <t>5. voor</t>
  </si>
  <si>
    <t>3 - 4 võistkonda</t>
  </si>
  <si>
    <t>+5</t>
  </si>
  <si>
    <t>Ivar Viljaste, Janek Tarto, Kristo Viljaste, Sirje Viljaste</t>
  </si>
  <si>
    <t>Mait Metsla, Matti Vinni, Vello Vasser</t>
  </si>
  <si>
    <t>Elmo Lageda, Klavdia Piik, Tõnu Kapper, Vladimir Ogneštšikov</t>
  </si>
  <si>
    <t>IV</t>
  </si>
  <si>
    <t xml:space="preserve">Punktid </t>
  </si>
  <si>
    <t>https://www.facebook.com/cmpm2016official/</t>
  </si>
  <si>
    <t>Mait Metsla, Matti Vinni</t>
  </si>
  <si>
    <t>Elmo Lageda, Tõnu Kapper</t>
  </si>
  <si>
    <t>Argo Sepp, Tõnu Piik</t>
  </si>
  <si>
    <t>Johannes Neiland, Sirje Viljaste</t>
  </si>
  <si>
    <t>Andres Veski, Svetlana Veski</t>
  </si>
  <si>
    <t>Ivar Viljaste, Kristo Viljaste</t>
  </si>
  <si>
    <t>Jaan Sepp, Oskar Sepp</t>
  </si>
  <si>
    <t>Jaan Saar, Ülo Piik</t>
  </si>
  <si>
    <t>Aarne Välja, Janek Tarto</t>
  </si>
  <si>
    <t>Klavdia Piik</t>
  </si>
  <si>
    <t>Illar Tõnurist</t>
  </si>
  <si>
    <t>Enn Tokman, Illar Tõnurist</t>
  </si>
  <si>
    <t>Ljudmila Varendi, Viktor Švarõgin</t>
  </si>
  <si>
    <t>Ülo Piik</t>
  </si>
  <si>
    <t>Tõnu Piik</t>
  </si>
  <si>
    <t>D3</t>
  </si>
  <si>
    <t>C3</t>
  </si>
  <si>
    <t>9 - 12 koht</t>
  </si>
  <si>
    <t>D2</t>
  </si>
  <si>
    <t>D1</t>
  </si>
  <si>
    <t>?</t>
  </si>
  <si>
    <t>MM katsevõistlused,</t>
  </si>
  <si>
    <t>meeste ja naiste DUO</t>
  </si>
  <si>
    <t>Ivar Viljaste, Vladimir Ogneštšikov</t>
  </si>
  <si>
    <t>Elmo Lageda, Ülo Piik</t>
  </si>
  <si>
    <t>Mängijad loositi paaridesse. Janek Tarto mängis 6 kuuliga.</t>
  </si>
  <si>
    <t>Loosiduo</t>
  </si>
  <si>
    <t>LOOSIDUO</t>
  </si>
  <si>
    <t>0-3</t>
  </si>
  <si>
    <t>Klavdia Piik, Tõnu Piik</t>
  </si>
  <si>
    <t>+3</t>
  </si>
  <si>
    <t>-8</t>
  </si>
  <si>
    <t>Janek Tarto, Janek Tarto</t>
  </si>
  <si>
    <t>edasi 3</t>
  </si>
  <si>
    <t>edasi 4</t>
  </si>
  <si>
    <t>Janke Tarto</t>
  </si>
  <si>
    <t>edasi 7</t>
  </si>
  <si>
    <t>edasi 6</t>
  </si>
  <si>
    <t>Eesti sise-MV</t>
  </si>
  <si>
    <t xml:space="preserve">Tulistamise </t>
  </si>
  <si>
    <t>3. Lucky Stone, DUO</t>
  </si>
  <si>
    <t>Elmo Lageda, Vladimir Ogneštšikov</t>
  </si>
  <si>
    <t>Johannes Neiland, Ülo Piik</t>
  </si>
  <si>
    <t>loobusid</t>
  </si>
  <si>
    <t>Andres Viisitam, Kalle Orro</t>
  </si>
  <si>
    <t>P, 13.11.2016</t>
  </si>
  <si>
    <t>3. Lucky Stone, TRIO</t>
  </si>
  <si>
    <t>E-puul</t>
  </si>
  <si>
    <t>F-puul</t>
  </si>
  <si>
    <t>F2</t>
  </si>
  <si>
    <t>E1</t>
  </si>
  <si>
    <t>F1</t>
  </si>
  <si>
    <t>17. koht</t>
  </si>
  <si>
    <t>18. koht</t>
  </si>
  <si>
    <t>13 - 18 koht</t>
  </si>
  <si>
    <t>19 - 23 koht</t>
  </si>
  <si>
    <t>19. koht</t>
  </si>
  <si>
    <t>20. koht</t>
  </si>
  <si>
    <t>21. koht</t>
  </si>
  <si>
    <t>22. koht</t>
  </si>
  <si>
    <t>23. koht</t>
  </si>
  <si>
    <t>11.-12. koht</t>
  </si>
  <si>
    <t>C4</t>
  </si>
  <si>
    <t>Tarmo Bombe</t>
  </si>
  <si>
    <t>E3</t>
  </si>
  <si>
    <t>E4</t>
  </si>
  <si>
    <t>E2</t>
  </si>
  <si>
    <t>Vello Vasser</t>
  </si>
  <si>
    <t>F4</t>
  </si>
  <si>
    <t>F3</t>
  </si>
  <si>
    <t>L, 11.02.2017</t>
  </si>
  <si>
    <t>kohtumine, ERINEVAD</t>
  </si>
  <si>
    <t>11-12</t>
  </si>
  <si>
    <t>Airi Kruusma</t>
  </si>
  <si>
    <t>Kadri Arunurm</t>
  </si>
  <si>
    <t>Ly Meinberg</t>
  </si>
  <si>
    <t>Marko Neemelaik</t>
  </si>
  <si>
    <t>Ivo Veimen</t>
  </si>
  <si>
    <t>Roman Olmre</t>
  </si>
  <si>
    <t>Sten Olmre</t>
  </si>
  <si>
    <t>Kalju Olmre</t>
  </si>
  <si>
    <t>K. Arunurm, L. Meinberg</t>
  </si>
  <si>
    <t>A. Palla, I. Veimen</t>
  </si>
  <si>
    <t>M. Neemelaik, R. Olmre</t>
  </si>
  <si>
    <t>K. Olmre, S. Olmre</t>
  </si>
  <si>
    <t>A. Kruusma, S. Viljaste</t>
  </si>
  <si>
    <t>I. Viljaste, J. Tarto</t>
  </si>
  <si>
    <t>M. Metsla, Ü. Piik</t>
  </si>
  <si>
    <t>A. Välja, V. Ogneštšikov</t>
  </si>
  <si>
    <r>
      <t xml:space="preserve">K. Arunurm, </t>
    </r>
    <r>
      <rPr>
        <sz val="10"/>
        <rFont val="Arial"/>
        <family val="2"/>
        <charset val="186"/>
      </rPr>
      <t xml:space="preserve">K. Olmre, </t>
    </r>
    <r>
      <rPr>
        <sz val="10"/>
        <color rgb="FFFF0000"/>
        <rFont val="Arial"/>
        <family val="2"/>
        <charset val="186"/>
      </rPr>
      <t>L. Meinberg</t>
    </r>
  </si>
  <si>
    <t>A. Palla, I. Veimen, S. Olmre</t>
  </si>
  <si>
    <t>A. Rämmon, R. Olmre</t>
  </si>
  <si>
    <t>A. Välja, M. Metsla, Ü. Piik</t>
  </si>
  <si>
    <t>J. Tarto, V. Ogneštšikov</t>
  </si>
  <si>
    <r>
      <rPr>
        <sz val="10"/>
        <color rgb="FFFF0000"/>
        <rFont val="Arial"/>
        <family val="2"/>
        <charset val="186"/>
      </rPr>
      <t>L. Meinberg,</t>
    </r>
    <r>
      <rPr>
        <sz val="10"/>
        <color theme="1"/>
        <rFont val="Arial"/>
        <family val="2"/>
        <charset val="186"/>
      </rPr>
      <t xml:space="preserve"> I. Veimen, S. Olmre</t>
    </r>
  </si>
  <si>
    <r>
      <t xml:space="preserve">A. Palla, </t>
    </r>
    <r>
      <rPr>
        <sz val="10"/>
        <color rgb="FFFF0000"/>
        <rFont val="Arial"/>
        <family val="2"/>
        <charset val="186"/>
      </rPr>
      <t>K. Arunurm,</t>
    </r>
    <r>
      <rPr>
        <sz val="10"/>
        <color theme="1"/>
        <rFont val="Arial"/>
        <family val="2"/>
        <charset val="186"/>
      </rPr>
      <t xml:space="preserve"> M. Neemelaik</t>
    </r>
  </si>
  <si>
    <r>
      <t xml:space="preserve">M. Metsla, Ü. Piik, </t>
    </r>
    <r>
      <rPr>
        <sz val="10"/>
        <color rgb="FFFF0000"/>
        <rFont val="Arial"/>
        <family val="2"/>
        <charset val="186"/>
      </rPr>
      <t>S. Viljaste</t>
    </r>
  </si>
  <si>
    <t>A. Palla, I. Veimen, M. Neemelaik</t>
  </si>
  <si>
    <r>
      <rPr>
        <sz val="10"/>
        <color rgb="FFFF0000"/>
        <rFont val="Arial"/>
        <family val="2"/>
        <charset val="186"/>
      </rPr>
      <t xml:space="preserve">L. Meinberg, </t>
    </r>
    <r>
      <rPr>
        <sz val="10"/>
        <color theme="1"/>
        <rFont val="Arial"/>
        <family val="2"/>
        <charset val="186"/>
      </rPr>
      <t>K. Olmre, S. Olmre</t>
    </r>
  </si>
  <si>
    <r>
      <t xml:space="preserve">I. Viljaste, J. Tarto, </t>
    </r>
    <r>
      <rPr>
        <sz val="10"/>
        <color rgb="FFFF0000"/>
        <rFont val="Arial"/>
        <family val="2"/>
        <charset val="186"/>
      </rPr>
      <t>S. Viljaste</t>
    </r>
  </si>
  <si>
    <r>
      <rPr>
        <sz val="10"/>
        <color rgb="FFFF0000"/>
        <rFont val="Arial"/>
        <family val="2"/>
        <charset val="186"/>
      </rPr>
      <t xml:space="preserve">A. Kruusma, </t>
    </r>
    <r>
      <rPr>
        <sz val="10"/>
        <color theme="1"/>
        <rFont val="Arial"/>
        <family val="2"/>
        <charset val="186"/>
      </rPr>
      <t>V. Ogneštšikov</t>
    </r>
  </si>
  <si>
    <t>Arvi Palla</t>
  </si>
  <si>
    <r>
      <t xml:space="preserve">Andrus Rämmon, </t>
    </r>
    <r>
      <rPr>
        <sz val="10"/>
        <color rgb="FFFF0000"/>
        <rFont val="Arial"/>
        <family val="2"/>
        <charset val="186"/>
      </rPr>
      <t>K. Arunurm</t>
    </r>
  </si>
  <si>
    <t>9. SHK-Maestro sõpruskohtumine</t>
  </si>
  <si>
    <t>9.SHK-Maestro sõprus-</t>
  </si>
  <si>
    <r>
      <t xml:space="preserve">A. Kruusma, </t>
    </r>
    <r>
      <rPr>
        <sz val="10"/>
        <color theme="1"/>
        <rFont val="Arial"/>
        <family val="2"/>
        <charset val="186"/>
      </rPr>
      <t>I. Viljaste,</t>
    </r>
    <r>
      <rPr>
        <sz val="10"/>
        <color rgb="FFFF0000"/>
        <rFont val="Arial"/>
        <family val="2"/>
        <charset val="186"/>
      </rPr>
      <t xml:space="preserve"> S. Viljaste</t>
    </r>
  </si>
  <si>
    <r>
      <t xml:space="preserve">A. Välja, </t>
    </r>
    <r>
      <rPr>
        <sz val="10"/>
        <color rgb="FFFF0000"/>
        <rFont val="Arial"/>
        <family val="2"/>
        <charset val="186"/>
      </rPr>
      <t xml:space="preserve">A. Kruusma, </t>
    </r>
    <r>
      <rPr>
        <sz val="10"/>
        <color theme="1"/>
        <rFont val="Arial"/>
        <family val="2"/>
        <charset val="186"/>
      </rPr>
      <t>I. Viljaste</t>
    </r>
  </si>
  <si>
    <t>10:00</t>
  </si>
  <si>
    <t>SK Maestro</t>
  </si>
  <si>
    <t>Ivar Viljaste, Janek Tarto, Kristo Viljaste</t>
  </si>
  <si>
    <t>Enn Tokman, Jaan Saar, Tarmo Bombe</t>
  </si>
  <si>
    <t>Hardy Kalaus, Johannes Neiland, Klavdia Piik</t>
  </si>
  <si>
    <t>Hardy Kalaus</t>
  </si>
  <si>
    <t>A5</t>
  </si>
  <si>
    <t>0-1</t>
  </si>
  <si>
    <t>3-0</t>
  </si>
  <si>
    <t>5.-6. koht</t>
  </si>
  <si>
    <t>5-6</t>
  </si>
  <si>
    <t>1 - 7 koht</t>
  </si>
  <si>
    <t>Finaali</t>
  </si>
  <si>
    <t>Borisss Klubov</t>
  </si>
  <si>
    <t>Borisss Klubov, Ljudmila Varendi, Viktor Švarõgin</t>
  </si>
  <si>
    <t>Borisss Klubov, Klavdia Piik</t>
  </si>
  <si>
    <t>Boriss Klubov, Ljudmila Varendi, Viktor Švarõgin</t>
  </si>
  <si>
    <t>EPKL</t>
  </si>
  <si>
    <t>Matti Vinni, Vello Vasser</t>
  </si>
  <si>
    <t>Enn Tokman, Tarmo Bombe</t>
  </si>
  <si>
    <t>Lemmit Toomra, Sirje Viljaste</t>
  </si>
  <si>
    <t>7 - 10 koht</t>
  </si>
  <si>
    <t>Lemmit Toomra</t>
  </si>
  <si>
    <t>EPKL, Ivar Viljaste</t>
  </si>
  <si>
    <t>IDA-VIRUMAA PETANGIREITING 2016-2017 SISE / SHK KARIKAS</t>
  </si>
  <si>
    <t>Eesti reitingus läheb arvesse 8 võistlust 12st (4 reitinguvõistlust 6st + 4 Eesti sise-MV-d 6st)</t>
  </si>
  <si>
    <t>1-6</t>
  </si>
  <si>
    <t>3-6</t>
  </si>
  <si>
    <t>2-6</t>
  </si>
  <si>
    <t>4-6</t>
  </si>
  <si>
    <t>Ivar Viljaste, Janek Tarto, Tõnu Piik</t>
  </si>
  <si>
    <t>Aarne Välja, Andres Veski, Karla Purgats</t>
  </si>
  <si>
    <t>Ljudmila Varendi, Nikolai Palkin, Viktor Švarõgin</t>
  </si>
  <si>
    <t>5-0</t>
  </si>
  <si>
    <t>+2</t>
  </si>
  <si>
    <t>-2</t>
  </si>
  <si>
    <t>-6</t>
  </si>
  <si>
    <t>+4</t>
  </si>
  <si>
    <t>V</t>
  </si>
  <si>
    <t>VI</t>
  </si>
  <si>
    <t>Nikolai Palkin</t>
  </si>
  <si>
    <t>Karla Purgats</t>
  </si>
  <si>
    <t xml:space="preserve">  </t>
  </si>
  <si>
    <t>Seisuga 06.04.2017</t>
  </si>
  <si>
    <t>P, 16.04.2017</t>
  </si>
  <si>
    <t>1. MM, ÜKSIK (mehed, naised), DUO (mehed, naised), SEGADUO</t>
  </si>
  <si>
    <t>Täna loositi EuroCupi</t>
  </si>
  <si>
    <t>P</t>
  </si>
  <si>
    <t>13 - 20 koht</t>
  </si>
  <si>
    <t>9-12</t>
  </si>
  <si>
    <t>13-18</t>
  </si>
  <si>
    <t>19-23</t>
  </si>
  <si>
    <t>Polina Merkulova</t>
  </si>
  <si>
    <t>Eve Oidsalu, Hardo Sokk, Kalju Olmre, Thibaut Sergei Mathon</t>
  </si>
  <si>
    <t>Põhja II - Eve Oidsalu, Hardo Sokk, Kalju Olmre, Thibaut Sergeï Mathon</t>
  </si>
  <si>
    <t>Lääne I - Gunnar Usin, Maive Sein, Marge Mägi, Urmo Auväärt</t>
  </si>
  <si>
    <t>Lõuna I - Anna Liisa Kattai, Anneli Kattai, Kevin Kangur, Tiit Kattai</t>
  </si>
  <si>
    <t>Põhja I - Kaido Kopel, Margus Berkmann, Martin Mänd, Veiko Proos</t>
  </si>
  <si>
    <t>Lõuna II - Kaur Kangur, Maris Rõõm, Mati Rõõm, Siiri Baranova</t>
  </si>
  <si>
    <t>Lääne II - Katrin Tiido, Marina Vallik, Mihkel Palk, Tiit Palk</t>
  </si>
  <si>
    <t>Ida I      - Ivar Viljaste, Janek Tarto, Kristo Viljaste, Sirje Viljaste</t>
  </si>
  <si>
    <t>5 - 7 koht</t>
  </si>
  <si>
    <t xml:space="preserve">Iga etapi võitja saab auhinnaks 70% osalustasudest. </t>
  </si>
  <si>
    <t xml:space="preserve">Arvesse läheb 6 võistlust 9st  (2 triot 3st + 2 duot 3st + 2 üksikut 3st).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</si>
</sst>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 €&quot;"/>
    <numFmt numFmtId="165" formatCode="ddd&quot;, &quot;dd/mm/yyyy"/>
    <numFmt numFmtId="166" formatCode="0;\-0;;@"/>
    <numFmt numFmtId="167" formatCode="0.0000000000000000_ ;\-0.0000000000000000\ "/>
    <numFmt numFmtId="168" formatCode="#,##0\ &quot;€&quot;"/>
    <numFmt numFmtId="169" formatCode="0&quot; €&quot;"/>
    <numFmt numFmtId="170" formatCode="0.0_ ;\-0.0\ "/>
  </numFmts>
  <fonts count="68" x14ac:knownFonts="1">
    <font>
      <sz val="10"/>
      <color theme="1"/>
      <name val="Arial"/>
      <family val="2"/>
      <charset val="186"/>
    </font>
    <font>
      <sz val="10"/>
      <color indexed="8"/>
      <name val="Arial"/>
      <family val="2"/>
      <charset val="186"/>
    </font>
    <font>
      <sz val="11"/>
      <color indexed="8"/>
      <name val="Calibri"/>
      <family val="2"/>
      <charset val="186"/>
    </font>
    <font>
      <sz val="11"/>
      <color indexed="8"/>
      <name val="Calibri"/>
      <family val="2"/>
      <charset val="186"/>
    </font>
    <font>
      <sz val="10"/>
      <color indexed="8"/>
      <name val="Times New Roman"/>
      <family val="1"/>
      <charset val="186"/>
    </font>
    <font>
      <sz val="10"/>
      <name val="Arial"/>
      <family val="2"/>
      <charset val="186"/>
    </font>
    <font>
      <b/>
      <sz val="8"/>
      <color indexed="81"/>
      <name val="Tahoma"/>
      <family val="2"/>
      <charset val="186"/>
    </font>
    <font>
      <sz val="10"/>
      <name val="Arial"/>
      <family val="2"/>
      <charset val="204"/>
    </font>
    <font>
      <sz val="8"/>
      <color indexed="8"/>
      <name val="Arial Narrow"/>
      <family val="2"/>
      <charset val="186"/>
    </font>
    <font>
      <sz val="10"/>
      <color indexed="8"/>
      <name val="Arial"/>
      <family val="2"/>
      <charset val="186"/>
    </font>
    <font>
      <b/>
      <sz val="10"/>
      <color indexed="9"/>
      <name val="Arial"/>
      <family val="2"/>
      <charset val="186"/>
    </font>
    <font>
      <sz val="10"/>
      <color indexed="10"/>
      <name val="Arial"/>
      <family val="2"/>
      <charset val="186"/>
    </font>
    <font>
      <b/>
      <sz val="10"/>
      <color indexed="8"/>
      <name val="Arial"/>
      <family val="2"/>
      <charset val="186"/>
    </font>
    <font>
      <u/>
      <sz val="10"/>
      <color indexed="30"/>
      <name val="Arial"/>
      <family val="2"/>
      <charset val="186"/>
    </font>
    <font>
      <sz val="10"/>
      <color indexed="30"/>
      <name val="Arial"/>
      <family val="2"/>
      <charset val="186"/>
    </font>
    <font>
      <sz val="8"/>
      <color indexed="81"/>
      <name val="Tahoma"/>
      <family val="2"/>
      <charset val="186"/>
    </font>
    <font>
      <b/>
      <sz val="10"/>
      <name val="Arial"/>
      <family val="2"/>
      <charset val="186"/>
    </font>
    <font>
      <b/>
      <i/>
      <sz val="10"/>
      <color indexed="8"/>
      <name val="Arial"/>
      <family val="2"/>
      <charset val="186"/>
    </font>
    <font>
      <b/>
      <i/>
      <sz val="10"/>
      <color indexed="30"/>
      <name val="Arial"/>
      <family val="2"/>
      <charset val="186"/>
    </font>
    <font>
      <i/>
      <sz val="10"/>
      <color indexed="8"/>
      <name val="Arial"/>
      <family val="2"/>
      <charset val="186"/>
    </font>
    <font>
      <sz val="10"/>
      <color theme="1"/>
      <name val="Arial"/>
      <family val="2"/>
      <charset val="186"/>
    </font>
    <font>
      <u/>
      <sz val="10"/>
      <color theme="10"/>
      <name val="Arial"/>
      <family val="2"/>
      <charset val="186"/>
    </font>
    <font>
      <u/>
      <sz val="10"/>
      <color theme="10"/>
      <name val="Times New Roman"/>
      <family val="1"/>
      <charset val="186"/>
    </font>
    <font>
      <u/>
      <sz val="11"/>
      <color theme="10"/>
      <name val="Calibri"/>
      <family val="2"/>
      <charset val="186"/>
      <scheme val="minor"/>
    </font>
    <font>
      <sz val="10"/>
      <color rgb="FF000000"/>
      <name val="Times New Roman"/>
      <family val="1"/>
      <charset val="186"/>
    </font>
    <font>
      <sz val="10"/>
      <color rgb="FF000000"/>
      <name val="Arial"/>
      <family val="2"/>
      <charset val="186"/>
    </font>
    <font>
      <sz val="11"/>
      <color theme="1"/>
      <name val="Calibri"/>
      <family val="2"/>
      <charset val="186"/>
      <scheme val="minor"/>
    </font>
    <font>
      <sz val="11"/>
      <color theme="1"/>
      <name val="Calibri"/>
      <family val="2"/>
      <scheme val="minor"/>
    </font>
    <font>
      <sz val="11"/>
      <color rgb="FF000000"/>
      <name val="Calibri"/>
      <family val="2"/>
      <scheme val="minor"/>
    </font>
    <font>
      <b/>
      <sz val="10"/>
      <color theme="1"/>
      <name val="Arial"/>
      <family val="2"/>
      <charset val="186"/>
    </font>
    <font>
      <sz val="10"/>
      <color rgb="FFFF0000"/>
      <name val="Arial"/>
      <family val="2"/>
      <charset val="186"/>
    </font>
    <font>
      <b/>
      <sz val="10"/>
      <color rgb="FF0070C0"/>
      <name val="Arial"/>
      <family val="2"/>
      <charset val="186"/>
    </font>
    <font>
      <sz val="10"/>
      <color rgb="FFCC0000"/>
      <name val="Arial"/>
      <family val="2"/>
      <charset val="186"/>
    </font>
    <font>
      <sz val="10"/>
      <color theme="0" tint="-0.34998626667073579"/>
      <name val="Arial"/>
      <family val="2"/>
      <charset val="186"/>
    </font>
    <font>
      <b/>
      <sz val="10"/>
      <name val="Calibri"/>
      <family val="2"/>
      <charset val="186"/>
      <scheme val="minor"/>
    </font>
    <font>
      <sz val="10"/>
      <color theme="0" tint="-0.249977111117893"/>
      <name val="Arial"/>
      <family val="2"/>
      <charset val="186"/>
    </font>
    <font>
      <u/>
      <sz val="10"/>
      <color rgb="FF0000FF"/>
      <name val="Arial"/>
      <family val="2"/>
      <charset val="186"/>
    </font>
    <font>
      <sz val="10"/>
      <color rgb="FF0000FF"/>
      <name val="Arial"/>
      <family val="2"/>
      <charset val="186"/>
    </font>
    <font>
      <i/>
      <u/>
      <sz val="10"/>
      <color rgb="FF0070C0"/>
      <name val="Arial"/>
      <family val="2"/>
      <charset val="186"/>
    </font>
    <font>
      <i/>
      <u/>
      <sz val="10"/>
      <color theme="10"/>
      <name val="Arial"/>
      <family val="2"/>
      <charset val="186"/>
    </font>
    <font>
      <b/>
      <u/>
      <sz val="10"/>
      <color theme="1"/>
      <name val="Arial"/>
      <family val="2"/>
      <charset val="186"/>
    </font>
    <font>
      <sz val="10"/>
      <color theme="1"/>
      <name val="Times New Roman"/>
      <family val="1"/>
      <charset val="186"/>
    </font>
    <font>
      <sz val="10"/>
      <color rgb="FF0070C0"/>
      <name val="Arial"/>
      <family val="2"/>
      <charset val="186"/>
    </font>
    <font>
      <u/>
      <sz val="10"/>
      <color theme="1"/>
      <name val="Arial"/>
      <family val="2"/>
      <charset val="186"/>
    </font>
    <font>
      <i/>
      <sz val="10"/>
      <color theme="4" tint="0.39997558519241921"/>
      <name val="Arial"/>
      <family val="2"/>
      <charset val="186"/>
    </font>
    <font>
      <i/>
      <u/>
      <sz val="10"/>
      <color theme="4" tint="0.39997558519241921"/>
      <name val="Arial"/>
      <family val="2"/>
      <charset val="186"/>
    </font>
    <font>
      <b/>
      <sz val="10"/>
      <color theme="4" tint="-0.249977111117893"/>
      <name val="Arial"/>
      <family val="2"/>
      <charset val="186"/>
    </font>
    <font>
      <sz val="10"/>
      <color theme="4" tint="-0.249977111117893"/>
      <name val="Arial"/>
      <family val="2"/>
      <charset val="186"/>
    </font>
    <font>
      <i/>
      <sz val="10"/>
      <color theme="1"/>
      <name val="Arial"/>
      <family val="2"/>
      <charset val="186"/>
    </font>
    <font>
      <b/>
      <sz val="10"/>
      <color rgb="FF00B050"/>
      <name val="Arial"/>
      <family val="2"/>
      <charset val="186"/>
    </font>
    <font>
      <sz val="10"/>
      <color rgb="FF3E2D00"/>
      <name val="Arial"/>
      <family val="2"/>
      <charset val="186"/>
    </font>
    <font>
      <b/>
      <u/>
      <sz val="10"/>
      <color rgb="FFFF0000"/>
      <name val="Arial"/>
      <family val="2"/>
      <charset val="186"/>
    </font>
    <font>
      <b/>
      <sz val="10"/>
      <color rgb="FFFF0000"/>
      <name val="Arial"/>
      <family val="2"/>
      <charset val="186"/>
    </font>
    <font>
      <u/>
      <sz val="10"/>
      <color theme="0"/>
      <name val="Arial"/>
      <family val="2"/>
      <charset val="186"/>
    </font>
    <font>
      <b/>
      <sz val="10"/>
      <color theme="0"/>
      <name val="Arial"/>
      <family val="2"/>
      <charset val="186"/>
    </font>
    <font>
      <sz val="9"/>
      <color theme="0" tint="-0.249977111117893"/>
      <name val="Arial"/>
      <family val="2"/>
      <charset val="186"/>
    </font>
    <font>
      <i/>
      <sz val="10"/>
      <color theme="8" tint="0.39997558519241921"/>
      <name val="Arial"/>
      <family val="2"/>
      <charset val="186"/>
    </font>
    <font>
      <i/>
      <u/>
      <sz val="10"/>
      <color theme="8" tint="0.39997558519241921"/>
      <name val="Arial"/>
      <family val="2"/>
      <charset val="186"/>
    </font>
    <font>
      <sz val="10"/>
      <color theme="10"/>
      <name val="Arial"/>
      <family val="2"/>
      <charset val="186"/>
    </font>
    <font>
      <i/>
      <u/>
      <sz val="10"/>
      <color rgb="FF0000FF"/>
      <name val="Arial"/>
      <family val="2"/>
      <charset val="186"/>
    </font>
    <font>
      <sz val="10"/>
      <color theme="8" tint="0.39997558519241921"/>
      <name val="Arial"/>
      <family val="2"/>
      <charset val="186"/>
    </font>
    <font>
      <sz val="7"/>
      <color rgb="FFFFC000"/>
      <name val="Arial"/>
      <family val="2"/>
      <charset val="186"/>
    </font>
    <font>
      <b/>
      <u/>
      <sz val="10"/>
      <name val="Arial"/>
      <family val="2"/>
      <charset val="186"/>
    </font>
    <font>
      <u/>
      <sz val="10"/>
      <name val="Arial"/>
      <family val="2"/>
      <charset val="186"/>
    </font>
    <font>
      <b/>
      <i/>
      <u/>
      <sz val="10"/>
      <name val="Arial"/>
      <family val="2"/>
      <charset val="186"/>
    </font>
    <font>
      <i/>
      <sz val="9"/>
      <color theme="8" tint="0.39997558519241921"/>
      <name val="Arial"/>
      <family val="2"/>
      <charset val="186"/>
    </font>
    <font>
      <strike/>
      <sz val="10"/>
      <color rgb="FF00B0F0"/>
      <name val="Arial"/>
      <family val="2"/>
      <charset val="186"/>
    </font>
    <font>
      <i/>
      <u/>
      <sz val="10"/>
      <color theme="1"/>
      <name val="Arial"/>
      <family val="2"/>
      <charset val="186"/>
    </font>
  </fonts>
  <fills count="21">
    <fill>
      <patternFill patternType="none"/>
    </fill>
    <fill>
      <patternFill patternType="gray125"/>
    </fill>
    <fill>
      <patternFill patternType="solid">
        <fgColor indexed="22"/>
        <bgColor indexed="31"/>
      </patternFill>
    </fill>
    <fill>
      <patternFill patternType="solid">
        <fgColor indexed="10"/>
        <bgColor indexed="64"/>
      </patternFill>
    </fill>
    <fill>
      <patternFill patternType="solid">
        <fgColor rgb="FFFFFF66"/>
        <bgColor indexed="64"/>
      </patternFill>
    </fill>
    <fill>
      <patternFill patternType="solid">
        <fgColor rgb="FFFFCC99"/>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FF99"/>
        <bgColor indexed="64"/>
      </patternFill>
    </fill>
    <fill>
      <patternFill patternType="solid">
        <fgColor rgb="FFCCFFCC"/>
        <bgColor indexed="64"/>
      </patternFill>
    </fill>
    <fill>
      <patternFill patternType="solid">
        <fgColor rgb="FFFFFF99"/>
        <bgColor indexed="9"/>
      </patternFill>
    </fill>
    <fill>
      <patternFill patternType="solid">
        <fgColor rgb="FFFFFF99"/>
      </patternFill>
    </fill>
    <fill>
      <patternFill patternType="solid">
        <fgColor theme="6"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tint="0.79998168889431442"/>
        <bgColor indexed="64"/>
      </patternFill>
    </fill>
  </fills>
  <borders count="116">
    <border>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medium">
        <color indexed="8"/>
      </left>
      <right/>
      <top/>
      <bottom/>
      <diagonal/>
    </border>
    <border>
      <left style="medium">
        <color indexed="8"/>
      </left>
      <right/>
      <top style="medium">
        <color indexed="64"/>
      </top>
      <bottom/>
      <diagonal/>
    </border>
    <border>
      <left/>
      <right/>
      <top style="medium">
        <color indexed="64"/>
      </top>
      <bottom/>
      <diagonal/>
    </border>
    <border>
      <left/>
      <right/>
      <top style="medium">
        <color indexed="8"/>
      </top>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8"/>
      </bottom>
      <diagonal/>
    </border>
    <border>
      <left/>
      <right style="medium">
        <color indexed="8"/>
      </right>
      <top/>
      <bottom style="thin">
        <color indexed="8"/>
      </bottom>
      <diagonal/>
    </border>
    <border>
      <left style="medium">
        <color indexed="8"/>
      </left>
      <right/>
      <top/>
      <bottom style="thin">
        <color indexed="8"/>
      </bottom>
      <diagonal/>
    </border>
    <border>
      <left style="medium">
        <color indexed="64"/>
      </left>
      <right/>
      <top/>
      <bottom/>
      <diagonal/>
    </border>
    <border>
      <left style="medium">
        <color indexed="64"/>
      </left>
      <right/>
      <top/>
      <bottom style="thin">
        <color indexed="64"/>
      </bottom>
      <diagonal/>
    </border>
    <border>
      <left/>
      <right style="medium">
        <color indexed="8"/>
      </right>
      <top/>
      <bottom style="thin">
        <color indexed="64"/>
      </bottom>
      <diagonal/>
    </border>
    <border>
      <left/>
      <right style="medium">
        <color indexed="64"/>
      </right>
      <top/>
      <bottom style="thin">
        <color indexed="8"/>
      </bottom>
      <diagonal/>
    </border>
    <border>
      <left/>
      <right style="medium">
        <color indexed="64"/>
      </right>
      <top style="thin">
        <color indexed="8"/>
      </top>
      <bottom/>
      <diagonal/>
    </border>
    <border>
      <left/>
      <right/>
      <top/>
      <bottom style="thin">
        <color indexed="8"/>
      </bottom>
      <diagonal/>
    </border>
    <border>
      <left style="medium">
        <color indexed="64"/>
      </left>
      <right/>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64"/>
      </bottom>
      <diagonal/>
    </border>
    <border>
      <left/>
      <right style="medium">
        <color indexed="8"/>
      </right>
      <top style="thin">
        <color indexed="8"/>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0" tint="-0.24994659260841701"/>
      </left>
      <right style="medium">
        <color indexed="8"/>
      </right>
      <top style="medium">
        <color indexed="8"/>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8"/>
      </top>
      <bottom style="thin">
        <color theme="0" tint="-0.24994659260841701"/>
      </bottom>
      <diagonal/>
    </border>
    <border>
      <left style="thin">
        <color theme="0" tint="-0.24994659260841701"/>
      </left>
      <right style="medium">
        <color indexed="8"/>
      </right>
      <top/>
      <bottom style="thin">
        <color theme="0" tint="-0.24994659260841701"/>
      </bottom>
      <diagonal/>
    </border>
    <border>
      <left style="thin">
        <color theme="0" tint="-0.24994659260841701"/>
      </left>
      <right/>
      <top style="medium">
        <color indexed="8"/>
      </top>
      <bottom style="thin">
        <color theme="0" tint="-0.24994659260841701"/>
      </bottom>
      <diagonal/>
    </border>
    <border>
      <left style="thin">
        <color theme="0" tint="-0.24994659260841701"/>
      </left>
      <right style="medium">
        <color indexed="8"/>
      </right>
      <top style="medium">
        <color indexed="64"/>
      </top>
      <bottom style="thin">
        <color theme="0" tint="-0.24994659260841701"/>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top/>
      <bottom style="thin">
        <color theme="8" tint="0.39994506668294322"/>
      </bottom>
      <diagonal/>
    </border>
    <border>
      <left/>
      <right style="medium">
        <color indexed="8"/>
      </right>
      <top/>
      <bottom style="thin">
        <color theme="8" tint="0.39994506668294322"/>
      </bottom>
      <diagonal/>
    </border>
    <border>
      <left style="thin">
        <color theme="0" tint="-0.24994659260841701"/>
      </left>
      <right style="medium">
        <color indexed="8"/>
      </right>
      <top style="medium">
        <color indexed="8"/>
      </top>
      <bottom/>
      <diagonal/>
    </border>
    <border>
      <left style="double">
        <color auto="1"/>
      </left>
      <right style="double">
        <color auto="1"/>
      </right>
      <top style="double">
        <color auto="1"/>
      </top>
      <bottom style="double">
        <color auto="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theme="1"/>
      </right>
      <top/>
      <bottom style="thin">
        <color theme="8" tint="0.39994506668294322"/>
      </bottom>
      <diagonal/>
    </border>
    <border>
      <left/>
      <right/>
      <top style="thin">
        <color theme="8" tint="0.39991454817346722"/>
      </top>
      <bottom style="thin">
        <color theme="8" tint="0.39994506668294322"/>
      </bottom>
      <diagonal/>
    </border>
    <border>
      <left style="medium">
        <color theme="1"/>
      </left>
      <right/>
      <top style="thin">
        <color theme="8" tint="0.39991454817346722"/>
      </top>
      <bottom style="thin">
        <color theme="8" tint="0.39994506668294322"/>
      </bottom>
      <diagonal/>
    </border>
    <border>
      <left style="medium">
        <color indexed="8"/>
      </left>
      <right/>
      <top/>
      <bottom style="thin">
        <color theme="8" tint="0.39994506668294322"/>
      </bottom>
      <diagonal/>
    </border>
    <border>
      <left style="medium">
        <color indexed="8"/>
      </left>
      <right/>
      <top style="thin">
        <color theme="8" tint="0.39994506668294322"/>
      </top>
      <bottom style="medium">
        <color indexed="8"/>
      </bottom>
      <diagonal/>
    </border>
    <border>
      <left/>
      <right/>
      <top style="thin">
        <color theme="8" tint="0.39994506668294322"/>
      </top>
      <bottom style="medium">
        <color indexed="8"/>
      </bottom>
      <diagonal/>
    </border>
    <border>
      <left/>
      <right style="medium">
        <color indexed="8"/>
      </right>
      <top style="thin">
        <color theme="8" tint="0.39994506668294322"/>
      </top>
      <bottom style="medium">
        <color indexed="8"/>
      </bottom>
      <diagonal/>
    </border>
    <border>
      <left/>
      <right style="medium">
        <color indexed="8"/>
      </right>
      <top/>
      <bottom style="thin">
        <color indexed="8"/>
      </bottom>
      <diagonal/>
    </border>
    <border>
      <left style="medium">
        <color indexed="8"/>
      </left>
      <right style="thin">
        <color theme="0" tint="-0.24994659260841701"/>
      </right>
      <top style="medium">
        <color indexed="8"/>
      </top>
      <bottom/>
      <diagonal/>
    </border>
    <border>
      <left style="medium">
        <color indexed="8"/>
      </left>
      <right/>
      <top/>
      <bottom style="dashDot">
        <color indexed="8"/>
      </bottom>
      <diagonal/>
    </border>
    <border>
      <left/>
      <right style="medium">
        <color indexed="8"/>
      </right>
      <top/>
      <bottom style="dashDot">
        <color indexed="8"/>
      </bottom>
      <diagonal/>
    </border>
    <border>
      <left/>
      <right/>
      <top/>
      <bottom style="dashDot">
        <color indexed="8"/>
      </bottom>
      <diagonal/>
    </border>
    <border>
      <left style="medium">
        <color indexed="64"/>
      </left>
      <right/>
      <top/>
      <bottom style="dashDot">
        <color indexed="8"/>
      </bottom>
      <diagonal/>
    </border>
    <border>
      <left/>
      <right style="medium">
        <color indexed="64"/>
      </right>
      <top/>
      <bottom style="dashDot">
        <color indexed="8"/>
      </bottom>
      <diagonal/>
    </border>
    <border>
      <left style="medium">
        <color indexed="8"/>
      </left>
      <right/>
      <top style="dashDot">
        <color indexed="8"/>
      </top>
      <bottom/>
      <diagonal/>
    </border>
    <border>
      <left/>
      <right style="medium">
        <color indexed="8"/>
      </right>
      <top style="dashDot">
        <color indexed="8"/>
      </top>
      <bottom/>
      <diagonal/>
    </border>
    <border>
      <left/>
      <right style="medium">
        <color indexed="64"/>
      </right>
      <top style="dashDot">
        <color indexed="8"/>
      </top>
      <bottom/>
      <diagonal/>
    </border>
    <border>
      <left style="medium">
        <color indexed="8"/>
      </left>
      <right/>
      <top style="dashDot">
        <color indexed="8"/>
      </top>
      <bottom style="thin">
        <color theme="8" tint="0.39994506668294322"/>
      </bottom>
      <diagonal/>
    </border>
    <border>
      <left/>
      <right/>
      <top style="dashDot">
        <color indexed="8"/>
      </top>
      <bottom style="thin">
        <color theme="8" tint="0.39994506668294322"/>
      </bottom>
      <diagonal/>
    </border>
    <border>
      <left/>
      <right style="medium">
        <color indexed="8"/>
      </right>
      <top style="dashDot">
        <color indexed="8"/>
      </top>
      <bottom style="thin">
        <color theme="8" tint="0.39994506668294322"/>
      </bottom>
      <diagonal/>
    </border>
  </borders>
  <cellStyleXfs count="33">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4" fillId="0" borderId="0"/>
    <xf numFmtId="0" fontId="7" fillId="0" borderId="0"/>
    <xf numFmtId="0" fontId="24" fillId="0" borderId="0"/>
    <xf numFmtId="0" fontId="7" fillId="0" borderId="0"/>
    <xf numFmtId="0" fontId="24" fillId="0" borderId="0"/>
    <xf numFmtId="0" fontId="25" fillId="0" borderId="0"/>
    <xf numFmtId="0" fontId="4" fillId="0" borderId="0"/>
    <xf numFmtId="0" fontId="7" fillId="0" borderId="0"/>
    <xf numFmtId="0" fontId="4" fillId="0" borderId="0"/>
    <xf numFmtId="0" fontId="26" fillId="0" borderId="0"/>
    <xf numFmtId="0" fontId="3" fillId="0" borderId="0"/>
    <xf numFmtId="0" fontId="5" fillId="0" borderId="0"/>
    <xf numFmtId="0" fontId="27" fillId="0" borderId="0"/>
    <xf numFmtId="0" fontId="2" fillId="0" borderId="0"/>
    <xf numFmtId="0" fontId="3" fillId="0" borderId="0"/>
    <xf numFmtId="0" fontId="24" fillId="0" borderId="0"/>
    <xf numFmtId="0" fontId="2" fillId="0" borderId="0"/>
    <xf numFmtId="0" fontId="26" fillId="0" borderId="0"/>
    <xf numFmtId="0" fontId="3" fillId="0" borderId="0"/>
    <xf numFmtId="0" fontId="3" fillId="0" borderId="0"/>
    <xf numFmtId="0" fontId="2" fillId="0" borderId="0"/>
    <xf numFmtId="0" fontId="28" fillId="0" borderId="0"/>
    <xf numFmtId="0" fontId="2" fillId="0" borderId="0"/>
    <xf numFmtId="0" fontId="5" fillId="0" borderId="0"/>
    <xf numFmtId="0" fontId="26" fillId="0" borderId="0"/>
    <xf numFmtId="0" fontId="20" fillId="0" borderId="0"/>
    <xf numFmtId="49" fontId="8" fillId="2" borderId="0" applyBorder="0" applyProtection="0">
      <alignment horizontal="left" vertical="top" wrapText="1"/>
    </xf>
  </cellStyleXfs>
  <cellXfs count="996">
    <xf numFmtId="0" fontId="0" fillId="0" borderId="0" xfId="0"/>
    <xf numFmtId="0" fontId="12" fillId="0" borderId="0" xfId="23" applyFont="1" applyAlignment="1">
      <alignment vertical="top"/>
    </xf>
    <xf numFmtId="0" fontId="9" fillId="0" borderId="0" xfId="23" applyFont="1" applyAlignment="1">
      <alignment vertical="top" wrapText="1"/>
    </xf>
    <xf numFmtId="0" fontId="12" fillId="0" borderId="0" xfId="23" applyFont="1" applyAlignment="1">
      <alignment vertical="top" wrapText="1"/>
    </xf>
    <xf numFmtId="164" fontId="9" fillId="0" borderId="0" xfId="20" applyNumberFormat="1" applyFont="1" applyAlignment="1">
      <alignment horizontal="right"/>
    </xf>
    <xf numFmtId="0" fontId="9" fillId="0" borderId="0" xfId="23" applyFont="1" applyAlignment="1">
      <alignment vertical="top"/>
    </xf>
    <xf numFmtId="0" fontId="9" fillId="0" borderId="0" xfId="23" applyFont="1" applyBorder="1" applyAlignment="1">
      <alignment wrapText="1"/>
    </xf>
    <xf numFmtId="0" fontId="12" fillId="0" borderId="0" xfId="23" applyFont="1" applyBorder="1" applyAlignment="1">
      <alignment wrapText="1"/>
    </xf>
    <xf numFmtId="0" fontId="9" fillId="0" borderId="0" xfId="23" applyFont="1" applyAlignment="1">
      <alignment wrapText="1"/>
    </xf>
    <xf numFmtId="0" fontId="9" fillId="0" borderId="0" xfId="23" applyFont="1" applyAlignment="1"/>
    <xf numFmtId="0" fontId="9" fillId="0" borderId="0" xfId="23" applyFont="1" applyFill="1" applyBorder="1" applyAlignment="1">
      <alignment vertical="top" wrapText="1"/>
    </xf>
    <xf numFmtId="0" fontId="12" fillId="0" borderId="0" xfId="23" applyFont="1" applyFill="1" applyBorder="1" applyAlignment="1">
      <alignment vertical="top" wrapText="1"/>
    </xf>
    <xf numFmtId="0" fontId="12" fillId="0" borderId="4" xfId="23" applyFont="1" applyFill="1" applyBorder="1" applyAlignment="1">
      <alignment vertical="top" wrapText="1"/>
    </xf>
    <xf numFmtId="0" fontId="9" fillId="0" borderId="5" xfId="23" applyFont="1" applyFill="1" applyBorder="1" applyAlignment="1">
      <alignment vertical="top" wrapText="1"/>
    </xf>
    <xf numFmtId="0" fontId="9" fillId="0" borderId="7" xfId="23" applyFont="1" applyFill="1" applyBorder="1" applyAlignment="1">
      <alignment vertical="top" wrapText="1"/>
    </xf>
    <xf numFmtId="0" fontId="12" fillId="0" borderId="7" xfId="23" applyFont="1" applyFill="1" applyBorder="1" applyAlignment="1">
      <alignment vertical="top" wrapText="1"/>
    </xf>
    <xf numFmtId="0" fontId="12" fillId="0" borderId="8" xfId="23" applyFont="1" applyFill="1" applyBorder="1" applyAlignment="1">
      <alignment vertical="top" wrapText="1"/>
    </xf>
    <xf numFmtId="0" fontId="9" fillId="0" borderId="9" xfId="23" applyFont="1" applyFill="1" applyBorder="1" applyAlignment="1">
      <alignment vertical="top" wrapText="1"/>
    </xf>
    <xf numFmtId="0" fontId="9" fillId="0" borderId="10" xfId="23" applyFont="1" applyFill="1" applyBorder="1" applyAlignment="1">
      <alignment vertical="top" wrapText="1"/>
    </xf>
    <xf numFmtId="0" fontId="9" fillId="0" borderId="11" xfId="23" applyFont="1" applyFill="1" applyBorder="1" applyAlignment="1">
      <alignment vertical="top" wrapText="1"/>
    </xf>
    <xf numFmtId="0" fontId="9" fillId="0" borderId="12" xfId="23" applyFont="1" applyFill="1" applyBorder="1" applyAlignment="1">
      <alignment vertical="top" wrapText="1"/>
    </xf>
    <xf numFmtId="0" fontId="12" fillId="0" borderId="11" xfId="23" applyFont="1" applyBorder="1" applyAlignment="1">
      <alignment vertical="top" wrapText="1"/>
    </xf>
    <xf numFmtId="0" fontId="12" fillId="0" borderId="12" xfId="23" applyFont="1" applyBorder="1" applyAlignment="1">
      <alignment vertical="top" wrapText="1"/>
    </xf>
    <xf numFmtId="0" fontId="12" fillId="0" borderId="4" xfId="23" applyFont="1" applyBorder="1" applyAlignment="1">
      <alignment vertical="top" wrapText="1"/>
    </xf>
    <xf numFmtId="0" fontId="12" fillId="0" borderId="10" xfId="23" applyFont="1" applyBorder="1" applyAlignment="1">
      <alignment vertical="top" wrapText="1"/>
    </xf>
    <xf numFmtId="0" fontId="12" fillId="0" borderId="0" xfId="23" applyFont="1" applyBorder="1" applyAlignment="1">
      <alignment vertical="top" wrapText="1"/>
    </xf>
    <xf numFmtId="0" fontId="9" fillId="0" borderId="0" xfId="23" applyNumberFormat="1" applyFont="1" applyFill="1" applyBorder="1" applyAlignment="1">
      <alignment vertical="top" wrapText="1"/>
    </xf>
    <xf numFmtId="0" fontId="9" fillId="0" borderId="13" xfId="23" applyFont="1" applyFill="1" applyBorder="1" applyAlignment="1">
      <alignment vertical="top" wrapText="1"/>
    </xf>
    <xf numFmtId="0" fontId="9" fillId="0" borderId="5" xfId="23" applyFont="1" applyBorder="1" applyAlignment="1">
      <alignment vertical="top" wrapText="1"/>
    </xf>
    <xf numFmtId="0" fontId="12" fillId="0" borderId="5" xfId="23" applyFont="1" applyBorder="1" applyAlignment="1">
      <alignment vertical="top" wrapText="1"/>
    </xf>
    <xf numFmtId="0" fontId="12" fillId="0" borderId="13" xfId="23" applyFont="1" applyBorder="1" applyAlignment="1">
      <alignment vertical="top" wrapText="1"/>
    </xf>
    <xf numFmtId="0" fontId="9" fillId="0" borderId="10" xfId="23" applyFont="1" applyBorder="1" applyAlignment="1">
      <alignment vertical="top" wrapText="1"/>
    </xf>
    <xf numFmtId="0" fontId="12" fillId="0" borderId="10" xfId="23" applyFont="1" applyFill="1" applyBorder="1" applyAlignment="1">
      <alignment vertical="top" wrapText="1"/>
    </xf>
    <xf numFmtId="0" fontId="9" fillId="0" borderId="4" xfId="2" applyFont="1" applyFill="1" applyBorder="1" applyAlignment="1">
      <alignment vertical="top"/>
    </xf>
    <xf numFmtId="0" fontId="9" fillId="0" borderId="0" xfId="23" applyFont="1" applyBorder="1" applyAlignment="1">
      <alignment vertical="top" wrapText="1"/>
    </xf>
    <xf numFmtId="0" fontId="9" fillId="0" borderId="9" xfId="23" applyFont="1" applyBorder="1" applyAlignment="1">
      <alignment vertical="top" wrapText="1"/>
    </xf>
    <xf numFmtId="0" fontId="12" fillId="0" borderId="8" xfId="23" applyFont="1" applyBorder="1" applyAlignment="1">
      <alignment vertical="top" wrapText="1"/>
    </xf>
    <xf numFmtId="0" fontId="12" fillId="0" borderId="9" xfId="23" applyFont="1" applyBorder="1" applyAlignment="1">
      <alignment vertical="top" wrapText="1"/>
    </xf>
    <xf numFmtId="0" fontId="12" fillId="0" borderId="5" xfId="23" applyFont="1" applyFill="1" applyBorder="1" applyAlignment="1">
      <alignment vertical="top" wrapText="1"/>
    </xf>
    <xf numFmtId="0" fontId="12" fillId="0" borderId="9" xfId="23" applyFont="1" applyFill="1" applyBorder="1" applyAlignment="1">
      <alignment vertical="top" wrapText="1"/>
    </xf>
    <xf numFmtId="0" fontId="9" fillId="0" borderId="0" xfId="23" applyFont="1" applyFill="1" applyAlignment="1">
      <alignment vertical="top" wrapText="1"/>
    </xf>
    <xf numFmtId="0" fontId="12" fillId="0" borderId="13" xfId="23" applyFont="1" applyFill="1" applyBorder="1" applyAlignment="1">
      <alignment vertical="top" wrapText="1"/>
    </xf>
    <xf numFmtId="0" fontId="9" fillId="0" borderId="0" xfId="23" applyFont="1" applyFill="1" applyBorder="1" applyAlignment="1">
      <alignment wrapText="1"/>
    </xf>
    <xf numFmtId="0" fontId="12" fillId="0" borderId="0" xfId="23" applyFont="1" applyFill="1" applyBorder="1" applyAlignment="1">
      <alignment wrapText="1"/>
    </xf>
    <xf numFmtId="0" fontId="9" fillId="0" borderId="0" xfId="23" applyFont="1" applyBorder="1" applyAlignment="1"/>
    <xf numFmtId="0" fontId="12" fillId="0" borderId="15" xfId="23" applyFont="1" applyFill="1" applyBorder="1" applyAlignment="1">
      <alignment vertical="top" wrapText="1"/>
    </xf>
    <xf numFmtId="0" fontId="0" fillId="0" borderId="0" xfId="0" applyFont="1"/>
    <xf numFmtId="0" fontId="21" fillId="0" borderId="0" xfId="1" applyAlignment="1">
      <alignment horizontal="right"/>
    </xf>
    <xf numFmtId="0" fontId="0" fillId="0" borderId="0" xfId="0" applyFont="1" applyFill="1"/>
    <xf numFmtId="0" fontId="11" fillId="0" borderId="0" xfId="0" applyFont="1"/>
    <xf numFmtId="165" fontId="12" fillId="0" borderId="0" xfId="20" applyNumberFormat="1" applyFont="1" applyAlignment="1">
      <alignment horizontal="left"/>
    </xf>
    <xf numFmtId="20" fontId="12" fillId="0" borderId="0" xfId="20" applyNumberFormat="1" applyFont="1" applyAlignment="1">
      <alignment horizontal="left"/>
    </xf>
    <xf numFmtId="0" fontId="9" fillId="0" borderId="0" xfId="20" applyFont="1"/>
    <xf numFmtId="0" fontId="9" fillId="0" borderId="0" xfId="20" applyFont="1" applyAlignment="1"/>
    <xf numFmtId="0" fontId="9" fillId="0" borderId="0" xfId="20" applyFont="1" applyAlignment="1">
      <alignment horizontal="center"/>
    </xf>
    <xf numFmtId="0" fontId="12" fillId="0" borderId="16" xfId="23" applyFont="1" applyFill="1" applyBorder="1" applyAlignment="1">
      <alignment vertical="top" wrapText="1"/>
    </xf>
    <xf numFmtId="0" fontId="9" fillId="0" borderId="0" xfId="0" applyFont="1" applyFill="1" applyBorder="1" applyAlignment="1"/>
    <xf numFmtId="0" fontId="12" fillId="0" borderId="0" xfId="15" applyFont="1" applyBorder="1" applyAlignment="1"/>
    <xf numFmtId="0" fontId="12" fillId="0" borderId="0" xfId="15" applyFont="1" applyFill="1" applyBorder="1" applyAlignment="1"/>
    <xf numFmtId="0" fontId="9" fillId="0" borderId="7" xfId="15" applyFont="1" applyFill="1" applyBorder="1" applyAlignment="1"/>
    <xf numFmtId="0" fontId="9" fillId="0" borderId="0" xfId="15" applyFont="1" applyFill="1" applyBorder="1" applyAlignment="1"/>
    <xf numFmtId="0" fontId="9" fillId="0" borderId="0" xfId="15" applyFont="1" applyFill="1" applyAlignment="1"/>
    <xf numFmtId="0" fontId="0" fillId="0" borderId="13" xfId="0" applyFont="1" applyFill="1" applyBorder="1" applyAlignment="1"/>
    <xf numFmtId="0" fontId="12" fillId="0" borderId="10" xfId="0" applyFont="1" applyFill="1" applyBorder="1" applyAlignment="1"/>
    <xf numFmtId="0" fontId="12" fillId="0" borderId="4" xfId="15" applyFont="1" applyFill="1" applyBorder="1" applyAlignment="1"/>
    <xf numFmtId="0" fontId="12" fillId="0" borderId="7" xfId="15" applyFont="1" applyFill="1" applyBorder="1" applyAlignment="1"/>
    <xf numFmtId="0" fontId="12" fillId="0" borderId="8" xfId="15" applyFont="1" applyFill="1" applyBorder="1" applyAlignment="1"/>
    <xf numFmtId="0" fontId="9" fillId="0" borderId="5" xfId="15" applyFont="1" applyFill="1" applyBorder="1" applyAlignment="1"/>
    <xf numFmtId="0" fontId="9" fillId="0" borderId="13" xfId="15" applyFont="1" applyFill="1" applyBorder="1" applyAlignment="1"/>
    <xf numFmtId="0" fontId="9" fillId="0" borderId="10" xfId="15" applyFont="1" applyFill="1" applyBorder="1" applyAlignment="1"/>
    <xf numFmtId="0" fontId="9" fillId="0" borderId="9" xfId="15" applyFont="1" applyFill="1" applyBorder="1" applyAlignment="1"/>
    <xf numFmtId="0" fontId="9" fillId="0" borderId="10" xfId="3" applyFont="1" applyFill="1" applyBorder="1" applyAlignment="1"/>
    <xf numFmtId="0" fontId="9" fillId="0" borderId="0" xfId="1" applyFont="1" applyFill="1" applyBorder="1" applyAlignment="1"/>
    <xf numFmtId="0" fontId="9" fillId="0" borderId="8" xfId="1" applyFont="1" applyFill="1" applyBorder="1" applyAlignment="1"/>
    <xf numFmtId="0" fontId="9" fillId="0" borderId="9" xfId="1" applyFont="1" applyFill="1" applyBorder="1" applyAlignment="1"/>
    <xf numFmtId="0" fontId="9" fillId="0" borderId="5" xfId="1" applyFont="1" applyFill="1" applyBorder="1" applyAlignment="1"/>
    <xf numFmtId="0" fontId="9" fillId="0" borderId="9" xfId="3" applyFont="1" applyFill="1" applyBorder="1" applyAlignment="1"/>
    <xf numFmtId="0" fontId="21" fillId="0" borderId="10" xfId="1" applyFill="1" applyBorder="1" applyAlignment="1"/>
    <xf numFmtId="0" fontId="21" fillId="0" borderId="18" xfId="1" applyFill="1" applyBorder="1" applyAlignment="1"/>
    <xf numFmtId="0" fontId="12" fillId="0" borderId="21" xfId="15" applyFont="1" applyFill="1" applyBorder="1" applyAlignment="1"/>
    <xf numFmtId="0" fontId="21" fillId="0" borderId="0" xfId="1" applyFill="1" applyBorder="1" applyAlignment="1"/>
    <xf numFmtId="0" fontId="12" fillId="0" borderId="10" xfId="15" applyFont="1" applyFill="1" applyBorder="1" applyAlignment="1"/>
    <xf numFmtId="0" fontId="12" fillId="0" borderId="9" xfId="15" applyFont="1" applyFill="1" applyBorder="1" applyAlignment="1"/>
    <xf numFmtId="0" fontId="12" fillId="0" borderId="5" xfId="15" applyFont="1" applyFill="1" applyBorder="1" applyAlignment="1"/>
    <xf numFmtId="0" fontId="9" fillId="0" borderId="16" xfId="15" applyFont="1" applyFill="1" applyBorder="1" applyAlignment="1"/>
    <xf numFmtId="0" fontId="12" fillId="0" borderId="17" xfId="15" applyFont="1" applyFill="1" applyBorder="1" applyAlignment="1"/>
    <xf numFmtId="0" fontId="12" fillId="0" borderId="15" xfId="15" applyFont="1" applyFill="1" applyBorder="1" applyAlignment="1"/>
    <xf numFmtId="0" fontId="12" fillId="0" borderId="22" xfId="15" applyFont="1" applyFill="1" applyBorder="1" applyAlignment="1"/>
    <xf numFmtId="0" fontId="9" fillId="0" borderId="15" xfId="15" applyFont="1" applyFill="1" applyBorder="1" applyAlignment="1"/>
    <xf numFmtId="0" fontId="0" fillId="0" borderId="0" xfId="0"/>
    <xf numFmtId="0" fontId="0" fillId="0" borderId="0" xfId="0" applyFont="1" applyFill="1" applyBorder="1" applyAlignment="1"/>
    <xf numFmtId="0" fontId="9" fillId="0" borderId="8" xfId="15" applyFont="1" applyFill="1" applyBorder="1" applyAlignment="1"/>
    <xf numFmtId="0" fontId="12" fillId="0" borderId="16" xfId="15" applyFont="1" applyFill="1" applyBorder="1" applyAlignment="1"/>
    <xf numFmtId="0" fontId="12" fillId="0" borderId="5" xfId="0" applyFont="1" applyFill="1" applyBorder="1" applyAlignment="1"/>
    <xf numFmtId="0" fontId="9" fillId="0" borderId="10" xfId="0" applyFont="1" applyFill="1" applyBorder="1" applyAlignment="1"/>
    <xf numFmtId="0" fontId="9" fillId="0" borderId="19" xfId="23" applyFont="1" applyBorder="1" applyAlignment="1">
      <alignment vertical="top" wrapText="1"/>
    </xf>
    <xf numFmtId="0" fontId="9" fillId="0" borderId="15" xfId="23" applyFont="1" applyBorder="1" applyAlignment="1">
      <alignment vertical="top" wrapText="1"/>
    </xf>
    <xf numFmtId="0" fontId="0" fillId="0" borderId="4" xfId="0" applyFill="1" applyBorder="1"/>
    <xf numFmtId="0" fontId="9" fillId="0" borderId="5" xfId="23" applyFont="1" applyFill="1" applyBorder="1" applyAlignment="1"/>
    <xf numFmtId="0" fontId="12" fillId="0" borderId="6" xfId="23" applyFont="1" applyFill="1" applyBorder="1" applyAlignment="1"/>
    <xf numFmtId="0" fontId="12" fillId="0" borderId="5" xfId="23" applyFont="1" applyFill="1" applyBorder="1" applyAlignment="1"/>
    <xf numFmtId="0" fontId="9" fillId="0" borderId="10" xfId="23" applyFont="1" applyFill="1" applyBorder="1" applyAlignment="1"/>
    <xf numFmtId="0" fontId="12" fillId="0" borderId="4" xfId="23" applyFont="1" applyFill="1" applyBorder="1" applyAlignment="1"/>
    <xf numFmtId="0" fontId="12" fillId="0" borderId="10" xfId="23" applyFont="1" applyFill="1" applyBorder="1" applyAlignment="1"/>
    <xf numFmtId="0" fontId="10" fillId="0" borderId="4" xfId="23" applyFont="1" applyFill="1" applyBorder="1" applyAlignment="1"/>
    <xf numFmtId="0" fontId="9" fillId="0" borderId="9" xfId="23" applyFont="1" applyFill="1" applyBorder="1" applyAlignment="1"/>
    <xf numFmtId="0" fontId="12" fillId="0" borderId="8" xfId="23" applyFont="1" applyFill="1" applyBorder="1" applyAlignment="1"/>
    <xf numFmtId="0" fontId="12" fillId="0" borderId="9" xfId="23" applyFont="1" applyFill="1" applyBorder="1" applyAlignment="1"/>
    <xf numFmtId="0" fontId="9" fillId="0" borderId="5" xfId="1" applyFont="1" applyFill="1" applyBorder="1" applyAlignment="1">
      <alignment vertical="top"/>
    </xf>
    <xf numFmtId="0" fontId="29" fillId="0" borderId="0" xfId="15" applyFont="1" applyFill="1" applyBorder="1" applyAlignment="1"/>
    <xf numFmtId="0" fontId="20" fillId="0" borderId="0" xfId="15" applyFont="1" applyFill="1" applyBorder="1" applyAlignment="1"/>
    <xf numFmtId="0" fontId="20" fillId="0" borderId="0" xfId="15" applyFont="1" applyBorder="1" applyAlignment="1"/>
    <xf numFmtId="0" fontId="20" fillId="0" borderId="0" xfId="15" applyFont="1" applyAlignment="1">
      <alignment vertical="top"/>
    </xf>
    <xf numFmtId="49" fontId="12" fillId="4" borderId="0" xfId="6" applyNumberFormat="1" applyFont="1" applyFill="1"/>
    <xf numFmtId="0" fontId="12" fillId="4" borderId="0" xfId="23" applyFont="1" applyFill="1" applyBorder="1" applyAlignment="1">
      <alignment vertical="top" wrapText="1"/>
    </xf>
    <xf numFmtId="0" fontId="12" fillId="4" borderId="0" xfId="23" applyFont="1" applyFill="1" applyBorder="1" applyAlignment="1">
      <alignment wrapText="1"/>
    </xf>
    <xf numFmtId="0" fontId="1" fillId="0" borderId="0" xfId="23" applyFont="1" applyAlignment="1">
      <alignment vertical="top" wrapText="1"/>
    </xf>
    <xf numFmtId="0" fontId="1" fillId="0" borderId="5" xfId="23" applyFont="1" applyFill="1" applyBorder="1" applyAlignment="1">
      <alignment vertical="top" wrapText="1"/>
    </xf>
    <xf numFmtId="0" fontId="12" fillId="6" borderId="8" xfId="15" applyFont="1" applyFill="1" applyBorder="1" applyAlignment="1"/>
    <xf numFmtId="0" fontId="12" fillId="7" borderId="8" xfId="23" applyFont="1" applyFill="1" applyBorder="1" applyAlignment="1">
      <alignment vertical="top" wrapText="1"/>
    </xf>
    <xf numFmtId="0" fontId="12" fillId="7" borderId="4" xfId="15" applyFont="1" applyFill="1" applyBorder="1" applyAlignment="1"/>
    <xf numFmtId="0" fontId="12" fillId="7" borderId="4" xfId="23" applyFont="1" applyFill="1" applyBorder="1" applyAlignment="1">
      <alignment vertical="top" wrapText="1"/>
    </xf>
    <xf numFmtId="0" fontId="9" fillId="7" borderId="4" xfId="2" applyFont="1" applyFill="1" applyBorder="1" applyAlignment="1">
      <alignment vertical="top"/>
    </xf>
    <xf numFmtId="0" fontId="12" fillId="7" borderId="4" xfId="23" applyFont="1" applyFill="1" applyBorder="1" applyAlignment="1"/>
    <xf numFmtId="0" fontId="12" fillId="7" borderId="8" xfId="23" applyFont="1" applyFill="1" applyBorder="1" applyAlignment="1"/>
    <xf numFmtId="0" fontId="12" fillId="7" borderId="15" xfId="23" applyFont="1" applyFill="1" applyBorder="1" applyAlignment="1">
      <alignment vertical="top" wrapText="1"/>
    </xf>
    <xf numFmtId="0" fontId="12" fillId="7" borderId="16" xfId="23" applyFont="1" applyFill="1" applyBorder="1" applyAlignment="1">
      <alignment vertical="top" wrapText="1"/>
    </xf>
    <xf numFmtId="0" fontId="29" fillId="7" borderId="0" xfId="23" applyFont="1" applyFill="1" applyAlignment="1">
      <alignment vertical="top"/>
    </xf>
    <xf numFmtId="0" fontId="0" fillId="7" borderId="0" xfId="0" applyFont="1" applyFill="1"/>
    <xf numFmtId="0" fontId="12" fillId="7" borderId="0" xfId="0" applyFont="1" applyFill="1"/>
    <xf numFmtId="0" fontId="29" fillId="0" borderId="0" xfId="23" applyFont="1" applyFill="1" applyAlignment="1">
      <alignment vertical="top"/>
    </xf>
    <xf numFmtId="0" fontId="31" fillId="0" borderId="0" xfId="23" applyFont="1" applyAlignment="1">
      <alignment vertical="top"/>
    </xf>
    <xf numFmtId="0" fontId="12" fillId="6" borderId="4" xfId="15" applyFont="1" applyFill="1" applyBorder="1" applyAlignment="1"/>
    <xf numFmtId="0" fontId="21" fillId="0" borderId="0" xfId="1"/>
    <xf numFmtId="0" fontId="32" fillId="0" borderId="0" xfId="7" applyFont="1" applyFill="1" applyBorder="1" applyAlignment="1">
      <alignment horizontal="right"/>
    </xf>
    <xf numFmtId="0" fontId="16" fillId="0" borderId="26" xfId="7" applyFont="1" applyFill="1" applyBorder="1" applyAlignment="1"/>
    <xf numFmtId="0" fontId="5" fillId="0" borderId="26" xfId="7" applyFont="1" applyFill="1" applyBorder="1" applyAlignment="1"/>
    <xf numFmtId="0" fontId="5" fillId="0" borderId="26" xfId="7" applyFont="1" applyFill="1" applyBorder="1" applyAlignment="1">
      <alignment horizontal="center"/>
    </xf>
    <xf numFmtId="0" fontId="16" fillId="0" borderId="26" xfId="7" applyFont="1" applyFill="1" applyBorder="1" applyAlignment="1">
      <alignment horizontal="center"/>
    </xf>
    <xf numFmtId="0" fontId="21" fillId="7" borderId="26" xfId="1" applyFill="1" applyBorder="1" applyAlignment="1">
      <alignment horizontal="center"/>
    </xf>
    <xf numFmtId="0" fontId="33" fillId="0" borderId="26" xfId="19" applyFont="1" applyFill="1" applyBorder="1" applyAlignment="1">
      <alignment horizontal="center"/>
    </xf>
    <xf numFmtId="0" fontId="33" fillId="0" borderId="26" xfId="7" applyFont="1" applyFill="1" applyBorder="1" applyAlignment="1">
      <alignment horizontal="center"/>
    </xf>
    <xf numFmtId="0" fontId="33" fillId="0" borderId="26" xfId="7" applyFont="1" applyFill="1" applyBorder="1" applyAlignment="1"/>
    <xf numFmtId="0" fontId="34" fillId="0" borderId="26" xfId="7" quotePrefix="1" applyFont="1" applyFill="1" applyBorder="1" applyAlignment="1">
      <alignment horizontal="center"/>
    </xf>
    <xf numFmtId="0" fontId="5" fillId="0" borderId="26" xfId="7" applyFont="1" applyBorder="1" applyAlignment="1"/>
    <xf numFmtId="166" fontId="35" fillId="0" borderId="26" xfId="7" applyNumberFormat="1" applyFont="1" applyFill="1" applyBorder="1" applyAlignment="1">
      <alignment horizontal="center"/>
    </xf>
    <xf numFmtId="0" fontId="5" fillId="0" borderId="26" xfId="26" applyFont="1" applyFill="1" applyBorder="1" applyAlignment="1">
      <alignment horizontal="center"/>
    </xf>
    <xf numFmtId="0" fontId="20" fillId="0" borderId="26" xfId="6" applyFont="1" applyFill="1" applyBorder="1"/>
    <xf numFmtId="0" fontId="20" fillId="0" borderId="26" xfId="23" applyFont="1" applyFill="1" applyBorder="1" applyAlignment="1"/>
    <xf numFmtId="0" fontId="20" fillId="0" borderId="26" xfId="7" applyFont="1" applyFill="1" applyBorder="1" applyAlignment="1"/>
    <xf numFmtId="165" fontId="31" fillId="0" borderId="0" xfId="6" applyNumberFormat="1" applyFont="1" applyFill="1" applyBorder="1" applyAlignment="1">
      <alignment horizontal="left"/>
    </xf>
    <xf numFmtId="20" fontId="16" fillId="0" borderId="0" xfId="6" applyNumberFormat="1" applyFont="1" applyFill="1" applyBorder="1" applyAlignment="1">
      <alignment horizontal="left"/>
    </xf>
    <xf numFmtId="0" fontId="1" fillId="0" borderId="0" xfId="22" applyFont="1" applyFill="1"/>
    <xf numFmtId="0" fontId="1" fillId="0" borderId="0" xfId="22" applyFont="1" applyFill="1" applyAlignment="1"/>
    <xf numFmtId="0" fontId="1" fillId="0" borderId="0" xfId="22" applyFont="1" applyFill="1" applyAlignment="1">
      <alignment horizontal="center"/>
    </xf>
    <xf numFmtId="0" fontId="1" fillId="0" borderId="0" xfId="22" applyFont="1" applyAlignment="1">
      <alignment horizontal="center"/>
    </xf>
    <xf numFmtId="0" fontId="12" fillId="0" borderId="0" xfId="22" applyFont="1" applyFill="1"/>
    <xf numFmtId="0" fontId="1" fillId="0" borderId="0" xfId="22" applyFont="1"/>
    <xf numFmtId="165" fontId="12" fillId="0" borderId="0" xfId="22" applyNumberFormat="1" applyFont="1" applyFill="1" applyAlignment="1">
      <alignment horizontal="left"/>
    </xf>
    <xf numFmtId="20" fontId="12" fillId="0" borderId="0" xfId="22" applyNumberFormat="1" applyFont="1" applyFill="1" applyAlignment="1">
      <alignment horizontal="left"/>
    </xf>
    <xf numFmtId="164" fontId="1" fillId="0" borderId="0" xfId="22" applyNumberFormat="1" applyFont="1" applyFill="1" applyAlignment="1">
      <alignment horizontal="right"/>
    </xf>
    <xf numFmtId="165" fontId="12" fillId="6" borderId="27" xfId="22" applyNumberFormat="1" applyFont="1" applyFill="1" applyBorder="1" applyAlignment="1">
      <alignment horizontal="left" wrapText="1"/>
    </xf>
    <xf numFmtId="20" fontId="12" fillId="6" borderId="27" xfId="22" applyNumberFormat="1" applyFont="1" applyFill="1" applyBorder="1" applyAlignment="1">
      <alignment horizontal="left"/>
    </xf>
    <xf numFmtId="0" fontId="12" fillId="6" borderId="27" xfId="22" applyFont="1" applyFill="1" applyBorder="1"/>
    <xf numFmtId="0" fontId="12" fillId="6" borderId="27" xfId="22" applyFont="1" applyFill="1" applyBorder="1" applyAlignment="1"/>
    <xf numFmtId="0" fontId="12" fillId="6" borderId="27" xfId="22" applyFont="1" applyFill="1" applyBorder="1" applyAlignment="1">
      <alignment horizontal="left"/>
    </xf>
    <xf numFmtId="164" fontId="12" fillId="6" borderId="27" xfId="22" applyNumberFormat="1" applyFont="1" applyFill="1" applyBorder="1" applyAlignment="1"/>
    <xf numFmtId="0" fontId="1" fillId="0" borderId="0" xfId="22" applyFont="1" applyFill="1" applyAlignment="1">
      <alignment vertical="center"/>
    </xf>
    <xf numFmtId="164" fontId="1" fillId="0" borderId="0" xfId="22" applyNumberFormat="1" applyFont="1" applyFill="1" applyAlignment="1">
      <alignment horizontal="right" vertical="center"/>
    </xf>
    <xf numFmtId="0" fontId="12" fillId="0" borderId="0" xfId="22" applyFont="1" applyFill="1" applyAlignment="1">
      <alignment vertical="center"/>
    </xf>
    <xf numFmtId="0" fontId="1" fillId="0" borderId="0" xfId="22" applyFont="1" applyAlignment="1">
      <alignment vertical="center"/>
    </xf>
    <xf numFmtId="14" fontId="20" fillId="0" borderId="27" xfId="22" applyNumberFormat="1" applyFont="1" applyFill="1" applyBorder="1" applyAlignment="1">
      <alignment horizontal="left"/>
    </xf>
    <xf numFmtId="49" fontId="20" fillId="0" borderId="27" xfId="6" applyNumberFormat="1" applyFont="1" applyFill="1" applyBorder="1"/>
    <xf numFmtId="0" fontId="20" fillId="0" borderId="27" xfId="22" applyFont="1" applyFill="1" applyBorder="1"/>
    <xf numFmtId="0" fontId="36" fillId="0" borderId="27" xfId="1" applyFont="1" applyFill="1" applyBorder="1"/>
    <xf numFmtId="0" fontId="20" fillId="0" borderId="27" xfId="22" applyFont="1" applyFill="1" applyBorder="1" applyAlignment="1"/>
    <xf numFmtId="0" fontId="20" fillId="0" borderId="27" xfId="7" applyFont="1" applyFill="1" applyBorder="1" applyAlignment="1">
      <alignment horizontal="left" vertical="top"/>
    </xf>
    <xf numFmtId="168" fontId="20" fillId="0" borderId="27" xfId="22" applyNumberFormat="1" applyFont="1" applyFill="1" applyBorder="1" applyAlignment="1">
      <alignment horizontal="center"/>
    </xf>
    <xf numFmtId="166" fontId="20" fillId="0" borderId="27" xfId="22" applyNumberFormat="1" applyFont="1" applyFill="1" applyBorder="1" applyAlignment="1">
      <alignment horizontal="center" vertical="center"/>
    </xf>
    <xf numFmtId="0" fontId="20" fillId="0" borderId="0" xfId="22" applyFont="1" applyFill="1" applyAlignment="1">
      <alignment vertical="center"/>
    </xf>
    <xf numFmtId="0" fontId="37" fillId="0" borderId="0" xfId="22" applyFont="1" applyFill="1" applyAlignment="1">
      <alignment vertical="center"/>
    </xf>
    <xf numFmtId="164" fontId="20" fillId="0" borderId="0" xfId="22" applyNumberFormat="1" applyFont="1" applyFill="1" applyAlignment="1">
      <alignment horizontal="center" vertical="center"/>
    </xf>
    <xf numFmtId="166" fontId="20" fillId="0" borderId="0" xfId="22" applyNumberFormat="1" applyFont="1" applyFill="1" applyAlignment="1">
      <alignment horizontal="center" vertical="center"/>
    </xf>
    <xf numFmtId="166" fontId="20" fillId="0" borderId="27" xfId="22" applyNumberFormat="1" applyFont="1" applyFill="1" applyBorder="1" applyAlignment="1">
      <alignment horizontal="center"/>
    </xf>
    <xf numFmtId="0" fontId="36" fillId="0" borderId="26" xfId="1" applyFont="1" applyFill="1" applyBorder="1"/>
    <xf numFmtId="166" fontId="20" fillId="0" borderId="26" xfId="22" applyNumberFormat="1" applyFont="1" applyFill="1" applyBorder="1" applyAlignment="1">
      <alignment horizontal="center" vertical="center"/>
    </xf>
    <xf numFmtId="166" fontId="20" fillId="0" borderId="26" xfId="22" applyNumberFormat="1" applyFont="1" applyFill="1" applyBorder="1" applyAlignment="1">
      <alignment horizontal="center"/>
    </xf>
    <xf numFmtId="0" fontId="21" fillId="0" borderId="26" xfId="1" applyFill="1" applyBorder="1"/>
    <xf numFmtId="165" fontId="12" fillId="0" borderId="0" xfId="22" applyNumberFormat="1" applyFont="1" applyFill="1" applyBorder="1" applyAlignment="1">
      <alignment horizontal="left"/>
    </xf>
    <xf numFmtId="0" fontId="21" fillId="0" borderId="0" xfId="1" applyAlignment="1"/>
    <xf numFmtId="0" fontId="29" fillId="0" borderId="0" xfId="0" applyFont="1" applyFill="1"/>
    <xf numFmtId="0" fontId="0" fillId="0" borderId="0" xfId="0" applyFill="1"/>
    <xf numFmtId="0" fontId="30" fillId="0" borderId="0" xfId="0" applyFont="1"/>
    <xf numFmtId="165" fontId="12" fillId="0" borderId="0" xfId="22" applyNumberFormat="1" applyFont="1" applyAlignment="1">
      <alignment horizontal="left"/>
    </xf>
    <xf numFmtId="20" fontId="12" fillId="0" borderId="0" xfId="22" applyNumberFormat="1" applyFont="1" applyAlignment="1">
      <alignment horizontal="left"/>
    </xf>
    <xf numFmtId="0" fontId="1" fillId="0" borderId="0" xfId="22" applyFont="1" applyAlignment="1"/>
    <xf numFmtId="164" fontId="1" fillId="0" borderId="0" xfId="22" applyNumberFormat="1" applyFont="1" applyAlignment="1">
      <alignment horizontal="right"/>
    </xf>
    <xf numFmtId="0" fontId="29" fillId="4" borderId="0" xfId="22" quotePrefix="1" applyNumberFormat="1" applyFont="1" applyFill="1" applyAlignment="1">
      <alignment horizontal="left" vertical="center"/>
    </xf>
    <xf numFmtId="20" fontId="20" fillId="4" borderId="0" xfId="22" applyNumberFormat="1" applyFont="1" applyFill="1" applyAlignment="1">
      <alignment horizontal="left" vertical="center"/>
    </xf>
    <xf numFmtId="0" fontId="21" fillId="0" borderId="27" xfId="1" applyFill="1" applyBorder="1" applyAlignment="1">
      <alignment vertical="center"/>
    </xf>
    <xf numFmtId="0" fontId="21" fillId="0" borderId="27" xfId="1" applyFont="1" applyFill="1" applyBorder="1"/>
    <xf numFmtId="164" fontId="20" fillId="0" borderId="27" xfId="22" applyNumberFormat="1" applyFont="1" applyFill="1" applyBorder="1" applyAlignment="1">
      <alignment horizontal="center"/>
    </xf>
    <xf numFmtId="0" fontId="21" fillId="9" borderId="26" xfId="1" applyFill="1" applyBorder="1"/>
    <xf numFmtId="0" fontId="21" fillId="0" borderId="27" xfId="1" applyFill="1" applyBorder="1" applyAlignment="1"/>
    <xf numFmtId="0" fontId="21" fillId="0" borderId="26" xfId="1" applyFill="1" applyBorder="1" applyAlignment="1">
      <alignment vertical="center"/>
    </xf>
    <xf numFmtId="0" fontId="9" fillId="4" borderId="0" xfId="23" applyFont="1" applyFill="1" applyBorder="1" applyAlignment="1">
      <alignment wrapText="1"/>
    </xf>
    <xf numFmtId="0" fontId="9" fillId="4" borderId="0" xfId="23" applyFont="1" applyFill="1" applyBorder="1" applyAlignment="1">
      <alignment vertical="top" wrapText="1"/>
    </xf>
    <xf numFmtId="0" fontId="18" fillId="0" borderId="4" xfId="15" applyFont="1" applyFill="1" applyBorder="1" applyAlignment="1"/>
    <xf numFmtId="0" fontId="19" fillId="0" borderId="7" xfId="23" applyFont="1" applyBorder="1" applyAlignment="1">
      <alignment vertical="top" wrapText="1"/>
    </xf>
    <xf numFmtId="0" fontId="17" fillId="0" borderId="16" xfId="15" applyFont="1" applyFill="1" applyBorder="1" applyAlignment="1"/>
    <xf numFmtId="0" fontId="19" fillId="0" borderId="8" xfId="15" applyFont="1" applyFill="1" applyBorder="1" applyAlignment="1"/>
    <xf numFmtId="0" fontId="12" fillId="9" borderId="4" xfId="15" applyFont="1" applyFill="1" applyBorder="1" applyAlignment="1"/>
    <xf numFmtId="0" fontId="12" fillId="9" borderId="8" xfId="15" applyFont="1" applyFill="1" applyBorder="1" applyAlignment="1"/>
    <xf numFmtId="0" fontId="31" fillId="0" borderId="0" xfId="23" applyFont="1"/>
    <xf numFmtId="0" fontId="29" fillId="0" borderId="0" xfId="23" applyFont="1"/>
    <xf numFmtId="0" fontId="20" fillId="0" borderId="0" xfId="23" applyFont="1"/>
    <xf numFmtId="0" fontId="20" fillId="0" borderId="0" xfId="6" applyFont="1"/>
    <xf numFmtId="0" fontId="29" fillId="0" borderId="26" xfId="23" applyFont="1" applyBorder="1" applyAlignment="1"/>
    <xf numFmtId="0" fontId="29" fillId="0" borderId="26" xfId="23" applyFont="1" applyBorder="1" applyAlignment="1">
      <alignment horizontal="center"/>
    </xf>
    <xf numFmtId="0" fontId="20" fillId="0" borderId="0" xfId="23" applyFont="1" applyAlignment="1"/>
    <xf numFmtId="0" fontId="20" fillId="0" borderId="26" xfId="23" applyFont="1" applyFill="1" applyBorder="1" applyAlignment="1">
      <alignment horizontal="center"/>
    </xf>
    <xf numFmtId="49" fontId="20" fillId="0" borderId="26" xfId="23" applyNumberFormat="1" applyFont="1" applyFill="1" applyBorder="1" applyAlignment="1">
      <alignment horizontal="center"/>
    </xf>
    <xf numFmtId="0" fontId="20" fillId="0" borderId="0" xfId="23" applyFont="1" applyBorder="1" applyAlignment="1"/>
    <xf numFmtId="0" fontId="29" fillId="0" borderId="0" xfId="23" applyFont="1" applyBorder="1" applyAlignment="1"/>
    <xf numFmtId="0" fontId="20" fillId="0" borderId="0" xfId="23" applyFont="1" applyBorder="1" applyAlignment="1">
      <alignment horizontal="center"/>
    </xf>
    <xf numFmtId="0" fontId="20" fillId="0" borderId="0" xfId="23" applyFont="1" applyFill="1" applyBorder="1" applyAlignment="1">
      <alignment horizontal="center"/>
    </xf>
    <xf numFmtId="49" fontId="20" fillId="0" borderId="0" xfId="23" applyNumberFormat="1" applyFont="1" applyBorder="1" applyAlignment="1">
      <alignment horizontal="center"/>
    </xf>
    <xf numFmtId="0" fontId="20" fillId="0" borderId="0" xfId="23" applyFont="1" applyBorder="1"/>
    <xf numFmtId="0" fontId="40" fillId="0" borderId="0" xfId="7" applyFont="1" applyAlignment="1"/>
    <xf numFmtId="0" fontId="20" fillId="0" borderId="0" xfId="7" applyFont="1" applyAlignment="1"/>
    <xf numFmtId="0" fontId="29" fillId="0" borderId="0" xfId="7" applyFont="1" applyAlignment="1">
      <alignment horizontal="right"/>
    </xf>
    <xf numFmtId="0" fontId="20" fillId="0" borderId="0" xfId="7" applyFont="1" applyAlignment="1">
      <alignment horizontal="right"/>
    </xf>
    <xf numFmtId="0" fontId="20" fillId="0" borderId="31" xfId="7" applyFont="1" applyBorder="1" applyAlignment="1"/>
    <xf numFmtId="0" fontId="20" fillId="0" borderId="32" xfId="7" applyFont="1" applyBorder="1" applyAlignment="1"/>
    <xf numFmtId="0" fontId="20" fillId="0" borderId="33" xfId="7" applyFont="1" applyBorder="1" applyAlignment="1"/>
    <xf numFmtId="0" fontId="20" fillId="0" borderId="34" xfId="9" applyFont="1" applyFill="1" applyBorder="1" applyAlignment="1"/>
    <xf numFmtId="0" fontId="20" fillId="0" borderId="35" xfId="7" applyFont="1" applyBorder="1" applyAlignment="1">
      <alignment horizontal="left"/>
    </xf>
    <xf numFmtId="0" fontId="20" fillId="0" borderId="36" xfId="7" applyFont="1" applyBorder="1" applyAlignment="1"/>
    <xf numFmtId="0" fontId="20" fillId="0" borderId="0" xfId="7" applyFont="1" applyBorder="1" applyAlignment="1"/>
    <xf numFmtId="0" fontId="20" fillId="0" borderId="37" xfId="7" applyFont="1" applyBorder="1" applyAlignment="1"/>
    <xf numFmtId="0" fontId="20" fillId="0" borderId="0" xfId="7" applyFont="1" applyAlignment="1">
      <alignment horizontal="left"/>
    </xf>
    <xf numFmtId="0" fontId="20" fillId="0" borderId="33" xfId="9" applyFont="1" applyFill="1" applyBorder="1" applyAlignment="1"/>
    <xf numFmtId="0" fontId="20" fillId="0" borderId="35" xfId="7" applyFont="1" applyBorder="1" applyAlignment="1"/>
    <xf numFmtId="0" fontId="20" fillId="0" borderId="34" xfId="7" applyFont="1" applyBorder="1" applyAlignment="1"/>
    <xf numFmtId="0" fontId="20" fillId="0" borderId="0" xfId="7" applyFont="1" applyBorder="1" applyAlignment="1">
      <alignment horizontal="left"/>
    </xf>
    <xf numFmtId="0" fontId="20" fillId="0" borderId="38" xfId="7" applyFont="1" applyBorder="1" applyAlignment="1">
      <alignment horizontal="left"/>
    </xf>
    <xf numFmtId="0" fontId="20" fillId="0" borderId="39" xfId="7" applyFont="1" applyBorder="1" applyAlignment="1"/>
    <xf numFmtId="0" fontId="29" fillId="0" borderId="12" xfId="7" applyFont="1" applyBorder="1" applyAlignment="1"/>
    <xf numFmtId="0" fontId="20" fillId="0" borderId="12" xfId="7" applyFont="1" applyBorder="1" applyAlignment="1"/>
    <xf numFmtId="0" fontId="20" fillId="0" borderId="34" xfId="7" applyFont="1" applyFill="1" applyBorder="1" applyAlignment="1"/>
    <xf numFmtId="0" fontId="20" fillId="0" borderId="29" xfId="7" applyFont="1" applyBorder="1" applyAlignment="1"/>
    <xf numFmtId="0" fontId="29" fillId="0" borderId="0" xfId="7" applyFont="1" applyBorder="1" applyAlignment="1"/>
    <xf numFmtId="0" fontId="29" fillId="0" borderId="0" xfId="7" applyFont="1" applyAlignment="1"/>
    <xf numFmtId="0" fontId="20" fillId="0" borderId="26" xfId="23" applyFont="1" applyBorder="1" applyAlignment="1"/>
    <xf numFmtId="0" fontId="20" fillId="0" borderId="26" xfId="23" applyFont="1" applyBorder="1"/>
    <xf numFmtId="0" fontId="29" fillId="0" borderId="0" xfId="23" applyFont="1" applyFill="1" applyBorder="1" applyAlignment="1">
      <alignment horizontal="right"/>
    </xf>
    <xf numFmtId="0" fontId="29" fillId="0" borderId="0" xfId="23" applyFont="1" applyAlignment="1">
      <alignment horizontal="right"/>
    </xf>
    <xf numFmtId="0" fontId="20" fillId="0" borderId="31" xfId="23" applyFont="1" applyBorder="1"/>
    <xf numFmtId="0" fontId="20" fillId="0" borderId="32" xfId="23" applyFont="1" applyBorder="1"/>
    <xf numFmtId="0" fontId="20" fillId="0" borderId="33" xfId="23" applyFont="1" applyBorder="1"/>
    <xf numFmtId="0" fontId="20" fillId="0" borderId="35" xfId="23" applyFont="1" applyBorder="1" applyAlignment="1">
      <alignment horizontal="left"/>
    </xf>
    <xf numFmtId="0" fontId="20" fillId="0" borderId="36" xfId="23" applyFont="1" applyBorder="1"/>
    <xf numFmtId="0" fontId="20" fillId="0" borderId="37" xfId="23" applyFont="1" applyBorder="1"/>
    <xf numFmtId="0" fontId="20" fillId="0" borderId="0" xfId="23" applyFont="1" applyBorder="1" applyAlignment="1">
      <alignment horizontal="left"/>
    </xf>
    <xf numFmtId="0" fontId="20" fillId="0" borderId="39" xfId="23" applyFont="1" applyBorder="1"/>
    <xf numFmtId="0" fontId="29" fillId="0" borderId="12" xfId="23" applyFont="1" applyBorder="1"/>
    <xf numFmtId="0" fontId="20" fillId="0" borderId="12" xfId="23" applyFont="1" applyBorder="1"/>
    <xf numFmtId="0" fontId="20" fillId="0" borderId="35" xfId="23" applyFont="1" applyBorder="1"/>
    <xf numFmtId="0" fontId="20" fillId="0" borderId="34" xfId="23" applyFont="1" applyBorder="1"/>
    <xf numFmtId="0" fontId="20" fillId="0" borderId="29" xfId="23" applyFont="1" applyBorder="1"/>
    <xf numFmtId="0" fontId="20" fillId="0" borderId="0" xfId="23" applyFont="1" applyAlignment="1">
      <alignment horizontal="left"/>
    </xf>
    <xf numFmtId="0" fontId="29" fillId="0" borderId="0" xfId="23" applyFont="1" applyBorder="1"/>
    <xf numFmtId="0" fontId="20" fillId="0" borderId="38" xfId="23" applyFont="1" applyBorder="1" applyAlignment="1">
      <alignment horizontal="left"/>
    </xf>
    <xf numFmtId="0" fontId="29" fillId="0" borderId="0" xfId="15" applyFont="1"/>
    <xf numFmtId="0" fontId="20" fillId="0" borderId="0" xfId="15" applyFont="1" applyAlignment="1"/>
    <xf numFmtId="0" fontId="20" fillId="0" borderId="40" xfId="17" applyFont="1" applyBorder="1" applyAlignment="1"/>
    <xf numFmtId="0" fontId="29" fillId="0" borderId="40" xfId="17" applyFont="1" applyBorder="1" applyAlignment="1">
      <alignment horizontal="center"/>
    </xf>
    <xf numFmtId="0" fontId="20" fillId="0" borderId="41" xfId="17" applyFont="1" applyBorder="1" applyAlignment="1"/>
    <xf numFmtId="0" fontId="20" fillId="0" borderId="42" xfId="17" applyFont="1" applyBorder="1" applyAlignment="1"/>
    <xf numFmtId="0" fontId="20" fillId="0" borderId="43" xfId="17" applyFont="1" applyBorder="1" applyAlignment="1"/>
    <xf numFmtId="0" fontId="20" fillId="0" borderId="40" xfId="17" applyFont="1" applyFill="1" applyBorder="1" applyAlignment="1"/>
    <xf numFmtId="0" fontId="20" fillId="0" borderId="0" xfId="17" applyFont="1"/>
    <xf numFmtId="0" fontId="29" fillId="0" borderId="40" xfId="9" applyFont="1" applyBorder="1" applyAlignment="1"/>
    <xf numFmtId="0" fontId="29" fillId="0" borderId="42" xfId="9" applyFont="1" applyBorder="1" applyAlignment="1">
      <alignment horizontal="center"/>
    </xf>
    <xf numFmtId="0" fontId="29" fillId="0" borderId="44" xfId="9" applyFont="1" applyBorder="1" applyAlignment="1">
      <alignment horizontal="center"/>
    </xf>
    <xf numFmtId="0" fontId="29" fillId="0" borderId="45" xfId="9" applyFont="1" applyBorder="1" applyAlignment="1">
      <alignment horizontal="center"/>
    </xf>
    <xf numFmtId="0" fontId="29" fillId="0" borderId="46" xfId="9" applyFont="1" applyBorder="1" applyAlignment="1">
      <alignment horizontal="center"/>
    </xf>
    <xf numFmtId="0" fontId="29" fillId="0" borderId="42" xfId="9" applyFont="1" applyFill="1" applyBorder="1" applyAlignment="1">
      <alignment horizontal="center"/>
    </xf>
    <xf numFmtId="0" fontId="29" fillId="0" borderId="40" xfId="9" applyFont="1" applyFill="1" applyBorder="1" applyAlignment="1">
      <alignment horizontal="center"/>
    </xf>
    <xf numFmtId="0" fontId="29" fillId="0" borderId="0" xfId="9" applyFont="1" applyAlignment="1">
      <alignment vertical="center"/>
    </xf>
    <xf numFmtId="0" fontId="20" fillId="0" borderId="47" xfId="9" applyFont="1" applyBorder="1" applyAlignment="1"/>
    <xf numFmtId="0" fontId="29" fillId="0" borderId="48" xfId="9" applyFont="1" applyBorder="1" applyAlignment="1"/>
    <xf numFmtId="0" fontId="20" fillId="0" borderId="48" xfId="9" applyFont="1" applyBorder="1" applyAlignment="1">
      <alignment horizontal="center"/>
    </xf>
    <xf numFmtId="0" fontId="20" fillId="0" borderId="49" xfId="9" applyFont="1" applyBorder="1" applyAlignment="1">
      <alignment horizontal="center"/>
    </xf>
    <xf numFmtId="0" fontId="20" fillId="0" borderId="50" xfId="9" applyFont="1" applyBorder="1" applyAlignment="1">
      <alignment horizontal="center"/>
    </xf>
    <xf numFmtId="0" fontId="20" fillId="0" borderId="47" xfId="9" applyFont="1" applyFill="1" applyBorder="1" applyAlignment="1">
      <alignment horizontal="center"/>
    </xf>
    <xf numFmtId="0" fontId="20" fillId="6" borderId="51" xfId="9" applyFont="1" applyFill="1" applyBorder="1" applyAlignment="1"/>
    <xf numFmtId="0" fontId="20" fillId="6" borderId="52" xfId="17" applyFont="1" applyFill="1" applyBorder="1" applyAlignment="1">
      <alignment horizontal="center"/>
    </xf>
    <xf numFmtId="0" fontId="20" fillId="6" borderId="26" xfId="17" applyFont="1" applyFill="1" applyBorder="1" applyAlignment="1">
      <alignment horizontal="center"/>
    </xf>
    <xf numFmtId="0" fontId="20" fillId="6" borderId="53" xfId="17" applyFont="1" applyFill="1" applyBorder="1" applyAlignment="1">
      <alignment horizontal="center"/>
    </xf>
    <xf numFmtId="0" fontId="20" fillId="6" borderId="51" xfId="17" applyFont="1" applyFill="1" applyBorder="1" applyAlignment="1">
      <alignment horizontal="center"/>
    </xf>
    <xf numFmtId="0" fontId="20" fillId="0" borderId="51" xfId="9" applyFont="1" applyBorder="1" applyAlignment="1"/>
    <xf numFmtId="0" fontId="20" fillId="0" borderId="52" xfId="17" applyFont="1" applyFill="1" applyBorder="1" applyAlignment="1">
      <alignment horizontal="center"/>
    </xf>
    <xf numFmtId="0" fontId="20" fillId="0" borderId="26" xfId="17" applyFont="1" applyFill="1" applyBorder="1" applyAlignment="1">
      <alignment horizontal="center"/>
    </xf>
    <xf numFmtId="0" fontId="20" fillId="0" borderId="53" xfId="17" applyFont="1" applyFill="1" applyBorder="1" applyAlignment="1">
      <alignment horizontal="center"/>
    </xf>
    <xf numFmtId="0" fontId="20" fillId="0" borderId="51" xfId="17" applyFont="1" applyFill="1" applyBorder="1" applyAlignment="1">
      <alignment horizontal="center"/>
    </xf>
    <xf numFmtId="0" fontId="20" fillId="0" borderId="0" xfId="9" applyFont="1" applyFill="1" applyBorder="1" applyAlignment="1">
      <alignment horizontal="center"/>
    </xf>
    <xf numFmtId="0" fontId="20" fillId="0" borderId="0" xfId="17" applyFont="1" applyBorder="1"/>
    <xf numFmtId="0" fontId="20" fillId="0" borderId="51" xfId="17" applyFont="1" applyBorder="1" applyAlignment="1"/>
    <xf numFmtId="0" fontId="20" fillId="0" borderId="52" xfId="9" applyFont="1" applyBorder="1" applyAlignment="1">
      <alignment horizontal="center"/>
    </xf>
    <xf numFmtId="0" fontId="20" fillId="0" borderId="26" xfId="9" applyFont="1" applyBorder="1" applyAlignment="1">
      <alignment horizontal="center"/>
    </xf>
    <xf numFmtId="0" fontId="20" fillId="0" borderId="53" xfId="9" applyFont="1" applyBorder="1" applyAlignment="1">
      <alignment horizontal="center"/>
    </xf>
    <xf numFmtId="0" fontId="20" fillId="0" borderId="51" xfId="9" applyFont="1" applyFill="1" applyBorder="1" applyAlignment="1">
      <alignment horizontal="center"/>
    </xf>
    <xf numFmtId="0" fontId="20" fillId="0" borderId="68" xfId="17" applyFont="1" applyBorder="1"/>
    <xf numFmtId="0" fontId="20" fillId="0" borderId="69" xfId="17" applyFont="1" applyBorder="1"/>
    <xf numFmtId="0" fontId="20" fillId="6" borderId="51" xfId="17" applyFont="1" applyFill="1" applyBorder="1" applyAlignment="1"/>
    <xf numFmtId="0" fontId="20" fillId="6" borderId="52" xfId="9" applyFont="1" applyFill="1" applyBorder="1" applyAlignment="1">
      <alignment horizontal="center"/>
    </xf>
    <xf numFmtId="0" fontId="20" fillId="6" borderId="26" xfId="9" applyFont="1" applyFill="1" applyBorder="1" applyAlignment="1">
      <alignment horizontal="center"/>
    </xf>
    <xf numFmtId="0" fontId="20" fillId="6" borderId="53" xfId="9" applyFont="1" applyFill="1" applyBorder="1" applyAlignment="1">
      <alignment horizontal="center"/>
    </xf>
    <xf numFmtId="0" fontId="20" fillId="6" borderId="51" xfId="9" applyFont="1" applyFill="1" applyBorder="1" applyAlignment="1">
      <alignment horizontal="center"/>
    </xf>
    <xf numFmtId="0" fontId="20" fillId="0" borderId="68" xfId="17" applyFont="1" applyFill="1" applyBorder="1" applyAlignment="1">
      <alignment horizontal="center"/>
    </xf>
    <xf numFmtId="0" fontId="20" fillId="0" borderId="68" xfId="9" applyFont="1" applyFill="1" applyBorder="1" applyAlignment="1">
      <alignment horizontal="center"/>
    </xf>
    <xf numFmtId="0" fontId="20" fillId="0" borderId="54" xfId="17" applyFont="1" applyBorder="1" applyAlignment="1"/>
    <xf numFmtId="0" fontId="20" fillId="0" borderId="55" xfId="9" applyFont="1" applyBorder="1" applyAlignment="1">
      <alignment horizontal="center"/>
    </xf>
    <xf numFmtId="0" fontId="20" fillId="0" borderId="56" xfId="9" applyFont="1" applyBorder="1" applyAlignment="1">
      <alignment horizontal="center"/>
    </xf>
    <xf numFmtId="0" fontId="20" fillId="0" borderId="57" xfId="9" applyFont="1" applyBorder="1" applyAlignment="1">
      <alignment horizontal="center"/>
    </xf>
    <xf numFmtId="0" fontId="20" fillId="0" borderId="54" xfId="17" applyFont="1" applyFill="1" applyBorder="1" applyAlignment="1">
      <alignment horizontal="center"/>
    </xf>
    <xf numFmtId="0" fontId="20" fillId="0" borderId="54" xfId="9" applyFont="1" applyFill="1" applyBorder="1" applyAlignment="1">
      <alignment horizontal="center"/>
    </xf>
    <xf numFmtId="0" fontId="20" fillId="0" borderId="47" xfId="17" applyFont="1" applyBorder="1" applyAlignment="1"/>
    <xf numFmtId="0" fontId="29" fillId="0" borderId="48" xfId="17" applyFont="1" applyBorder="1" applyAlignment="1">
      <alignment horizontal="left"/>
    </xf>
    <xf numFmtId="0" fontId="20" fillId="0" borderId="47" xfId="17" applyFont="1" applyFill="1" applyBorder="1" applyAlignment="1">
      <alignment horizontal="center"/>
    </xf>
    <xf numFmtId="0" fontId="20" fillId="0" borderId="55" xfId="9" applyFont="1" applyFill="1" applyBorder="1" applyAlignment="1"/>
    <xf numFmtId="0" fontId="29" fillId="0" borderId="58" xfId="9" applyFont="1" applyBorder="1" applyAlignment="1"/>
    <xf numFmtId="0" fontId="29" fillId="0" borderId="51" xfId="9" applyFont="1" applyFill="1" applyBorder="1" applyAlignment="1">
      <alignment horizontal="center"/>
    </xf>
    <xf numFmtId="0" fontId="20" fillId="0" borderId="53" xfId="9" applyFont="1" applyFill="1" applyBorder="1" applyAlignment="1">
      <alignment horizontal="center"/>
    </xf>
    <xf numFmtId="0" fontId="29" fillId="0" borderId="59" xfId="9" applyFont="1" applyBorder="1" applyAlignment="1"/>
    <xf numFmtId="0" fontId="29" fillId="0" borderId="54" xfId="9" applyFont="1" applyFill="1" applyBorder="1" applyAlignment="1">
      <alignment horizontal="center"/>
    </xf>
    <xf numFmtId="0" fontId="20" fillId="0" borderId="0" xfId="17" applyFont="1" applyAlignment="1"/>
    <xf numFmtId="0" fontId="29" fillId="0" borderId="26" xfId="17" applyFont="1" applyBorder="1" applyAlignment="1"/>
    <xf numFmtId="0" fontId="29" fillId="8" borderId="26" xfId="23" applyFont="1" applyFill="1" applyBorder="1" applyAlignment="1"/>
    <xf numFmtId="0" fontId="20" fillId="0" borderId="26" xfId="17" applyFont="1" applyBorder="1" applyAlignment="1"/>
    <xf numFmtId="0" fontId="20" fillId="0" borderId="26" xfId="17" applyFont="1" applyBorder="1" applyAlignment="1">
      <alignment horizontal="left"/>
    </xf>
    <xf numFmtId="0" fontId="20" fillId="0" borderId="26" xfId="17" applyFont="1" applyFill="1" applyBorder="1" applyAlignment="1"/>
    <xf numFmtId="0" fontId="21" fillId="0" borderId="27" xfId="1" applyFill="1" applyBorder="1"/>
    <xf numFmtId="0" fontId="20" fillId="0" borderId="62" xfId="17" applyFont="1" applyBorder="1" applyAlignment="1"/>
    <xf numFmtId="0" fontId="20" fillId="0" borderId="0" xfId="29" applyFont="1"/>
    <xf numFmtId="0" fontId="41" fillId="0" borderId="0" xfId="6" applyFont="1"/>
    <xf numFmtId="0" fontId="20" fillId="0" borderId="0" xfId="29" applyFont="1" applyAlignment="1">
      <alignment horizontal="right"/>
    </xf>
    <xf numFmtId="0" fontId="20" fillId="0" borderId="53" xfId="29" applyFont="1" applyFill="1" applyBorder="1"/>
    <xf numFmtId="0" fontId="29" fillId="0" borderId="63" xfId="29" applyFont="1" applyBorder="1" applyAlignment="1">
      <alignment horizontal="center"/>
    </xf>
    <xf numFmtId="0" fontId="29" fillId="9" borderId="52" xfId="29" applyFont="1" applyFill="1" applyBorder="1" applyAlignment="1">
      <alignment horizontal="center"/>
    </xf>
    <xf numFmtId="0" fontId="29" fillId="9" borderId="26" xfId="29" applyFont="1" applyFill="1" applyBorder="1" applyAlignment="1">
      <alignment horizontal="center"/>
    </xf>
    <xf numFmtId="0" fontId="29" fillId="6" borderId="63" xfId="29" applyFont="1" applyFill="1" applyBorder="1" applyAlignment="1">
      <alignment horizontal="center"/>
    </xf>
    <xf numFmtId="0" fontId="29" fillId="6" borderId="52" xfId="29" applyFont="1" applyFill="1" applyBorder="1" applyAlignment="1">
      <alignment horizontal="center"/>
    </xf>
    <xf numFmtId="0" fontId="29" fillId="13" borderId="26" xfId="29" applyFont="1" applyFill="1" applyBorder="1" applyAlignment="1">
      <alignment horizontal="center"/>
    </xf>
    <xf numFmtId="0" fontId="29" fillId="0" borderId="0" xfId="29" applyFont="1" applyAlignment="1">
      <alignment horizontal="center"/>
    </xf>
    <xf numFmtId="0" fontId="20" fillId="9" borderId="66" xfId="29" applyFont="1" applyFill="1" applyBorder="1" applyAlignment="1">
      <alignment horizontal="center"/>
    </xf>
    <xf numFmtId="0" fontId="20" fillId="6" borderId="64" xfId="29" applyFont="1" applyFill="1" applyBorder="1" applyAlignment="1">
      <alignment horizontal="center"/>
    </xf>
    <xf numFmtId="0" fontId="20" fillId="6" borderId="65" xfId="29" applyFont="1" applyFill="1" applyBorder="1" applyAlignment="1">
      <alignment horizontal="center"/>
    </xf>
    <xf numFmtId="0" fontId="20" fillId="0" borderId="0" xfId="29" applyFont="1" applyAlignment="1"/>
    <xf numFmtId="0" fontId="20" fillId="0" borderId="63" xfId="29" applyFont="1" applyBorder="1" applyAlignment="1">
      <alignment horizontal="center"/>
    </xf>
    <xf numFmtId="0" fontId="20" fillId="6" borderId="63" xfId="29" applyFont="1" applyFill="1" applyBorder="1" applyAlignment="1">
      <alignment horizontal="center"/>
    </xf>
    <xf numFmtId="0" fontId="20" fillId="6" borderId="52" xfId="29" applyFont="1" applyFill="1" applyBorder="1" applyAlignment="1">
      <alignment horizontal="center"/>
    </xf>
    <xf numFmtId="0" fontId="20" fillId="13" borderId="26" xfId="29" applyFont="1" applyFill="1" applyBorder="1" applyAlignment="1">
      <alignment horizontal="center"/>
    </xf>
    <xf numFmtId="0" fontId="20" fillId="13" borderId="26" xfId="29" applyFont="1" applyFill="1" applyBorder="1" applyAlignment="1"/>
    <xf numFmtId="0" fontId="31" fillId="0" borderId="31" xfId="29" applyFont="1" applyBorder="1"/>
    <xf numFmtId="0" fontId="42" fillId="0" borderId="31" xfId="29" applyFont="1" applyBorder="1" applyAlignment="1"/>
    <xf numFmtId="0" fontId="42" fillId="0" borderId="31" xfId="29" applyFont="1" applyBorder="1" applyAlignment="1">
      <alignment horizontal="center"/>
    </xf>
    <xf numFmtId="0" fontId="31" fillId="6" borderId="63" xfId="29" applyFont="1" applyFill="1" applyBorder="1" applyAlignment="1">
      <alignment horizontal="center"/>
    </xf>
    <xf numFmtId="0" fontId="31" fillId="6" borderId="52" xfId="29" applyFont="1" applyFill="1" applyBorder="1" applyAlignment="1">
      <alignment horizontal="center"/>
    </xf>
    <xf numFmtId="0" fontId="20" fillId="0" borderId="31" xfId="29" applyFont="1" applyBorder="1" applyAlignment="1">
      <alignment horizontal="center"/>
    </xf>
    <xf numFmtId="0" fontId="20" fillId="0" borderId="31" xfId="29" applyFont="1" applyBorder="1" applyAlignment="1"/>
    <xf numFmtId="0" fontId="20" fillId="0" borderId="33" xfId="29" applyFont="1" applyBorder="1" applyAlignment="1"/>
    <xf numFmtId="0" fontId="20" fillId="0" borderId="33" xfId="29" applyFont="1" applyBorder="1" applyAlignment="1">
      <alignment horizontal="center"/>
    </xf>
    <xf numFmtId="0" fontId="29" fillId="0" borderId="33" xfId="29" applyFont="1" applyFill="1" applyBorder="1" applyAlignment="1">
      <alignment horizontal="center"/>
    </xf>
    <xf numFmtId="0" fontId="20" fillId="9" borderId="26" xfId="29" applyFont="1" applyFill="1" applyBorder="1" applyAlignment="1">
      <alignment horizontal="center"/>
    </xf>
    <xf numFmtId="0" fontId="29" fillId="0" borderId="31" xfId="29" applyFont="1" applyBorder="1" applyAlignment="1">
      <alignment horizontal="center"/>
    </xf>
    <xf numFmtId="0" fontId="29" fillId="0" borderId="31" xfId="29" applyFont="1" applyBorder="1" applyAlignment="1"/>
    <xf numFmtId="0" fontId="29" fillId="0" borderId="33" xfId="29" applyFont="1" applyBorder="1" applyAlignment="1"/>
    <xf numFmtId="0" fontId="20" fillId="13" borderId="66" xfId="29" applyFont="1" applyFill="1" applyBorder="1" applyAlignment="1">
      <alignment horizontal="center"/>
    </xf>
    <xf numFmtId="0" fontId="20" fillId="0" borderId="33" xfId="29" applyFont="1" applyFill="1" applyBorder="1" applyAlignment="1">
      <alignment horizontal="center"/>
    </xf>
    <xf numFmtId="0" fontId="30" fillId="0" borderId="0" xfId="23" applyFont="1" applyAlignment="1">
      <alignment vertical="top"/>
    </xf>
    <xf numFmtId="0" fontId="29" fillId="0" borderId="26" xfId="23" applyFont="1" applyBorder="1"/>
    <xf numFmtId="0" fontId="20" fillId="15" borderId="26" xfId="23" applyFont="1" applyFill="1" applyBorder="1" applyAlignment="1">
      <alignment horizontal="center"/>
    </xf>
    <xf numFmtId="0" fontId="20" fillId="0" borderId="26" xfId="23" applyFont="1" applyBorder="1" applyAlignment="1">
      <alignment horizontal="center"/>
    </xf>
    <xf numFmtId="0" fontId="0" fillId="14" borderId="26" xfId="0" applyFill="1" applyBorder="1" applyAlignment="1">
      <alignment horizontal="center" vertical="center"/>
    </xf>
    <xf numFmtId="0" fontId="21" fillId="14" borderId="26" xfId="1" applyFill="1" applyBorder="1" applyAlignment="1">
      <alignment horizontal="center"/>
    </xf>
    <xf numFmtId="0" fontId="32" fillId="0" borderId="0" xfId="0" applyFont="1" applyAlignment="1">
      <alignment horizontal="right"/>
    </xf>
    <xf numFmtId="0" fontId="39" fillId="0" borderId="8" xfId="1" applyFont="1" applyFill="1" applyBorder="1" applyAlignment="1">
      <alignment horizontal="center"/>
    </xf>
    <xf numFmtId="0" fontId="39" fillId="0" borderId="0" xfId="1" applyFont="1" applyFill="1" applyBorder="1" applyAlignment="1"/>
    <xf numFmtId="0" fontId="39" fillId="0" borderId="7" xfId="1" applyFont="1" applyFill="1" applyBorder="1" applyAlignment="1">
      <alignment horizontal="center"/>
    </xf>
    <xf numFmtId="0" fontId="12" fillId="0" borderId="30" xfId="15" applyFont="1" applyFill="1" applyBorder="1" applyAlignment="1"/>
    <xf numFmtId="0" fontId="0" fillId="0" borderId="0" xfId="7" applyFont="1" applyAlignment="1"/>
    <xf numFmtId="0" fontId="0" fillId="0" borderId="34" xfId="9" applyFont="1" applyFill="1" applyBorder="1" applyAlignment="1"/>
    <xf numFmtId="0" fontId="20" fillId="0" borderId="31" xfId="7" applyFont="1" applyBorder="1" applyAlignment="1">
      <alignment horizontal="left"/>
    </xf>
    <xf numFmtId="0" fontId="0" fillId="0" borderId="33" xfId="9" applyFont="1" applyFill="1" applyBorder="1" applyAlignment="1"/>
    <xf numFmtId="0" fontId="16" fillId="0" borderId="26" xfId="23" applyFont="1" applyBorder="1" applyAlignment="1">
      <alignment horizontal="center"/>
    </xf>
    <xf numFmtId="0" fontId="46" fillId="0" borderId="0" xfId="23" applyFont="1" applyBorder="1" applyAlignment="1"/>
    <xf numFmtId="0" fontId="47" fillId="0" borderId="0" xfId="9" applyFont="1" applyFill="1" applyBorder="1" applyAlignment="1"/>
    <xf numFmtId="0" fontId="46" fillId="0" borderId="0" xfId="23" applyFont="1" applyBorder="1" applyAlignment="1">
      <alignment horizontal="center"/>
    </xf>
    <xf numFmtId="0" fontId="47" fillId="0" borderId="0" xfId="23" applyFont="1" applyBorder="1" applyAlignment="1">
      <alignment horizontal="center"/>
    </xf>
    <xf numFmtId="49" fontId="5" fillId="0" borderId="0" xfId="23" applyNumberFormat="1" applyFont="1" applyBorder="1" applyAlignment="1">
      <alignment horizontal="center"/>
    </xf>
    <xf numFmtId="0" fontId="47" fillId="0" borderId="0" xfId="23" applyFont="1" applyFill="1" applyBorder="1" applyAlignment="1">
      <alignment horizontal="center"/>
    </xf>
    <xf numFmtId="0" fontId="0" fillId="0" borderId="34" xfId="7" applyFont="1" applyFill="1" applyBorder="1" applyAlignment="1"/>
    <xf numFmtId="0" fontId="0" fillId="0" borderId="33" xfId="7" applyFont="1" applyBorder="1" applyAlignment="1"/>
    <xf numFmtId="0" fontId="0" fillId="0" borderId="0" xfId="7" applyFont="1" applyBorder="1" applyAlignment="1"/>
    <xf numFmtId="0" fontId="0" fillId="0" borderId="26" xfId="9" applyFont="1" applyFill="1" applyBorder="1" applyAlignment="1"/>
    <xf numFmtId="0" fontId="0" fillId="0" borderId="26" xfId="23" applyFont="1" applyBorder="1" applyAlignment="1">
      <alignment horizontal="center"/>
    </xf>
    <xf numFmtId="49" fontId="0" fillId="0" borderId="26" xfId="23" applyNumberFormat="1" applyFont="1" applyBorder="1" applyAlignment="1">
      <alignment horizontal="center"/>
    </xf>
    <xf numFmtId="0" fontId="0" fillId="0" borderId="26" xfId="23" applyFont="1" applyBorder="1" applyAlignment="1"/>
    <xf numFmtId="0" fontId="0" fillId="0" borderId="26" xfId="7" applyFont="1" applyBorder="1" applyAlignment="1">
      <alignment horizontal="center"/>
    </xf>
    <xf numFmtId="0" fontId="0" fillId="0" borderId="26" xfId="7" applyFont="1" applyFill="1" applyBorder="1" applyAlignment="1"/>
    <xf numFmtId="0" fontId="1" fillId="0" borderId="5" xfId="23" applyFont="1" applyFill="1" applyBorder="1" applyAlignment="1"/>
    <xf numFmtId="0" fontId="29" fillId="0" borderId="4" xfId="15" applyFont="1" applyFill="1" applyBorder="1" applyAlignment="1"/>
    <xf numFmtId="0" fontId="48" fillId="0" borderId="10" xfId="15" applyFont="1" applyFill="1" applyBorder="1" applyAlignment="1"/>
    <xf numFmtId="0" fontId="29" fillId="0" borderId="15" xfId="15" applyFont="1" applyFill="1" applyBorder="1" applyAlignment="1"/>
    <xf numFmtId="0" fontId="48" fillId="0" borderId="18" xfId="15" applyFont="1" applyFill="1" applyBorder="1" applyAlignment="1"/>
    <xf numFmtId="0" fontId="29" fillId="0" borderId="17" xfId="15" applyFont="1" applyFill="1" applyBorder="1" applyAlignment="1"/>
    <xf numFmtId="0" fontId="20" fillId="0" borderId="5" xfId="23" applyFont="1" applyFill="1" applyBorder="1" applyAlignment="1">
      <alignment vertical="top" wrapText="1"/>
    </xf>
    <xf numFmtId="49" fontId="0" fillId="0" borderId="26" xfId="23" applyNumberFormat="1" applyFont="1" applyFill="1" applyBorder="1" applyAlignment="1">
      <alignment horizontal="center"/>
    </xf>
    <xf numFmtId="0" fontId="39" fillId="0" borderId="15" xfId="1" applyFont="1" applyFill="1" applyBorder="1" applyAlignment="1">
      <alignment horizontal="center"/>
    </xf>
    <xf numFmtId="0" fontId="39" fillId="0" borderId="4" xfId="1" applyFont="1" applyFill="1" applyBorder="1" applyAlignment="1"/>
    <xf numFmtId="0" fontId="49" fillId="0" borderId="0" xfId="0" applyFont="1" applyAlignment="1">
      <alignment horizontal="right"/>
    </xf>
    <xf numFmtId="0" fontId="1" fillId="0" borderId="13" xfId="23" applyFont="1" applyFill="1" applyBorder="1" applyAlignment="1">
      <alignment vertical="top" wrapText="1"/>
    </xf>
    <xf numFmtId="0" fontId="29" fillId="0" borderId="26" xfId="15" applyFont="1" applyBorder="1"/>
    <xf numFmtId="0" fontId="29" fillId="0" borderId="26" xfId="15" applyFont="1" applyBorder="1" applyAlignment="1">
      <alignment horizontal="center"/>
    </xf>
    <xf numFmtId="0" fontId="20" fillId="15" borderId="26" xfId="15" applyFont="1" applyFill="1" applyBorder="1" applyAlignment="1">
      <alignment horizontal="center"/>
    </xf>
    <xf numFmtId="0" fontId="20" fillId="0" borderId="26" xfId="15" applyFont="1" applyBorder="1" applyAlignment="1">
      <alignment horizontal="center"/>
    </xf>
    <xf numFmtId="49" fontId="20" fillId="0" borderId="26" xfId="15" applyNumberFormat="1" applyFont="1" applyBorder="1" applyAlignment="1">
      <alignment horizontal="center"/>
    </xf>
    <xf numFmtId="0" fontId="20" fillId="0" borderId="0" xfId="15" applyFont="1"/>
    <xf numFmtId="0" fontId="5" fillId="0" borderId="26" xfId="15" applyFont="1" applyBorder="1" applyAlignment="1">
      <alignment horizontal="center"/>
    </xf>
    <xf numFmtId="0" fontId="5" fillId="0" borderId="26" xfId="9" applyFont="1" applyFill="1" applyBorder="1"/>
    <xf numFmtId="0" fontId="29" fillId="0" borderId="0" xfId="15" applyFont="1" applyFill="1" applyBorder="1" applyAlignment="1">
      <alignment horizontal="right"/>
    </xf>
    <xf numFmtId="0" fontId="20" fillId="0" borderId="0" xfId="15" applyFont="1" applyAlignment="1">
      <alignment horizontal="left"/>
    </xf>
    <xf numFmtId="0" fontId="29" fillId="0" borderId="0" xfId="15" applyFont="1" applyAlignment="1">
      <alignment horizontal="right"/>
    </xf>
    <xf numFmtId="0" fontId="20" fillId="0" borderId="31" xfId="15" applyFont="1" applyBorder="1"/>
    <xf numFmtId="0" fontId="20" fillId="0" borderId="32" xfId="15" applyFont="1" applyBorder="1"/>
    <xf numFmtId="0" fontId="20" fillId="0" borderId="33" xfId="15" applyFont="1" applyBorder="1"/>
    <xf numFmtId="0" fontId="20" fillId="0" borderId="35" xfId="15" applyFont="1" applyBorder="1" applyAlignment="1">
      <alignment horizontal="left"/>
    </xf>
    <xf numFmtId="0" fontId="20" fillId="0" borderId="36" xfId="15" applyFont="1" applyBorder="1"/>
    <xf numFmtId="0" fontId="20" fillId="0" borderId="0" xfId="15" applyFont="1" applyBorder="1"/>
    <xf numFmtId="0" fontId="20" fillId="0" borderId="37" xfId="15" applyFont="1" applyBorder="1"/>
    <xf numFmtId="0" fontId="20" fillId="0" borderId="0" xfId="15" applyFont="1" applyBorder="1" applyAlignment="1">
      <alignment horizontal="left"/>
    </xf>
    <xf numFmtId="0" fontId="20" fillId="0" borderId="39" xfId="15" applyFont="1" applyBorder="1"/>
    <xf numFmtId="0" fontId="29" fillId="0" borderId="12" xfId="15" applyFont="1" applyBorder="1"/>
    <xf numFmtId="0" fontId="20" fillId="0" borderId="12" xfId="15" applyFont="1" applyBorder="1"/>
    <xf numFmtId="0" fontId="20" fillId="0" borderId="35" xfId="15" applyFont="1" applyBorder="1"/>
    <xf numFmtId="0" fontId="20" fillId="0" borderId="34" xfId="15" applyFont="1" applyBorder="1"/>
    <xf numFmtId="0" fontId="20" fillId="0" borderId="38" xfId="15" applyFont="1" applyBorder="1" applyAlignment="1">
      <alignment horizontal="left"/>
    </xf>
    <xf numFmtId="0" fontId="20" fillId="0" borderId="29" xfId="15" applyFont="1" applyBorder="1"/>
    <xf numFmtId="0" fontId="29" fillId="0" borderId="0" xfId="15" applyFont="1" applyBorder="1"/>
    <xf numFmtId="0" fontId="20" fillId="0" borderId="0" xfId="15" applyFont="1" applyBorder="1" applyAlignment="1">
      <alignment horizontal="center"/>
    </xf>
    <xf numFmtId="49" fontId="20" fillId="0" borderId="0" xfId="15" applyNumberFormat="1" applyFont="1" applyBorder="1" applyAlignment="1">
      <alignment horizontal="center"/>
    </xf>
    <xf numFmtId="0" fontId="20" fillId="0" borderId="0" xfId="15" applyFont="1" applyFill="1" applyBorder="1" applyAlignment="1">
      <alignment horizontal="center"/>
    </xf>
    <xf numFmtId="0" fontId="40" fillId="0" borderId="0" xfId="0" applyFont="1"/>
    <xf numFmtId="0" fontId="50" fillId="0" borderId="0" xfId="0" applyFont="1"/>
    <xf numFmtId="0" fontId="40" fillId="0" borderId="0" xfId="15" applyFont="1"/>
    <xf numFmtId="0" fontId="0" fillId="6" borderId="26" xfId="23" applyFont="1" applyFill="1" applyBorder="1" applyAlignment="1"/>
    <xf numFmtId="0" fontId="0" fillId="5" borderId="26" xfId="23" applyFont="1" applyFill="1" applyBorder="1" applyAlignment="1"/>
    <xf numFmtId="0" fontId="40" fillId="0" borderId="0" xfId="13" applyFont="1" applyAlignment="1"/>
    <xf numFmtId="0" fontId="20" fillId="0" borderId="0" xfId="13" applyFont="1" applyAlignment="1"/>
    <xf numFmtId="0" fontId="29" fillId="0" borderId="0" xfId="13" applyFont="1" applyAlignment="1"/>
    <xf numFmtId="0" fontId="20" fillId="0" borderId="0" xfId="13" applyFont="1" applyAlignment="1">
      <alignment horizontal="left"/>
    </xf>
    <xf numFmtId="0" fontId="20" fillId="0" borderId="31" xfId="13" applyFont="1" applyBorder="1" applyAlignment="1"/>
    <xf numFmtId="0" fontId="20" fillId="0" borderId="32" xfId="13" applyFont="1" applyBorder="1" applyAlignment="1"/>
    <xf numFmtId="0" fontId="20" fillId="0" borderId="33" xfId="13" applyFont="1" applyBorder="1" applyAlignment="1"/>
    <xf numFmtId="0" fontId="29" fillId="0" borderId="0" xfId="13" applyFont="1" applyAlignment="1">
      <alignment horizontal="left"/>
    </xf>
    <xf numFmtId="0" fontId="29" fillId="0" borderId="35" xfId="13" applyFont="1" applyBorder="1" applyAlignment="1">
      <alignment horizontal="left"/>
    </xf>
    <xf numFmtId="0" fontId="20" fillId="0" borderId="36" xfId="13" applyFont="1" applyBorder="1" applyAlignment="1"/>
    <xf numFmtId="0" fontId="20" fillId="0" borderId="0" xfId="13" applyFont="1" applyBorder="1" applyAlignment="1"/>
    <xf numFmtId="0" fontId="20" fillId="0" borderId="37" xfId="13" applyFont="1" applyBorder="1" applyAlignment="1"/>
    <xf numFmtId="0" fontId="20" fillId="0" borderId="0" xfId="13" applyFont="1" applyBorder="1" applyAlignment="1">
      <alignment horizontal="left"/>
    </xf>
    <xf numFmtId="0" fontId="20" fillId="0" borderId="35" xfId="13" applyFont="1" applyBorder="1" applyAlignment="1"/>
    <xf numFmtId="0" fontId="20" fillId="0" borderId="34" xfId="13" applyFont="1" applyBorder="1" applyAlignment="1"/>
    <xf numFmtId="0" fontId="29" fillId="0" borderId="38" xfId="13" applyFont="1" applyBorder="1" applyAlignment="1">
      <alignment horizontal="left"/>
    </xf>
    <xf numFmtId="0" fontId="20" fillId="0" borderId="39" xfId="13" applyFont="1" applyBorder="1" applyAlignment="1"/>
    <xf numFmtId="0" fontId="29" fillId="0" borderId="12" xfId="13" applyFont="1" applyBorder="1" applyAlignment="1"/>
    <xf numFmtId="0" fontId="20" fillId="0" borderId="12" xfId="13" applyFont="1" applyBorder="1" applyAlignment="1"/>
    <xf numFmtId="0" fontId="20" fillId="0" borderId="35" xfId="13" applyFont="1" applyBorder="1" applyAlignment="1">
      <alignment horizontal="left"/>
    </xf>
    <xf numFmtId="0" fontId="20" fillId="0" borderId="29" xfId="13" applyFont="1" applyBorder="1" applyAlignment="1"/>
    <xf numFmtId="0" fontId="29" fillId="0" borderId="0" xfId="13" applyFont="1" applyBorder="1" applyAlignment="1">
      <alignment horizontal="left"/>
    </xf>
    <xf numFmtId="0" fontId="20" fillId="0" borderId="38" xfId="13" applyFont="1" applyBorder="1" applyAlignment="1">
      <alignment horizontal="left"/>
    </xf>
    <xf numFmtId="0" fontId="29" fillId="0" borderId="0" xfId="13" applyFont="1" applyBorder="1" applyAlignment="1"/>
    <xf numFmtId="0" fontId="0" fillId="0" borderId="26" xfId="23" applyFont="1" applyBorder="1"/>
    <xf numFmtId="0" fontId="51" fillId="0" borderId="0" xfId="23" applyFont="1"/>
    <xf numFmtId="0" fontId="29" fillId="0" borderId="0" xfId="13" applyFont="1" applyAlignment="1">
      <alignment horizontal="right"/>
    </xf>
    <xf numFmtId="0" fontId="20" fillId="0" borderId="0" xfId="13" applyFont="1" applyAlignment="1">
      <alignment horizontal="right"/>
    </xf>
    <xf numFmtId="0" fontId="20" fillId="0" borderId="0" xfId="15" applyFont="1" applyBorder="1" applyAlignment="1">
      <alignment horizontal="right"/>
    </xf>
    <xf numFmtId="0" fontId="49" fillId="0" borderId="0" xfId="0" applyFont="1" applyAlignment="1"/>
    <xf numFmtId="0" fontId="21" fillId="0" borderId="17" xfId="1" applyFill="1" applyBorder="1" applyAlignment="1"/>
    <xf numFmtId="0" fontId="12" fillId="6" borderId="1" xfId="23" applyFont="1" applyFill="1" applyBorder="1" applyAlignment="1">
      <alignment vertical="top"/>
    </xf>
    <xf numFmtId="0" fontId="12" fillId="6" borderId="2" xfId="23" applyFont="1" applyFill="1" applyBorder="1" applyAlignment="1">
      <alignment vertical="top"/>
    </xf>
    <xf numFmtId="0" fontId="12" fillId="6" borderId="3" xfId="23" applyFont="1" applyFill="1" applyBorder="1" applyAlignment="1">
      <alignment vertical="top"/>
    </xf>
    <xf numFmtId="0" fontId="12" fillId="6" borderId="2" xfId="23" applyFont="1" applyFill="1" applyBorder="1" applyAlignment="1">
      <alignment vertical="top" wrapText="1"/>
    </xf>
    <xf numFmtId="0" fontId="20" fillId="8" borderId="26" xfId="23" applyFont="1" applyFill="1" applyBorder="1" applyAlignment="1">
      <alignment horizontal="center"/>
    </xf>
    <xf numFmtId="0" fontId="21" fillId="16" borderId="27" xfId="1" applyFill="1" applyBorder="1"/>
    <xf numFmtId="0" fontId="0" fillId="16" borderId="27" xfId="22" applyFont="1" applyFill="1" applyBorder="1" applyAlignment="1"/>
    <xf numFmtId="164" fontId="20" fillId="16" borderId="27" xfId="22" applyNumberFormat="1" applyFont="1" applyFill="1" applyBorder="1" applyAlignment="1">
      <alignment horizontal="center"/>
    </xf>
    <xf numFmtId="0" fontId="21" fillId="16" borderId="27" xfId="1" applyFill="1" applyBorder="1" applyAlignment="1">
      <alignment vertical="center"/>
    </xf>
    <xf numFmtId="0" fontId="21" fillId="16" borderId="27" xfId="1" applyFont="1" applyFill="1" applyBorder="1" applyAlignment="1">
      <alignment vertical="top"/>
    </xf>
    <xf numFmtId="0" fontId="20" fillId="16" borderId="8" xfId="23" applyFont="1" applyFill="1" applyBorder="1" applyAlignment="1">
      <alignment vertical="top" wrapText="1"/>
    </xf>
    <xf numFmtId="0" fontId="21" fillId="16" borderId="4" xfId="1" applyFill="1" applyBorder="1" applyAlignment="1">
      <alignment vertical="top"/>
    </xf>
    <xf numFmtId="0" fontId="29" fillId="16" borderId="8" xfId="23" applyFont="1" applyFill="1" applyBorder="1" applyAlignment="1">
      <alignment vertical="top" wrapText="1"/>
    </xf>
    <xf numFmtId="166" fontId="29" fillId="0" borderId="26" xfId="7" applyNumberFormat="1" applyFont="1" applyFill="1" applyBorder="1" applyAlignment="1">
      <alignment horizontal="center"/>
    </xf>
    <xf numFmtId="0" fontId="52" fillId="0" borderId="0" xfId="6" applyFont="1"/>
    <xf numFmtId="0" fontId="29" fillId="0" borderId="23" xfId="15" applyFont="1" applyFill="1" applyBorder="1" applyAlignment="1"/>
    <xf numFmtId="0" fontId="12" fillId="17" borderId="71" xfId="15" applyFont="1" applyFill="1" applyBorder="1" applyAlignment="1"/>
    <xf numFmtId="0" fontId="12" fillId="17" borderId="72" xfId="15" applyFont="1" applyFill="1" applyBorder="1" applyAlignment="1"/>
    <xf numFmtId="0" fontId="12" fillId="17" borderId="73" xfId="15" applyFont="1" applyFill="1" applyBorder="1" applyAlignment="1"/>
    <xf numFmtId="0" fontId="12" fillId="17" borderId="74" xfId="15" applyFont="1" applyFill="1" applyBorder="1" applyAlignment="1"/>
    <xf numFmtId="0" fontId="12" fillId="17" borderId="75" xfId="15" applyFont="1" applyFill="1" applyBorder="1" applyAlignment="1"/>
    <xf numFmtId="0" fontId="12" fillId="17" borderId="71" xfId="23" applyFont="1" applyFill="1" applyBorder="1" applyAlignment="1">
      <alignment vertical="top" wrapText="1"/>
    </xf>
    <xf numFmtId="0" fontId="12" fillId="17" borderId="76" xfId="15" applyFont="1" applyFill="1" applyBorder="1" applyAlignment="1"/>
    <xf numFmtId="0" fontId="29" fillId="17" borderId="71" xfId="23" applyFont="1" applyFill="1" applyBorder="1" applyAlignment="1">
      <alignment vertical="top" wrapText="1"/>
    </xf>
    <xf numFmtId="0" fontId="12" fillId="17" borderId="74" xfId="23" applyFont="1" applyFill="1" applyBorder="1" applyAlignment="1">
      <alignment vertical="top" wrapText="1"/>
    </xf>
    <xf numFmtId="0" fontId="12" fillId="17" borderId="75" xfId="23" applyFont="1" applyFill="1" applyBorder="1" applyAlignment="1">
      <alignment vertical="top" wrapText="1"/>
    </xf>
    <xf numFmtId="0" fontId="12" fillId="17" borderId="71" xfId="23" applyFont="1" applyFill="1" applyBorder="1" applyAlignment="1"/>
    <xf numFmtId="0" fontId="10" fillId="3" borderId="71" xfId="23" applyFont="1" applyFill="1" applyBorder="1" applyAlignment="1"/>
    <xf numFmtId="0" fontId="10" fillId="3" borderId="71" xfId="15" applyFont="1" applyFill="1" applyBorder="1" applyAlignment="1"/>
    <xf numFmtId="0" fontId="53" fillId="0" borderId="30" xfId="1" applyFont="1" applyFill="1" applyBorder="1" applyAlignment="1"/>
    <xf numFmtId="0" fontId="0" fillId="8" borderId="0" xfId="0" applyFont="1" applyFill="1"/>
    <xf numFmtId="0" fontId="29" fillId="0" borderId="53" xfId="23" applyFont="1" applyBorder="1" applyAlignment="1"/>
    <xf numFmtId="0" fontId="29" fillId="0" borderId="61" xfId="23" applyFont="1" applyBorder="1" applyAlignment="1"/>
    <xf numFmtId="0" fontId="54" fillId="18" borderId="71" xfId="23" applyFont="1" applyFill="1" applyBorder="1" applyAlignment="1"/>
    <xf numFmtId="0" fontId="40" fillId="0" borderId="0" xfId="17" applyFont="1"/>
    <xf numFmtId="0" fontId="29" fillId="0" borderId="0" xfId="17" applyFont="1" applyAlignment="1">
      <alignment horizontal="right"/>
    </xf>
    <xf numFmtId="0" fontId="0" fillId="0" borderId="29" xfId="23" applyFont="1" applyBorder="1"/>
    <xf numFmtId="0" fontId="0" fillId="0" borderId="29" xfId="7" applyFont="1" applyBorder="1" applyAlignment="1"/>
    <xf numFmtId="0" fontId="0" fillId="7" borderId="26" xfId="0" applyFill="1" applyBorder="1" applyAlignment="1">
      <alignment horizontal="center" vertical="center"/>
    </xf>
    <xf numFmtId="0" fontId="40" fillId="7" borderId="5" xfId="1" applyFont="1" applyFill="1" applyBorder="1" applyAlignment="1">
      <alignment vertical="top" wrapText="1"/>
    </xf>
    <xf numFmtId="0" fontId="1" fillId="0" borderId="4" xfId="23" applyFont="1" applyFill="1" applyBorder="1" applyAlignment="1">
      <alignment vertical="top" wrapText="1"/>
    </xf>
    <xf numFmtId="0" fontId="45" fillId="0" borderId="10" xfId="1" applyFont="1" applyFill="1" applyBorder="1" applyAlignment="1"/>
    <xf numFmtId="0" fontId="39" fillId="0" borderId="8" xfId="1" applyFont="1" applyFill="1" applyBorder="1" applyAlignment="1">
      <alignment vertical="top"/>
    </xf>
    <xf numFmtId="0" fontId="20" fillId="0" borderId="0" xfId="6" applyFont="1"/>
    <xf numFmtId="0" fontId="29" fillId="0" borderId="26" xfId="23" applyFont="1" applyBorder="1" applyAlignment="1"/>
    <xf numFmtId="0" fontId="20" fillId="0" borderId="0" xfId="23" applyFont="1" applyAlignment="1"/>
    <xf numFmtId="0" fontId="0" fillId="0" borderId="26" xfId="23" applyFont="1" applyBorder="1" applyAlignment="1"/>
    <xf numFmtId="0" fontId="29" fillId="0" borderId="26" xfId="15" applyFont="1" applyBorder="1" applyAlignment="1">
      <alignment horizontal="center"/>
    </xf>
    <xf numFmtId="0" fontId="20" fillId="0" borderId="0" xfId="15" applyFont="1" applyFill="1" applyBorder="1" applyAlignment="1">
      <alignment horizontal="center"/>
    </xf>
    <xf numFmtId="0" fontId="48" fillId="0" borderId="0" xfId="6" applyFont="1"/>
    <xf numFmtId="0" fontId="29" fillId="0" borderId="26" xfId="15" applyFont="1" applyBorder="1" applyAlignment="1"/>
    <xf numFmtId="0" fontId="16" fillId="0" borderId="26" xfId="23" applyFont="1" applyFill="1" applyBorder="1" applyAlignment="1">
      <alignment horizontal="center"/>
    </xf>
    <xf numFmtId="0" fontId="20" fillId="0" borderId="26" xfId="9" applyFont="1" applyFill="1" applyBorder="1" applyAlignment="1"/>
    <xf numFmtId="0" fontId="5" fillId="15" borderId="26" xfId="23" applyFont="1" applyFill="1" applyBorder="1" applyAlignment="1">
      <alignment horizontal="center"/>
    </xf>
    <xf numFmtId="49" fontId="5" fillId="0" borderId="26" xfId="23" applyNumberFormat="1" applyFont="1" applyFill="1" applyBorder="1" applyAlignment="1">
      <alignment horizontal="center"/>
    </xf>
    <xf numFmtId="0" fontId="5" fillId="0" borderId="26" xfId="23" applyFont="1" applyFill="1" applyBorder="1" applyAlignment="1">
      <alignment horizontal="center"/>
    </xf>
    <xf numFmtId="0" fontId="20" fillId="0" borderId="26" xfId="15" applyFont="1" applyFill="1" applyBorder="1" applyAlignment="1">
      <alignment horizontal="center"/>
    </xf>
    <xf numFmtId="0" fontId="29" fillId="0" borderId="0" xfId="15" applyFont="1" applyBorder="1" applyAlignment="1"/>
    <xf numFmtId="0" fontId="20" fillId="0" borderId="0" xfId="9" applyFont="1" applyFill="1" applyBorder="1" applyAlignment="1"/>
    <xf numFmtId="0" fontId="29" fillId="0" borderId="0" xfId="15" applyFont="1" applyFill="1" applyBorder="1" applyAlignment="1">
      <alignment horizontal="center"/>
    </xf>
    <xf numFmtId="49" fontId="5" fillId="0" borderId="0" xfId="23" applyNumberFormat="1" applyFont="1" applyFill="1" applyBorder="1" applyAlignment="1">
      <alignment horizontal="center"/>
    </xf>
    <xf numFmtId="0" fontId="5" fillId="0" borderId="0" xfId="23" applyFont="1" applyFill="1" applyBorder="1" applyAlignment="1">
      <alignment horizontal="center"/>
    </xf>
    <xf numFmtId="0" fontId="20" fillId="20" borderId="26" xfId="15" applyFont="1" applyFill="1" applyBorder="1" applyAlignment="1">
      <alignment horizontal="center"/>
    </xf>
    <xf numFmtId="49" fontId="5" fillId="19" borderId="26" xfId="23" applyNumberFormat="1" applyFont="1" applyFill="1" applyBorder="1" applyAlignment="1">
      <alignment horizontal="center"/>
    </xf>
    <xf numFmtId="0" fontId="0" fillId="0" borderId="0" xfId="23" quotePrefix="1" applyFont="1" applyAlignment="1"/>
    <xf numFmtId="0" fontId="0" fillId="6" borderId="62" xfId="17" applyFont="1" applyFill="1" applyBorder="1" applyAlignment="1"/>
    <xf numFmtId="0" fontId="0" fillId="6" borderId="52" xfId="9" applyFont="1" applyFill="1" applyBorder="1" applyAlignment="1"/>
    <xf numFmtId="0" fontId="0" fillId="0" borderId="62" xfId="17" applyFont="1" applyBorder="1" applyAlignment="1">
      <alignment horizontal="left"/>
    </xf>
    <xf numFmtId="0" fontId="0" fillId="6" borderId="52" xfId="17" applyFont="1" applyFill="1" applyBorder="1" applyAlignment="1"/>
    <xf numFmtId="0" fontId="0" fillId="0" borderId="52" xfId="17" applyFont="1" applyBorder="1" applyAlignment="1">
      <alignment horizontal="left"/>
    </xf>
    <xf numFmtId="0" fontId="0" fillId="0" borderId="52" xfId="9" applyFont="1" applyFill="1" applyBorder="1" applyAlignment="1">
      <alignment horizontal="left"/>
    </xf>
    <xf numFmtId="0" fontId="0" fillId="6" borderId="51" xfId="9" applyFont="1" applyFill="1" applyBorder="1" applyAlignment="1">
      <alignment horizontal="center"/>
    </xf>
    <xf numFmtId="0" fontId="0" fillId="0" borderId="62" xfId="17" applyFont="1" applyBorder="1" applyAlignment="1"/>
    <xf numFmtId="0" fontId="0" fillId="0" borderId="55" xfId="9" applyFont="1" applyFill="1" applyBorder="1" applyAlignment="1"/>
    <xf numFmtId="0" fontId="0" fillId="0" borderId="26" xfId="17" applyFont="1" applyBorder="1" applyAlignment="1">
      <alignment horizontal="left"/>
    </xf>
    <xf numFmtId="0" fontId="0" fillId="0" borderId="26" xfId="17" applyFont="1" applyBorder="1" applyAlignment="1"/>
    <xf numFmtId="0" fontId="0" fillId="0" borderId="52" xfId="9" applyFont="1" applyFill="1" applyBorder="1" applyAlignment="1"/>
    <xf numFmtId="0" fontId="0" fillId="0" borderId="52" xfId="17" applyFont="1" applyFill="1" applyBorder="1" applyAlignment="1"/>
    <xf numFmtId="0" fontId="0" fillId="0" borderId="51" xfId="9" applyFont="1" applyFill="1" applyBorder="1" applyAlignment="1">
      <alignment horizontal="center"/>
    </xf>
    <xf numFmtId="0" fontId="0" fillId="0" borderId="54" xfId="9" applyFont="1" applyFill="1" applyBorder="1" applyAlignment="1">
      <alignment horizontal="center"/>
    </xf>
    <xf numFmtId="0" fontId="29" fillId="6" borderId="51" xfId="17" applyFont="1" applyFill="1" applyBorder="1" applyAlignment="1">
      <alignment horizontal="center"/>
    </xf>
    <xf numFmtId="0" fontId="0" fillId="0" borderId="52" xfId="9" applyFont="1" applyBorder="1" applyAlignment="1">
      <alignment horizontal="center"/>
    </xf>
    <xf numFmtId="0" fontId="0" fillId="0" borderId="26" xfId="9" applyFont="1" applyBorder="1" applyAlignment="1">
      <alignment horizontal="center"/>
    </xf>
    <xf numFmtId="0" fontId="0" fillId="0" borderId="53" xfId="9" applyFont="1" applyBorder="1" applyAlignment="1">
      <alignment horizontal="center"/>
    </xf>
    <xf numFmtId="0" fontId="20" fillId="0" borderId="77" xfId="17" applyFont="1" applyFill="1" applyBorder="1" applyAlignment="1">
      <alignment horizontal="center"/>
    </xf>
    <xf numFmtId="0" fontId="20" fillId="0" borderId="40" xfId="17" applyFont="1" applyFill="1" applyBorder="1" applyAlignment="1">
      <alignment horizontal="center"/>
    </xf>
    <xf numFmtId="0" fontId="0" fillId="0" borderId="55" xfId="17" applyFont="1" applyBorder="1" applyAlignment="1">
      <alignment horizontal="left"/>
    </xf>
    <xf numFmtId="0" fontId="0" fillId="6" borderId="52" xfId="9" applyFont="1" applyFill="1" applyBorder="1" applyAlignment="1">
      <alignment horizontal="left"/>
    </xf>
    <xf numFmtId="0" fontId="29" fillId="0" borderId="26" xfId="23" applyFont="1" applyFill="1" applyBorder="1" applyAlignment="1"/>
    <xf numFmtId="0" fontId="0" fillId="0" borderId="55" xfId="9" applyFont="1" applyFill="1" applyBorder="1" applyAlignment="1">
      <alignment horizontal="left"/>
    </xf>
    <xf numFmtId="0" fontId="0" fillId="6" borderId="52" xfId="17" applyFont="1" applyFill="1" applyBorder="1" applyAlignment="1">
      <alignment horizontal="left"/>
    </xf>
    <xf numFmtId="0" fontId="20" fillId="13" borderId="51" xfId="17" applyFont="1" applyFill="1" applyBorder="1" applyAlignment="1">
      <alignment horizontal="center"/>
    </xf>
    <xf numFmtId="0" fontId="31" fillId="0" borderId="0" xfId="0" applyFont="1"/>
    <xf numFmtId="0" fontId="48" fillId="0" borderId="0" xfId="0" applyFont="1"/>
    <xf numFmtId="0" fontId="20" fillId="0" borderId="0" xfId="13" applyFont="1" applyFill="1" applyAlignment="1"/>
    <xf numFmtId="0" fontId="20" fillId="0" borderId="0" xfId="13" applyFont="1" applyFill="1" applyAlignment="1">
      <alignment horizontal="center"/>
    </xf>
    <xf numFmtId="0" fontId="20" fillId="0" borderId="0" xfId="13" applyFont="1" applyFill="1" applyAlignment="1">
      <alignment textRotation="90"/>
    </xf>
    <xf numFmtId="0" fontId="48" fillId="0" borderId="0" xfId="13" applyFont="1" applyFill="1" applyBorder="1" applyAlignment="1"/>
    <xf numFmtId="0" fontId="20" fillId="6" borderId="0" xfId="13" applyFont="1" applyFill="1" applyAlignment="1"/>
    <xf numFmtId="0" fontId="20" fillId="0" borderId="35" xfId="13" applyFont="1" applyFill="1" applyBorder="1" applyAlignment="1">
      <alignment textRotation="90"/>
    </xf>
    <xf numFmtId="0" fontId="20" fillId="0" borderId="0" xfId="13" applyFont="1" applyFill="1" applyAlignment="1">
      <alignment horizontal="center" textRotation="90"/>
    </xf>
    <xf numFmtId="0" fontId="29" fillId="0" borderId="26" xfId="13" applyFont="1" applyFill="1" applyBorder="1" applyAlignment="1"/>
    <xf numFmtId="0" fontId="33" fillId="0" borderId="26" xfId="9" applyFont="1" applyBorder="1" applyAlignment="1"/>
    <xf numFmtId="0" fontId="29" fillId="0" borderId="26" xfId="9" applyFont="1" applyFill="1" applyBorder="1" applyAlignment="1"/>
    <xf numFmtId="166" fontId="29" fillId="0" borderId="26" xfId="9" applyNumberFormat="1" applyFont="1" applyFill="1" applyBorder="1" applyAlignment="1">
      <alignment horizontal="center"/>
    </xf>
    <xf numFmtId="166" fontId="33" fillId="0" borderId="26" xfId="9" applyNumberFormat="1" applyFont="1" applyFill="1" applyBorder="1" applyAlignment="1">
      <alignment horizontal="center"/>
    </xf>
    <xf numFmtId="167" fontId="33" fillId="0" borderId="26" xfId="9" applyNumberFormat="1" applyFont="1" applyFill="1" applyBorder="1" applyAlignment="1">
      <alignment horizontal="center"/>
    </xf>
    <xf numFmtId="0" fontId="20" fillId="0" borderId="26" xfId="26" applyFont="1" applyFill="1" applyBorder="1" applyAlignment="1">
      <alignment horizontal="center"/>
    </xf>
    <xf numFmtId="0" fontId="20" fillId="0" borderId="26" xfId="13" applyFont="1" applyFill="1" applyBorder="1" applyAlignment="1">
      <alignment horizontal="center"/>
    </xf>
    <xf numFmtId="166" fontId="20" fillId="0" borderId="0" xfId="13" applyNumberFormat="1" applyFont="1" applyFill="1" applyBorder="1" applyAlignment="1">
      <alignment horizontal="center"/>
    </xf>
    <xf numFmtId="166" fontId="20" fillId="0" borderId="0" xfId="13" applyNumberFormat="1" applyFont="1" applyFill="1" applyAlignment="1">
      <alignment horizontal="center"/>
    </xf>
    <xf numFmtId="0" fontId="29" fillId="0" borderId="0" xfId="13" applyFont="1" applyFill="1" applyAlignment="1">
      <alignment horizontal="center"/>
    </xf>
    <xf numFmtId="0" fontId="29" fillId="0" borderId="26" xfId="13" applyFont="1" applyBorder="1" applyAlignment="1"/>
    <xf numFmtId="166" fontId="29" fillId="0" borderId="26" xfId="13" applyNumberFormat="1" applyFont="1" applyFill="1" applyBorder="1" applyAlignment="1">
      <alignment horizontal="center"/>
    </xf>
    <xf numFmtId="0" fontId="29" fillId="6" borderId="0" xfId="13" applyFont="1" applyFill="1" applyAlignment="1"/>
    <xf numFmtId="0" fontId="20" fillId="6" borderId="0" xfId="13" applyFont="1" applyFill="1" applyAlignment="1">
      <alignment horizontal="right"/>
    </xf>
    <xf numFmtId="0" fontId="29" fillId="6" borderId="0" xfId="13" applyFont="1" applyFill="1" applyAlignment="1">
      <alignment horizontal="center"/>
    </xf>
    <xf numFmtId="166" fontId="20" fillId="6" borderId="0" xfId="13" applyNumberFormat="1" applyFont="1" applyFill="1" applyAlignment="1">
      <alignment horizontal="center"/>
    </xf>
    <xf numFmtId="166" fontId="29" fillId="6" borderId="0" xfId="13" applyNumberFormat="1" applyFont="1" applyFill="1" applyAlignment="1"/>
    <xf numFmtId="1" fontId="20" fillId="6" borderId="0" xfId="8" applyNumberFormat="1" applyFont="1" applyFill="1" applyBorder="1" applyAlignment="1">
      <alignment horizontal="center"/>
    </xf>
    <xf numFmtId="0" fontId="21" fillId="8" borderId="26" xfId="1" applyFill="1" applyBorder="1"/>
    <xf numFmtId="0" fontId="12" fillId="0" borderId="17" xfId="23" applyFont="1" applyFill="1" applyBorder="1" applyAlignment="1"/>
    <xf numFmtId="0" fontId="12" fillId="7" borderId="17" xfId="23" applyFont="1" applyFill="1" applyBorder="1" applyAlignment="1"/>
    <xf numFmtId="0" fontId="0" fillId="0" borderId="26" xfId="15" applyFont="1" applyFill="1" applyBorder="1" applyAlignment="1"/>
    <xf numFmtId="0" fontId="0" fillId="0" borderId="0" xfId="23" applyFont="1" applyAlignment="1"/>
    <xf numFmtId="0" fontId="21" fillId="0" borderId="0" xfId="1" applyBorder="1" applyAlignment="1">
      <alignment horizontal="right"/>
    </xf>
    <xf numFmtId="0" fontId="12" fillId="0" borderId="30" xfId="23" applyFont="1" applyFill="1" applyBorder="1" applyAlignment="1"/>
    <xf numFmtId="0" fontId="20" fillId="0" borderId="0" xfId="23" applyFont="1" applyBorder="1" applyAlignment="1">
      <alignment horizontal="right"/>
    </xf>
    <xf numFmtId="0" fontId="40" fillId="0" borderId="0" xfId="23" applyFont="1" applyBorder="1"/>
    <xf numFmtId="0" fontId="0" fillId="0" borderId="0" xfId="23" applyFont="1"/>
    <xf numFmtId="0" fontId="20" fillId="0" borderId="38" xfId="23" applyFont="1" applyBorder="1"/>
    <xf numFmtId="0" fontId="0" fillId="0" borderId="33" xfId="23" applyFont="1" applyBorder="1"/>
    <xf numFmtId="0" fontId="20" fillId="0" borderId="38" xfId="23" applyFont="1" applyFill="1" applyBorder="1" applyAlignment="1">
      <alignment horizontal="left"/>
    </xf>
    <xf numFmtId="0" fontId="0" fillId="0" borderId="33" xfId="23" applyFont="1" applyFill="1" applyBorder="1"/>
    <xf numFmtId="0" fontId="0" fillId="0" borderId="0" xfId="23" applyFont="1" applyBorder="1"/>
    <xf numFmtId="0" fontId="40" fillId="0" borderId="0" xfId="23" applyFont="1"/>
    <xf numFmtId="0" fontId="20" fillId="0" borderId="0" xfId="23" applyFont="1" applyFill="1" applyBorder="1" applyAlignment="1">
      <alignment horizontal="left"/>
    </xf>
    <xf numFmtId="0" fontId="20" fillId="0" borderId="31" xfId="23" applyFont="1" applyBorder="1" applyAlignment="1">
      <alignment horizontal="left"/>
    </xf>
    <xf numFmtId="0" fontId="20" fillId="0" borderId="36" xfId="23" applyFont="1" applyBorder="1" applyAlignment="1">
      <alignment horizontal="left"/>
    </xf>
    <xf numFmtId="0" fontId="20" fillId="0" borderId="33" xfId="23" applyFont="1" applyBorder="1" applyAlignment="1">
      <alignment horizontal="left"/>
    </xf>
    <xf numFmtId="0" fontId="20" fillId="0" borderId="34" xfId="23" applyFont="1" applyBorder="1" applyAlignment="1">
      <alignment horizontal="left"/>
    </xf>
    <xf numFmtId="0" fontId="20" fillId="0" borderId="37" xfId="23" applyFont="1" applyBorder="1" applyAlignment="1">
      <alignment horizontal="left"/>
    </xf>
    <xf numFmtId="0" fontId="20" fillId="0" borderId="39" xfId="23" applyFont="1" applyBorder="1" applyAlignment="1">
      <alignment horizontal="left"/>
    </xf>
    <xf numFmtId="0" fontId="20" fillId="0" borderId="29" xfId="23" applyFont="1" applyBorder="1" applyAlignment="1">
      <alignment horizontal="left"/>
    </xf>
    <xf numFmtId="0" fontId="0" fillId="0" borderId="0" xfId="23" applyFont="1" applyAlignment="1">
      <alignment horizontal="left"/>
    </xf>
    <xf numFmtId="0" fontId="0" fillId="0" borderId="0" xfId="7" applyFont="1" applyBorder="1" applyAlignment="1">
      <alignment horizontal="left"/>
    </xf>
    <xf numFmtId="0" fontId="0" fillId="0" borderId="38" xfId="7" applyFont="1" applyBorder="1" applyAlignment="1">
      <alignment horizontal="left"/>
    </xf>
    <xf numFmtId="0" fontId="0" fillId="0" borderId="0" xfId="7" applyFont="1" applyAlignment="1">
      <alignment horizontal="left"/>
    </xf>
    <xf numFmtId="0" fontId="0" fillId="0" borderId="35" xfId="7" applyFont="1" applyBorder="1" applyAlignment="1">
      <alignment horizontal="left"/>
    </xf>
    <xf numFmtId="0" fontId="0" fillId="0" borderId="35" xfId="7" applyFont="1" applyBorder="1" applyAlignment="1"/>
    <xf numFmtId="0" fontId="0" fillId="0" borderId="0" xfId="23" applyFont="1" applyBorder="1" applyAlignment="1">
      <alignment horizontal="left"/>
    </xf>
    <xf numFmtId="0" fontId="0" fillId="0" borderId="35" xfId="23" applyFont="1" applyBorder="1"/>
    <xf numFmtId="0" fontId="21" fillId="7" borderId="26" xfId="1" applyFont="1" applyFill="1" applyBorder="1"/>
    <xf numFmtId="0" fontId="55" fillId="0" borderId="10" xfId="23" applyFont="1" applyFill="1" applyBorder="1" applyAlignment="1"/>
    <xf numFmtId="0" fontId="55" fillId="0" borderId="9" xfId="23" applyFont="1" applyFill="1" applyBorder="1" applyAlignment="1"/>
    <xf numFmtId="0" fontId="20" fillId="0" borderId="0" xfId="7" applyFont="1" applyFill="1" applyBorder="1" applyAlignment="1">
      <alignment horizontal="left"/>
    </xf>
    <xf numFmtId="16" fontId="29" fillId="0" borderId="26" xfId="23" quotePrefix="1" applyNumberFormat="1" applyFont="1" applyBorder="1"/>
    <xf numFmtId="0" fontId="0" fillId="9" borderId="65" xfId="29" applyFont="1" applyFill="1" applyBorder="1" applyAlignment="1"/>
    <xf numFmtId="0" fontId="0" fillId="9" borderId="52" xfId="29" applyFont="1" applyFill="1" applyBorder="1" applyAlignment="1"/>
    <xf numFmtId="0" fontId="30" fillId="9" borderId="65" xfId="29" applyFont="1" applyFill="1" applyBorder="1" applyAlignment="1"/>
    <xf numFmtId="0" fontId="30" fillId="13" borderId="66" xfId="29" applyFont="1" applyFill="1" applyBorder="1" applyAlignment="1"/>
    <xf numFmtId="0" fontId="0" fillId="13" borderId="66" xfId="29" applyFont="1" applyFill="1" applyBorder="1" applyAlignment="1"/>
    <xf numFmtId="0" fontId="0" fillId="13" borderId="26" xfId="29" applyFont="1" applyFill="1" applyBorder="1" applyAlignment="1"/>
    <xf numFmtId="0" fontId="30" fillId="13" borderId="26" xfId="29" applyFont="1" applyFill="1" applyBorder="1" applyAlignment="1"/>
    <xf numFmtId="0" fontId="30" fillId="9" borderId="52" xfId="29" applyFont="1" applyFill="1" applyBorder="1" applyAlignment="1"/>
    <xf numFmtId="0" fontId="0" fillId="0" borderId="26" xfId="23" applyFont="1" applyFill="1" applyBorder="1" applyAlignment="1">
      <alignment horizontal="center"/>
    </xf>
    <xf numFmtId="0" fontId="20" fillId="0" borderId="78" xfId="23" applyFont="1" applyBorder="1"/>
    <xf numFmtId="0" fontId="29" fillId="0" borderId="0" xfId="23" applyFont="1" applyAlignment="1"/>
    <xf numFmtId="0" fontId="29" fillId="0" borderId="0" xfId="23" applyFont="1" applyBorder="1" applyAlignment="1">
      <alignment horizontal="right"/>
    </xf>
    <xf numFmtId="0" fontId="5" fillId="0" borderId="66" xfId="7" applyFont="1" applyBorder="1" applyAlignment="1"/>
    <xf numFmtId="0" fontId="20" fillId="0" borderId="66" xfId="6" applyFont="1" applyFill="1" applyBorder="1"/>
    <xf numFmtId="166" fontId="35" fillId="0" borderId="66" xfId="7" applyNumberFormat="1" applyFont="1" applyFill="1" applyBorder="1" applyAlignment="1">
      <alignment horizontal="center"/>
    </xf>
    <xf numFmtId="0" fontId="5" fillId="0" borderId="66" xfId="26" applyFont="1" applyFill="1" applyBorder="1" applyAlignment="1">
      <alignment horizontal="center"/>
    </xf>
    <xf numFmtId="16" fontId="29" fillId="0" borderId="26" xfId="23" quotePrefix="1" applyNumberFormat="1" applyFont="1" applyBorder="1" applyAlignment="1">
      <alignment horizontal="right"/>
    </xf>
    <xf numFmtId="0" fontId="20" fillId="9" borderId="26" xfId="23" applyFont="1" applyFill="1" applyBorder="1" applyAlignment="1"/>
    <xf numFmtId="0" fontId="29" fillId="9" borderId="26" xfId="23" applyFont="1" applyFill="1" applyBorder="1" applyAlignment="1"/>
    <xf numFmtId="0" fontId="0" fillId="9" borderId="0" xfId="0" applyFont="1" applyFill="1" applyAlignment="1">
      <alignment horizontal="center"/>
    </xf>
    <xf numFmtId="170" fontId="29" fillId="0" borderId="26" xfId="7" applyNumberFormat="1" applyFont="1" applyFill="1" applyBorder="1" applyAlignment="1">
      <alignment horizontal="center"/>
    </xf>
    <xf numFmtId="0" fontId="20" fillId="0" borderId="79" xfId="23" applyFont="1" applyBorder="1"/>
    <xf numFmtId="0" fontId="20" fillId="0" borderId="80" xfId="23" applyFont="1" applyBorder="1"/>
    <xf numFmtId="0" fontId="20" fillId="0" borderId="81" xfId="23" applyFont="1" applyBorder="1"/>
    <xf numFmtId="0" fontId="20" fillId="0" borderId="82" xfId="23" applyFont="1" applyBorder="1"/>
    <xf numFmtId="0" fontId="29" fillId="0" borderId="84" xfId="13" applyFont="1" applyBorder="1" applyAlignment="1"/>
    <xf numFmtId="0" fontId="20" fillId="0" borderId="83" xfId="13" applyFont="1" applyBorder="1" applyAlignment="1">
      <alignment horizontal="left"/>
    </xf>
    <xf numFmtId="0" fontId="20" fillId="0" borderId="79" xfId="13" applyFont="1" applyBorder="1" applyAlignment="1"/>
    <xf numFmtId="0" fontId="20" fillId="0" borderId="80" xfId="13" applyFont="1" applyBorder="1" applyAlignment="1"/>
    <xf numFmtId="0" fontId="16" fillId="0" borderId="26" xfId="7" applyFont="1" applyBorder="1" applyAlignment="1"/>
    <xf numFmtId="0" fontId="56" fillId="0" borderId="0" xfId="0" applyFont="1" applyAlignment="1">
      <alignment horizontal="right"/>
    </xf>
    <xf numFmtId="0" fontId="5" fillId="0" borderId="53" xfId="7" applyFont="1" applyFill="1" applyBorder="1" applyAlignment="1"/>
    <xf numFmtId="0" fontId="5" fillId="0" borderId="61" xfId="7" applyFont="1" applyFill="1" applyBorder="1" applyAlignment="1"/>
    <xf numFmtId="0" fontId="16" fillId="0" borderId="53" xfId="7" applyFont="1" applyFill="1" applyBorder="1" applyAlignment="1">
      <alignment horizontal="center"/>
    </xf>
    <xf numFmtId="0" fontId="16" fillId="0" borderId="61" xfId="7" applyFont="1" applyFill="1" applyBorder="1" applyAlignment="1">
      <alignment horizontal="center"/>
    </xf>
    <xf numFmtId="0" fontId="0" fillId="0" borderId="53" xfId="13" applyFont="1" applyFill="1" applyBorder="1" applyAlignment="1"/>
    <xf numFmtId="0" fontId="0" fillId="0" borderId="61" xfId="13" applyFont="1" applyFill="1" applyBorder="1" applyAlignment="1"/>
    <xf numFmtId="0" fontId="0" fillId="0" borderId="53" xfId="15" applyFont="1" applyFill="1" applyBorder="1" applyAlignment="1"/>
    <xf numFmtId="0" fontId="0" fillId="0" borderId="61" xfId="15" applyFont="1" applyFill="1" applyBorder="1" applyAlignment="1"/>
    <xf numFmtId="0" fontId="32" fillId="0" borderId="53" xfId="15" applyFont="1" applyFill="1" applyBorder="1" applyAlignment="1"/>
    <xf numFmtId="0" fontId="32" fillId="0" borderId="61" xfId="15" applyFont="1" applyFill="1" applyBorder="1" applyAlignment="1"/>
    <xf numFmtId="0" fontId="20" fillId="0" borderId="53" xfId="13" applyFont="1" applyFill="1" applyBorder="1" applyAlignment="1"/>
    <xf numFmtId="0" fontId="20" fillId="0" borderId="61" xfId="13" applyFont="1" applyFill="1" applyBorder="1" applyAlignment="1"/>
    <xf numFmtId="0" fontId="20" fillId="9" borderId="53" xfId="15" applyFont="1" applyFill="1" applyBorder="1" applyAlignment="1"/>
    <xf numFmtId="0" fontId="20" fillId="9" borderId="61" xfId="15" applyFont="1" applyFill="1" applyBorder="1" applyAlignment="1"/>
    <xf numFmtId="0" fontId="32" fillId="0" borderId="53" xfId="13" applyFont="1" applyFill="1" applyBorder="1" applyAlignment="1"/>
    <xf numFmtId="0" fontId="32" fillId="0" borderId="61" xfId="13" applyFont="1" applyFill="1" applyBorder="1" applyAlignment="1"/>
    <xf numFmtId="0" fontId="20" fillId="0" borderId="53" xfId="15" applyFont="1" applyFill="1" applyBorder="1" applyAlignment="1"/>
    <xf numFmtId="0" fontId="20" fillId="0" borderId="61" xfId="15" applyFont="1" applyFill="1" applyBorder="1" applyAlignment="1"/>
    <xf numFmtId="0" fontId="58" fillId="0" borderId="0" xfId="1" applyFont="1" applyAlignment="1">
      <alignment vertical="top" wrapText="1"/>
    </xf>
    <xf numFmtId="0" fontId="0" fillId="0" borderId="26" xfId="23" applyFont="1" applyFill="1" applyBorder="1" applyAlignment="1"/>
    <xf numFmtId="0" fontId="0" fillId="0" borderId="32" xfId="7" applyFont="1" applyBorder="1" applyAlignment="1"/>
    <xf numFmtId="0" fontId="10" fillId="3" borderId="87" xfId="23" applyFont="1" applyFill="1" applyBorder="1" applyAlignment="1">
      <alignment vertical="top" wrapText="1"/>
    </xf>
    <xf numFmtId="0" fontId="1" fillId="0" borderId="10" xfId="23" applyFont="1" applyFill="1" applyBorder="1" applyAlignment="1">
      <alignment vertical="top" wrapText="1"/>
    </xf>
    <xf numFmtId="0" fontId="1" fillId="0" borderId="0" xfId="23" applyFont="1" applyFill="1" applyBorder="1" applyAlignment="1">
      <alignment vertical="top" wrapText="1"/>
    </xf>
    <xf numFmtId="0" fontId="1" fillId="0" borderId="9" xfId="23" applyFont="1" applyFill="1" applyBorder="1" applyAlignment="1">
      <alignment vertical="top" wrapText="1"/>
    </xf>
    <xf numFmtId="0" fontId="1" fillId="0" borderId="7" xfId="23" applyFont="1" applyFill="1" applyBorder="1" applyAlignment="1">
      <alignment vertical="top" wrapText="1"/>
    </xf>
    <xf numFmtId="0" fontId="56" fillId="0" borderId="9" xfId="1" applyFont="1" applyBorder="1" applyAlignment="1">
      <alignment vertical="top"/>
    </xf>
    <xf numFmtId="0" fontId="56" fillId="0" borderId="0" xfId="1" applyFont="1" applyFill="1" applyBorder="1" applyAlignment="1"/>
    <xf numFmtId="0" fontId="56" fillId="0" borderId="7" xfId="1" applyFont="1" applyBorder="1" applyAlignment="1">
      <alignment vertical="top"/>
    </xf>
    <xf numFmtId="0" fontId="57" fillId="0" borderId="29" xfId="1" applyFont="1" applyFill="1" applyBorder="1" applyAlignment="1">
      <alignment vertical="top"/>
    </xf>
    <xf numFmtId="0" fontId="40" fillId="0" borderId="14" xfId="1" applyFont="1" applyBorder="1"/>
    <xf numFmtId="0" fontId="29" fillId="0" borderId="19" xfId="23" applyFont="1" applyFill="1" applyBorder="1" applyAlignment="1">
      <alignment vertical="top" wrapText="1"/>
    </xf>
    <xf numFmtId="0" fontId="40" fillId="0" borderId="20" xfId="1" applyFont="1" applyBorder="1"/>
    <xf numFmtId="0" fontId="29" fillId="7" borderId="10" xfId="1" applyFont="1" applyFill="1" applyBorder="1" applyAlignment="1">
      <alignment vertical="top" wrapText="1"/>
    </xf>
    <xf numFmtId="0" fontId="43" fillId="0" borderId="5" xfId="1" applyFont="1" applyFill="1" applyBorder="1" applyAlignment="1">
      <alignment vertical="top"/>
    </xf>
    <xf numFmtId="0" fontId="20" fillId="0" borderId="10" xfId="1" applyFont="1" applyFill="1" applyBorder="1" applyAlignment="1">
      <alignment vertical="top" wrapText="1"/>
    </xf>
    <xf numFmtId="0" fontId="20" fillId="16" borderId="9" xfId="23" applyFont="1" applyFill="1" applyBorder="1" applyAlignment="1">
      <alignment vertical="top" wrapText="1"/>
    </xf>
    <xf numFmtId="0" fontId="62" fillId="0" borderId="20" xfId="1" applyFont="1" applyBorder="1"/>
    <xf numFmtId="0" fontId="63" fillId="6" borderId="13" xfId="1" applyFont="1" applyFill="1" applyBorder="1" applyAlignment="1"/>
    <xf numFmtId="0" fontId="5" fillId="6" borderId="0" xfId="15" applyFont="1" applyFill="1" applyBorder="1" applyAlignment="1"/>
    <xf numFmtId="0" fontId="5" fillId="6" borderId="7" xfId="15" applyFont="1" applyFill="1" applyBorder="1" applyAlignment="1"/>
    <xf numFmtId="0" fontId="63" fillId="6" borderId="5" xfId="1" applyFont="1" applyFill="1" applyBorder="1" applyAlignment="1"/>
    <xf numFmtId="0" fontId="5" fillId="6" borderId="10" xfId="15" applyFont="1" applyFill="1" applyBorder="1" applyAlignment="1"/>
    <xf numFmtId="0" fontId="5" fillId="6" borderId="9" xfId="15" applyFont="1" applyFill="1" applyBorder="1" applyAlignment="1"/>
    <xf numFmtId="0" fontId="16" fillId="0" borderId="19" xfId="23" applyFont="1" applyFill="1" applyBorder="1" applyAlignment="1">
      <alignment vertical="top" wrapText="1"/>
    </xf>
    <xf numFmtId="0" fontId="62" fillId="7" borderId="5" xfId="1" applyFont="1" applyFill="1" applyBorder="1" applyAlignment="1">
      <alignment vertical="top" wrapText="1"/>
    </xf>
    <xf numFmtId="0" fontId="16" fillId="7" borderId="10" xfId="15" applyFont="1" applyFill="1" applyBorder="1" applyAlignment="1"/>
    <xf numFmtId="0" fontId="16" fillId="7" borderId="7" xfId="1" applyFont="1" applyFill="1" applyBorder="1" applyAlignment="1"/>
    <xf numFmtId="0" fontId="64" fillId="0" borderId="20" xfId="1" applyFont="1" applyBorder="1"/>
    <xf numFmtId="0" fontId="63" fillId="9" borderId="5" xfId="1" applyFont="1" applyFill="1" applyBorder="1" applyAlignment="1"/>
    <xf numFmtId="0" fontId="5" fillId="9" borderId="10" xfId="15" applyFont="1" applyFill="1" applyBorder="1" applyAlignment="1"/>
    <xf numFmtId="0" fontId="63" fillId="0" borderId="14" xfId="1" applyFont="1" applyBorder="1"/>
    <xf numFmtId="0" fontId="5" fillId="0" borderId="10" xfId="15" applyFont="1" applyFill="1" applyBorder="1" applyAlignment="1"/>
    <xf numFmtId="0" fontId="63" fillId="0" borderId="18" xfId="1" applyFont="1" applyBorder="1"/>
    <xf numFmtId="0" fontId="16" fillId="7" borderId="0" xfId="1" applyFont="1" applyFill="1" applyBorder="1" applyAlignment="1"/>
    <xf numFmtId="0" fontId="5" fillId="0" borderId="10" xfId="1" applyFont="1" applyBorder="1"/>
    <xf numFmtId="0" fontId="63" fillId="0" borderId="18" xfId="1" applyFont="1" applyBorder="1" applyAlignment="1">
      <alignment vertical="top"/>
    </xf>
    <xf numFmtId="0" fontId="56" fillId="0" borderId="28" xfId="15" applyFont="1" applyFill="1" applyBorder="1" applyAlignment="1"/>
    <xf numFmtId="0" fontId="56" fillId="0" borderId="10" xfId="15" applyFont="1" applyFill="1" applyBorder="1" applyAlignment="1"/>
    <xf numFmtId="0" fontId="56" fillId="0" borderId="9" xfId="15" applyFont="1" applyFill="1" applyBorder="1" applyAlignment="1"/>
    <xf numFmtId="0" fontId="57" fillId="0" borderId="9" xfId="1" applyFont="1" applyFill="1" applyBorder="1" applyAlignment="1"/>
    <xf numFmtId="0" fontId="65" fillId="0" borderId="9" xfId="15" applyFont="1" applyFill="1" applyBorder="1" applyAlignment="1"/>
    <xf numFmtId="0" fontId="56" fillId="0" borderId="0" xfId="0" applyFont="1" applyFill="1" applyBorder="1" applyAlignment="1"/>
    <xf numFmtId="0" fontId="56" fillId="0" borderId="10" xfId="23" applyFont="1" applyFill="1" applyBorder="1" applyAlignment="1">
      <alignment vertical="top"/>
    </xf>
    <xf numFmtId="0" fontId="21" fillId="0" borderId="4" xfId="1" applyFill="1" applyBorder="1" applyAlignment="1">
      <alignment vertical="top"/>
    </xf>
    <xf numFmtId="0" fontId="43" fillId="0" borderId="14" xfId="1" applyFont="1" applyFill="1" applyBorder="1"/>
    <xf numFmtId="0" fontId="20" fillId="0" borderId="10" xfId="15" applyFont="1" applyFill="1" applyBorder="1" applyAlignment="1"/>
    <xf numFmtId="0" fontId="20" fillId="6" borderId="88" xfId="17" applyFont="1" applyFill="1" applyBorder="1" applyAlignment="1">
      <alignment horizontal="center"/>
    </xf>
    <xf numFmtId="0" fontId="20" fillId="0" borderId="88" xfId="17" applyFont="1" applyFill="1" applyBorder="1" applyAlignment="1">
      <alignment horizontal="center"/>
    </xf>
    <xf numFmtId="0" fontId="20" fillId="6" borderId="88" xfId="9" applyFont="1" applyFill="1" applyBorder="1" applyAlignment="1">
      <alignment horizontal="center"/>
    </xf>
    <xf numFmtId="0" fontId="20" fillId="0" borderId="88" xfId="9" applyFont="1" applyBorder="1" applyAlignment="1">
      <alignment horizontal="center"/>
    </xf>
    <xf numFmtId="0" fontId="29" fillId="4" borderId="0" xfId="15" applyFont="1" applyFill="1" applyBorder="1" applyAlignment="1"/>
    <xf numFmtId="0" fontId="20" fillId="4" borderId="0" xfId="15" applyFont="1" applyFill="1" applyBorder="1" applyAlignment="1"/>
    <xf numFmtId="0" fontId="29" fillId="4" borderId="0" xfId="15" quotePrefix="1" applyNumberFormat="1" applyFont="1" applyFill="1" applyBorder="1" applyAlignment="1"/>
    <xf numFmtId="0" fontId="20" fillId="0" borderId="89" xfId="15" applyFont="1" applyFill="1" applyBorder="1" applyAlignment="1"/>
    <xf numFmtId="0" fontId="20" fillId="0" borderId="91" xfId="15" applyFont="1" applyFill="1" applyBorder="1" applyAlignment="1"/>
    <xf numFmtId="0" fontId="29" fillId="0" borderId="92" xfId="15" applyFont="1" applyFill="1" applyBorder="1" applyAlignment="1"/>
    <xf numFmtId="0" fontId="20" fillId="0" borderId="93" xfId="15" applyFont="1" applyFill="1" applyBorder="1" applyAlignment="1"/>
    <xf numFmtId="0" fontId="29" fillId="0" borderId="94" xfId="15" applyFont="1" applyFill="1" applyBorder="1" applyAlignment="1"/>
    <xf numFmtId="0" fontId="29" fillId="0" borderId="95" xfId="15" applyFont="1" applyFill="1" applyBorder="1" applyAlignment="1"/>
    <xf numFmtId="0" fontId="39" fillId="0" borderId="94" xfId="1" applyFont="1" applyFill="1" applyBorder="1" applyAlignment="1">
      <alignment horizontal="left"/>
    </xf>
    <xf numFmtId="0" fontId="20" fillId="0" borderId="90" xfId="15" applyFont="1" applyFill="1" applyBorder="1" applyAlignment="1"/>
    <xf numFmtId="0" fontId="20" fillId="0" borderId="94" xfId="15" applyFont="1" applyFill="1" applyBorder="1" applyAlignment="1"/>
    <xf numFmtId="0" fontId="38" fillId="12" borderId="95" xfId="1" applyFont="1" applyFill="1" applyBorder="1" applyAlignment="1"/>
    <xf numFmtId="0" fontId="29" fillId="0" borderId="89" xfId="15" applyFont="1" applyFill="1" applyBorder="1" applyAlignment="1"/>
    <xf numFmtId="0" fontId="29" fillId="0" borderId="91" xfId="15" applyFont="1" applyFill="1" applyBorder="1" applyAlignment="1"/>
    <xf numFmtId="0" fontId="20" fillId="0" borderId="92" xfId="15" applyFont="1" applyBorder="1" applyAlignment="1">
      <alignment vertical="top"/>
    </xf>
    <xf numFmtId="0" fontId="0" fillId="0" borderId="93" xfId="0" applyFont="1" applyFill="1" applyBorder="1" applyAlignment="1"/>
    <xf numFmtId="0" fontId="20" fillId="0" borderId="95" xfId="15" applyFont="1" applyBorder="1" applyAlignment="1">
      <alignment vertical="top"/>
    </xf>
    <xf numFmtId="0" fontId="39" fillId="0" borderId="91" xfId="1" applyFont="1" applyFill="1" applyBorder="1" applyAlignment="1"/>
    <xf numFmtId="0" fontId="39" fillId="0" borderId="93" xfId="1" applyFont="1" applyFill="1" applyBorder="1" applyAlignment="1"/>
    <xf numFmtId="0" fontId="29" fillId="0" borderId="85" xfId="15" applyFont="1" applyFill="1" applyBorder="1" applyAlignment="1"/>
    <xf numFmtId="0" fontId="39" fillId="0" borderId="96" xfId="1" applyFont="1" applyFill="1" applyBorder="1" applyAlignment="1"/>
    <xf numFmtId="0" fontId="44" fillId="0" borderId="98" xfId="15" applyFont="1" applyFill="1" applyBorder="1" applyAlignment="1"/>
    <xf numFmtId="0" fontId="44" fillId="0" borderId="97" xfId="15" applyFont="1" applyFill="1" applyBorder="1" applyAlignment="1"/>
    <xf numFmtId="0" fontId="0" fillId="0" borderId="0" xfId="15" applyFont="1" applyAlignment="1">
      <alignment vertical="top"/>
    </xf>
    <xf numFmtId="0" fontId="57" fillId="0" borderId="97" xfId="1" applyFont="1" applyFill="1" applyBorder="1" applyAlignment="1">
      <alignment horizontal="center"/>
    </xf>
    <xf numFmtId="0" fontId="56" fillId="0" borderId="93" xfId="15" applyFont="1" applyFill="1" applyBorder="1" applyAlignment="1"/>
    <xf numFmtId="0" fontId="57" fillId="0" borderId="93" xfId="1" applyFont="1" applyBorder="1" applyAlignment="1">
      <alignment vertical="top"/>
    </xf>
    <xf numFmtId="0" fontId="56" fillId="0" borderId="94" xfId="15" applyFont="1" applyFill="1" applyBorder="1" applyAlignment="1"/>
    <xf numFmtId="0" fontId="56" fillId="0" borderId="90" xfId="15" applyFont="1" applyFill="1" applyBorder="1" applyAlignment="1"/>
    <xf numFmtId="0" fontId="56" fillId="0" borderId="89" xfId="15" applyFont="1" applyFill="1" applyBorder="1" applyAlignment="1"/>
    <xf numFmtId="0" fontId="56" fillId="0" borderId="0" xfId="15" applyFont="1" applyFill="1" applyBorder="1" applyAlignment="1"/>
    <xf numFmtId="0" fontId="57" fillId="0" borderId="90" xfId="1" applyFont="1" applyFill="1" applyBorder="1" applyAlignment="1"/>
    <xf numFmtId="0" fontId="57" fillId="0" borderId="94" xfId="1" applyFont="1" applyBorder="1" applyAlignment="1">
      <alignment vertical="top"/>
    </xf>
    <xf numFmtId="0" fontId="56" fillId="0" borderId="91" xfId="1" applyFont="1" applyFill="1" applyBorder="1" applyAlignment="1"/>
    <xf numFmtId="0" fontId="57" fillId="0" borderId="99" xfId="1" applyFont="1" applyFill="1" applyBorder="1" applyAlignment="1"/>
    <xf numFmtId="0" fontId="12" fillId="0" borderId="85" xfId="15" applyFont="1" applyFill="1" applyBorder="1" applyAlignment="1"/>
    <xf numFmtId="0" fontId="39" fillId="0" borderId="85" xfId="1" applyFont="1" applyFill="1" applyBorder="1" applyAlignment="1"/>
    <xf numFmtId="0" fontId="39" fillId="0" borderId="86" xfId="1" applyFont="1" applyFill="1" applyBorder="1" applyAlignment="1"/>
    <xf numFmtId="0" fontId="57" fillId="0" borderId="85" xfId="1" applyFont="1" applyFill="1" applyBorder="1" applyAlignment="1"/>
    <xf numFmtId="0" fontId="40" fillId="0" borderId="0" xfId="1" applyFont="1"/>
    <xf numFmtId="0" fontId="29" fillId="0" borderId="10" xfId="23" applyFont="1" applyFill="1" applyBorder="1" applyAlignment="1">
      <alignment vertical="top" wrapText="1"/>
    </xf>
    <xf numFmtId="0" fontId="40" fillId="0" borderId="5" xfId="1" applyFont="1" applyBorder="1"/>
    <xf numFmtId="0" fontId="40" fillId="0" borderId="13" xfId="1" applyFont="1" applyBorder="1"/>
    <xf numFmtId="0" fontId="20" fillId="0" borderId="5" xfId="23" applyFont="1" applyFill="1" applyBorder="1" applyAlignment="1"/>
    <xf numFmtId="0" fontId="20" fillId="0" borderId="10" xfId="23" applyFont="1" applyFill="1" applyBorder="1" applyAlignment="1"/>
    <xf numFmtId="0" fontId="43" fillId="0" borderId="18" xfId="1" applyFont="1" applyBorder="1"/>
    <xf numFmtId="0" fontId="29" fillId="7" borderId="10" xfId="15" applyFont="1" applyFill="1" applyBorder="1" applyAlignment="1"/>
    <xf numFmtId="0" fontId="29" fillId="7" borderId="7" xfId="1" applyFont="1" applyFill="1" applyBorder="1" applyAlignment="1"/>
    <xf numFmtId="0" fontId="29" fillId="7" borderId="10" xfId="23" applyFont="1" applyFill="1" applyBorder="1" applyAlignment="1"/>
    <xf numFmtId="0" fontId="56" fillId="0" borderId="101" xfId="23" applyFont="1" applyFill="1" applyBorder="1" applyAlignment="1">
      <alignment horizontal="right" vertical="top"/>
    </xf>
    <xf numFmtId="0" fontId="56" fillId="0" borderId="101" xfId="23" applyFont="1" applyFill="1" applyBorder="1" applyAlignment="1">
      <alignment vertical="top"/>
    </xf>
    <xf numFmtId="0" fontId="12" fillId="0" borderId="101" xfId="23" applyFont="1" applyFill="1" applyBorder="1" applyAlignment="1">
      <alignment vertical="top" wrapText="1"/>
    </xf>
    <xf numFmtId="0" fontId="57" fillId="0" borderId="101" xfId="1" applyFont="1" applyFill="1" applyBorder="1" applyAlignment="1">
      <alignment vertical="top"/>
    </xf>
    <xf numFmtId="0" fontId="39" fillId="0" borderId="101" xfId="1" applyFont="1" applyBorder="1"/>
    <xf numFmtId="0" fontId="0" fillId="0" borderId="102" xfId="0" applyFont="1" applyFill="1" applyBorder="1"/>
    <xf numFmtId="0" fontId="16" fillId="0" borderId="26" xfId="23" applyFont="1" applyBorder="1" applyAlignment="1"/>
    <xf numFmtId="0" fontId="5" fillId="0" borderId="26" xfId="23" applyFont="1" applyBorder="1" applyAlignment="1">
      <alignment horizontal="center"/>
    </xf>
    <xf numFmtId="49" fontId="5" fillId="0" borderId="26" xfId="23" applyNumberFormat="1" applyFont="1" applyBorder="1" applyAlignment="1">
      <alignment horizontal="center"/>
    </xf>
    <xf numFmtId="0" fontId="16" fillId="0" borderId="0" xfId="23" applyFont="1" applyAlignment="1"/>
    <xf numFmtId="0" fontId="5" fillId="0" borderId="0" xfId="23" applyFont="1" applyAlignment="1"/>
    <xf numFmtId="0" fontId="5" fillId="0" borderId="0" xfId="23" applyFont="1" applyAlignment="1">
      <alignment horizontal="center"/>
    </xf>
    <xf numFmtId="49" fontId="5" fillId="0" borderId="0" xfId="23" applyNumberFormat="1" applyFont="1" applyAlignment="1">
      <alignment horizontal="center"/>
    </xf>
    <xf numFmtId="16" fontId="20" fillId="0" borderId="0" xfId="23" applyNumberFormat="1" applyFont="1" applyBorder="1" applyAlignment="1">
      <alignment horizontal="center"/>
    </xf>
    <xf numFmtId="0" fontId="42" fillId="15" borderId="26" xfId="23" applyFont="1" applyFill="1" applyBorder="1" applyAlignment="1">
      <alignment horizontal="center"/>
    </xf>
    <xf numFmtId="0" fontId="42" fillId="0" borderId="26" xfId="23" applyFont="1" applyBorder="1" applyAlignment="1">
      <alignment horizontal="center"/>
    </xf>
    <xf numFmtId="49" fontId="42" fillId="0" borderId="26" xfId="23" applyNumberFormat="1" applyFont="1" applyBorder="1" applyAlignment="1">
      <alignment horizontal="center"/>
    </xf>
    <xf numFmtId="0" fontId="42" fillId="0" borderId="26" xfId="23" applyFont="1" applyFill="1" applyBorder="1" applyAlignment="1">
      <alignment horizontal="center"/>
    </xf>
    <xf numFmtId="0" fontId="0" fillId="0" borderId="0" xfId="6" quotePrefix="1" applyFont="1"/>
    <xf numFmtId="0" fontId="29" fillId="0" borderId="26" xfId="7" applyFont="1" applyFill="1" applyBorder="1" applyAlignment="1"/>
    <xf numFmtId="0" fontId="61" fillId="0" borderId="100" xfId="23" quotePrefix="1" applyFont="1" applyFill="1" applyBorder="1" applyAlignment="1">
      <alignment horizontal="right"/>
    </xf>
    <xf numFmtId="0" fontId="12" fillId="0" borderId="0" xfId="23" applyFont="1" applyFill="1" applyBorder="1" applyAlignment="1"/>
    <xf numFmtId="0" fontId="54" fillId="7" borderId="4" xfId="23" applyFont="1" applyFill="1" applyBorder="1" applyAlignment="1"/>
    <xf numFmtId="0" fontId="12" fillId="17" borderId="75" xfId="23" applyFont="1" applyFill="1" applyBorder="1" applyAlignment="1"/>
    <xf numFmtId="0" fontId="56" fillId="0" borderId="10" xfId="1" applyFont="1" applyFill="1" applyBorder="1" applyAlignment="1"/>
    <xf numFmtId="0" fontId="10" fillId="0" borderId="4" xfId="23" applyFont="1" applyFill="1" applyBorder="1" applyAlignment="1">
      <alignment vertical="top" wrapText="1"/>
    </xf>
    <xf numFmtId="0" fontId="40" fillId="0" borderId="5" xfId="1" applyFont="1" applyFill="1" applyBorder="1" applyAlignment="1">
      <alignment vertical="top" wrapText="1"/>
    </xf>
    <xf numFmtId="0" fontId="12" fillId="0" borderId="7" xfId="1" applyFont="1" applyFill="1" applyBorder="1" applyAlignment="1"/>
    <xf numFmtId="0" fontId="9" fillId="0" borderId="4" xfId="23" applyFont="1" applyBorder="1" applyAlignment="1">
      <alignment vertical="top" wrapText="1"/>
    </xf>
    <xf numFmtId="0" fontId="48" fillId="0" borderId="0" xfId="13" applyFont="1" applyFill="1" applyAlignment="1"/>
    <xf numFmtId="0" fontId="57" fillId="0" borderId="10" xfId="1" applyFont="1" applyFill="1" applyBorder="1" applyAlignment="1">
      <alignment vertical="top"/>
    </xf>
    <xf numFmtId="0" fontId="56" fillId="0" borderId="104" xfId="1" applyFont="1" applyFill="1" applyBorder="1" applyAlignment="1">
      <alignment vertical="top"/>
    </xf>
    <xf numFmtId="0" fontId="66" fillId="0" borderId="26" xfId="13" applyFont="1" applyFill="1" applyBorder="1" applyAlignment="1">
      <alignment horizontal="center"/>
    </xf>
    <xf numFmtId="0" fontId="66" fillId="0" borderId="26" xfId="26" applyFont="1" applyFill="1" applyBorder="1" applyAlignment="1">
      <alignment horizontal="center"/>
    </xf>
    <xf numFmtId="0" fontId="34" fillId="7" borderId="26" xfId="7" quotePrefix="1" applyFont="1" applyFill="1" applyBorder="1" applyAlignment="1">
      <alignment horizontal="center"/>
    </xf>
    <xf numFmtId="0" fontId="34" fillId="7" borderId="26" xfId="7" applyFont="1" applyFill="1" applyBorder="1" applyAlignment="1">
      <alignment horizontal="center"/>
    </xf>
    <xf numFmtId="0" fontId="0" fillId="7" borderId="26" xfId="0" applyFont="1" applyFill="1" applyBorder="1" applyAlignment="1">
      <alignment vertical="center"/>
    </xf>
    <xf numFmtId="164" fontId="20" fillId="0" borderId="0" xfId="20" applyNumberFormat="1" applyFont="1" applyAlignment="1">
      <alignment horizontal="right"/>
    </xf>
    <xf numFmtId="0" fontId="20" fillId="0" borderId="0" xfId="23" applyFont="1" applyFill="1" applyBorder="1" applyAlignment="1"/>
    <xf numFmtId="49" fontId="0" fillId="0" borderId="0" xfId="23" applyNumberFormat="1" applyFont="1" applyFill="1" applyBorder="1" applyAlignment="1">
      <alignment horizontal="center"/>
    </xf>
    <xf numFmtId="0" fontId="29" fillId="0" borderId="26" xfId="23" quotePrefix="1" applyFont="1" applyBorder="1" applyAlignment="1"/>
    <xf numFmtId="0" fontId="29" fillId="0" borderId="26" xfId="23" quotePrefix="1" applyFont="1" applyBorder="1" applyAlignment="1">
      <alignment horizontal="right"/>
    </xf>
    <xf numFmtId="0" fontId="0" fillId="8" borderId="53" xfId="13" applyFont="1" applyFill="1" applyBorder="1" applyAlignment="1"/>
    <xf numFmtId="0" fontId="0" fillId="8" borderId="61" xfId="13" applyFont="1" applyFill="1" applyBorder="1" applyAlignment="1"/>
    <xf numFmtId="0" fontId="0" fillId="6" borderId="53" xfId="13" applyFont="1" applyFill="1" applyBorder="1" applyAlignment="1"/>
    <xf numFmtId="0" fontId="0" fillId="6" borderId="61" xfId="13" applyFont="1" applyFill="1" applyBorder="1" applyAlignment="1"/>
    <xf numFmtId="0" fontId="0" fillId="5" borderId="53" xfId="15" applyFont="1" applyFill="1" applyBorder="1" applyAlignment="1"/>
    <xf numFmtId="0" fontId="0" fillId="5" borderId="61" xfId="15" applyFont="1" applyFill="1" applyBorder="1" applyAlignment="1"/>
    <xf numFmtId="20" fontId="29" fillId="4" borderId="0" xfId="22" applyNumberFormat="1" applyFont="1" applyFill="1" applyAlignment="1">
      <alignment horizontal="left" vertical="center"/>
    </xf>
    <xf numFmtId="14" fontId="29" fillId="0" borderId="27" xfId="22" applyNumberFormat="1" applyFont="1" applyFill="1" applyBorder="1" applyAlignment="1">
      <alignment horizontal="left"/>
    </xf>
    <xf numFmtId="49" fontId="29" fillId="0" borderId="27" xfId="6" applyNumberFormat="1" applyFont="1" applyFill="1" applyBorder="1" applyAlignment="1"/>
    <xf numFmtId="0" fontId="29" fillId="0" borderId="27" xfId="22" applyFont="1" applyFill="1" applyBorder="1" applyAlignment="1">
      <alignment wrapText="1"/>
    </xf>
    <xf numFmtId="14" fontId="20" fillId="16" borderId="27" xfId="22" applyNumberFormat="1" applyFont="1" applyFill="1" applyBorder="1" applyAlignment="1">
      <alignment horizontal="left" vertical="center"/>
    </xf>
    <xf numFmtId="49" fontId="20" fillId="16" borderId="27" xfId="6" applyNumberFormat="1" applyFont="1" applyFill="1" applyBorder="1" applyAlignment="1">
      <alignment vertical="center"/>
    </xf>
    <xf numFmtId="0" fontId="43" fillId="16" borderId="27" xfId="1" applyFont="1" applyFill="1" applyBorder="1" applyAlignment="1">
      <alignment vertical="center"/>
    </xf>
    <xf numFmtId="14" fontId="20" fillId="9" borderId="26" xfId="0" applyNumberFormat="1" applyFont="1" applyFill="1" applyBorder="1"/>
    <xf numFmtId="49" fontId="20" fillId="9" borderId="26" xfId="6" applyNumberFormat="1" applyFont="1" applyFill="1" applyBorder="1"/>
    <xf numFmtId="0" fontId="20" fillId="9" borderId="26" xfId="22" applyFont="1" applyFill="1" applyBorder="1"/>
    <xf numFmtId="14" fontId="29" fillId="0" borderId="26" xfId="22" applyNumberFormat="1" applyFont="1" applyFill="1" applyBorder="1" applyAlignment="1">
      <alignment horizontal="left"/>
    </xf>
    <xf numFmtId="49" fontId="29" fillId="0" borderId="26" xfId="6" applyNumberFormat="1" applyFont="1" applyFill="1" applyBorder="1"/>
    <xf numFmtId="0" fontId="29" fillId="0" borderId="26" xfId="22" applyFont="1" applyFill="1" applyBorder="1"/>
    <xf numFmtId="14" fontId="29" fillId="7" borderId="26" xfId="22" applyNumberFormat="1" applyFont="1" applyFill="1" applyBorder="1" applyAlignment="1">
      <alignment horizontal="left"/>
    </xf>
    <xf numFmtId="49" fontId="20" fillId="7" borderId="26" xfId="6" applyNumberFormat="1" applyFont="1" applyFill="1" applyBorder="1"/>
    <xf numFmtId="0" fontId="20" fillId="7" borderId="26" xfId="22" applyFont="1" applyFill="1" applyBorder="1" applyAlignment="1"/>
    <xf numFmtId="0" fontId="20" fillId="16" borderId="27" xfId="22" applyFont="1" applyFill="1" applyBorder="1" applyAlignment="1">
      <alignment wrapText="1"/>
    </xf>
    <xf numFmtId="0" fontId="20" fillId="10" borderId="26" xfId="22" applyNumberFormat="1" applyFont="1" applyFill="1" applyBorder="1" applyAlignment="1">
      <alignment horizontal="left"/>
    </xf>
    <xf numFmtId="49" fontId="20" fillId="8" borderId="26" xfId="6" applyNumberFormat="1" applyFont="1" applyFill="1" applyBorder="1"/>
    <xf numFmtId="0" fontId="20" fillId="10" borderId="26" xfId="22" applyFont="1" applyFill="1" applyBorder="1"/>
    <xf numFmtId="0" fontId="20" fillId="8" borderId="26" xfId="22" applyFont="1" applyFill="1" applyBorder="1"/>
    <xf numFmtId="14" fontId="20" fillId="16" borderId="27" xfId="22" applyNumberFormat="1" applyFont="1" applyFill="1" applyBorder="1" applyAlignment="1">
      <alignment horizontal="left"/>
    </xf>
    <xf numFmtId="49" fontId="20" fillId="16" borderId="27" xfId="6" applyNumberFormat="1" applyFont="1" applyFill="1" applyBorder="1"/>
    <xf numFmtId="0" fontId="20" fillId="16" borderId="27" xfId="22" applyFont="1" applyFill="1" applyBorder="1"/>
    <xf numFmtId="0" fontId="29" fillId="0" borderId="27" xfId="22" applyFont="1" applyFill="1" applyBorder="1" applyAlignment="1"/>
    <xf numFmtId="0" fontId="29" fillId="0" borderId="27" xfId="7" applyFont="1" applyFill="1" applyBorder="1" applyAlignment="1">
      <alignment horizontal="left"/>
    </xf>
    <xf numFmtId="164" fontId="29" fillId="0" borderId="27" xfId="22" applyNumberFormat="1" applyFont="1" applyFill="1" applyBorder="1" applyAlignment="1">
      <alignment horizontal="center"/>
    </xf>
    <xf numFmtId="0" fontId="20" fillId="16" borderId="27" xfId="22" applyFont="1" applyFill="1" applyBorder="1" applyAlignment="1">
      <alignment vertical="center"/>
    </xf>
    <xf numFmtId="0" fontId="20" fillId="16" borderId="27" xfId="7" applyFont="1" applyFill="1" applyBorder="1" applyAlignment="1">
      <alignment horizontal="left" vertical="center"/>
    </xf>
    <xf numFmtId="169" fontId="20" fillId="16" borderId="27" xfId="22" applyNumberFormat="1" applyFont="1" applyFill="1" applyBorder="1" applyAlignment="1">
      <alignment horizontal="center" vertical="center"/>
    </xf>
    <xf numFmtId="166" fontId="20" fillId="16" borderId="27" xfId="22" applyNumberFormat="1" applyFont="1" applyFill="1" applyBorder="1" applyAlignment="1">
      <alignment horizontal="center" vertical="center"/>
    </xf>
    <xf numFmtId="0" fontId="20" fillId="9" borderId="26" xfId="22" applyFont="1" applyFill="1" applyBorder="1" applyAlignment="1"/>
    <xf numFmtId="0" fontId="20" fillId="9" borderId="26" xfId="7" applyFont="1" applyFill="1" applyBorder="1" applyAlignment="1">
      <alignment horizontal="left" vertical="top"/>
    </xf>
    <xf numFmtId="169" fontId="20" fillId="9" borderId="27" xfId="22" applyNumberFormat="1" applyFont="1" applyFill="1" applyBorder="1" applyAlignment="1">
      <alignment horizontal="center" vertical="center"/>
    </xf>
    <xf numFmtId="166" fontId="20" fillId="9" borderId="26" xfId="22" applyNumberFormat="1" applyFont="1" applyFill="1" applyBorder="1" applyAlignment="1">
      <alignment horizontal="center"/>
    </xf>
    <xf numFmtId="0" fontId="20" fillId="0" borderId="26" xfId="7" applyFont="1" applyFill="1" applyBorder="1" applyAlignment="1">
      <alignment horizontal="left" vertical="top"/>
    </xf>
    <xf numFmtId="169" fontId="20" fillId="0" borderId="27" xfId="22" applyNumberFormat="1" applyFont="1" applyFill="1" applyBorder="1" applyAlignment="1">
      <alignment horizontal="center" vertical="center"/>
    </xf>
    <xf numFmtId="0" fontId="29" fillId="0" borderId="26" xfId="22" applyFont="1" applyFill="1" applyBorder="1" applyAlignment="1"/>
    <xf numFmtId="0" fontId="29" fillId="0" borderId="26" xfId="7" applyFont="1" applyFill="1" applyBorder="1" applyAlignment="1">
      <alignment horizontal="left" vertical="top"/>
    </xf>
    <xf numFmtId="164" fontId="29" fillId="0" borderId="26" xfId="22" applyNumberFormat="1" applyFont="1" applyFill="1" applyBorder="1" applyAlignment="1">
      <alignment horizontal="center"/>
    </xf>
    <xf numFmtId="0" fontId="43" fillId="7" borderId="27" xfId="1" applyFont="1" applyFill="1" applyBorder="1" applyAlignment="1">
      <alignment horizontal="left" vertical="top"/>
    </xf>
    <xf numFmtId="0" fontId="20" fillId="7" borderId="27" xfId="1" applyFont="1" applyFill="1" applyBorder="1" applyAlignment="1">
      <alignment horizontal="left" vertical="top"/>
    </xf>
    <xf numFmtId="169" fontId="20" fillId="7" borderId="27" xfId="22" applyNumberFormat="1" applyFont="1" applyFill="1" applyBorder="1" applyAlignment="1">
      <alignment horizontal="center" vertical="center"/>
    </xf>
    <xf numFmtId="166" fontId="20" fillId="7" borderId="26" xfId="22" applyNumberFormat="1" applyFont="1" applyFill="1" applyBorder="1" applyAlignment="1">
      <alignment horizontal="center"/>
    </xf>
    <xf numFmtId="0" fontId="20" fillId="10" borderId="26" xfId="22" applyFont="1" applyFill="1" applyBorder="1" applyAlignment="1"/>
    <xf numFmtId="0" fontId="20" fillId="11" borderId="26" xfId="7" applyFont="1" applyFill="1" applyBorder="1" applyAlignment="1">
      <alignment horizontal="left" vertical="top"/>
    </xf>
    <xf numFmtId="164" fontId="20" fillId="8" borderId="26" xfId="22" applyNumberFormat="1" applyFont="1" applyFill="1" applyBorder="1" applyAlignment="1">
      <alignment horizontal="center"/>
    </xf>
    <xf numFmtId="166" fontId="20" fillId="8" borderId="26" xfId="22" applyNumberFormat="1" applyFont="1" applyFill="1" applyBorder="1" applyAlignment="1">
      <alignment horizontal="center"/>
    </xf>
    <xf numFmtId="0" fontId="43" fillId="16" borderId="14" xfId="1" applyFont="1" applyFill="1" applyBorder="1"/>
    <xf numFmtId="0" fontId="20" fillId="16" borderId="10" xfId="23" applyFont="1" applyFill="1" applyBorder="1" applyAlignment="1">
      <alignment vertical="top"/>
    </xf>
    <xf numFmtId="0" fontId="43" fillId="0" borderId="20" xfId="1" applyFont="1" applyBorder="1"/>
    <xf numFmtId="0" fontId="29" fillId="7" borderId="10" xfId="23" applyFont="1" applyFill="1" applyBorder="1" applyAlignment="1">
      <alignment vertical="top" wrapText="1"/>
    </xf>
    <xf numFmtId="0" fontId="40" fillId="0" borderId="9" xfId="1" applyFont="1" applyBorder="1"/>
    <xf numFmtId="0" fontId="40" fillId="7" borderId="13" xfId="1" applyFont="1" applyFill="1" applyBorder="1" applyAlignment="1">
      <alignment vertical="top" wrapText="1"/>
    </xf>
    <xf numFmtId="0" fontId="29" fillId="7" borderId="0" xfId="23" applyFont="1" applyFill="1" applyBorder="1" applyAlignment="1">
      <alignment vertical="top" wrapText="1"/>
    </xf>
    <xf numFmtId="0" fontId="43" fillId="0" borderId="14" xfId="1" applyFont="1" applyBorder="1"/>
    <xf numFmtId="0" fontId="43" fillId="0" borderId="19" xfId="1" applyFont="1" applyBorder="1"/>
    <xf numFmtId="0" fontId="48" fillId="0" borderId="28" xfId="23" applyFont="1" applyFill="1" applyBorder="1" applyAlignment="1"/>
    <xf numFmtId="0" fontId="67" fillId="0" borderId="10" xfId="1" applyFont="1" applyFill="1" applyBorder="1" applyAlignment="1"/>
    <xf numFmtId="0" fontId="29" fillId="6" borderId="20" xfId="1" applyFont="1" applyFill="1" applyBorder="1"/>
    <xf numFmtId="0" fontId="20" fillId="0" borderId="5" xfId="15" applyFont="1" applyFill="1" applyBorder="1" applyAlignment="1"/>
    <xf numFmtId="0" fontId="40" fillId="0" borderId="25" xfId="1" applyFont="1" applyBorder="1"/>
    <xf numFmtId="0" fontId="29" fillId="7" borderId="24" xfId="1" applyFont="1" applyFill="1" applyBorder="1" applyAlignment="1"/>
    <xf numFmtId="0" fontId="40" fillId="0" borderId="14" xfId="1" applyFont="1" applyFill="1" applyBorder="1"/>
    <xf numFmtId="0" fontId="0" fillId="0" borderId="0" xfId="15" applyFont="1" applyBorder="1"/>
    <xf numFmtId="0" fontId="0" fillId="0" borderId="29" xfId="15" applyFont="1" applyBorder="1"/>
    <xf numFmtId="0" fontId="0" fillId="0" borderId="26" xfId="15" applyFont="1" applyBorder="1" applyAlignment="1">
      <alignment horizontal="center"/>
    </xf>
    <xf numFmtId="49" fontId="0" fillId="0" borderId="26" xfId="15" applyNumberFormat="1" applyFont="1" applyBorder="1" applyAlignment="1">
      <alignment horizontal="center"/>
    </xf>
    <xf numFmtId="0" fontId="0" fillId="0" borderId="0" xfId="15" applyFont="1"/>
    <xf numFmtId="0" fontId="0" fillId="0" borderId="33" xfId="15" applyFont="1" applyBorder="1"/>
    <xf numFmtId="0" fontId="0" fillId="0" borderId="26" xfId="15" applyFont="1" applyBorder="1"/>
    <xf numFmtId="166" fontId="20" fillId="0" borderId="0" xfId="13" applyNumberFormat="1" applyFont="1" applyFill="1" applyAlignment="1"/>
    <xf numFmtId="49" fontId="12" fillId="4" borderId="0" xfId="6" quotePrefix="1" applyNumberFormat="1" applyFont="1" applyFill="1"/>
    <xf numFmtId="0" fontId="52" fillId="6" borderId="52" xfId="29" applyFont="1" applyFill="1" applyBorder="1" applyAlignment="1">
      <alignment horizontal="center"/>
    </xf>
    <xf numFmtId="0" fontId="14" fillId="0" borderId="105" xfId="15" applyFont="1" applyFill="1" applyBorder="1" applyAlignment="1"/>
    <xf numFmtId="0" fontId="9" fillId="0" borderId="106" xfId="15" applyFont="1" applyFill="1" applyBorder="1" applyAlignment="1"/>
    <xf numFmtId="0" fontId="13" fillId="0" borderId="107" xfId="1" applyFont="1" applyFill="1" applyBorder="1" applyAlignment="1"/>
    <xf numFmtId="0" fontId="13" fillId="0" borderId="106" xfId="1" applyFont="1" applyFill="1" applyBorder="1" applyAlignment="1"/>
    <xf numFmtId="0" fontId="62" fillId="0" borderId="108" xfId="1" applyFont="1" applyBorder="1"/>
    <xf numFmtId="0" fontId="12" fillId="0" borderId="109" xfId="15" applyFont="1" applyFill="1" applyBorder="1" applyAlignment="1"/>
    <xf numFmtId="0" fontId="56" fillId="0" borderId="110" xfId="15" applyFont="1" applyFill="1" applyBorder="1" applyAlignment="1"/>
    <xf numFmtId="0" fontId="17" fillId="0" borderId="111" xfId="15" applyFont="1" applyFill="1" applyBorder="1" applyAlignment="1"/>
    <xf numFmtId="0" fontId="9" fillId="0" borderId="112" xfId="15" applyFont="1" applyFill="1" applyBorder="1" applyAlignment="1"/>
    <xf numFmtId="0" fontId="63" fillId="0" borderId="105" xfId="1" applyFont="1" applyBorder="1"/>
    <xf numFmtId="0" fontId="12" fillId="0" borderId="106" xfId="15" applyFont="1" applyFill="1" applyBorder="1" applyAlignment="1"/>
    <xf numFmtId="0" fontId="21" fillId="0" borderId="111" xfId="1" applyFill="1" applyBorder="1" applyAlignment="1"/>
    <xf numFmtId="0" fontId="48" fillId="7" borderId="10" xfId="15" applyFont="1" applyFill="1" applyBorder="1" applyAlignment="1"/>
    <xf numFmtId="0" fontId="29" fillId="7" borderId="4" xfId="15" applyFont="1" applyFill="1" applyBorder="1" applyAlignment="1"/>
    <xf numFmtId="0" fontId="48" fillId="7" borderId="18" xfId="15" applyFont="1" applyFill="1" applyBorder="1" applyAlignment="1"/>
    <xf numFmtId="0" fontId="29" fillId="7" borderId="103" xfId="15" applyFont="1" applyFill="1" applyBorder="1" applyAlignment="1"/>
    <xf numFmtId="0" fontId="9" fillId="0" borderId="105" xfId="23" applyFont="1" applyFill="1" applyBorder="1" applyAlignment="1">
      <alignment vertical="top" wrapText="1"/>
    </xf>
    <xf numFmtId="0" fontId="12" fillId="0" borderId="106" xfId="23" applyFont="1" applyFill="1" applyBorder="1" applyAlignment="1">
      <alignment vertical="top" wrapText="1"/>
    </xf>
    <xf numFmtId="0" fontId="16" fillId="7" borderId="105" xfId="1" applyFont="1" applyFill="1" applyBorder="1" applyAlignment="1"/>
    <xf numFmtId="0" fontId="12" fillId="7" borderId="106" xfId="23" applyFont="1" applyFill="1" applyBorder="1" applyAlignment="1">
      <alignment vertical="top" wrapText="1"/>
    </xf>
    <xf numFmtId="0" fontId="57" fillId="0" borderId="110" xfId="1" applyFont="1" applyFill="1" applyBorder="1" applyAlignment="1">
      <alignment vertical="top" wrapText="1"/>
    </xf>
    <xf numFmtId="0" fontId="12" fillId="0" borderId="111" xfId="23" applyFont="1" applyFill="1" applyBorder="1" applyAlignment="1">
      <alignment vertical="top" wrapText="1"/>
    </xf>
    <xf numFmtId="0" fontId="56" fillId="0" borderId="110" xfId="23" applyFont="1" applyFill="1" applyBorder="1" applyAlignment="1">
      <alignment vertical="top" wrapText="1"/>
    </xf>
    <xf numFmtId="0" fontId="1" fillId="0" borderId="111" xfId="23" applyFont="1" applyFill="1" applyBorder="1" applyAlignment="1">
      <alignment vertical="top" wrapText="1"/>
    </xf>
    <xf numFmtId="0" fontId="12" fillId="0" borderId="107" xfId="23" applyFont="1" applyFill="1" applyBorder="1" applyAlignment="1"/>
    <xf numFmtId="0" fontId="56" fillId="0" borderId="105" xfId="1" applyFont="1" applyFill="1" applyBorder="1" applyAlignment="1"/>
    <xf numFmtId="0" fontId="10" fillId="0" borderId="106" xfId="23" applyFont="1" applyFill="1" applyBorder="1" applyAlignment="1">
      <alignment vertical="top" wrapText="1"/>
    </xf>
    <xf numFmtId="0" fontId="12" fillId="0" borderId="106" xfId="23" applyFont="1" applyFill="1" applyBorder="1" applyAlignment="1"/>
    <xf numFmtId="0" fontId="29" fillId="7" borderId="107" xfId="1" applyFont="1" applyFill="1" applyBorder="1" applyAlignment="1"/>
    <xf numFmtId="0" fontId="54" fillId="7" borderId="106" xfId="23" applyFont="1" applyFill="1" applyBorder="1" applyAlignment="1"/>
    <xf numFmtId="0" fontId="56" fillId="0" borderId="113" xfId="15" applyFont="1" applyFill="1" applyBorder="1" applyAlignment="1"/>
    <xf numFmtId="0" fontId="60" fillId="0" borderId="114" xfId="23" applyFont="1" applyBorder="1" applyAlignment="1">
      <alignment vertical="top" wrapText="1"/>
    </xf>
    <xf numFmtId="0" fontId="56" fillId="0" borderId="114" xfId="15" applyFont="1" applyFill="1" applyBorder="1" applyAlignment="1"/>
    <xf numFmtId="0" fontId="60" fillId="0" borderId="114" xfId="15" applyFont="1" applyFill="1" applyBorder="1" applyAlignment="1"/>
    <xf numFmtId="0" fontId="56" fillId="0" borderId="114" xfId="15" applyFont="1" applyFill="1" applyBorder="1" applyAlignment="1">
      <alignment horizontal="center"/>
    </xf>
    <xf numFmtId="0" fontId="60" fillId="0" borderId="114" xfId="1" applyFont="1" applyFill="1" applyBorder="1" applyAlignment="1"/>
    <xf numFmtId="0" fontId="56" fillId="0" borderId="114" xfId="15" applyFont="1" applyFill="1" applyBorder="1" applyAlignment="1">
      <alignment horizontal="right"/>
    </xf>
    <xf numFmtId="0" fontId="59" fillId="0" borderId="115" xfId="1" applyFont="1" applyFill="1" applyBorder="1" applyAlignment="1">
      <alignment horizontal="right"/>
    </xf>
    <xf numFmtId="0" fontId="43" fillId="16" borderId="27" xfId="1" applyFont="1" applyFill="1" applyBorder="1" applyAlignment="1">
      <alignment horizontal="left" vertical="top"/>
    </xf>
    <xf numFmtId="0" fontId="40" fillId="7" borderId="10" xfId="1" applyFont="1" applyFill="1" applyBorder="1" applyAlignment="1"/>
    <xf numFmtId="0" fontId="40" fillId="7" borderId="9" xfId="1" applyFont="1" applyFill="1" applyBorder="1" applyAlignment="1">
      <alignment vertical="top" wrapText="1"/>
    </xf>
    <xf numFmtId="0" fontId="43" fillId="16" borderId="9" xfId="1" applyFont="1" applyFill="1" applyBorder="1" applyAlignment="1">
      <alignment vertical="top" wrapText="1"/>
    </xf>
    <xf numFmtId="0" fontId="43" fillId="9" borderId="9" xfId="1" applyFont="1" applyFill="1" applyBorder="1" applyAlignment="1"/>
    <xf numFmtId="0" fontId="21" fillId="0" borderId="110" xfId="1" applyBorder="1" applyAlignment="1">
      <alignment vertical="top"/>
    </xf>
    <xf numFmtId="0" fontId="12" fillId="6" borderId="1" xfId="23" applyFont="1" applyFill="1" applyBorder="1" applyAlignment="1">
      <alignment vertical="top"/>
    </xf>
    <xf numFmtId="0" fontId="12" fillId="6" borderId="2" xfId="23" applyFont="1" applyFill="1" applyBorder="1" applyAlignment="1">
      <alignment vertical="top"/>
    </xf>
    <xf numFmtId="0" fontId="0" fillId="0" borderId="0" xfId="13" applyFont="1" applyFill="1" applyAlignment="1">
      <alignment horizontal="center" textRotation="90"/>
    </xf>
    <xf numFmtId="0" fontId="20" fillId="0" borderId="0" xfId="13" applyFont="1" applyFill="1" applyBorder="1" applyAlignment="1">
      <alignment textRotation="90"/>
    </xf>
    <xf numFmtId="0" fontId="20" fillId="0" borderId="0" xfId="13" applyFont="1" applyFill="1" applyAlignment="1">
      <alignment textRotation="90"/>
    </xf>
    <xf numFmtId="0" fontId="29" fillId="9" borderId="59" xfId="29" applyFont="1" applyFill="1" applyBorder="1" applyAlignment="1">
      <alignment horizontal="center"/>
    </xf>
    <xf numFmtId="0" fontId="29" fillId="9" borderId="60" xfId="29" applyFont="1" applyFill="1" applyBorder="1" applyAlignment="1">
      <alignment horizontal="center"/>
    </xf>
    <xf numFmtId="0" fontId="29" fillId="9" borderId="67" xfId="29" applyFont="1" applyFill="1" applyBorder="1" applyAlignment="1">
      <alignment horizontal="center"/>
    </xf>
    <xf numFmtId="0" fontId="29" fillId="13" borderId="59" xfId="29" applyFont="1" applyFill="1" applyBorder="1" applyAlignment="1">
      <alignment horizontal="center"/>
    </xf>
    <xf numFmtId="0" fontId="29" fillId="13" borderId="60" xfId="29" applyFont="1" applyFill="1" applyBorder="1" applyAlignment="1">
      <alignment horizontal="center"/>
    </xf>
    <xf numFmtId="0" fontId="29" fillId="13" borderId="61" xfId="29" applyFont="1" applyFill="1" applyBorder="1" applyAlignment="1">
      <alignment horizontal="center"/>
    </xf>
    <xf numFmtId="0" fontId="29" fillId="0" borderId="70" xfId="23" applyFont="1" applyBorder="1" applyAlignment="1">
      <alignment vertical="center"/>
    </xf>
    <xf numFmtId="0" fontId="29" fillId="0" borderId="66" xfId="23" applyFont="1" applyBorder="1" applyAlignment="1">
      <alignment vertical="center"/>
    </xf>
    <xf numFmtId="0" fontId="20" fillId="0" borderId="70" xfId="23" applyFont="1" applyBorder="1" applyAlignment="1">
      <alignment vertical="center"/>
    </xf>
    <xf numFmtId="0" fontId="20" fillId="0" borderId="66" xfId="23" applyFont="1" applyBorder="1" applyAlignment="1">
      <alignment vertical="center"/>
    </xf>
    <xf numFmtId="0" fontId="20" fillId="15" borderId="70" xfId="23" applyFont="1" applyFill="1" applyBorder="1" applyAlignment="1">
      <alignment horizontal="center"/>
    </xf>
    <xf numFmtId="0" fontId="20" fillId="15" borderId="66" xfId="23" applyFont="1" applyFill="1" applyBorder="1" applyAlignment="1">
      <alignment horizontal="center"/>
    </xf>
    <xf numFmtId="49" fontId="20" fillId="0" borderId="70" xfId="15" applyNumberFormat="1" applyFont="1" applyBorder="1" applyAlignment="1">
      <alignment horizontal="center" vertical="center"/>
    </xf>
    <xf numFmtId="49" fontId="20" fillId="0" borderId="66" xfId="15" applyNumberFormat="1" applyFont="1" applyBorder="1" applyAlignment="1">
      <alignment horizontal="center" vertical="center"/>
    </xf>
    <xf numFmtId="0" fontId="20" fillId="0" borderId="70" xfId="15" applyFont="1" applyBorder="1" applyAlignment="1">
      <alignment horizontal="center" vertical="center"/>
    </xf>
    <xf numFmtId="0" fontId="20" fillId="0" borderId="66" xfId="15" applyFont="1" applyBorder="1" applyAlignment="1">
      <alignment horizontal="center" vertical="center"/>
    </xf>
    <xf numFmtId="0" fontId="0" fillId="0" borderId="70" xfId="23" applyFont="1" applyBorder="1" applyAlignment="1">
      <alignment vertical="center"/>
    </xf>
    <xf numFmtId="49" fontId="0" fillId="0" borderId="70" xfId="15" applyNumberFormat="1" applyFont="1" applyBorder="1" applyAlignment="1">
      <alignment horizontal="center" vertical="center"/>
    </xf>
    <xf numFmtId="0" fontId="0" fillId="0" borderId="70" xfId="15" applyFont="1" applyBorder="1" applyAlignment="1">
      <alignment horizontal="center" vertical="center"/>
    </xf>
    <xf numFmtId="0" fontId="40" fillId="0" borderId="27" xfId="22" applyFont="1" applyFill="1" applyBorder="1" applyAlignment="1"/>
    <xf numFmtId="0" fontId="43" fillId="16" borderId="27" xfId="22" applyFont="1" applyFill="1" applyBorder="1" applyAlignment="1">
      <alignment vertical="center"/>
    </xf>
    <xf numFmtId="0" fontId="43" fillId="9" borderId="26" xfId="22" applyFont="1" applyFill="1" applyBorder="1" applyAlignment="1"/>
    <xf numFmtId="0" fontId="43" fillId="0" borderId="26" xfId="22" applyFont="1" applyFill="1" applyBorder="1" applyAlignment="1"/>
    <xf numFmtId="0" fontId="40" fillId="0" borderId="26" xfId="22" applyFont="1" applyFill="1" applyBorder="1" applyAlignment="1"/>
    <xf numFmtId="0" fontId="43" fillId="0" borderId="27" xfId="22" applyFont="1" applyFill="1" applyBorder="1" applyAlignment="1"/>
    <xf numFmtId="0" fontId="43" fillId="10" borderId="26" xfId="22" applyFont="1" applyFill="1" applyBorder="1" applyAlignment="1"/>
  </cellXfs>
  <cellStyles count="33">
    <cellStyle name="Hyperlink" xfId="1" builtinId="8"/>
    <cellStyle name="Hyperlink 2" xfId="2"/>
    <cellStyle name="Hyperlink 2 2" xfId="3"/>
    <cellStyle name="Hyperlink 3" xfId="4"/>
    <cellStyle name="Hyperlink 3 2" xfId="5"/>
    <cellStyle name="Normal" xfId="0" builtinId="0"/>
    <cellStyle name="Normal 2" xfId="6"/>
    <cellStyle name="Normal 2 2" xfId="7"/>
    <cellStyle name="Normal 2 2 2" xfId="8"/>
    <cellStyle name="Normal 2 2 2 2" xfId="9"/>
    <cellStyle name="Normal 2 2 3" xfId="10"/>
    <cellStyle name="Normal 2 2 4" xfId="11"/>
    <cellStyle name="Normal 2 3" xfId="12"/>
    <cellStyle name="Normal 2 3 2" xfId="13"/>
    <cellStyle name="Normal 2 4" xfId="14"/>
    <cellStyle name="Normal 2 5" xfId="15"/>
    <cellStyle name="Normal 3" xfId="16"/>
    <cellStyle name="Normal 3 2" xfId="17"/>
    <cellStyle name="Normal 3 3" xfId="18"/>
    <cellStyle name="Normal 3 4" xfId="19"/>
    <cellStyle name="Normal 4" xfId="20"/>
    <cellStyle name="Normal 4 2" xfId="21"/>
    <cellStyle name="Normal 4 3" xfId="22"/>
    <cellStyle name="Normal 5" xfId="23"/>
    <cellStyle name="Normal 6" xfId="24"/>
    <cellStyle name="Normal 6 2" xfId="25"/>
    <cellStyle name="Normal 6 2 2" xfId="26"/>
    <cellStyle name="Normal 6 3" xfId="27"/>
    <cellStyle name="Normal 6 4" xfId="28"/>
    <cellStyle name="Normal 7" xfId="29"/>
    <cellStyle name="Normal 8" xfId="30"/>
    <cellStyle name="Normal 9" xfId="31"/>
    <cellStyle name="WinCalendar_BlankCells_35" xfId="32"/>
  </cellStyles>
  <dxfs count="114">
    <dxf>
      <font>
        <b/>
        <i val="0"/>
      </font>
    </dxf>
    <dxf>
      <font>
        <b/>
        <i val="0"/>
      </font>
    </dxf>
    <dxf>
      <font>
        <color theme="9" tint="0.39994506668294322"/>
      </font>
    </dxf>
    <dxf>
      <font>
        <color theme="9" tint="0.39994506668294322"/>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color rgb="FFFF0000"/>
      </font>
    </dxf>
    <dxf>
      <font>
        <b/>
        <i val="0"/>
      </font>
    </dxf>
    <dxf>
      <font>
        <color rgb="FFFF0000"/>
      </font>
    </dxf>
    <dxf>
      <font>
        <b/>
        <i val="0"/>
        <color rgb="FFFF0000"/>
      </font>
    </dxf>
    <dxf>
      <font>
        <color rgb="FF9C0006"/>
      </font>
      <fill>
        <patternFill>
          <bgColor rgb="FFFFC7CE"/>
        </patternFill>
      </fill>
    </dxf>
    <dxf>
      <font>
        <color rgb="FFFF0000"/>
      </font>
    </dxf>
    <dxf>
      <font>
        <b/>
        <i val="0"/>
      </font>
    </dxf>
    <dxf>
      <font>
        <b/>
        <i val="0"/>
      </font>
    </dxf>
    <dxf>
      <font>
        <color rgb="FF9C0006"/>
      </font>
      <fill>
        <patternFill>
          <bgColor rgb="FFFFC7CE"/>
        </patternFill>
      </fill>
    </dxf>
    <dxf>
      <font>
        <b/>
        <i val="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theme="9" tint="0.39994506668294322"/>
      </font>
    </dxf>
    <dxf>
      <font>
        <color theme="9" tint="0.39994506668294322"/>
      </font>
    </dxf>
    <dxf>
      <font>
        <color theme="9" tint="0.39994506668294322"/>
      </font>
    </dxf>
    <dxf>
      <font>
        <b/>
        <i val="0"/>
      </font>
    </dxf>
    <dxf>
      <font>
        <b/>
        <i val="0"/>
      </font>
    </dxf>
    <dxf>
      <font>
        <b/>
        <i val="0"/>
      </font>
    </dxf>
    <dxf>
      <font>
        <b/>
        <i val="0"/>
      </font>
    </dxf>
    <dxf>
      <font>
        <b/>
        <i val="0"/>
      </font>
    </dxf>
  </dxfs>
  <tableStyles count="0" defaultTableStyle="TableStyleMedium2" defaultPivotStyle="PivotStyleLight16"/>
  <colors>
    <mruColors>
      <color rgb="FFCCECFF"/>
      <color rgb="FFFFCC99"/>
      <color rgb="FFFFFF99"/>
      <color rgb="FFCCFFCC"/>
      <color rgb="FFCC0000"/>
      <color rgb="FFFFFF66"/>
      <color rgb="FFCC9900"/>
      <color rgb="FFFFCC66"/>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10</xdr:col>
      <xdr:colOff>985764</xdr:colOff>
      <xdr:row>84</xdr:row>
      <xdr:rowOff>47625</xdr:rowOff>
    </xdr:from>
    <xdr:to>
      <xdr:col>10</xdr:col>
      <xdr:colOff>1241732</xdr:colOff>
      <xdr:row>85</xdr:row>
      <xdr:rowOff>57151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964" y="12430125"/>
          <a:ext cx="255968" cy="171451"/>
        </a:xfrm>
        <a:prstGeom prst="rect">
          <a:avLst/>
        </a:prstGeom>
      </xdr:spPr>
    </xdr:pic>
    <xdr:clientData/>
  </xdr:twoCellAnchor>
  <xdr:twoCellAnchor editAs="oneCell">
    <xdr:from>
      <xdr:col>12</xdr:col>
      <xdr:colOff>990600</xdr:colOff>
      <xdr:row>105</xdr:row>
      <xdr:rowOff>47625</xdr:rowOff>
    </xdr:from>
    <xdr:to>
      <xdr:col>12</xdr:col>
      <xdr:colOff>1246568</xdr:colOff>
      <xdr:row>106</xdr:row>
      <xdr:rowOff>57151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1700" y="15573375"/>
          <a:ext cx="255968" cy="171451"/>
        </a:xfrm>
        <a:prstGeom prst="rect">
          <a:avLst/>
        </a:prstGeom>
      </xdr:spPr>
    </xdr:pic>
    <xdr:clientData/>
  </xdr:twoCellAnchor>
  <xdr:twoCellAnchor editAs="oneCell">
    <xdr:from>
      <xdr:col>10</xdr:col>
      <xdr:colOff>981075</xdr:colOff>
      <xdr:row>66</xdr:row>
      <xdr:rowOff>47625</xdr:rowOff>
    </xdr:from>
    <xdr:to>
      <xdr:col>10</xdr:col>
      <xdr:colOff>1237043</xdr:colOff>
      <xdr:row>67</xdr:row>
      <xdr:rowOff>57151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9782175"/>
          <a:ext cx="255968" cy="171451"/>
        </a:xfrm>
        <a:prstGeom prst="rect">
          <a:avLst/>
        </a:prstGeom>
      </xdr:spPr>
    </xdr:pic>
    <xdr:clientData/>
  </xdr:twoCellAnchor>
  <xdr:twoCellAnchor editAs="oneCell">
    <xdr:from>
      <xdr:col>10</xdr:col>
      <xdr:colOff>981075</xdr:colOff>
      <xdr:row>50</xdr:row>
      <xdr:rowOff>47625</xdr:rowOff>
    </xdr:from>
    <xdr:to>
      <xdr:col>10</xdr:col>
      <xdr:colOff>1237043</xdr:colOff>
      <xdr:row>51</xdr:row>
      <xdr:rowOff>57151</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7143750"/>
          <a:ext cx="255968" cy="171451"/>
        </a:xfrm>
        <a:prstGeom prst="rect">
          <a:avLst/>
        </a:prstGeom>
      </xdr:spPr>
    </xdr:pic>
    <xdr:clientData/>
  </xdr:twoCellAnchor>
  <xdr:twoCellAnchor editAs="oneCell">
    <xdr:from>
      <xdr:col>12</xdr:col>
      <xdr:colOff>981075</xdr:colOff>
      <xdr:row>50</xdr:row>
      <xdr:rowOff>47625</xdr:rowOff>
    </xdr:from>
    <xdr:to>
      <xdr:col>12</xdr:col>
      <xdr:colOff>1237043</xdr:colOff>
      <xdr:row>51</xdr:row>
      <xdr:rowOff>57151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2175" y="7143750"/>
          <a:ext cx="255968" cy="171451"/>
        </a:xfrm>
        <a:prstGeom prst="rect">
          <a:avLst/>
        </a:prstGeom>
      </xdr:spPr>
    </xdr:pic>
    <xdr:clientData/>
  </xdr:twoCellAnchor>
  <xdr:twoCellAnchor editAs="oneCell">
    <xdr:from>
      <xdr:col>12</xdr:col>
      <xdr:colOff>981075</xdr:colOff>
      <xdr:row>19</xdr:row>
      <xdr:rowOff>47625</xdr:rowOff>
    </xdr:from>
    <xdr:to>
      <xdr:col>12</xdr:col>
      <xdr:colOff>1237043</xdr:colOff>
      <xdr:row>20</xdr:row>
      <xdr:rowOff>57151</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2175" y="2200275"/>
          <a:ext cx="255968" cy="171451"/>
        </a:xfrm>
        <a:prstGeom prst="rect">
          <a:avLst/>
        </a:prstGeom>
      </xdr:spPr>
    </xdr:pic>
    <xdr:clientData/>
  </xdr:twoCellAnchor>
  <xdr:twoCellAnchor editAs="oneCell">
    <xdr:from>
      <xdr:col>12</xdr:col>
      <xdr:colOff>809625</xdr:colOff>
      <xdr:row>73</xdr:row>
      <xdr:rowOff>19051</xdr:rowOff>
    </xdr:from>
    <xdr:to>
      <xdr:col>12</xdr:col>
      <xdr:colOff>1256646</xdr:colOff>
      <xdr:row>74</xdr:row>
      <xdr:rowOff>144496</xdr:rowOff>
    </xdr:to>
    <xdr:pic>
      <xdr:nvPicPr>
        <xdr:cNvPr id="11" name="Picture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0725" y="10906126"/>
          <a:ext cx="447021" cy="287370"/>
        </a:xfrm>
        <a:prstGeom prst="rect">
          <a:avLst/>
        </a:prstGeom>
      </xdr:spPr>
    </xdr:pic>
    <xdr:clientData/>
  </xdr:twoCellAnchor>
  <xdr:twoCellAnchor editAs="oneCell">
    <xdr:from>
      <xdr:col>12</xdr:col>
      <xdr:colOff>809625</xdr:colOff>
      <xdr:row>23</xdr:row>
      <xdr:rowOff>9525</xdr:rowOff>
    </xdr:from>
    <xdr:to>
      <xdr:col>12</xdr:col>
      <xdr:colOff>1256646</xdr:colOff>
      <xdr:row>24</xdr:row>
      <xdr:rowOff>134970</xdr:rowOff>
    </xdr:to>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0725" y="2819400"/>
          <a:ext cx="447021" cy="287370"/>
        </a:xfrm>
        <a:prstGeom prst="rect">
          <a:avLst/>
        </a:prstGeom>
      </xdr:spPr>
    </xdr:pic>
    <xdr:clientData/>
  </xdr:twoCellAnchor>
  <xdr:twoCellAnchor editAs="oneCell">
    <xdr:from>
      <xdr:col>10</xdr:col>
      <xdr:colOff>819150</xdr:colOff>
      <xdr:row>106</xdr:row>
      <xdr:rowOff>9525</xdr:rowOff>
    </xdr:from>
    <xdr:to>
      <xdr:col>10</xdr:col>
      <xdr:colOff>1266171</xdr:colOff>
      <xdr:row>107</xdr:row>
      <xdr:rowOff>134970</xdr:rowOff>
    </xdr:to>
    <xdr:pic>
      <xdr:nvPicPr>
        <xdr:cNvPr id="13" name="Picture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4350" y="15697200"/>
          <a:ext cx="447021" cy="287370"/>
        </a:xfrm>
        <a:prstGeom prst="rect">
          <a:avLst/>
        </a:prstGeom>
      </xdr:spPr>
    </xdr:pic>
    <xdr:clientData/>
  </xdr:twoCellAnchor>
  <xdr:twoCellAnchor editAs="oneCell">
    <xdr:from>
      <xdr:col>10</xdr:col>
      <xdr:colOff>678813</xdr:colOff>
      <xdr:row>80</xdr:row>
      <xdr:rowOff>33601</xdr:rowOff>
    </xdr:from>
    <xdr:to>
      <xdr:col>10</xdr:col>
      <xdr:colOff>946670</xdr:colOff>
      <xdr:row>81</xdr:row>
      <xdr:rowOff>138793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60365" y="12179618"/>
          <a:ext cx="267857" cy="269416"/>
        </a:xfrm>
        <a:prstGeom prst="rect">
          <a:avLst/>
        </a:prstGeom>
      </xdr:spPr>
    </xdr:pic>
    <xdr:clientData/>
  </xdr:twoCellAnchor>
  <xdr:twoCellAnchor editAs="oneCell">
    <xdr:from>
      <xdr:col>10</xdr:col>
      <xdr:colOff>704850</xdr:colOff>
      <xdr:row>95</xdr:row>
      <xdr:rowOff>16314</xdr:rowOff>
    </xdr:from>
    <xdr:to>
      <xdr:col>10</xdr:col>
      <xdr:colOff>923926</xdr:colOff>
      <xdr:row>96</xdr:row>
      <xdr:rowOff>106199</xdr:rowOff>
    </xdr:to>
    <xdr:pic>
      <xdr:nvPicPr>
        <xdr:cNvPr id="17" name="Picture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10050" y="14894364"/>
          <a:ext cx="219076" cy="251810"/>
        </a:xfrm>
        <a:prstGeom prst="rect">
          <a:avLst/>
        </a:prstGeom>
      </xdr:spPr>
    </xdr:pic>
    <xdr:clientData/>
  </xdr:twoCellAnchor>
  <xdr:twoCellAnchor editAs="oneCell">
    <xdr:from>
      <xdr:col>12</xdr:col>
      <xdr:colOff>476250</xdr:colOff>
      <xdr:row>44</xdr:row>
      <xdr:rowOff>28575</xdr:rowOff>
    </xdr:from>
    <xdr:to>
      <xdr:col>12</xdr:col>
      <xdr:colOff>729305</xdr:colOff>
      <xdr:row>45</xdr:row>
      <xdr:rowOff>137780</xdr:rowOff>
    </xdr:to>
    <xdr:pic>
      <xdr:nvPicPr>
        <xdr:cNvPr id="18" name="Picture 1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67350" y="6124575"/>
          <a:ext cx="253055" cy="271130"/>
        </a:xfrm>
        <a:prstGeom prst="rect">
          <a:avLst/>
        </a:prstGeom>
      </xdr:spPr>
    </xdr:pic>
    <xdr:clientData/>
  </xdr:twoCellAnchor>
  <xdr:twoCellAnchor editAs="oneCell">
    <xdr:from>
      <xdr:col>10</xdr:col>
      <xdr:colOff>1143000</xdr:colOff>
      <xdr:row>39</xdr:row>
      <xdr:rowOff>28575</xdr:rowOff>
    </xdr:from>
    <xdr:to>
      <xdr:col>11</xdr:col>
      <xdr:colOff>110180</xdr:colOff>
      <xdr:row>40</xdr:row>
      <xdr:rowOff>137780</xdr:rowOff>
    </xdr:to>
    <xdr:pic>
      <xdr:nvPicPr>
        <xdr:cNvPr id="19" name="Picture 1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48200" y="5305425"/>
          <a:ext cx="253055" cy="271130"/>
        </a:xfrm>
        <a:prstGeom prst="rect">
          <a:avLst/>
        </a:prstGeom>
      </xdr:spPr>
    </xdr:pic>
    <xdr:clientData/>
  </xdr:twoCellAnchor>
  <xdr:twoCellAnchor editAs="oneCell">
    <xdr:from>
      <xdr:col>8</xdr:col>
      <xdr:colOff>28575</xdr:colOff>
      <xdr:row>14</xdr:row>
      <xdr:rowOff>0</xdr:rowOff>
    </xdr:from>
    <xdr:to>
      <xdr:col>9</xdr:col>
      <xdr:colOff>142875</xdr:colOff>
      <xdr:row>15</xdr:row>
      <xdr:rowOff>7239</xdr:rowOff>
    </xdr:to>
    <xdr:pic>
      <xdr:nvPicPr>
        <xdr:cNvPr id="21" name="Picture 2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5625" y="2324100"/>
          <a:ext cx="352425" cy="169164"/>
        </a:xfrm>
        <a:prstGeom prst="rect">
          <a:avLst/>
        </a:prstGeom>
      </xdr:spPr>
    </xdr:pic>
    <xdr:clientData/>
  </xdr:twoCellAnchor>
  <xdr:twoCellAnchor editAs="oneCell">
    <xdr:from>
      <xdr:col>4</xdr:col>
      <xdr:colOff>19051</xdr:colOff>
      <xdr:row>102</xdr:row>
      <xdr:rowOff>114300</xdr:rowOff>
    </xdr:from>
    <xdr:to>
      <xdr:col>6</xdr:col>
      <xdr:colOff>200026</xdr:colOff>
      <xdr:row>104</xdr:row>
      <xdr:rowOff>163353</xdr:rowOff>
    </xdr:to>
    <xdr:pic>
      <xdr:nvPicPr>
        <xdr:cNvPr id="4" name="Picture 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2576" y="15982950"/>
          <a:ext cx="828675" cy="372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200026</xdr:colOff>
      <xdr:row>0</xdr:row>
      <xdr:rowOff>19051</xdr:rowOff>
    </xdr:from>
    <xdr:to>
      <xdr:col>3</xdr:col>
      <xdr:colOff>3293</xdr:colOff>
      <xdr:row>3</xdr:row>
      <xdr:rowOff>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1" y="19051"/>
          <a:ext cx="403342" cy="466724"/>
        </a:xfrm>
        <a:prstGeom prst="rect">
          <a:avLst/>
        </a:prstGeom>
      </xdr:spPr>
    </xdr:pic>
    <xdr:clientData/>
  </xdr:twoCellAnchor>
  <xdr:twoCellAnchor editAs="oneCell">
    <xdr:from>
      <xdr:col>0</xdr:col>
      <xdr:colOff>28576</xdr:colOff>
      <xdr:row>0</xdr:row>
      <xdr:rowOff>28575</xdr:rowOff>
    </xdr:from>
    <xdr:to>
      <xdr:col>1</xdr:col>
      <xdr:colOff>161925</xdr:colOff>
      <xdr:row>2</xdr:row>
      <xdr:rowOff>147772</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6" y="28575"/>
          <a:ext cx="352424" cy="4430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5</xdr:row>
      <xdr:rowOff>85725</xdr:rowOff>
    </xdr:from>
    <xdr:to>
      <xdr:col>5</xdr:col>
      <xdr:colOff>104775</xdr:colOff>
      <xdr:row>5</xdr:row>
      <xdr:rowOff>733425</xdr:rowOff>
    </xdr:to>
    <xdr:grpSp>
      <xdr:nvGrpSpPr>
        <xdr:cNvPr id="11478" name="Group 39"/>
        <xdr:cNvGrpSpPr>
          <a:grpSpLocks noChangeAspect="1"/>
        </xdr:cNvGrpSpPr>
      </xdr:nvGrpSpPr>
      <xdr:grpSpPr bwMode="auto">
        <a:xfrm>
          <a:off x="1533525" y="904875"/>
          <a:ext cx="590550" cy="647700"/>
          <a:chOff x="1571625" y="533400"/>
          <a:chExt cx="847725" cy="923925"/>
        </a:xfrm>
      </xdr:grpSpPr>
      <xdr:sp macro="" textlink="">
        <xdr:nvSpPr>
          <xdr:cNvPr id="11495" name="Oval 40"/>
          <xdr:cNvSpPr>
            <a:spLocks noChangeArrowheads="1"/>
          </xdr:cNvSpPr>
        </xdr:nvSpPr>
        <xdr:spPr bwMode="auto">
          <a:xfrm>
            <a:off x="1571625" y="533400"/>
            <a:ext cx="847725" cy="923925"/>
          </a:xfrm>
          <a:prstGeom prst="ellipse">
            <a:avLst/>
          </a:prstGeom>
          <a:solidFill>
            <a:srgbClr val="C0C0C0"/>
          </a:solidFill>
          <a:ln w="19050">
            <a:solidFill>
              <a:srgbClr val="000000"/>
            </a:solidFill>
            <a:round/>
            <a:headEnd/>
            <a:tailEnd/>
          </a:ln>
        </xdr:spPr>
      </xdr:sp>
      <xdr:sp macro="" textlink="">
        <xdr:nvSpPr>
          <xdr:cNvPr id="11496" name="Oval 1"/>
          <xdr:cNvSpPr>
            <a:spLocks noChangeArrowheads="1"/>
          </xdr:cNvSpPr>
        </xdr:nvSpPr>
        <xdr:spPr bwMode="auto">
          <a:xfrm>
            <a:off x="1933575" y="923925"/>
            <a:ext cx="133350" cy="142875"/>
          </a:xfrm>
          <a:prstGeom prst="ellipse">
            <a:avLst/>
          </a:prstGeom>
          <a:solidFill>
            <a:srgbClr val="FFFFFF"/>
          </a:solidFill>
          <a:ln w="9525">
            <a:solidFill>
              <a:srgbClr val="000000"/>
            </a:solidFill>
            <a:round/>
            <a:headEnd/>
            <a:tailEnd/>
          </a:ln>
        </xdr:spPr>
      </xdr:sp>
    </xdr:grpSp>
    <xdr:clientData/>
  </xdr:twoCellAnchor>
  <xdr:twoCellAnchor>
    <xdr:from>
      <xdr:col>10</xdr:col>
      <xdr:colOff>85725</xdr:colOff>
      <xdr:row>5</xdr:row>
      <xdr:rowOff>85725</xdr:rowOff>
    </xdr:from>
    <xdr:to>
      <xdr:col>13</xdr:col>
      <xdr:colOff>104775</xdr:colOff>
      <xdr:row>5</xdr:row>
      <xdr:rowOff>733425</xdr:rowOff>
    </xdr:to>
    <xdr:grpSp>
      <xdr:nvGrpSpPr>
        <xdr:cNvPr id="11479" name="Group 42"/>
        <xdr:cNvGrpSpPr>
          <a:grpSpLocks noChangeAspect="1"/>
        </xdr:cNvGrpSpPr>
      </xdr:nvGrpSpPr>
      <xdr:grpSpPr bwMode="auto">
        <a:xfrm>
          <a:off x="3057525" y="904875"/>
          <a:ext cx="590550" cy="647700"/>
          <a:chOff x="4391025" y="533400"/>
          <a:chExt cx="847725" cy="923925"/>
        </a:xfrm>
      </xdr:grpSpPr>
      <xdr:sp macro="" textlink="">
        <xdr:nvSpPr>
          <xdr:cNvPr id="11491" name="Oval 62"/>
          <xdr:cNvSpPr>
            <a:spLocks noChangeArrowheads="1"/>
          </xdr:cNvSpPr>
        </xdr:nvSpPr>
        <xdr:spPr bwMode="auto">
          <a:xfrm>
            <a:off x="4391025" y="533400"/>
            <a:ext cx="847725" cy="923925"/>
          </a:xfrm>
          <a:prstGeom prst="ellipse">
            <a:avLst/>
          </a:prstGeom>
          <a:solidFill>
            <a:srgbClr val="C0C0C0"/>
          </a:solidFill>
          <a:ln w="19050">
            <a:solidFill>
              <a:srgbClr val="000000"/>
            </a:solidFill>
            <a:round/>
            <a:headEnd/>
            <a:tailEnd/>
          </a:ln>
        </xdr:spPr>
      </xdr:sp>
      <xdr:sp macro="" textlink="">
        <xdr:nvSpPr>
          <xdr:cNvPr id="11492" name="Oval 67"/>
          <xdr:cNvSpPr>
            <a:spLocks noChangeArrowheads="1"/>
          </xdr:cNvSpPr>
        </xdr:nvSpPr>
        <xdr:spPr bwMode="auto">
          <a:xfrm>
            <a:off x="4752975" y="923925"/>
            <a:ext cx="133350" cy="142875"/>
          </a:xfrm>
          <a:prstGeom prst="ellipse">
            <a:avLst/>
          </a:prstGeom>
          <a:solidFill>
            <a:srgbClr val="FFFFFF"/>
          </a:solidFill>
          <a:ln w="9525">
            <a:solidFill>
              <a:srgbClr val="000000"/>
            </a:solidFill>
            <a:round/>
            <a:headEnd/>
            <a:tailEnd/>
          </a:ln>
        </xdr:spPr>
      </xdr:sp>
      <xdr:sp macro="" textlink="">
        <xdr:nvSpPr>
          <xdr:cNvPr id="11493" name="Oval 68"/>
          <xdr:cNvSpPr>
            <a:spLocks noChangeArrowheads="1"/>
          </xdr:cNvSpPr>
        </xdr:nvSpPr>
        <xdr:spPr bwMode="auto">
          <a:xfrm>
            <a:off x="4572000" y="923925"/>
            <a:ext cx="133350" cy="142875"/>
          </a:xfrm>
          <a:prstGeom prst="ellipse">
            <a:avLst/>
          </a:prstGeom>
          <a:solidFill>
            <a:srgbClr val="0000FF"/>
          </a:solidFill>
          <a:ln w="9525">
            <a:solidFill>
              <a:srgbClr val="000000"/>
            </a:solidFill>
            <a:round/>
            <a:headEnd/>
            <a:tailEnd/>
          </a:ln>
        </xdr:spPr>
      </xdr:sp>
      <xdr:sp macro="" textlink="">
        <xdr:nvSpPr>
          <xdr:cNvPr id="11494" name="Oval 69"/>
          <xdr:cNvSpPr>
            <a:spLocks noChangeArrowheads="1"/>
          </xdr:cNvSpPr>
        </xdr:nvSpPr>
        <xdr:spPr bwMode="auto">
          <a:xfrm>
            <a:off x="4943475" y="923925"/>
            <a:ext cx="133350" cy="142875"/>
          </a:xfrm>
          <a:prstGeom prst="ellipse">
            <a:avLst/>
          </a:prstGeom>
          <a:solidFill>
            <a:srgbClr val="0000FF"/>
          </a:solidFill>
          <a:ln w="9525">
            <a:solidFill>
              <a:srgbClr val="000000"/>
            </a:solidFill>
            <a:round/>
            <a:headEnd/>
            <a:tailEnd/>
          </a:ln>
        </xdr:spPr>
      </xdr:sp>
    </xdr:grpSp>
    <xdr:clientData/>
  </xdr:twoCellAnchor>
  <xdr:twoCellAnchor>
    <xdr:from>
      <xdr:col>14</xdr:col>
      <xdr:colOff>85725</xdr:colOff>
      <xdr:row>5</xdr:row>
      <xdr:rowOff>85725</xdr:rowOff>
    </xdr:from>
    <xdr:to>
      <xdr:col>17</xdr:col>
      <xdr:colOff>104775</xdr:colOff>
      <xdr:row>5</xdr:row>
      <xdr:rowOff>733425</xdr:rowOff>
    </xdr:to>
    <xdr:grpSp>
      <xdr:nvGrpSpPr>
        <xdr:cNvPr id="11480" name="Group 47"/>
        <xdr:cNvGrpSpPr>
          <a:grpSpLocks noChangeAspect="1"/>
        </xdr:cNvGrpSpPr>
      </xdr:nvGrpSpPr>
      <xdr:grpSpPr bwMode="auto">
        <a:xfrm>
          <a:off x="3819525" y="904875"/>
          <a:ext cx="590550" cy="647700"/>
          <a:chOff x="5810250" y="523875"/>
          <a:chExt cx="847725" cy="923925"/>
        </a:xfrm>
      </xdr:grpSpPr>
      <xdr:sp macro="" textlink="">
        <xdr:nvSpPr>
          <xdr:cNvPr id="11488" name="Oval 63"/>
          <xdr:cNvSpPr>
            <a:spLocks noChangeArrowheads="1"/>
          </xdr:cNvSpPr>
        </xdr:nvSpPr>
        <xdr:spPr bwMode="auto">
          <a:xfrm>
            <a:off x="5810250" y="523875"/>
            <a:ext cx="847725" cy="923925"/>
          </a:xfrm>
          <a:prstGeom prst="ellipse">
            <a:avLst/>
          </a:prstGeom>
          <a:solidFill>
            <a:srgbClr val="C0C0C0"/>
          </a:solidFill>
          <a:ln w="19050">
            <a:solidFill>
              <a:srgbClr val="000000"/>
            </a:solidFill>
            <a:round/>
            <a:headEnd/>
            <a:tailEnd/>
          </a:ln>
        </xdr:spPr>
      </xdr:sp>
      <xdr:sp macro="" textlink="">
        <xdr:nvSpPr>
          <xdr:cNvPr id="11489" name="Oval 66"/>
          <xdr:cNvSpPr>
            <a:spLocks noChangeArrowheads="1"/>
          </xdr:cNvSpPr>
        </xdr:nvSpPr>
        <xdr:spPr bwMode="auto">
          <a:xfrm>
            <a:off x="6162675" y="914400"/>
            <a:ext cx="133350" cy="142875"/>
          </a:xfrm>
          <a:prstGeom prst="ellipse">
            <a:avLst/>
          </a:prstGeom>
          <a:solidFill>
            <a:srgbClr val="FFFFFF"/>
          </a:solidFill>
          <a:ln w="9525">
            <a:solidFill>
              <a:srgbClr val="000000"/>
            </a:solidFill>
            <a:round/>
            <a:headEnd/>
            <a:tailEnd/>
          </a:ln>
        </xdr:spPr>
      </xdr:sp>
      <xdr:sp macro="" textlink="">
        <xdr:nvSpPr>
          <xdr:cNvPr id="11490" name="Oval 70"/>
          <xdr:cNvSpPr>
            <a:spLocks noChangeArrowheads="1"/>
          </xdr:cNvSpPr>
        </xdr:nvSpPr>
        <xdr:spPr bwMode="auto">
          <a:xfrm>
            <a:off x="6162675" y="1123950"/>
            <a:ext cx="133350" cy="142875"/>
          </a:xfrm>
          <a:prstGeom prst="ellipse">
            <a:avLst/>
          </a:prstGeom>
          <a:solidFill>
            <a:srgbClr val="0000FF"/>
          </a:solidFill>
          <a:ln w="9525">
            <a:solidFill>
              <a:srgbClr val="000000"/>
            </a:solidFill>
            <a:round/>
            <a:headEnd/>
            <a:tailEnd/>
          </a:ln>
        </xdr:spPr>
      </xdr:sp>
    </xdr:grpSp>
    <xdr:clientData/>
  </xdr:twoCellAnchor>
  <xdr:twoCellAnchor>
    <xdr:from>
      <xdr:col>18</xdr:col>
      <xdr:colOff>85725</xdr:colOff>
      <xdr:row>5</xdr:row>
      <xdr:rowOff>85725</xdr:rowOff>
    </xdr:from>
    <xdr:to>
      <xdr:col>21</xdr:col>
      <xdr:colOff>114300</xdr:colOff>
      <xdr:row>5</xdr:row>
      <xdr:rowOff>733425</xdr:rowOff>
    </xdr:to>
    <xdr:grpSp>
      <xdr:nvGrpSpPr>
        <xdr:cNvPr id="11481" name="Group 51"/>
        <xdr:cNvGrpSpPr>
          <a:grpSpLocks noChangeAspect="1"/>
        </xdr:cNvGrpSpPr>
      </xdr:nvGrpSpPr>
      <xdr:grpSpPr bwMode="auto">
        <a:xfrm>
          <a:off x="4581525" y="904875"/>
          <a:ext cx="600075" cy="647700"/>
          <a:chOff x="7219950" y="533400"/>
          <a:chExt cx="847725" cy="923925"/>
        </a:xfrm>
      </xdr:grpSpPr>
      <xdr:sp macro="" textlink="">
        <xdr:nvSpPr>
          <xdr:cNvPr id="11486" name="Oval 64"/>
          <xdr:cNvSpPr>
            <a:spLocks noChangeArrowheads="1"/>
          </xdr:cNvSpPr>
        </xdr:nvSpPr>
        <xdr:spPr bwMode="auto">
          <a:xfrm>
            <a:off x="7219950" y="533400"/>
            <a:ext cx="847725" cy="923925"/>
          </a:xfrm>
          <a:prstGeom prst="ellipse">
            <a:avLst/>
          </a:prstGeom>
          <a:solidFill>
            <a:srgbClr val="C0C0C0"/>
          </a:solidFill>
          <a:ln w="19050">
            <a:solidFill>
              <a:srgbClr val="000000"/>
            </a:solidFill>
            <a:round/>
            <a:headEnd/>
            <a:tailEnd/>
          </a:ln>
        </xdr:spPr>
      </xdr:sp>
      <xdr:sp macro="" textlink="">
        <xdr:nvSpPr>
          <xdr:cNvPr id="11487" name="Oval 71"/>
          <xdr:cNvSpPr>
            <a:spLocks noChangeArrowheads="1"/>
          </xdr:cNvSpPr>
        </xdr:nvSpPr>
        <xdr:spPr bwMode="auto">
          <a:xfrm>
            <a:off x="7610475" y="1219200"/>
            <a:ext cx="57150" cy="66675"/>
          </a:xfrm>
          <a:prstGeom prst="ellipse">
            <a:avLst/>
          </a:prstGeom>
          <a:solidFill>
            <a:srgbClr val="FFFFFF"/>
          </a:solidFill>
          <a:ln w="9525">
            <a:solidFill>
              <a:srgbClr val="000000"/>
            </a:solidFill>
            <a:round/>
            <a:headEnd/>
            <a:tailEnd/>
          </a:ln>
        </xdr:spPr>
      </xdr:sp>
    </xdr:grpSp>
    <xdr:clientData/>
  </xdr:twoCellAnchor>
  <xdr:twoCellAnchor>
    <xdr:from>
      <xdr:col>6</xdr:col>
      <xdr:colOff>85725</xdr:colOff>
      <xdr:row>5</xdr:row>
      <xdr:rowOff>85725</xdr:rowOff>
    </xdr:from>
    <xdr:to>
      <xdr:col>9</xdr:col>
      <xdr:colOff>114300</xdr:colOff>
      <xdr:row>5</xdr:row>
      <xdr:rowOff>733425</xdr:rowOff>
    </xdr:to>
    <xdr:grpSp>
      <xdr:nvGrpSpPr>
        <xdr:cNvPr id="11482" name="Group 58"/>
        <xdr:cNvGrpSpPr>
          <a:grpSpLocks noChangeAspect="1"/>
        </xdr:cNvGrpSpPr>
      </xdr:nvGrpSpPr>
      <xdr:grpSpPr bwMode="auto">
        <a:xfrm>
          <a:off x="2295525" y="904875"/>
          <a:ext cx="600075" cy="647700"/>
          <a:chOff x="2990850" y="533400"/>
          <a:chExt cx="847725" cy="923925"/>
        </a:xfrm>
      </xdr:grpSpPr>
      <xdr:sp macro="" textlink="">
        <xdr:nvSpPr>
          <xdr:cNvPr id="11483" name="Oval 61"/>
          <xdr:cNvSpPr>
            <a:spLocks noChangeArrowheads="1"/>
          </xdr:cNvSpPr>
        </xdr:nvSpPr>
        <xdr:spPr bwMode="auto">
          <a:xfrm>
            <a:off x="2990850" y="533400"/>
            <a:ext cx="847725" cy="923925"/>
          </a:xfrm>
          <a:prstGeom prst="ellipse">
            <a:avLst/>
          </a:prstGeom>
          <a:solidFill>
            <a:srgbClr val="C0C0C0"/>
          </a:solidFill>
          <a:ln w="19050">
            <a:solidFill>
              <a:srgbClr val="000000"/>
            </a:solidFill>
            <a:round/>
            <a:headEnd/>
            <a:tailEnd/>
          </a:ln>
        </xdr:spPr>
      </xdr:sp>
      <xdr:sp macro="" textlink="">
        <xdr:nvSpPr>
          <xdr:cNvPr id="11484" name="Oval 65"/>
          <xdr:cNvSpPr>
            <a:spLocks noChangeArrowheads="1"/>
          </xdr:cNvSpPr>
        </xdr:nvSpPr>
        <xdr:spPr bwMode="auto">
          <a:xfrm>
            <a:off x="3343274" y="923925"/>
            <a:ext cx="133351" cy="142875"/>
          </a:xfrm>
          <a:prstGeom prst="ellipse">
            <a:avLst/>
          </a:prstGeom>
          <a:solidFill>
            <a:srgbClr val="FFFFFF"/>
          </a:solidFill>
          <a:ln w="9525">
            <a:solidFill>
              <a:srgbClr val="000000"/>
            </a:solidFill>
            <a:round/>
            <a:headEnd/>
            <a:tailEnd/>
          </a:ln>
        </xdr:spPr>
      </xdr:sp>
      <xdr:sp macro="" textlink="">
        <xdr:nvSpPr>
          <xdr:cNvPr id="11485" name="Oval 72"/>
          <xdr:cNvSpPr>
            <a:spLocks noChangeArrowheads="1"/>
          </xdr:cNvSpPr>
        </xdr:nvSpPr>
        <xdr:spPr bwMode="auto">
          <a:xfrm>
            <a:off x="3381375" y="1162050"/>
            <a:ext cx="57150" cy="66675"/>
          </a:xfrm>
          <a:prstGeom prst="ellipse">
            <a:avLst/>
          </a:prstGeom>
          <a:solidFill>
            <a:srgbClr val="0000FF"/>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1504950</xdr:colOff>
      <xdr:row>1</xdr:row>
      <xdr:rowOff>76200</xdr:rowOff>
    </xdr:from>
    <xdr:to>
      <xdr:col>1</xdr:col>
      <xdr:colOff>1933575</xdr:colOff>
      <xdr:row>3</xdr:row>
      <xdr:rowOff>133350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9325" y="238125"/>
          <a:ext cx="428625" cy="381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2771776</xdr:colOff>
      <xdr:row>0</xdr:row>
      <xdr:rowOff>28575</xdr:rowOff>
    </xdr:from>
    <xdr:to>
      <xdr:col>1</xdr:col>
      <xdr:colOff>3219776</xdr:colOff>
      <xdr:row>1</xdr:row>
      <xdr:rowOff>154650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0851" y="28575"/>
          <a:ext cx="448000"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2752725</xdr:colOff>
      <xdr:row>0</xdr:row>
      <xdr:rowOff>28575</xdr:rowOff>
    </xdr:from>
    <xdr:to>
      <xdr:col>1</xdr:col>
      <xdr:colOff>3200725</xdr:colOff>
      <xdr:row>1</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0850" y="28575"/>
          <a:ext cx="448000" cy="28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2647951</xdr:colOff>
      <xdr:row>0</xdr:row>
      <xdr:rowOff>28575</xdr:rowOff>
    </xdr:from>
    <xdr:to>
      <xdr:col>1</xdr:col>
      <xdr:colOff>3095951</xdr:colOff>
      <xdr:row>1</xdr:row>
      <xdr:rowOff>154650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0851" y="28575"/>
          <a:ext cx="448000"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2771776</xdr:colOff>
      <xdr:row>0</xdr:row>
      <xdr:rowOff>28575</xdr:rowOff>
    </xdr:from>
    <xdr:to>
      <xdr:col>1</xdr:col>
      <xdr:colOff>3219776</xdr:colOff>
      <xdr:row>1</xdr:row>
      <xdr:rowOff>154650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0851" y="28575"/>
          <a:ext cx="448000" cy="28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acebook.com/cmpm2016officia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39"/>
  <sheetViews>
    <sheetView showGridLines="0" showRowColHeaders="0" zoomScaleNormal="100" workbookViewId="0">
      <pane ySplit="3" topLeftCell="A4" activePane="bottomLeft" state="frozen"/>
      <selection activeCell="D8" sqref="D8"/>
      <selection pane="bottomLeft" activeCell="I1" sqref="I1"/>
    </sheetView>
  </sheetViews>
  <sheetFormatPr defaultRowHeight="12.75" x14ac:dyDescent="0.2"/>
  <cols>
    <col min="1" max="1" width="12.5703125" style="193" customWidth="1"/>
    <col min="2" max="2" width="5.5703125" style="194" customWidth="1"/>
    <col min="3" max="3" width="29.85546875" style="157" customWidth="1"/>
    <col min="4" max="4" width="7.42578125" style="195" bestFit="1" customWidth="1"/>
    <col min="5" max="5" width="10.140625" style="155" customWidth="1"/>
    <col min="6" max="6" width="15.42578125" style="155" customWidth="1"/>
    <col min="7" max="7" width="11.7109375" style="157" customWidth="1"/>
    <col min="8" max="8" width="5.28515625" style="196" customWidth="1"/>
    <col min="9" max="9" width="9.5703125" style="157" bestFit="1" customWidth="1"/>
    <col min="10" max="16384" width="9.140625" style="157"/>
  </cols>
  <sheetData>
    <row r="1" spans="1:11" x14ac:dyDescent="0.2">
      <c r="A1" s="150" t="s">
        <v>74</v>
      </c>
      <c r="B1" s="151"/>
      <c r="C1" s="152"/>
      <c r="D1" s="153"/>
      <c r="E1" s="154"/>
      <c r="F1" s="155" t="str">
        <f>HYPERLINK("","")</f>
        <v/>
      </c>
      <c r="H1" s="836" t="s">
        <v>398</v>
      </c>
      <c r="I1" s="156"/>
      <c r="J1" s="152"/>
    </row>
    <row r="2" spans="1:11" x14ac:dyDescent="0.2">
      <c r="A2" s="158"/>
      <c r="B2" s="159"/>
      <c r="C2" s="152"/>
      <c r="D2" s="153"/>
      <c r="E2" s="154"/>
      <c r="F2" s="154"/>
      <c r="G2" s="152"/>
      <c r="H2" s="160"/>
      <c r="I2" s="152"/>
      <c r="J2" s="152"/>
      <c r="K2" s="152"/>
    </row>
    <row r="3" spans="1:11" x14ac:dyDescent="0.2">
      <c r="A3" s="161" t="s">
        <v>53</v>
      </c>
      <c r="B3" s="162" t="s">
        <v>54</v>
      </c>
      <c r="C3" s="163" t="s">
        <v>55</v>
      </c>
      <c r="D3" s="164" t="s">
        <v>56</v>
      </c>
      <c r="E3" s="165" t="s">
        <v>57</v>
      </c>
      <c r="F3" s="165" t="s">
        <v>58</v>
      </c>
      <c r="G3" s="165" t="s">
        <v>59</v>
      </c>
      <c r="H3" s="166" t="s">
        <v>60</v>
      </c>
      <c r="I3" s="163" t="s">
        <v>51</v>
      </c>
    </row>
    <row r="4" spans="1:11" s="170" customFormat="1" x14ac:dyDescent="0.2">
      <c r="A4" s="197" t="s">
        <v>17</v>
      </c>
      <c r="B4" s="847"/>
      <c r="C4" s="179"/>
      <c r="D4" s="167"/>
      <c r="E4" s="167"/>
      <c r="F4" s="167"/>
      <c r="G4" s="167"/>
      <c r="H4" s="168"/>
      <c r="I4" s="169"/>
      <c r="J4" s="167"/>
      <c r="K4" s="167"/>
    </row>
    <row r="5" spans="1:11" s="170" customFormat="1" hidden="1" x14ac:dyDescent="0.2">
      <c r="A5" s="171"/>
      <c r="B5" s="172"/>
      <c r="C5" s="173"/>
      <c r="D5" s="174"/>
      <c r="E5" s="175"/>
      <c r="F5" s="175"/>
      <c r="G5" s="176"/>
      <c r="H5" s="177"/>
      <c r="I5" s="186"/>
      <c r="J5" s="167"/>
      <c r="K5" s="167"/>
    </row>
    <row r="6" spans="1:11" s="195" customFormat="1" x14ac:dyDescent="0.2">
      <c r="A6" s="848" t="s">
        <v>293</v>
      </c>
      <c r="B6" s="849" t="s">
        <v>211</v>
      </c>
      <c r="C6" s="850" t="s">
        <v>151</v>
      </c>
      <c r="D6" s="199" t="str">
        <f>HYPERLINK("#1!I1","1")</f>
        <v>1</v>
      </c>
      <c r="E6" s="871" t="s">
        <v>66</v>
      </c>
      <c r="F6" s="989" t="str">
        <f>HYPERLINK("https://kaart.delfi.ee/?bookmark=225e5f274dc79e88e106035de3e50b2d","K-Järve petangihall")</f>
        <v>K-Järve petangihall</v>
      </c>
      <c r="G6" s="872" t="str">
        <f>HYPERLINK("https://kaart.delfi.ee/?bookmark=225e5f274dc79e88e106035de3e50b2d","K-Järve petangihall")</f>
        <v>K-Järve petangihall</v>
      </c>
      <c r="H6" s="873">
        <v>2</v>
      </c>
      <c r="I6" s="178">
        <f>Reit!I45</f>
        <v>27</v>
      </c>
      <c r="J6" s="153"/>
      <c r="K6" s="153"/>
    </row>
    <row r="7" spans="1:11" s="170" customFormat="1" x14ac:dyDescent="0.2">
      <c r="A7" s="851" t="s">
        <v>75</v>
      </c>
      <c r="B7" s="852" t="s">
        <v>211</v>
      </c>
      <c r="C7" s="853" t="str">
        <f>HYPERLINK("https://www.petanque.ee/index.php?id=103589&amp;cid=495","Regioonide karika 1. etapp")</f>
        <v>Regioonide karika 1. etapp</v>
      </c>
      <c r="D7" s="498" t="str">
        <f>HYPERLINK("#'Reg-1'!K1","Reg-1")</f>
        <v>Reg-1</v>
      </c>
      <c r="E7" s="874" t="s">
        <v>66</v>
      </c>
      <c r="F7" s="990" t="str">
        <f>HYPERLINK("https://kaart.delfi.ee/?bookmark=225e5f274dc79e88e106035de3e50b2d","K-Järve petangihall")</f>
        <v>K-Järve petangihall</v>
      </c>
      <c r="G7" s="875" t="s">
        <v>62</v>
      </c>
      <c r="H7" s="876">
        <v>0</v>
      </c>
      <c r="I7" s="877">
        <v>25</v>
      </c>
      <c r="J7" s="167"/>
      <c r="K7" s="153"/>
    </row>
    <row r="8" spans="1:11" s="170" customFormat="1" x14ac:dyDescent="0.2">
      <c r="A8" s="197" t="s">
        <v>19</v>
      </c>
      <c r="B8" s="198"/>
      <c r="C8" s="179"/>
      <c r="D8" s="180"/>
      <c r="E8" s="179"/>
      <c r="F8" s="179"/>
      <c r="G8" s="179"/>
      <c r="H8" s="181"/>
      <c r="I8" s="182"/>
      <c r="J8" s="167"/>
      <c r="K8" s="153"/>
    </row>
    <row r="9" spans="1:11" hidden="1" x14ac:dyDescent="0.2">
      <c r="A9" s="171"/>
      <c r="B9" s="172"/>
      <c r="C9" s="173"/>
      <c r="D9" s="200"/>
      <c r="E9" s="175"/>
      <c r="F9" s="175"/>
      <c r="G9" s="176"/>
      <c r="H9" s="201"/>
      <c r="I9" s="183"/>
      <c r="J9" s="152"/>
      <c r="K9" s="153"/>
    </row>
    <row r="10" spans="1:11" s="195" customFormat="1" x14ac:dyDescent="0.2">
      <c r="A10" s="848" t="s">
        <v>76</v>
      </c>
      <c r="B10" s="849" t="s">
        <v>211</v>
      </c>
      <c r="C10" s="850" t="s">
        <v>63</v>
      </c>
      <c r="D10" s="203" t="str">
        <f>HYPERLINK("#2!J1","2")</f>
        <v>2</v>
      </c>
      <c r="E10" s="871" t="s">
        <v>64</v>
      </c>
      <c r="F10" s="989" t="str">
        <f>HYPERLINK("https://kaart.delfi.ee/?bookmark=225e5f274dc79e88e106035de3e50b2d","K-Järve petangihall")</f>
        <v>K-Järve petangihall</v>
      </c>
      <c r="G10" s="872" t="s">
        <v>62</v>
      </c>
      <c r="H10" s="873" t="s">
        <v>268</v>
      </c>
      <c r="I10" s="178">
        <f>Reit!J45</f>
        <v>24</v>
      </c>
      <c r="J10" s="153"/>
      <c r="K10" s="153"/>
    </row>
    <row r="11" spans="1:11" x14ac:dyDescent="0.2">
      <c r="A11" s="854" t="s">
        <v>83</v>
      </c>
      <c r="B11" s="855"/>
      <c r="C11" s="856" t="s">
        <v>77</v>
      </c>
      <c r="D11" s="202" t="str">
        <f>HYPERLINK("#JT!J1","JT")</f>
        <v>JT</v>
      </c>
      <c r="E11" s="878" t="s">
        <v>274</v>
      </c>
      <c r="F11" s="991" t="str">
        <f>HYPERLINK("https://kaart.delfi.ee/?bookmark=225e5f274dc79e88e106035de3e50b2d","K-Järve petangihall")</f>
        <v>K-Järve petangihall</v>
      </c>
      <c r="G11" s="879" t="s">
        <v>62</v>
      </c>
      <c r="H11" s="880">
        <v>0</v>
      </c>
      <c r="I11" s="881">
        <v>7</v>
      </c>
      <c r="K11" s="153"/>
    </row>
    <row r="12" spans="1:11" x14ac:dyDescent="0.2">
      <c r="A12" s="171" t="s">
        <v>84</v>
      </c>
      <c r="B12" s="172" t="s">
        <v>79</v>
      </c>
      <c r="C12" s="173" t="s">
        <v>78</v>
      </c>
      <c r="D12" s="343"/>
      <c r="E12" s="175" t="s">
        <v>67</v>
      </c>
      <c r="F12" s="992" t="str">
        <f>HYPERLINK("https://kaart.delfi.ee/?bookmark=225e5f274dc79e88e106035de3e50b2d","K-Järve petangihall")</f>
        <v>K-Järve petangihall</v>
      </c>
      <c r="G12" s="882" t="s">
        <v>62</v>
      </c>
      <c r="H12" s="883">
        <v>0</v>
      </c>
      <c r="I12" s="183">
        <v>10</v>
      </c>
      <c r="J12" s="152"/>
      <c r="K12" s="153"/>
    </row>
    <row r="13" spans="1:11" s="170" customFormat="1" x14ac:dyDescent="0.2">
      <c r="A13" s="197" t="s">
        <v>18</v>
      </c>
      <c r="B13" s="198"/>
      <c r="C13" s="179"/>
      <c r="D13" s="180"/>
      <c r="E13" s="179"/>
      <c r="F13" s="179"/>
      <c r="G13" s="179"/>
      <c r="H13" s="181"/>
      <c r="I13" s="182"/>
      <c r="J13" s="167"/>
      <c r="K13" s="153"/>
    </row>
    <row r="14" spans="1:11" x14ac:dyDescent="0.2">
      <c r="A14" s="171" t="s">
        <v>81</v>
      </c>
      <c r="B14" s="172" t="s">
        <v>79</v>
      </c>
      <c r="C14" s="173" t="s">
        <v>72</v>
      </c>
      <c r="D14" s="343" t="str">
        <f>HYPERLINK("#Tul!W1","Tul")</f>
        <v>Tul</v>
      </c>
      <c r="E14" s="175" t="s">
        <v>67</v>
      </c>
      <c r="F14" s="992" t="str">
        <f>HYPERLINK("https://kaart.delfi.ee/?bookmark=225e5f274dc79e88e106035de3e50b2d","K-Järve petangihall")</f>
        <v>K-Järve petangihall</v>
      </c>
      <c r="G14" s="882" t="s">
        <v>62</v>
      </c>
      <c r="H14" s="201" t="s">
        <v>23</v>
      </c>
      <c r="I14" s="183"/>
      <c r="J14" s="152"/>
      <c r="K14" s="153"/>
    </row>
    <row r="15" spans="1:11" x14ac:dyDescent="0.2">
      <c r="A15" s="857" t="s">
        <v>82</v>
      </c>
      <c r="B15" s="858" t="s">
        <v>211</v>
      </c>
      <c r="C15" s="859" t="s">
        <v>68</v>
      </c>
      <c r="D15" s="184" t="str">
        <f>HYPERLINK("#3!J1","3")</f>
        <v>3</v>
      </c>
      <c r="E15" s="884" t="s">
        <v>64</v>
      </c>
      <c r="F15" s="993" t="str">
        <f>HYPERLINK("https://kaart.delfi.ee/?bookmark=225e5f274dc79e88e106035de3e50b2d","K-Järve petangihall")</f>
        <v>K-Järve petangihall</v>
      </c>
      <c r="G15" s="885" t="s">
        <v>62</v>
      </c>
      <c r="H15" s="886">
        <v>2</v>
      </c>
      <c r="I15" s="178">
        <f>Reit!K45</f>
        <v>20</v>
      </c>
      <c r="J15" s="152"/>
      <c r="K15" s="153"/>
    </row>
    <row r="16" spans="1:11" hidden="1" x14ac:dyDescent="0.2">
      <c r="A16" s="171"/>
      <c r="B16" s="172"/>
      <c r="C16" s="173"/>
      <c r="D16" s="200"/>
      <c r="E16" s="175"/>
      <c r="F16" s="994"/>
      <c r="G16" s="176"/>
      <c r="H16" s="201"/>
      <c r="I16" s="185"/>
      <c r="J16" s="152"/>
      <c r="K16" s="153"/>
    </row>
    <row r="17" spans="1:11" x14ac:dyDescent="0.2">
      <c r="A17" s="857" t="s">
        <v>85</v>
      </c>
      <c r="B17" s="858" t="s">
        <v>211</v>
      </c>
      <c r="C17" s="859" t="s">
        <v>70</v>
      </c>
      <c r="D17" s="187" t="str">
        <f>HYPERLINK("#4!L1","4")</f>
        <v>4</v>
      </c>
      <c r="E17" s="884" t="s">
        <v>61</v>
      </c>
      <c r="F17" s="993" t="str">
        <f>HYPERLINK("https://kaart.delfi.ee/?bookmark=225e5f274dc79e88e106035de3e50b2d","K-Järve petangihall")</f>
        <v>K-Järve petangihall</v>
      </c>
      <c r="G17" s="885" t="s">
        <v>62</v>
      </c>
      <c r="H17" s="886">
        <v>2</v>
      </c>
      <c r="I17" s="178">
        <f>Reit!L45</f>
        <v>23</v>
      </c>
      <c r="J17" s="152"/>
      <c r="K17" s="153"/>
    </row>
    <row r="18" spans="1:11" s="170" customFormat="1" x14ac:dyDescent="0.2">
      <c r="A18" s="197" t="s">
        <v>27</v>
      </c>
      <c r="B18" s="198"/>
      <c r="C18" s="179"/>
      <c r="D18" s="180"/>
      <c r="E18" s="179"/>
      <c r="F18" s="179"/>
      <c r="G18" s="179"/>
      <c r="H18" s="181"/>
      <c r="I18" s="182"/>
      <c r="J18" s="167"/>
      <c r="K18" s="153"/>
    </row>
    <row r="19" spans="1:11" hidden="1" x14ac:dyDescent="0.2">
      <c r="A19" s="171"/>
      <c r="B19" s="172"/>
      <c r="C19" s="173"/>
      <c r="D19" s="200"/>
      <c r="E19" s="175"/>
      <c r="F19" s="175"/>
      <c r="G19" s="176"/>
      <c r="H19" s="201"/>
      <c r="I19" s="185"/>
      <c r="J19" s="152"/>
      <c r="K19" s="153"/>
    </row>
    <row r="20" spans="1:11" x14ac:dyDescent="0.2">
      <c r="A20" s="860" t="s">
        <v>318</v>
      </c>
      <c r="B20" s="861" t="s">
        <v>355</v>
      </c>
      <c r="C20" s="862" t="s">
        <v>351</v>
      </c>
      <c r="D20" s="642" t="str">
        <f>HYPERLINK("#Sõ!H1","Sõ")</f>
        <v>Sõ</v>
      </c>
      <c r="E20" s="862" t="s">
        <v>69</v>
      </c>
      <c r="F20" s="887" t="str">
        <f>HYPERLINK("https://kaart.delfi.ee/?bookmark=0807568cf7d8a03cedbb545921254497","Tallinn, Algi 38")</f>
        <v>Tallinn, Algi 38</v>
      </c>
      <c r="G20" s="888" t="s">
        <v>356</v>
      </c>
      <c r="H20" s="889">
        <v>0</v>
      </c>
      <c r="I20" s="890"/>
      <c r="K20" s="153"/>
    </row>
    <row r="21" spans="1:11" s="195" customFormat="1" x14ac:dyDescent="0.2">
      <c r="A21" s="848" t="s">
        <v>152</v>
      </c>
      <c r="B21" s="849" t="s">
        <v>211</v>
      </c>
      <c r="C21" s="850" t="s">
        <v>154</v>
      </c>
      <c r="D21" s="204" t="str">
        <f>HYPERLINK("#5!I1","5")</f>
        <v>5</v>
      </c>
      <c r="E21" s="871" t="s">
        <v>66</v>
      </c>
      <c r="F21" s="989" t="str">
        <f>HYPERLINK("https://kaart.delfi.ee/?bookmark=225e5f274dc79e88e106035de3e50b2d","K-Järve petangihall")</f>
        <v>K-Järve petangihall</v>
      </c>
      <c r="G21" s="872" t="s">
        <v>62</v>
      </c>
      <c r="H21" s="873">
        <v>2</v>
      </c>
      <c r="I21" s="178">
        <f>Reit!M45</f>
        <v>24</v>
      </c>
      <c r="J21" s="153"/>
      <c r="K21" s="153"/>
    </row>
    <row r="22" spans="1:11" s="170" customFormat="1" x14ac:dyDescent="0.2">
      <c r="A22" s="851" t="s">
        <v>86</v>
      </c>
      <c r="B22" s="852" t="s">
        <v>211</v>
      </c>
      <c r="C22" s="863" t="s">
        <v>153</v>
      </c>
      <c r="D22" s="498" t="str">
        <f>HYPERLINK("#'Reg-2'!K1","Reg-2")</f>
        <v>Reg-2</v>
      </c>
      <c r="E22" s="874" t="s">
        <v>66</v>
      </c>
      <c r="F22" s="990" t="str">
        <f>HYPERLINK("https://kaart.delfi.ee/?bookmark=225e5f274dc79e88e106035de3e50b2d","K-Järve petangihall")</f>
        <v>K-Järve petangihall</v>
      </c>
      <c r="G22" s="875" t="s">
        <v>62</v>
      </c>
      <c r="H22" s="876">
        <v>0</v>
      </c>
      <c r="I22" s="877">
        <v>23</v>
      </c>
      <c r="J22" s="167"/>
      <c r="K22" s="167"/>
    </row>
    <row r="23" spans="1:11" x14ac:dyDescent="0.2">
      <c r="A23" s="857" t="s">
        <v>87</v>
      </c>
      <c r="B23" s="858" t="s">
        <v>211</v>
      </c>
      <c r="C23" s="859" t="s">
        <v>71</v>
      </c>
      <c r="D23" s="187" t="str">
        <f>HYPERLINK("#6!L1","6")</f>
        <v>6</v>
      </c>
      <c r="E23" s="884" t="s">
        <v>61</v>
      </c>
      <c r="F23" s="993" t="str">
        <f>HYPERLINK("https://kaart.delfi.ee/?bookmark=225e5f274dc79e88e106035de3e50b2d","K-Järve petangihall")</f>
        <v>K-Järve petangihall</v>
      </c>
      <c r="G23" s="885" t="s">
        <v>62</v>
      </c>
      <c r="H23" s="873">
        <v>2</v>
      </c>
      <c r="I23" s="178">
        <f>Reit!N45</f>
        <v>20</v>
      </c>
      <c r="J23" s="152"/>
    </row>
    <row r="24" spans="1:11" s="170" customFormat="1" x14ac:dyDescent="0.2">
      <c r="A24" s="197" t="s">
        <v>29</v>
      </c>
      <c r="B24" s="198"/>
      <c r="C24" s="179"/>
      <c r="D24" s="180"/>
      <c r="E24" s="179"/>
      <c r="F24" s="179"/>
      <c r="G24" s="179"/>
      <c r="H24" s="181"/>
      <c r="I24" s="182"/>
      <c r="J24" s="167"/>
    </row>
    <row r="25" spans="1:11" x14ac:dyDescent="0.2">
      <c r="A25" s="857" t="s">
        <v>88</v>
      </c>
      <c r="B25" s="858" t="s">
        <v>211</v>
      </c>
      <c r="C25" s="859" t="s">
        <v>89</v>
      </c>
      <c r="D25" s="187" t="str">
        <f>HYPERLINK("#7!J1","7")</f>
        <v>7</v>
      </c>
      <c r="E25" s="884" t="s">
        <v>64</v>
      </c>
      <c r="F25" s="993" t="str">
        <f>HYPERLINK("https://kaart.delfi.ee/?bookmark=225e5f274dc79e88e106035de3e50b2d","K-Järve petangihall")</f>
        <v>K-Järve petangihall</v>
      </c>
      <c r="G25" s="885" t="s">
        <v>62</v>
      </c>
      <c r="H25" s="873">
        <v>2</v>
      </c>
      <c r="I25" s="178">
        <f>Reit!O45</f>
        <v>20</v>
      </c>
      <c r="J25" s="152"/>
      <c r="K25" s="152"/>
    </row>
    <row r="26" spans="1:11" x14ac:dyDescent="0.2">
      <c r="A26" s="864" t="s">
        <v>90</v>
      </c>
      <c r="B26" s="865" t="s">
        <v>355</v>
      </c>
      <c r="C26" s="866" t="s">
        <v>286</v>
      </c>
      <c r="D26" s="610" t="str">
        <f>HYPERLINK("https://www.petanque.ee/index.php?id=103589&amp;cid=482","e8")</f>
        <v>e8</v>
      </c>
      <c r="E26" s="891" t="s">
        <v>92</v>
      </c>
      <c r="F26" s="995" t="str">
        <f>HYPERLINK("https://kaart.delfi.ee/?bookmark=225e5f274dc79e88e106035de3e50b2d","K-Järve petangihall")</f>
        <v>K-Järve petangihall</v>
      </c>
      <c r="G26" s="892" t="s">
        <v>378</v>
      </c>
      <c r="H26" s="893">
        <v>8</v>
      </c>
      <c r="I26" s="894">
        <v>34</v>
      </c>
    </row>
    <row r="27" spans="1:11" x14ac:dyDescent="0.2">
      <c r="A27" s="864" t="s">
        <v>91</v>
      </c>
      <c r="B27" s="865" t="s">
        <v>355</v>
      </c>
      <c r="C27" s="867" t="s">
        <v>65</v>
      </c>
      <c r="D27" s="610" t="str">
        <f>HYPERLINK("https://www.petanque.ee/index.php?id=103589&amp;cid=480","e9")</f>
        <v>e9</v>
      </c>
      <c r="E27" s="891" t="s">
        <v>66</v>
      </c>
      <c r="F27" s="995" t="str">
        <f>HYPERLINK("https://kaart.delfi.ee/?bookmark=225e5f274dc79e88e106035de3e50b2d","K-Järve petangihall")</f>
        <v>K-Järve petangihall</v>
      </c>
      <c r="G27" s="892" t="s">
        <v>378</v>
      </c>
      <c r="H27" s="893">
        <v>8</v>
      </c>
      <c r="I27" s="894">
        <v>40</v>
      </c>
    </row>
    <row r="28" spans="1:11" hidden="1" x14ac:dyDescent="0.2">
      <c r="A28" s="171"/>
      <c r="B28" s="172"/>
      <c r="C28" s="173"/>
      <c r="D28" s="200"/>
      <c r="E28" s="175"/>
      <c r="F28" s="175"/>
      <c r="G28" s="176"/>
      <c r="H28" s="201"/>
      <c r="I28" s="185"/>
      <c r="J28" s="152"/>
      <c r="K28" s="152"/>
    </row>
    <row r="29" spans="1:11" s="170" customFormat="1" x14ac:dyDescent="0.2">
      <c r="A29" s="197" t="s">
        <v>15</v>
      </c>
      <c r="B29" s="198"/>
      <c r="C29" s="179"/>
      <c r="D29" s="180"/>
      <c r="E29" s="179"/>
      <c r="F29" s="179"/>
      <c r="G29" s="179"/>
      <c r="H29" s="181"/>
      <c r="I29" s="182"/>
      <c r="J29" s="167"/>
    </row>
    <row r="30" spans="1:11" x14ac:dyDescent="0.2">
      <c r="A30" s="857" t="s">
        <v>93</v>
      </c>
      <c r="B30" s="858" t="s">
        <v>211</v>
      </c>
      <c r="C30" s="859" t="s">
        <v>94</v>
      </c>
      <c r="D30" s="187" t="str">
        <f>HYPERLINK("#8!I1","8")</f>
        <v>8</v>
      </c>
      <c r="E30" s="884" t="s">
        <v>66</v>
      </c>
      <c r="F30" s="993" t="str">
        <f>HYPERLINK("https://kaart.delfi.ee/?bookmark=225e5f274dc79e88e106035de3e50b2d","K-Järve petangihall")</f>
        <v>K-Järve petangihall</v>
      </c>
      <c r="G30" s="885" t="s">
        <v>62</v>
      </c>
      <c r="H30" s="873">
        <v>2</v>
      </c>
      <c r="I30" s="178">
        <f>Reit!P45</f>
        <v>18</v>
      </c>
      <c r="J30" s="152"/>
      <c r="K30" s="152"/>
    </row>
    <row r="31" spans="1:11" hidden="1" x14ac:dyDescent="0.2">
      <c r="A31" s="171"/>
      <c r="B31" s="172"/>
      <c r="C31" s="173"/>
      <c r="D31" s="200"/>
      <c r="E31" s="175"/>
      <c r="F31" s="994"/>
      <c r="G31" s="176"/>
      <c r="H31" s="201"/>
      <c r="I31" s="178" t="e">
        <f>#REF!</f>
        <v>#REF!</v>
      </c>
      <c r="J31" s="152"/>
      <c r="K31" s="152"/>
    </row>
    <row r="32" spans="1:11" x14ac:dyDescent="0.2">
      <c r="A32" s="857" t="s">
        <v>399</v>
      </c>
      <c r="B32" s="858" t="s">
        <v>211</v>
      </c>
      <c r="C32" s="859" t="s">
        <v>95</v>
      </c>
      <c r="D32" s="187" t="str">
        <f>HYPERLINK("#9!L1","9")</f>
        <v>9</v>
      </c>
      <c r="E32" s="884" t="s">
        <v>61</v>
      </c>
      <c r="F32" s="993" t="str">
        <f>HYPERLINK("https://kaart.delfi.ee/?bookmark=225e5f274dc79e88e106035de3e50b2d","K-Järve petangihall")</f>
        <v>K-Järve petangihall</v>
      </c>
      <c r="G32" s="885" t="s">
        <v>62</v>
      </c>
      <c r="H32" s="873">
        <v>2</v>
      </c>
      <c r="I32" s="178">
        <f>Reit!Q45</f>
        <v>23</v>
      </c>
      <c r="J32" s="152"/>
    </row>
    <row r="33" spans="1:11" x14ac:dyDescent="0.2">
      <c r="A33" s="868" t="s">
        <v>214</v>
      </c>
      <c r="B33" s="869" t="s">
        <v>211</v>
      </c>
      <c r="C33" s="870" t="s">
        <v>215</v>
      </c>
      <c r="D33" s="495" t="str">
        <f>HYPERLINK("#'Reg-Fin'!I1","Reg-Fin")</f>
        <v>Reg-Fin</v>
      </c>
      <c r="E33" s="496" t="s">
        <v>66</v>
      </c>
      <c r="F33" s="959" t="str">
        <f>HYPERLINK("https://kaart.delfi.ee/?bookmark=0807568cf7d8a03cedbb545921254497","Tallinn")</f>
        <v>Tallinn</v>
      </c>
      <c r="G33" s="496" t="s">
        <v>372</v>
      </c>
      <c r="H33" s="497"/>
      <c r="I33" s="499" t="str">
        <f>HYPERLINK("https://www.petanque.ee/juhendid/regioonide-karikas-2016-2017/","Juhend")</f>
        <v>Juhend</v>
      </c>
      <c r="J33" s="152"/>
      <c r="K33" s="152"/>
    </row>
    <row r="34" spans="1:11" x14ac:dyDescent="0.2">
      <c r="A34" s="188"/>
      <c r="B34" s="159"/>
      <c r="C34" s="152"/>
      <c r="D34" s="153"/>
      <c r="E34" s="154"/>
      <c r="F34" s="154"/>
      <c r="G34" s="152"/>
      <c r="H34" s="160"/>
      <c r="I34" s="152"/>
      <c r="J34" s="152"/>
      <c r="K34" s="152"/>
    </row>
    <row r="35" spans="1:11" s="89" customFormat="1" x14ac:dyDescent="0.2">
      <c r="A35" s="190" t="s">
        <v>155</v>
      </c>
      <c r="E35" s="46"/>
      <c r="F35" s="46"/>
      <c r="G35" s="170"/>
      <c r="K35" s="46"/>
    </row>
    <row r="36" spans="1:11" s="89" customFormat="1" x14ac:dyDescent="0.2">
      <c r="A36" s="190" t="s">
        <v>213</v>
      </c>
      <c r="B36" s="191"/>
      <c r="C36" s="191"/>
      <c r="D36" s="191"/>
      <c r="E36" s="191"/>
      <c r="F36" s="191"/>
      <c r="G36" s="191"/>
      <c r="H36" s="191"/>
      <c r="I36" s="191"/>
      <c r="J36" s="191"/>
      <c r="K36" s="191"/>
    </row>
    <row r="37" spans="1:11" s="89" customFormat="1" x14ac:dyDescent="0.2">
      <c r="A37" s="520" t="s">
        <v>73</v>
      </c>
      <c r="B37" s="520"/>
      <c r="C37" s="520"/>
      <c r="D37" s="191"/>
      <c r="E37" s="191"/>
      <c r="F37" s="191"/>
      <c r="G37" s="191"/>
      <c r="H37" s="191"/>
      <c r="I37" s="191"/>
      <c r="J37" s="191"/>
      <c r="K37" s="191"/>
    </row>
    <row r="38" spans="1:11" s="89" customFormat="1" x14ac:dyDescent="0.2">
      <c r="A38" s="192" t="s">
        <v>14</v>
      </c>
      <c r="D38" s="48"/>
      <c r="E38" s="191"/>
      <c r="F38" s="191"/>
      <c r="G38" s="191"/>
      <c r="H38" s="191"/>
      <c r="I38" s="191"/>
      <c r="J38" s="191"/>
      <c r="K38" s="191"/>
    </row>
    <row r="39" spans="1:11" s="89" customFormat="1" x14ac:dyDescent="0.2"/>
  </sheetData>
  <sheetProtection selectLockedCells="1" selectUnlockedCells="1"/>
  <pageMargins left="0.78740157480314965" right="0.39370078740157483" top="0.78740157480314965" bottom="0.39370078740157483" header="0.59055118110236227" footer="0"/>
  <pageSetup paperSize="9" firstPageNumber="0" fitToHeight="0" orientation="landscape" verticalDpi="300" r:id="rId1"/>
  <headerFooter alignWithMargins="0">
    <oddHeader>&amp;R&amp;"Arial,Regular"&amp;9Page &amp;P of &amp;N</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117"/>
  <sheetViews>
    <sheetView showGridLines="0" showRowColHeaders="0" tabSelected="1" zoomScaleNormal="100" workbookViewId="0">
      <pane ySplit="3" topLeftCell="A4" activePane="bottomLeft" state="frozen"/>
      <selection activeCell="D8" sqref="D8"/>
      <selection pane="bottomLeft" activeCell="N1" sqref="N1"/>
    </sheetView>
  </sheetViews>
  <sheetFormatPr defaultRowHeight="12.75" x14ac:dyDescent="0.2"/>
  <cols>
    <col min="1" max="1" width="6.7109375" style="2" customWidth="1"/>
    <col min="2" max="2" width="3" style="2" bestFit="1" customWidth="1"/>
    <col min="3" max="3" width="10.28515625" style="2" customWidth="1"/>
    <col min="4" max="4" width="3" style="2" bestFit="1" customWidth="1"/>
    <col min="5" max="5" width="6.7109375" style="3" customWidth="1"/>
    <col min="6" max="6" width="3" style="3" bestFit="1" customWidth="1"/>
    <col min="7" max="7" width="10.28515625" style="2" customWidth="1"/>
    <col min="8" max="8" width="3" style="2" bestFit="1" customWidth="1"/>
    <col min="9" max="9" width="3.5703125" style="2" customWidth="1"/>
    <col min="10" max="10" width="3" style="2" bestFit="1" customWidth="1"/>
    <col min="11" max="11" width="19.28515625" style="2" customWidth="1"/>
    <col min="12" max="12" width="3" style="2" bestFit="1" customWidth="1"/>
    <col min="13" max="13" width="19.28515625" style="2" customWidth="1"/>
    <col min="14" max="14" width="3" style="3" bestFit="1" customWidth="1"/>
    <col min="15" max="16384" width="9.140625" style="2"/>
  </cols>
  <sheetData>
    <row r="1" spans="1:19" x14ac:dyDescent="0.2">
      <c r="A1" s="131" t="s">
        <v>37</v>
      </c>
      <c r="B1" s="1"/>
      <c r="L1" s="836" t="s">
        <v>398</v>
      </c>
      <c r="N1" s="696"/>
    </row>
    <row r="2" spans="1:19" ht="13.5" thickBot="1" x14ac:dyDescent="0.25">
      <c r="A2" s="381"/>
    </row>
    <row r="3" spans="1:19" ht="13.5" thickBot="1" x14ac:dyDescent="0.25">
      <c r="A3" s="490" t="s">
        <v>0</v>
      </c>
      <c r="B3" s="491"/>
      <c r="C3" s="492" t="s">
        <v>1</v>
      </c>
      <c r="D3" s="491"/>
      <c r="E3" s="490" t="s">
        <v>2</v>
      </c>
      <c r="F3" s="491"/>
      <c r="G3" s="490" t="s">
        <v>3</v>
      </c>
      <c r="H3" s="491"/>
      <c r="I3" s="965" t="s">
        <v>4</v>
      </c>
      <c r="J3" s="966"/>
      <c r="K3" s="490" t="s">
        <v>5</v>
      </c>
      <c r="L3" s="491"/>
      <c r="M3" s="490" t="s">
        <v>6</v>
      </c>
      <c r="N3" s="493"/>
    </row>
    <row r="4" spans="1:19" s="111" customFormat="1" ht="13.5" thickBot="1" x14ac:dyDescent="0.25">
      <c r="A4" s="751" t="s">
        <v>31</v>
      </c>
      <c r="B4" s="749"/>
      <c r="C4" s="750"/>
      <c r="D4" s="109"/>
      <c r="E4" s="110"/>
      <c r="F4" s="109"/>
      <c r="G4" s="110"/>
      <c r="H4" s="109"/>
      <c r="I4" s="109"/>
      <c r="J4" s="109"/>
      <c r="K4" s="110"/>
      <c r="L4" s="109"/>
      <c r="M4" s="110"/>
      <c r="N4" s="109"/>
    </row>
    <row r="5" spans="1:19" s="112" customFormat="1" x14ac:dyDescent="0.2">
      <c r="A5" s="752"/>
      <c r="B5" s="506">
        <v>17</v>
      </c>
      <c r="C5" s="779"/>
      <c r="D5" s="506">
        <v>18</v>
      </c>
      <c r="E5" s="778"/>
      <c r="F5" s="506">
        <v>19</v>
      </c>
      <c r="G5" s="778"/>
      <c r="H5" s="506">
        <v>20</v>
      </c>
      <c r="I5" s="762"/>
      <c r="J5" s="506">
        <v>21</v>
      </c>
      <c r="K5" s="759"/>
      <c r="L5" s="506">
        <v>22</v>
      </c>
      <c r="M5" s="759"/>
      <c r="N5" s="506">
        <v>23</v>
      </c>
      <c r="O5" s="773"/>
    </row>
    <row r="6" spans="1:19" s="112" customFormat="1" x14ac:dyDescent="0.2">
      <c r="A6" s="753"/>
      <c r="B6" s="109"/>
      <c r="C6" s="771"/>
      <c r="D6" s="769"/>
      <c r="E6" s="774" t="str">
        <f>HYPERLINK("https://www.petanque.ee/index.php?id=103738&amp;cid=456","3. Veteranide (55+) EM, TRIO")</f>
        <v>3. Veteranide (55+) EM, TRIO</v>
      </c>
      <c r="F6" s="769"/>
      <c r="G6" s="772"/>
      <c r="H6" s="770" t="str">
        <f>HYPERLINK("http://www.cep-petanque.com/veterans.html","tulemused")</f>
        <v>tulemused</v>
      </c>
      <c r="I6" s="763"/>
      <c r="J6" s="754"/>
      <c r="K6" s="110"/>
      <c r="L6" s="764"/>
      <c r="M6" s="110"/>
      <c r="N6" s="754"/>
    </row>
    <row r="7" spans="1:19" s="112" customFormat="1" ht="13.5" thickBot="1" x14ac:dyDescent="0.25">
      <c r="A7" s="755"/>
      <c r="B7" s="756"/>
      <c r="C7" s="775" t="s">
        <v>32</v>
      </c>
      <c r="D7" s="756"/>
      <c r="E7" s="776" t="str">
        <f>HYPERLINK("https://www.google.co.uk/maps/place/ZAC+St+Antoine/@43.7275044,7.4115625,746m/data=!3m1!1e3!4m2!3m1!1s0x0:0xa8db73956fa20236!6m1!1e1","Monaco")</f>
        <v>Monaco</v>
      </c>
      <c r="F7" s="761" t="str">
        <f>HYPERLINK("https://www.facebook.com/groups/246947711996006/","fb")</f>
        <v>fb</v>
      </c>
      <c r="G7" s="777" t="s">
        <v>32</v>
      </c>
      <c r="H7" s="758" t="str">
        <f>HYPERLINK("https://www.youtube.com/results?search_query=Championnat+d%27Europe+V%C3%A9t%C3%A9rans+2016+%C3%A0+MONACO","videod")</f>
        <v>videod</v>
      </c>
      <c r="I7" s="765"/>
      <c r="J7" s="757"/>
      <c r="K7" s="760"/>
      <c r="L7" s="766"/>
      <c r="M7" s="760"/>
      <c r="N7" s="757"/>
    </row>
    <row r="8" spans="1:19" s="112" customFormat="1" x14ac:dyDescent="0.2">
      <c r="A8" s="752"/>
      <c r="B8" s="506">
        <v>24</v>
      </c>
      <c r="C8" s="752"/>
      <c r="D8" s="506">
        <v>25</v>
      </c>
      <c r="E8" s="752"/>
      <c r="F8" s="506">
        <v>26</v>
      </c>
      <c r="G8" s="778" t="s">
        <v>33</v>
      </c>
      <c r="H8" s="506">
        <v>27</v>
      </c>
      <c r="I8" s="779" t="s">
        <v>33</v>
      </c>
      <c r="J8" s="506">
        <v>28</v>
      </c>
      <c r="K8" s="781" t="str">
        <f>HYPERLINK("https://www.petanque.ee/index.php?id=103738&amp;cid=459","10. Juunioride EM, ")</f>
        <v xml:space="preserve">10. Juunioride EM, </v>
      </c>
      <c r="L8" s="506">
        <v>29</v>
      </c>
      <c r="M8" s="778" t="s">
        <v>35</v>
      </c>
      <c r="N8" s="506">
        <v>30</v>
      </c>
    </row>
    <row r="9" spans="1:19" s="112" customFormat="1" x14ac:dyDescent="0.2">
      <c r="A9" s="753"/>
      <c r="B9" s="109"/>
      <c r="C9" s="753"/>
      <c r="D9" s="109"/>
      <c r="E9" s="767" t="str">
        <f>HYPERLINK("https://youtu.be/8GziEr3c7Wg?t=440","1.mängu video")</f>
        <v>1.mängu video</v>
      </c>
      <c r="F9" s="754"/>
      <c r="G9" s="705" t="s">
        <v>28</v>
      </c>
      <c r="H9" s="389" t="str">
        <f>HYPERLINK("http://www.cep-petanque.com/juniors.html","tul")</f>
        <v>tul</v>
      </c>
      <c r="I9" s="783" t="s">
        <v>34</v>
      </c>
      <c r="J9" s="754"/>
      <c r="K9" s="705" t="s">
        <v>34</v>
      </c>
      <c r="L9" s="754"/>
      <c r="M9" s="780" t="s">
        <v>34</v>
      </c>
      <c r="N9" s="754"/>
    </row>
    <row r="10" spans="1:19" s="112" customFormat="1" ht="13.5" thickBot="1" x14ac:dyDescent="0.25">
      <c r="A10" s="755"/>
      <c r="B10" s="756"/>
      <c r="C10" s="755"/>
      <c r="D10" s="756"/>
      <c r="E10" s="768" t="str">
        <f>HYPERLINK("https://youtu.be/8GziEr3c7Wg?t=440","Eesti-Inglismaa")</f>
        <v>Eesti-Inglismaa</v>
      </c>
      <c r="F10" s="757"/>
      <c r="G10" s="777" t="s">
        <v>32</v>
      </c>
      <c r="H10" s="758" t="str">
        <f>HYPERLINK("https://www.youtube.com/results?search_query=Championnat+d+Europe+Jeunes+2016","vid")</f>
        <v>vid</v>
      </c>
      <c r="I10" s="775" t="s">
        <v>32</v>
      </c>
      <c r="J10" s="757"/>
      <c r="K10" s="782" t="str">
        <f>HYPERLINK("https://www.google.co.uk/maps/place/ZAC+St+Antoine/@43.7275044,7.4115625,746m/data=!3m1!1e3!4m2!3m1!1s0x0:0xa8db73956fa20236!6m1!1e1","Monaco")</f>
        <v>Monaco</v>
      </c>
      <c r="L10" s="757"/>
      <c r="M10" s="777" t="s">
        <v>32</v>
      </c>
      <c r="N10" s="757"/>
    </row>
    <row r="11" spans="1:19" s="9" customFormat="1" ht="13.5" thickBot="1" x14ac:dyDescent="0.25">
      <c r="A11" s="919" t="s">
        <v>17</v>
      </c>
      <c r="B11" s="114"/>
      <c r="C11" s="206"/>
      <c r="D11" s="6"/>
      <c r="E11" s="7"/>
      <c r="F11" s="7"/>
      <c r="G11" s="6"/>
      <c r="H11" s="6"/>
      <c r="I11" s="6"/>
      <c r="J11" s="8"/>
      <c r="K11" s="6"/>
      <c r="L11" s="6"/>
      <c r="M11" s="8"/>
      <c r="N11" s="7"/>
    </row>
    <row r="12" spans="1:19" s="3" customFormat="1" x14ac:dyDescent="0.2">
      <c r="A12" s="13"/>
      <c r="B12" s="511">
        <v>31</v>
      </c>
      <c r="C12" s="27"/>
      <c r="D12" s="511">
        <v>1</v>
      </c>
      <c r="E12" s="28"/>
      <c r="F12" s="511">
        <v>2</v>
      </c>
      <c r="G12" s="29"/>
      <c r="H12" s="511">
        <v>3</v>
      </c>
      <c r="I12" s="28"/>
      <c r="J12" s="508">
        <v>4</v>
      </c>
      <c r="K12" s="708" t="str">
        <f>HYPERLINK("https://www.petanque.ee/index.php?id=103589&amp;cid=472","Eesti reiting, DUO")</f>
        <v>Eesti reiting, DUO</v>
      </c>
      <c r="L12" s="512">
        <v>5</v>
      </c>
      <c r="M12" s="28"/>
      <c r="N12" s="506">
        <v>6</v>
      </c>
      <c r="S12" s="116"/>
    </row>
    <row r="13" spans="1:19" s="3" customFormat="1" hidden="1" x14ac:dyDescent="0.2">
      <c r="A13" s="18"/>
      <c r="B13" s="12"/>
      <c r="C13" s="10"/>
      <c r="D13" s="12"/>
      <c r="E13" s="31"/>
      <c r="F13" s="23"/>
      <c r="G13" s="24"/>
      <c r="H13" s="23"/>
      <c r="I13" s="80"/>
      <c r="J13" s="86"/>
      <c r="K13" s="709"/>
      <c r="L13" s="64"/>
      <c r="M13" s="77"/>
      <c r="N13" s="64"/>
      <c r="S13" s="116"/>
    </row>
    <row r="14" spans="1:19" s="3" customFormat="1" x14ac:dyDescent="0.2">
      <c r="A14" s="18"/>
      <c r="B14" s="12"/>
      <c r="C14" s="10"/>
      <c r="D14" s="12"/>
      <c r="E14" s="31"/>
      <c r="F14" s="23"/>
      <c r="G14" s="24"/>
      <c r="H14" s="23"/>
      <c r="I14" s="78"/>
      <c r="J14" s="87"/>
      <c r="K14" s="710" t="str">
        <f>HYPERLINK("https://kaart.delfi.ee/?bookmark=0807568cf7d8a03cedbb545921254497","Tallinn")</f>
        <v>Tallinn</v>
      </c>
      <c r="L14" s="79"/>
      <c r="M14" s="78"/>
      <c r="N14" s="85"/>
      <c r="S14" s="116"/>
    </row>
    <row r="15" spans="1:19" s="3" customFormat="1" x14ac:dyDescent="0.2">
      <c r="A15" s="18"/>
      <c r="B15" s="12"/>
      <c r="C15" s="10"/>
      <c r="D15" s="12"/>
      <c r="E15" s="31"/>
      <c r="F15" s="23"/>
      <c r="G15" s="24"/>
      <c r="H15" s="23"/>
      <c r="I15" s="784"/>
      <c r="J15" s="785"/>
      <c r="K15" s="788" t="str">
        <f>HYPERLINK("https://www.petanque.ee/index.php?id=103738&amp;cid=464","1. Üksikmängu EM (m, n), ÜKSIK")</f>
        <v>1. Üksikmängu EM (m, n), ÜKSIK</v>
      </c>
      <c r="L15" s="786"/>
      <c r="M15" s="786"/>
      <c r="N15" s="787" t="str">
        <f>HYPERLINK("http://www.svenskboule.se/ECSingles2016/","inf")</f>
        <v>inf</v>
      </c>
      <c r="S15" s="116"/>
    </row>
    <row r="16" spans="1:19" ht="13.5" thickBot="1" x14ac:dyDescent="0.25">
      <c r="A16" s="18"/>
      <c r="B16" s="12"/>
      <c r="C16" s="10"/>
      <c r="D16" s="12"/>
      <c r="E16" s="31"/>
      <c r="F16" s="23"/>
      <c r="G16" s="24"/>
      <c r="H16" s="23"/>
      <c r="I16" s="706" t="s">
        <v>16</v>
      </c>
      <c r="J16" s="84"/>
      <c r="K16" s="707" t="str">
        <f>HYPERLINK("https://www.google.se/maps/place/Gentoftev%C3%A4gen+1,+302+38+Halmstad/@56.6673135,12.8427042,421m/data=!3m2!1e3!4b1!4m5!3m4!1s0x4651a3288d597f67:0x99f8405defa413d4!8m2!3d56.6673135!4d12.8448929","Halmstad (Rootsi)")</f>
        <v>Halmstad (Rootsi)</v>
      </c>
      <c r="L16" s="390" t="str">
        <f>HYPERLINK("http://www.cep-petanque.com/tripleswomen.html","N")</f>
        <v>N</v>
      </c>
      <c r="M16" s="704" t="s">
        <v>16</v>
      </c>
      <c r="N16" s="388" t="str">
        <f>HYPERLINK("http://www.cep-petanque.com/singlesmen.html","M")</f>
        <v>M</v>
      </c>
      <c r="P16" s="3"/>
      <c r="S16" s="116"/>
    </row>
    <row r="17" spans="1:19" s="3" customFormat="1" x14ac:dyDescent="0.2">
      <c r="A17" s="13"/>
      <c r="B17" s="511">
        <v>7</v>
      </c>
      <c r="C17" s="27"/>
      <c r="D17" s="511">
        <v>8</v>
      </c>
      <c r="E17" s="28"/>
      <c r="F17" s="511">
        <v>9</v>
      </c>
      <c r="G17" s="29"/>
      <c r="H17" s="511">
        <v>10</v>
      </c>
      <c r="I17" s="29"/>
      <c r="J17" s="511">
        <v>11</v>
      </c>
      <c r="K17" s="13"/>
      <c r="L17" s="511">
        <v>12</v>
      </c>
      <c r="M17" s="529" t="str">
        <f>HYPERLINK("#1!I1","SHK KV 1. etapp, ")</f>
        <v xml:space="preserve">SHK KV 1. etapp, </v>
      </c>
      <c r="N17" s="511">
        <v>13</v>
      </c>
      <c r="S17" s="116"/>
    </row>
    <row r="18" spans="1:19" s="3" customFormat="1" x14ac:dyDescent="0.2">
      <c r="A18" s="18"/>
      <c r="B18" s="12"/>
      <c r="C18" s="10"/>
      <c r="D18" s="23"/>
      <c r="E18" s="31"/>
      <c r="F18" s="23"/>
      <c r="G18" s="24"/>
      <c r="H18" s="23"/>
      <c r="I18" s="24"/>
      <c r="J18" s="23"/>
      <c r="K18" s="18"/>
      <c r="L18" s="12"/>
      <c r="M18" s="711" t="s">
        <v>10</v>
      </c>
      <c r="N18" s="121"/>
      <c r="S18" s="116"/>
    </row>
    <row r="19" spans="1:19" ht="13.5" thickBot="1" x14ac:dyDescent="0.25">
      <c r="A19" s="17"/>
      <c r="B19" s="16"/>
      <c r="D19" s="16"/>
      <c r="E19" s="35"/>
      <c r="F19" s="36"/>
      <c r="G19" s="37"/>
      <c r="H19" s="36"/>
      <c r="I19" s="37"/>
      <c r="J19" s="36"/>
      <c r="K19" s="17"/>
      <c r="L19" s="16"/>
      <c r="M19" s="961" t="str">
        <f>HYPERLINK("https://kaart.delfi.ee/?bookmark=225e5f274dc79e88e106035de3e50b2d","K-Järve petangihall")</f>
        <v>K-Järve petangihall</v>
      </c>
      <c r="N19" s="119"/>
      <c r="S19" s="116"/>
    </row>
    <row r="20" spans="1:19" s="3" customFormat="1" x14ac:dyDescent="0.2">
      <c r="A20" s="13"/>
      <c r="B20" s="511">
        <v>14</v>
      </c>
      <c r="C20" s="27"/>
      <c r="D20" s="511">
        <v>15</v>
      </c>
      <c r="E20" s="28"/>
      <c r="F20" s="511">
        <v>16</v>
      </c>
      <c r="G20" s="28"/>
      <c r="H20" s="511">
        <v>17</v>
      </c>
      <c r="I20" s="29"/>
      <c r="J20" s="511">
        <v>18</v>
      </c>
      <c r="K20" s="13"/>
      <c r="L20" s="511">
        <v>19</v>
      </c>
      <c r="M20" s="789" t="str">
        <f>HYPERLINK("https://www.petanque.ee/index.php?id=103589&amp;cid=473","Eesti sise-MV, ")</f>
        <v xml:space="preserve">Eesti sise-MV, </v>
      </c>
      <c r="N20" s="514">
        <v>20</v>
      </c>
    </row>
    <row r="21" spans="1:19" s="3" customFormat="1" x14ac:dyDescent="0.2">
      <c r="A21" s="18"/>
      <c r="B21" s="12"/>
      <c r="C21" s="10"/>
      <c r="D21" s="12"/>
      <c r="E21" s="31"/>
      <c r="F21" s="23"/>
      <c r="G21" s="24"/>
      <c r="H21" s="23"/>
      <c r="I21" s="24"/>
      <c r="J21" s="23"/>
      <c r="K21" s="18"/>
      <c r="L21" s="12"/>
      <c r="M21" s="790" t="s">
        <v>12</v>
      </c>
      <c r="N21" s="12"/>
    </row>
    <row r="22" spans="1:19" ht="13.5" thickBot="1" x14ac:dyDescent="0.25">
      <c r="A22" s="18"/>
      <c r="B22" s="12"/>
      <c r="C22" s="10"/>
      <c r="D22" s="12"/>
      <c r="E22" s="31"/>
      <c r="F22" s="23"/>
      <c r="G22" s="24"/>
      <c r="H22" s="23"/>
      <c r="I22" s="24"/>
      <c r="J22" s="23"/>
      <c r="K22" s="17"/>
      <c r="L22" s="16"/>
      <c r="M22" s="710" t="str">
        <f>HYPERLINK("https://kaart.delfi.ee/?bookmark=0807568cf7d8a03cedbb545921254497","Tallinn")</f>
        <v>Tallinn</v>
      </c>
      <c r="N22" s="12"/>
    </row>
    <row r="23" spans="1:19" s="3" customFormat="1" x14ac:dyDescent="0.2">
      <c r="A23" s="13"/>
      <c r="B23" s="511">
        <v>21</v>
      </c>
      <c r="C23" s="423"/>
      <c r="D23" s="511">
        <v>22</v>
      </c>
      <c r="E23" s="13"/>
      <c r="F23" s="511">
        <v>23</v>
      </c>
      <c r="G23" s="117"/>
      <c r="H23" s="513">
        <v>24</v>
      </c>
      <c r="I23" s="38"/>
      <c r="J23" s="513">
        <v>25</v>
      </c>
      <c r="K23" s="13"/>
      <c r="L23" s="513">
        <v>26</v>
      </c>
      <c r="M23" s="712" t="str">
        <f>HYPERLINK("#'Reg-1'!K1","Regioonide karika 1.etapp")</f>
        <v>Regioonide karika 1.etapp</v>
      </c>
      <c r="N23" s="513">
        <v>27</v>
      </c>
    </row>
    <row r="24" spans="1:19" s="3" customFormat="1" x14ac:dyDescent="0.2">
      <c r="A24" s="18"/>
      <c r="B24" s="12"/>
      <c r="C24" s="10"/>
      <c r="D24" s="12"/>
      <c r="E24" s="18"/>
      <c r="F24" s="23"/>
      <c r="G24" s="24"/>
      <c r="H24" s="12"/>
      <c r="I24" s="32"/>
      <c r="J24" s="12"/>
      <c r="K24" s="18"/>
      <c r="L24" s="12"/>
      <c r="M24" s="713" t="s">
        <v>10</v>
      </c>
      <c r="N24" s="501" t="str">
        <f>HYPERLINK("https://www.petanque.ee/juhendid/regioonide-karikas-2016-2017/","juh")</f>
        <v>juh</v>
      </c>
    </row>
    <row r="25" spans="1:19" ht="13.5" thickBot="1" x14ac:dyDescent="0.25">
      <c r="A25" s="17"/>
      <c r="B25" s="16"/>
      <c r="C25" s="14"/>
      <c r="D25" s="36"/>
      <c r="E25" s="17"/>
      <c r="F25" s="16"/>
      <c r="G25" s="37"/>
      <c r="H25" s="36"/>
      <c r="I25" s="39"/>
      <c r="J25" s="36"/>
      <c r="K25" s="17"/>
      <c r="L25" s="16"/>
      <c r="M25" s="962" t="str">
        <f>HYPERLINK("https://kaart.delfi.ee/?bookmark=225e5f274dc79e88e106035de3e50b2d","K-Järve petangihall")</f>
        <v>K-Järve petangihall</v>
      </c>
      <c r="N25" s="500"/>
    </row>
    <row r="26" spans="1:19" ht="13.5" thickBot="1" x14ac:dyDescent="0.25">
      <c r="A26" s="919" t="s">
        <v>19</v>
      </c>
      <c r="B26" s="114"/>
      <c r="C26" s="206"/>
      <c r="D26" s="58"/>
      <c r="E26" s="60"/>
      <c r="F26" s="58"/>
      <c r="G26" s="60"/>
      <c r="H26" s="57"/>
      <c r="I26" s="58"/>
      <c r="J26" s="57"/>
      <c r="K26" s="60"/>
      <c r="L26" s="58"/>
      <c r="M26" s="61"/>
      <c r="N26" s="58"/>
    </row>
    <row r="27" spans="1:19" x14ac:dyDescent="0.2">
      <c r="A27" s="67"/>
      <c r="B27" s="506">
        <v>28</v>
      </c>
      <c r="C27" s="68"/>
      <c r="D27" s="506">
        <v>29</v>
      </c>
      <c r="E27" s="67"/>
      <c r="F27" s="506">
        <v>30</v>
      </c>
      <c r="G27" s="62"/>
      <c r="H27" s="506">
        <v>1</v>
      </c>
      <c r="I27" s="418"/>
      <c r="J27" s="506">
        <v>2</v>
      </c>
      <c r="K27" s="729" t="str">
        <f>HYPERLINK("https://www.petanque.ee/index.php?id=&amp;news_id=1109","WICIA 5 aastat,LOOSI")</f>
        <v>WICIA 5 aastat,LOOSI</v>
      </c>
      <c r="L27" s="506">
        <v>3</v>
      </c>
      <c r="M27" s="418"/>
      <c r="N27" s="507">
        <v>4</v>
      </c>
    </row>
    <row r="28" spans="1:19" hidden="1" x14ac:dyDescent="0.2">
      <c r="A28" s="69"/>
      <c r="B28" s="64"/>
      <c r="C28" s="60"/>
      <c r="D28" s="64"/>
      <c r="E28" s="69"/>
      <c r="F28" s="64"/>
      <c r="G28" s="90"/>
      <c r="H28" s="413"/>
      <c r="I28" s="414"/>
      <c r="J28" s="413"/>
      <c r="K28" s="733" t="s">
        <v>216</v>
      </c>
      <c r="L28" s="415"/>
      <c r="M28" s="414"/>
      <c r="N28" s="415"/>
    </row>
    <row r="29" spans="1:19" x14ac:dyDescent="0.2">
      <c r="A29" s="69"/>
      <c r="B29" s="64"/>
      <c r="C29" s="60"/>
      <c r="D29" s="64"/>
      <c r="E29" s="69"/>
      <c r="F29" s="64"/>
      <c r="G29" s="414"/>
      <c r="H29" s="413"/>
      <c r="I29" s="414"/>
      <c r="J29" s="413"/>
      <c r="K29" s="734" t="str">
        <f>HYPERLINK("https://kaart.delfi.ee/?bookmark=0807568cf7d8a03cedbb545921254497","Tallinn, Algi 38")</f>
        <v>Tallinn, Algi 38</v>
      </c>
      <c r="L29" s="489" t="str">
        <f>HYPERLINK("https://www.facebook.com/events/1491109120904515/","inf")</f>
        <v>inf</v>
      </c>
      <c r="M29" s="414"/>
      <c r="N29" s="415"/>
    </row>
    <row r="30" spans="1:19" x14ac:dyDescent="0.2">
      <c r="A30" s="69"/>
      <c r="B30" s="64"/>
      <c r="C30" s="60"/>
      <c r="D30" s="64"/>
      <c r="E30" s="69"/>
      <c r="F30" s="64"/>
      <c r="G30" s="735" t="s">
        <v>24</v>
      </c>
      <c r="H30" s="391"/>
      <c r="I30" s="735" t="s">
        <v>24</v>
      </c>
      <c r="J30" s="391"/>
      <c r="K30" s="735" t="s">
        <v>24</v>
      </c>
      <c r="L30" s="519" t="s">
        <v>247</v>
      </c>
      <c r="M30" s="735" t="s">
        <v>24</v>
      </c>
      <c r="N30" s="505"/>
    </row>
    <row r="31" spans="1:19" x14ac:dyDescent="0.2">
      <c r="A31" s="69"/>
      <c r="B31" s="64"/>
      <c r="C31" s="60"/>
      <c r="D31" s="64"/>
      <c r="E31" s="69"/>
      <c r="F31" s="64"/>
      <c r="G31" s="736" t="s">
        <v>7</v>
      </c>
      <c r="H31" s="64"/>
      <c r="I31" s="736" t="s">
        <v>7</v>
      </c>
      <c r="J31" s="64"/>
      <c r="K31" s="736" t="s">
        <v>7</v>
      </c>
      <c r="L31" s="421" t="str">
        <f>HYPERLINK("http://www.cmpm2016.org/","inf")</f>
        <v>inf</v>
      </c>
      <c r="M31" s="736" t="s">
        <v>7</v>
      </c>
      <c r="N31" s="420" t="str">
        <f>HYPERLINK("https://www.facebook.com/pg/fipjp.petanquefederation.page/posts/","fb")</f>
        <v>fb</v>
      </c>
    </row>
    <row r="32" spans="1:19" ht="13.5" thickBot="1" x14ac:dyDescent="0.25">
      <c r="A32" s="69"/>
      <c r="B32" s="64"/>
      <c r="C32" s="60"/>
      <c r="D32" s="64"/>
      <c r="E32" s="69"/>
      <c r="F32" s="64"/>
      <c r="G32" s="737" t="s">
        <v>20</v>
      </c>
      <c r="I32" s="737" t="s">
        <v>20</v>
      </c>
      <c r="K32" s="738" t="str">
        <f>HYPERLINK("https://www.google.ee/maps/place/Palais+de+sport+et+de+la+Culture+Mahamasina,+Rue+Andriba,+Antananarivo,+Madagaskar/@-18.9205999,47.5247446,763m/data=!3m2!1e3!4b1!4m5!3m4!1s0x21f07e0a85d7db35:0x30c17d2548afac6!8m2!3d-18.9206203!4d47.5272353","Antananarivo (Madagaskar)")</f>
        <v>Antananarivo (Madagaskar)</v>
      </c>
      <c r="L32" s="208"/>
      <c r="M32" s="739" t="s">
        <v>21</v>
      </c>
      <c r="N32" s="209"/>
    </row>
    <row r="33" spans="1:14" x14ac:dyDescent="0.2">
      <c r="A33" s="67"/>
      <c r="B33" s="506">
        <v>5</v>
      </c>
      <c r="C33" s="68"/>
      <c r="D33" s="506">
        <v>6</v>
      </c>
      <c r="E33" s="67"/>
      <c r="F33" s="506">
        <v>7</v>
      </c>
      <c r="G33" s="93"/>
      <c r="H33" s="506">
        <v>8</v>
      </c>
      <c r="J33" s="506">
        <v>9</v>
      </c>
      <c r="L33" s="506">
        <v>10</v>
      </c>
      <c r="M33" s="708" t="str">
        <f>HYPERLINK("https://www.petanque.ee/index.php?id=103589&amp;cid=474","Eesti reiting, TRIO")</f>
        <v>Eesti reiting, TRIO</v>
      </c>
      <c r="N33" s="508">
        <v>11</v>
      </c>
    </row>
    <row r="34" spans="1:14" hidden="1" x14ac:dyDescent="0.2">
      <c r="A34" s="69"/>
      <c r="B34" s="64"/>
      <c r="C34" s="60"/>
      <c r="D34" s="64"/>
      <c r="E34" s="69"/>
      <c r="F34" s="64"/>
      <c r="G34" s="63"/>
      <c r="H34" s="64"/>
      <c r="K34" s="95"/>
      <c r="L34" s="96"/>
      <c r="M34" s="722"/>
      <c r="N34" s="86"/>
    </row>
    <row r="35" spans="1:14" x14ac:dyDescent="0.2">
      <c r="A35" s="69"/>
      <c r="B35" s="64"/>
      <c r="C35" s="60"/>
      <c r="D35" s="64"/>
      <c r="E35" s="69"/>
      <c r="F35" s="64"/>
      <c r="G35" s="63"/>
      <c r="H35" s="64"/>
      <c r="I35" s="921"/>
      <c r="J35" s="922"/>
      <c r="K35" s="923"/>
      <c r="L35" s="924"/>
      <c r="M35" s="925" t="str">
        <f>HYPERLINK("https://kaart.delfi.ee/?bookmark=0807568cf7d8a03cedbb545921254497","Tallinn")</f>
        <v>Tallinn</v>
      </c>
      <c r="N35" s="926"/>
    </row>
    <row r="36" spans="1:14" x14ac:dyDescent="0.2">
      <c r="A36" s="69"/>
      <c r="B36" s="64"/>
      <c r="C36" s="60"/>
      <c r="D36" s="64"/>
      <c r="E36" s="71"/>
      <c r="F36" s="64"/>
      <c r="G36" s="63"/>
      <c r="H36" s="64"/>
      <c r="I36" s="927" t="s">
        <v>26</v>
      </c>
      <c r="J36" s="928"/>
      <c r="K36" s="927" t="s">
        <v>26</v>
      </c>
      <c r="L36" s="928"/>
      <c r="M36" s="927" t="s">
        <v>26</v>
      </c>
      <c r="N36" s="929"/>
    </row>
    <row r="37" spans="1:14" x14ac:dyDescent="0.2">
      <c r="A37" s="69"/>
      <c r="B37" s="64"/>
      <c r="C37" s="60"/>
      <c r="D37" s="64"/>
      <c r="E37" s="69"/>
      <c r="F37" s="64"/>
      <c r="G37" s="94"/>
      <c r="H37" s="64"/>
      <c r="I37" s="740" t="s">
        <v>39</v>
      </c>
      <c r="J37" s="207"/>
      <c r="K37" s="740" t="s">
        <v>39</v>
      </c>
      <c r="L37" s="421" t="str">
        <f>HYPERLINK("http://www.cep-petanque.com/eurocup.html","inf")</f>
        <v>inf</v>
      </c>
      <c r="M37" s="740" t="s">
        <v>39</v>
      </c>
      <c r="N37" s="88"/>
    </row>
    <row r="38" spans="1:14" ht="13.5" thickBot="1" x14ac:dyDescent="0.25">
      <c r="A38" s="70"/>
      <c r="B38" s="66"/>
      <c r="C38" s="59"/>
      <c r="D38" s="66"/>
      <c r="E38" s="70"/>
      <c r="F38" s="66"/>
      <c r="G38" s="59"/>
      <c r="H38" s="73"/>
      <c r="I38" s="737" t="s">
        <v>22</v>
      </c>
      <c r="J38" s="210"/>
      <c r="K38" s="738" t="str">
        <f>HYPERLINK("https://www.google.ru/maps/place/%C3%85lg%C3%A5rdsv%C3%A4gen+30,+506+30+Bor%C3%A5s,+%D0%A8%D0%B2%D0%B5%D1%86%D0%B8%D1%8F/@57.7353287,12.9297844,436m/data=!3m2!1e3!4b1!4m2!3m1!1s0x465aa735dd325051:0xa294e73c8965b960","Borås (Rootsi)")</f>
        <v>Borås (Rootsi)</v>
      </c>
      <c r="L38" s="16"/>
      <c r="M38" s="737" t="s">
        <v>22</v>
      </c>
      <c r="N38" s="73"/>
    </row>
    <row r="39" spans="1:14" x14ac:dyDescent="0.2">
      <c r="A39" s="69"/>
      <c r="B39" s="509">
        <v>12</v>
      </c>
      <c r="C39" s="60"/>
      <c r="D39" s="509">
        <v>13</v>
      </c>
      <c r="E39" s="69"/>
      <c r="F39" s="509">
        <v>14</v>
      </c>
      <c r="G39" s="69"/>
      <c r="H39" s="509">
        <v>15</v>
      </c>
      <c r="I39" s="58"/>
      <c r="J39" s="509">
        <v>16</v>
      </c>
      <c r="K39" s="729" t="str">
        <f>HYPERLINK("https://www.petanque.ee/index.php?id=103589&amp;cid=475","Jõuluturniir ")</f>
        <v xml:space="preserve">Jõuluturniir </v>
      </c>
      <c r="L39" s="506">
        <v>17</v>
      </c>
      <c r="M39" s="723" t="str">
        <f>HYPERLINK("#2!J1","SHK KV 2. etapp, ")</f>
        <v xml:space="preserve">SHK KV 2. etapp, </v>
      </c>
      <c r="N39" s="506">
        <v>18</v>
      </c>
    </row>
    <row r="40" spans="1:14" x14ac:dyDescent="0.2">
      <c r="A40" s="69"/>
      <c r="B40" s="64"/>
      <c r="C40" s="60"/>
      <c r="D40" s="64"/>
      <c r="E40" s="60"/>
      <c r="F40" s="64"/>
      <c r="G40" s="69"/>
      <c r="H40" s="64"/>
      <c r="I40" s="58"/>
      <c r="J40" s="64"/>
      <c r="K40" s="730" t="s">
        <v>25</v>
      </c>
      <c r="L40" s="64"/>
      <c r="M40" s="732" t="s">
        <v>275</v>
      </c>
      <c r="N40" s="120"/>
    </row>
    <row r="41" spans="1:14" x14ac:dyDescent="0.2">
      <c r="A41" s="69"/>
      <c r="B41" s="64"/>
      <c r="C41" s="60"/>
      <c r="D41" s="64"/>
      <c r="E41" s="56"/>
      <c r="F41" s="64"/>
      <c r="G41" s="69"/>
      <c r="H41" s="64"/>
      <c r="I41" s="58"/>
      <c r="J41" s="64"/>
      <c r="K41" s="930" t="str">
        <f>HYPERLINK("https://kaart.delfi.ee/?bookmark=0807568cf7d8a03cedbb545921254497","Tallinn")</f>
        <v>Tallinn</v>
      </c>
      <c r="L41" s="931"/>
      <c r="M41" s="960" t="str">
        <f>HYPERLINK("https://kaart.delfi.ee/?bookmark=225e5f274dc79e88e106035de3e50b2d","K-Järve petangihall")</f>
        <v>K-Järve petangihall</v>
      </c>
      <c r="N41" s="120"/>
    </row>
    <row r="42" spans="1:14" x14ac:dyDescent="0.2">
      <c r="A42" s="69"/>
      <c r="B42" s="64"/>
      <c r="C42" s="60"/>
      <c r="D42" s="64"/>
      <c r="E42" s="69"/>
      <c r="F42" s="64"/>
      <c r="G42" s="90"/>
      <c r="H42" s="413"/>
      <c r="I42" s="414"/>
      <c r="J42" s="413"/>
      <c r="K42" s="964" t="str">
        <f>HYPERLINK("https://www.petanque.ee/index.php?id=&amp;news_id=1114","Välishooaja lõpetamine")</f>
        <v>Välishooaja lõpetamine</v>
      </c>
      <c r="L42" s="932"/>
      <c r="M42" s="933"/>
      <c r="N42" s="934"/>
    </row>
    <row r="43" spans="1:14" ht="13.5" thickBot="1" x14ac:dyDescent="0.25">
      <c r="A43" s="69"/>
      <c r="B43" s="64"/>
      <c r="C43" s="60"/>
      <c r="D43" s="64"/>
      <c r="E43" s="69"/>
      <c r="F43" s="64"/>
      <c r="G43" s="90"/>
      <c r="H43" s="413"/>
      <c r="I43" s="416"/>
      <c r="J43" s="417"/>
      <c r="K43" s="731" t="str">
        <f>HYPERLINK("https://kaart.delfi.ee//?bookmark=94c90c5b207693c11a52e327300358ae","Tallinn, Toompuiestee 16")</f>
        <v>Tallinn, Toompuiestee 16</v>
      </c>
      <c r="L43" s="417"/>
      <c r="M43" s="935"/>
      <c r="N43" s="936"/>
    </row>
    <row r="44" spans="1:14" x14ac:dyDescent="0.2">
      <c r="A44" s="67"/>
      <c r="B44" s="510">
        <v>19</v>
      </c>
      <c r="C44" s="67"/>
      <c r="D44" s="506">
        <v>20</v>
      </c>
      <c r="E44" s="67"/>
      <c r="F44" s="510">
        <v>21</v>
      </c>
      <c r="G44" s="67"/>
      <c r="H44" s="506">
        <v>22</v>
      </c>
      <c r="I44" s="67"/>
      <c r="J44" s="510">
        <v>23</v>
      </c>
      <c r="K44" s="67"/>
      <c r="L44" s="518">
        <v>24</v>
      </c>
      <c r="M44" s="727" t="str">
        <f>HYPERLINK("#JT!J1","Jõuluturniir, ")</f>
        <v xml:space="preserve">Jõuluturniir, </v>
      </c>
      <c r="N44" s="518">
        <v>25</v>
      </c>
    </row>
    <row r="45" spans="1:14" x14ac:dyDescent="0.2">
      <c r="A45" s="69"/>
      <c r="B45" s="58"/>
      <c r="C45" s="69"/>
      <c r="D45" s="64"/>
      <c r="E45" s="69"/>
      <c r="F45" s="58"/>
      <c r="G45" s="69"/>
      <c r="H45" s="64"/>
      <c r="I45" s="69"/>
      <c r="J45" s="58"/>
      <c r="K45" s="69"/>
      <c r="L45" s="64"/>
      <c r="M45" s="728" t="s">
        <v>9</v>
      </c>
      <c r="N45" s="211"/>
    </row>
    <row r="46" spans="1:14" ht="13.5" thickBot="1" x14ac:dyDescent="0.25">
      <c r="A46" s="70"/>
      <c r="B46" s="59"/>
      <c r="C46" s="70"/>
      <c r="D46" s="66"/>
      <c r="E46" s="76"/>
      <c r="F46" s="66"/>
      <c r="G46" s="70"/>
      <c r="H46" s="66"/>
      <c r="I46" s="70"/>
      <c r="J46" s="65"/>
      <c r="K46" s="70"/>
      <c r="L46" s="66"/>
      <c r="M46" s="963" t="str">
        <f>HYPERLINK("https://kaart.delfi.ee/?bookmark=225e5f274dc79e88e106035de3e50b2d","K-Järve petangihall")</f>
        <v>K-Järve petangihall</v>
      </c>
      <c r="N46" s="212"/>
    </row>
    <row r="47" spans="1:14" x14ac:dyDescent="0.2">
      <c r="A47" s="67"/>
      <c r="B47" s="518">
        <v>26</v>
      </c>
      <c r="C47" s="68"/>
      <c r="D47" s="506">
        <v>27</v>
      </c>
      <c r="E47" s="67"/>
      <c r="F47" s="506">
        <v>28</v>
      </c>
      <c r="G47" s="719" t="s">
        <v>287</v>
      </c>
      <c r="H47" s="506">
        <v>29</v>
      </c>
      <c r="I47" s="75"/>
      <c r="J47" s="506">
        <v>30</v>
      </c>
      <c r="K47" s="75"/>
      <c r="L47" s="506">
        <v>31</v>
      </c>
      <c r="M47" s="75"/>
      <c r="N47" s="518">
        <v>1</v>
      </c>
    </row>
    <row r="48" spans="1:14" x14ac:dyDescent="0.2">
      <c r="A48" s="69"/>
      <c r="B48" s="58"/>
      <c r="C48" s="69"/>
      <c r="D48" s="64"/>
      <c r="E48" s="69"/>
      <c r="F48" s="64"/>
      <c r="G48" s="720" t="s">
        <v>38</v>
      </c>
      <c r="H48" s="132"/>
      <c r="I48" s="69"/>
      <c r="J48" s="64"/>
      <c r="K48" s="69"/>
      <c r="L48" s="64"/>
      <c r="M48" s="69"/>
      <c r="N48" s="64"/>
    </row>
    <row r="49" spans="1:14" ht="13.5" thickBot="1" x14ac:dyDescent="0.25">
      <c r="A49" s="70"/>
      <c r="B49" s="59"/>
      <c r="C49" s="70"/>
      <c r="D49" s="66"/>
      <c r="E49" s="70"/>
      <c r="F49" s="66"/>
      <c r="G49" s="721" t="s">
        <v>36</v>
      </c>
      <c r="H49" s="118"/>
      <c r="I49" s="74"/>
      <c r="J49" s="66"/>
      <c r="K49" s="74"/>
      <c r="L49" s="92"/>
      <c r="M49" s="74"/>
      <c r="N49" s="92"/>
    </row>
    <row r="50" spans="1:14" s="5" customFormat="1" ht="13.5" thickBot="1" x14ac:dyDescent="0.25">
      <c r="A50" s="113" t="s">
        <v>18</v>
      </c>
      <c r="B50" s="114"/>
      <c r="C50" s="206"/>
      <c r="D50" s="25"/>
      <c r="E50" s="10"/>
      <c r="F50" s="11"/>
      <c r="G50" s="34"/>
      <c r="H50" s="25"/>
      <c r="I50" s="11"/>
      <c r="J50" s="3"/>
      <c r="K50" s="10"/>
      <c r="L50" s="11"/>
      <c r="M50" s="40"/>
      <c r="N50" s="11"/>
    </row>
    <row r="51" spans="1:14" x14ac:dyDescent="0.2">
      <c r="A51" s="67"/>
      <c r="B51" s="506">
        <v>2</v>
      </c>
      <c r="C51" s="716" t="str">
        <f>(HYPERLINK("#'Tul'!W1","Tulistamise"))</f>
        <v>Tulistamise</v>
      </c>
      <c r="D51" s="506">
        <v>3</v>
      </c>
      <c r="E51" s="67"/>
      <c r="F51" s="506">
        <v>4</v>
      </c>
      <c r="G51" s="83"/>
      <c r="H51" s="506">
        <v>5</v>
      </c>
      <c r="I51" s="83"/>
      <c r="J51" s="506">
        <v>6</v>
      </c>
      <c r="K51" s="791" t="str">
        <f>HYPERLINK("https://www.petanque.ee/index.php?id=103589&amp;cid=476","Eesti sise-MV, ")</f>
        <v xml:space="preserve">Eesti sise-MV, </v>
      </c>
      <c r="L51" s="506">
        <v>7</v>
      </c>
      <c r="M51" s="792" t="str">
        <f>HYPERLINK("https://www.petanque.ee/index.php?id=103589&amp;cid=477","Eesti sise-MV, ")</f>
        <v xml:space="preserve">Eesti sise-MV, </v>
      </c>
      <c r="N51" s="506">
        <v>8</v>
      </c>
    </row>
    <row r="52" spans="1:14" x14ac:dyDescent="0.2">
      <c r="A52" s="69"/>
      <c r="B52" s="64"/>
      <c r="C52" s="717" t="s">
        <v>80</v>
      </c>
      <c r="D52" s="132"/>
      <c r="E52" s="69"/>
      <c r="F52" s="64"/>
      <c r="G52" s="531" t="str">
        <f>HYPERLINK("http://petanque.ee/index.php?id=&amp;news_id=1117","registr")</f>
        <v>registr</v>
      </c>
      <c r="H52" s="58"/>
      <c r="I52" s="81"/>
      <c r="J52" s="64"/>
      <c r="K52" s="790" t="s">
        <v>8</v>
      </c>
      <c r="L52" s="58"/>
      <c r="M52" s="790" t="s">
        <v>28</v>
      </c>
      <c r="N52" s="64"/>
    </row>
    <row r="53" spans="1:14" ht="13.5" thickBot="1" x14ac:dyDescent="0.25">
      <c r="A53" s="70"/>
      <c r="B53" s="66"/>
      <c r="C53" s="718" t="s">
        <v>36</v>
      </c>
      <c r="D53" s="118"/>
      <c r="E53" s="70"/>
      <c r="F53" s="91"/>
      <c r="G53" s="82"/>
      <c r="H53" s="92"/>
      <c r="I53" s="82"/>
      <c r="J53" s="92"/>
      <c r="K53" s="710" t="str">
        <f>HYPERLINK("https://kaart.delfi.ee/?bookmark=0807568cf7d8a03cedbb545921254497","Tallinn")</f>
        <v>Tallinn</v>
      </c>
      <c r="L53" s="92"/>
      <c r="M53" s="710" t="str">
        <f>HYPERLINK("https://kaart.delfi.ee/?bookmark=0807568cf7d8a03cedbb545921254497","Tallinn")</f>
        <v>Tallinn</v>
      </c>
      <c r="N53" s="66"/>
    </row>
    <row r="54" spans="1:14" x14ac:dyDescent="0.2">
      <c r="A54" s="19"/>
      <c r="B54" s="511">
        <v>9</v>
      </c>
      <c r="C54" s="20"/>
      <c r="D54" s="511">
        <v>10</v>
      </c>
      <c r="E54" s="19"/>
      <c r="F54" s="511">
        <v>11</v>
      </c>
      <c r="G54" s="21"/>
      <c r="H54" s="511">
        <v>12</v>
      </c>
      <c r="I54" s="22"/>
      <c r="J54" s="511">
        <v>13</v>
      </c>
      <c r="K54" s="19"/>
      <c r="L54" s="511">
        <v>14</v>
      </c>
      <c r="M54" s="723" t="str">
        <f>HYPERLINK("#3!J1","SHK KV 3. etapp, ")</f>
        <v xml:space="preserve">SHK KV 3. etapp, </v>
      </c>
      <c r="N54" s="511">
        <v>15</v>
      </c>
    </row>
    <row r="55" spans="1:14" x14ac:dyDescent="0.2">
      <c r="A55" s="18"/>
      <c r="B55" s="12"/>
      <c r="C55" s="10"/>
      <c r="D55" s="23"/>
      <c r="E55" s="24"/>
      <c r="G55" s="24"/>
      <c r="H55" s="23"/>
      <c r="I55" s="25"/>
      <c r="J55" s="23"/>
      <c r="K55" s="18"/>
      <c r="L55" s="12"/>
      <c r="M55" s="724" t="s">
        <v>9</v>
      </c>
      <c r="N55" s="121"/>
    </row>
    <row r="56" spans="1:14" x14ac:dyDescent="0.2">
      <c r="A56" s="18"/>
      <c r="B56" s="12"/>
      <c r="C56" s="10"/>
      <c r="D56" s="23"/>
      <c r="E56" s="10"/>
      <c r="G56" s="24"/>
      <c r="H56" s="23"/>
      <c r="I56" s="25"/>
      <c r="J56" s="23"/>
      <c r="K56" s="937"/>
      <c r="L56" s="938"/>
      <c r="M56" s="939" t="str">
        <f>HYPERLINK("https://kaart.delfi.ee/?bookmark=225e5f274dc79e88e106035de3e50b2d","K-Järve petangihall")</f>
        <v>K-Järve petangihall</v>
      </c>
      <c r="N56" s="940"/>
    </row>
    <row r="57" spans="1:14" x14ac:dyDescent="0.2">
      <c r="A57" s="18"/>
      <c r="B57" s="12"/>
      <c r="C57" s="10"/>
      <c r="D57" s="23"/>
      <c r="E57" s="10"/>
      <c r="G57" s="24"/>
      <c r="H57" s="23"/>
      <c r="I57" s="25"/>
      <c r="J57" s="23"/>
      <c r="K57" s="941" t="str">
        <f>HYPERLINK("https://www.petanque.ee/index.php?id=103589&amp;cid=500","MM katsevõistlused,")</f>
        <v>MM katsevõistlused,</v>
      </c>
      <c r="L57" s="942"/>
      <c r="M57" s="943" t="s">
        <v>269</v>
      </c>
      <c r="N57" s="944"/>
    </row>
    <row r="58" spans="1:14" x14ac:dyDescent="0.2">
      <c r="A58" s="18"/>
      <c r="B58" s="12"/>
      <c r="C58" s="10"/>
      <c r="D58" s="23"/>
      <c r="E58" s="10"/>
      <c r="G58" s="24"/>
      <c r="H58" s="23"/>
      <c r="I58" s="25"/>
      <c r="J58" s="23"/>
      <c r="K58" s="741" t="s">
        <v>270</v>
      </c>
      <c r="L58" s="12"/>
      <c r="M58" s="741" t="s">
        <v>270</v>
      </c>
      <c r="N58" s="530"/>
    </row>
    <row r="59" spans="1:14" ht="13.5" thickBot="1" x14ac:dyDescent="0.25">
      <c r="A59" s="18"/>
      <c r="B59" s="12"/>
      <c r="C59" s="10"/>
      <c r="D59" s="23"/>
      <c r="E59" s="18"/>
      <c r="F59" s="12"/>
      <c r="G59" s="24"/>
      <c r="H59" s="23"/>
      <c r="I59" s="26"/>
      <c r="J59" s="23"/>
      <c r="K59" s="726" t="str">
        <f>HYPERLINK("https://kaart.delfi.ee/?bookmark=0807568cf7d8a03cedbb545921254497","Tallinn")</f>
        <v>Tallinn</v>
      </c>
      <c r="L59" s="532" t="str">
        <f>HYPERLINK("https://www.petanque.ee/juhendid/katsevoistluste-juhend-2017-gent-mm/","juh")</f>
        <v>juh</v>
      </c>
      <c r="M59" s="726" t="str">
        <f>HYPERLINK("https://kaart.delfi.ee/?bookmark=0807568cf7d8a03cedbb545921254497","Tallinn")</f>
        <v>Tallinn</v>
      </c>
      <c r="N59" s="530"/>
    </row>
    <row r="60" spans="1:14" x14ac:dyDescent="0.2">
      <c r="A60" s="13"/>
      <c r="B60" s="511">
        <v>16</v>
      </c>
      <c r="C60" s="27"/>
      <c r="D60" s="511">
        <v>17</v>
      </c>
      <c r="E60" s="28"/>
      <c r="F60" s="511">
        <v>18</v>
      </c>
      <c r="G60" s="29"/>
      <c r="H60" s="511">
        <v>19</v>
      </c>
      <c r="I60" s="30"/>
      <c r="J60" s="511">
        <v>20</v>
      </c>
      <c r="K60" s="708" t="str">
        <f>HYPERLINK("https://www.petanque.ee/index.php?id=103589&amp;cid=478","Eesti reiting, DUO")</f>
        <v>Eesti reiting, DUO</v>
      </c>
      <c r="L60" s="511">
        <v>21</v>
      </c>
      <c r="M60" s="75"/>
      <c r="N60" s="511">
        <v>22</v>
      </c>
    </row>
    <row r="61" spans="1:14" hidden="1" x14ac:dyDescent="0.2">
      <c r="A61" s="18"/>
      <c r="B61" s="12"/>
      <c r="C61" s="10"/>
      <c r="D61" s="12"/>
      <c r="E61" s="31"/>
      <c r="F61" s="23"/>
      <c r="G61" s="24"/>
      <c r="H61" s="23"/>
      <c r="I61" s="25"/>
      <c r="J61" s="23"/>
      <c r="K61" s="722"/>
      <c r="L61" s="12"/>
      <c r="M61" s="69"/>
      <c r="N61" s="97"/>
    </row>
    <row r="62" spans="1:14" ht="13.5" thickBot="1" x14ac:dyDescent="0.25">
      <c r="A62" s="18"/>
      <c r="B62" s="12"/>
      <c r="C62" s="10"/>
      <c r="D62" s="12"/>
      <c r="E62" s="31"/>
      <c r="F62" s="23"/>
      <c r="G62" s="24"/>
      <c r="H62" s="23"/>
      <c r="I62" s="24"/>
      <c r="J62" s="23"/>
      <c r="K62" s="715" t="str">
        <f>HYPERLINK("https://kaart.delfi.ee/?bookmark=0807568cf7d8a03cedbb545921254497","Tallinn")</f>
        <v>Tallinn</v>
      </c>
      <c r="L62" s="12"/>
      <c r="M62" s="74"/>
      <c r="N62" s="16"/>
    </row>
    <row r="63" spans="1:14" x14ac:dyDescent="0.2">
      <c r="A63" s="13"/>
      <c r="B63" s="511">
        <v>23</v>
      </c>
      <c r="C63" s="27"/>
      <c r="D63" s="511">
        <v>24</v>
      </c>
      <c r="E63" s="28"/>
      <c r="F63" s="511">
        <v>25</v>
      </c>
      <c r="G63" s="29"/>
      <c r="H63" s="511">
        <v>26</v>
      </c>
      <c r="I63" s="75"/>
      <c r="J63" s="515">
        <v>27</v>
      </c>
      <c r="K63" s="75"/>
      <c r="L63" s="511">
        <v>28</v>
      </c>
      <c r="M63" s="723" t="str">
        <f>HYPERLINK("#4!L1","SHK KV 4. etapp, ")</f>
        <v xml:space="preserve">SHK KV 4. etapp, </v>
      </c>
      <c r="N63" s="511">
        <v>29</v>
      </c>
    </row>
    <row r="64" spans="1:14" x14ac:dyDescent="0.2">
      <c r="A64" s="18"/>
      <c r="B64" s="12"/>
      <c r="C64" s="10"/>
      <c r="D64" s="12"/>
      <c r="E64" s="31"/>
      <c r="F64" s="23"/>
      <c r="G64" s="24"/>
      <c r="H64" s="23"/>
      <c r="I64" s="69"/>
      <c r="J64" s="33"/>
      <c r="K64" s="69"/>
      <c r="L64" s="33"/>
      <c r="M64" s="724" t="s">
        <v>8</v>
      </c>
      <c r="N64" s="122"/>
    </row>
    <row r="65" spans="1:14" ht="13.5" thickBot="1" x14ac:dyDescent="0.25">
      <c r="A65" s="17"/>
      <c r="B65" s="16"/>
      <c r="C65" s="14"/>
      <c r="D65" s="16"/>
      <c r="E65" s="35"/>
      <c r="F65" s="36"/>
      <c r="G65" s="37"/>
      <c r="H65" s="36"/>
      <c r="I65" s="74"/>
      <c r="J65" s="36"/>
      <c r="K65" s="74"/>
      <c r="L65" s="16"/>
      <c r="M65" s="725" t="str">
        <f>HYPERLINK("https://kaart.delfi.ee/?bookmark=225e5f274dc79e88e106035de3e50b2d","K-Järve petangihall")</f>
        <v>K-Järve petangihall</v>
      </c>
      <c r="N65" s="119"/>
    </row>
    <row r="66" spans="1:14" ht="13.5" thickBot="1" x14ac:dyDescent="0.25">
      <c r="A66" s="113" t="s">
        <v>27</v>
      </c>
      <c r="B66" s="114"/>
      <c r="C66" s="206"/>
      <c r="D66" s="58"/>
      <c r="E66" s="60"/>
      <c r="F66" s="60"/>
      <c r="G66" s="58"/>
      <c r="H66" s="58"/>
      <c r="I66" s="58"/>
      <c r="J66" s="58"/>
      <c r="K66" s="58"/>
      <c r="L66" s="58"/>
      <c r="M66" s="72"/>
      <c r="N66" s="58"/>
    </row>
    <row r="67" spans="1:14" x14ac:dyDescent="0.2">
      <c r="A67" s="98"/>
      <c r="B67" s="516">
        <v>30</v>
      </c>
      <c r="C67" s="98"/>
      <c r="D67" s="516">
        <v>31</v>
      </c>
      <c r="E67" s="98"/>
      <c r="F67" s="516">
        <v>1</v>
      </c>
      <c r="G67" s="100"/>
      <c r="H67" s="516">
        <v>2</v>
      </c>
      <c r="I67" s="100"/>
      <c r="J67" s="516">
        <v>3</v>
      </c>
      <c r="K67" s="791" t="str">
        <f>HYPERLINK("https://www.petanque.ee/index.php?id=103589&amp;cid=479","Eesti sise-MV, ")</f>
        <v xml:space="preserve">Eesti sise-MV, </v>
      </c>
      <c r="L67" s="516">
        <v>4</v>
      </c>
      <c r="M67" s="98"/>
      <c r="N67" s="516">
        <v>5</v>
      </c>
    </row>
    <row r="68" spans="1:14" x14ac:dyDescent="0.2">
      <c r="A68" s="101"/>
      <c r="B68" s="102"/>
      <c r="C68" s="101"/>
      <c r="D68" s="102"/>
      <c r="E68" s="101"/>
      <c r="F68" s="102"/>
      <c r="G68" s="101"/>
      <c r="H68" s="102"/>
      <c r="I68" s="103"/>
      <c r="J68" s="104"/>
      <c r="K68" s="790" t="s">
        <v>9</v>
      </c>
      <c r="L68" s="102"/>
      <c r="M68" s="101"/>
      <c r="N68" s="102"/>
    </row>
    <row r="69" spans="1:14" ht="13.5" thickBot="1" x14ac:dyDescent="0.25">
      <c r="A69" s="105"/>
      <c r="B69" s="106"/>
      <c r="C69" s="105"/>
      <c r="D69" s="106"/>
      <c r="E69" s="105"/>
      <c r="F69" s="106"/>
      <c r="G69" s="107"/>
      <c r="H69" s="106"/>
      <c r="I69" s="107"/>
      <c r="J69" s="106"/>
      <c r="K69" s="710" t="str">
        <f>HYPERLINK("https://kaart.delfi.ee/?bookmark=0807568cf7d8a03cedbb545921254497","Tallinn")</f>
        <v>Tallinn</v>
      </c>
      <c r="L69" s="106"/>
      <c r="M69" s="105"/>
      <c r="N69" s="106"/>
    </row>
    <row r="70" spans="1:14" x14ac:dyDescent="0.2">
      <c r="A70" s="98"/>
      <c r="B70" s="516">
        <v>6</v>
      </c>
      <c r="C70" s="98"/>
      <c r="D70" s="516">
        <v>7</v>
      </c>
      <c r="E70" s="98"/>
      <c r="F70" s="516">
        <v>8</v>
      </c>
      <c r="G70" s="100"/>
      <c r="H70" s="516">
        <v>9</v>
      </c>
      <c r="I70" s="100"/>
      <c r="J70" s="516">
        <v>10</v>
      </c>
      <c r="K70" s="793" t="s">
        <v>352</v>
      </c>
      <c r="L70" s="516">
        <v>11</v>
      </c>
      <c r="M70" s="529" t="str">
        <f>HYPERLINK("#5!I1","SHK KV 5. etapp, ")</f>
        <v xml:space="preserve">SHK KV 5. etapp, </v>
      </c>
      <c r="N70" s="516">
        <v>12</v>
      </c>
    </row>
    <row r="71" spans="1:14" x14ac:dyDescent="0.2">
      <c r="A71" s="101"/>
      <c r="B71" s="102"/>
      <c r="C71" s="101"/>
      <c r="E71" s="101"/>
      <c r="F71" s="102"/>
      <c r="G71" s="103"/>
      <c r="H71" s="102"/>
      <c r="I71" s="103"/>
      <c r="J71" s="102"/>
      <c r="K71" s="794" t="s">
        <v>319</v>
      </c>
      <c r="L71" s="102"/>
      <c r="M71" s="796" t="s">
        <v>10</v>
      </c>
      <c r="N71" s="123"/>
    </row>
    <row r="72" spans="1:14" ht="13.5" thickBot="1" x14ac:dyDescent="0.25">
      <c r="A72" s="105"/>
      <c r="B72" s="106"/>
      <c r="C72" s="105"/>
      <c r="D72" s="106"/>
      <c r="E72" s="105"/>
      <c r="F72" s="106"/>
      <c r="G72" s="107"/>
      <c r="H72" s="106"/>
      <c r="I72" s="107"/>
      <c r="J72" s="106"/>
      <c r="K72" s="795" t="str">
        <f>HYPERLINK("https://kaart.delfi.ee/?bookmark=0807568cf7d8a03cedbb545921254497","Tallinn")</f>
        <v>Tallinn</v>
      </c>
      <c r="L72" s="106"/>
      <c r="M72" s="797" t="str">
        <f>HYPERLINK("https://kaart.delfi.ee/?bookmark=225e5f274dc79e88e106035de3e50b2d","K-Järve petangihall")</f>
        <v>K-Järve petangihall</v>
      </c>
      <c r="N72" s="124"/>
    </row>
    <row r="73" spans="1:14" x14ac:dyDescent="0.2">
      <c r="A73" s="98"/>
      <c r="B73" s="516">
        <v>13</v>
      </c>
      <c r="C73" s="98"/>
      <c r="D73" s="516">
        <v>14</v>
      </c>
      <c r="E73" s="98"/>
      <c r="F73" s="516">
        <v>15</v>
      </c>
      <c r="G73" s="100"/>
      <c r="H73" s="516">
        <v>16</v>
      </c>
      <c r="I73" s="100"/>
      <c r="J73" s="516">
        <v>17</v>
      </c>
      <c r="K73" s="13"/>
      <c r="L73" s="99">
        <v>18</v>
      </c>
      <c r="M73" s="712" t="str">
        <f>HYPERLINK("#'Reg-2'!K1","Regioonide karika 2.etapp")</f>
        <v>Regioonide karika 2.etapp</v>
      </c>
      <c r="N73" s="513">
        <v>19</v>
      </c>
    </row>
    <row r="74" spans="1:14" x14ac:dyDescent="0.2">
      <c r="A74" s="101"/>
      <c r="B74" s="102"/>
      <c r="C74" s="101"/>
      <c r="D74" s="102"/>
      <c r="E74" s="101"/>
      <c r="F74" s="102"/>
      <c r="G74" s="103"/>
      <c r="H74" s="102"/>
      <c r="I74" s="103"/>
      <c r="J74" s="102"/>
      <c r="K74" s="18"/>
      <c r="L74" s="102"/>
      <c r="M74" s="713" t="s">
        <v>10</v>
      </c>
      <c r="N74" s="501" t="str">
        <f>HYPERLINK("https://www.petanque.ee/juhendid/regioonide-karikas-2016-2017/","juh")</f>
        <v>juh</v>
      </c>
    </row>
    <row r="75" spans="1:14" ht="13.5" thickBot="1" x14ac:dyDescent="0.25">
      <c r="A75" s="105"/>
      <c r="B75" s="106"/>
      <c r="C75" s="105"/>
      <c r="D75" s="106"/>
      <c r="E75" s="105"/>
      <c r="F75" s="106"/>
      <c r="G75" s="107"/>
      <c r="H75" s="106"/>
      <c r="I75" s="103"/>
      <c r="J75" s="106"/>
      <c r="K75" s="17"/>
      <c r="L75" s="106"/>
      <c r="M75" s="714" t="s">
        <v>36</v>
      </c>
      <c r="N75" s="502"/>
    </row>
    <row r="76" spans="1:14" x14ac:dyDescent="0.2">
      <c r="A76" s="98"/>
      <c r="B76" s="516">
        <v>20</v>
      </c>
      <c r="C76" s="98"/>
      <c r="D76" s="516">
        <v>21</v>
      </c>
      <c r="E76" s="98"/>
      <c r="F76" s="516">
        <v>22</v>
      </c>
      <c r="G76" s="100"/>
      <c r="H76" s="516">
        <v>23</v>
      </c>
      <c r="I76" s="412"/>
      <c r="J76" s="517">
        <v>24</v>
      </c>
      <c r="K76" s="98"/>
      <c r="L76" s="516">
        <v>25</v>
      </c>
      <c r="M76" s="529" t="str">
        <f>HYPERLINK("#6!L1","SHK KV 6. etapp, ")</f>
        <v xml:space="preserve">SHK KV 6. etapp, </v>
      </c>
      <c r="N76" s="516">
        <v>26</v>
      </c>
    </row>
    <row r="77" spans="1:14" x14ac:dyDescent="0.2">
      <c r="A77" s="101"/>
      <c r="B77" s="102"/>
      <c r="C77" s="101"/>
      <c r="D77" s="102"/>
      <c r="E77" s="101"/>
      <c r="F77" s="102"/>
      <c r="G77" s="103"/>
      <c r="H77" s="102"/>
      <c r="I77" s="643"/>
      <c r="J77" s="102"/>
      <c r="K77" s="101"/>
      <c r="L77" s="102"/>
      <c r="M77" s="798" t="s">
        <v>8</v>
      </c>
      <c r="N77" s="123"/>
    </row>
    <row r="78" spans="1:14" ht="13.5" thickBot="1" x14ac:dyDescent="0.25">
      <c r="A78" s="105"/>
      <c r="B78" s="106"/>
      <c r="C78" s="105"/>
      <c r="D78" s="106"/>
      <c r="E78" s="105"/>
      <c r="F78" s="106"/>
      <c r="G78" s="107"/>
      <c r="H78" s="106"/>
      <c r="I78" s="644"/>
      <c r="J78" s="106"/>
      <c r="K78" s="105"/>
      <c r="L78" s="106"/>
      <c r="M78" s="797" t="str">
        <f>HYPERLINK("https://kaart.delfi.ee/?bookmark=225e5f274dc79e88e106035de3e50b2d","K-Järve petangihall")</f>
        <v>K-Järve petangihall</v>
      </c>
      <c r="N78" s="124"/>
    </row>
    <row r="79" spans="1:14" s="5" customFormat="1" ht="13.5" thickBot="1" x14ac:dyDescent="0.25">
      <c r="A79" s="113" t="s">
        <v>29</v>
      </c>
      <c r="B79" s="114"/>
      <c r="C79" s="206"/>
      <c r="D79" s="11"/>
      <c r="E79" s="10"/>
      <c r="F79" s="11"/>
      <c r="G79" s="34"/>
      <c r="H79" s="25"/>
      <c r="I79" s="25"/>
      <c r="J79" s="25"/>
      <c r="K79" s="10"/>
      <c r="L79" s="11"/>
      <c r="M79" s="40"/>
      <c r="N79" s="11"/>
    </row>
    <row r="80" spans="1:14" x14ac:dyDescent="0.2">
      <c r="A80" s="98"/>
      <c r="B80" s="516">
        <v>27</v>
      </c>
      <c r="C80" s="98"/>
      <c r="D80" s="516">
        <v>28</v>
      </c>
      <c r="E80" s="98"/>
      <c r="F80" s="516">
        <v>1</v>
      </c>
      <c r="G80" s="98"/>
      <c r="H80" s="516">
        <v>2</v>
      </c>
      <c r="I80" s="98"/>
      <c r="J80" s="516">
        <v>3</v>
      </c>
      <c r="K80" s="902" t="str">
        <f>HYPERLINK("https://www.petanque.ee/index.php?id=103589&amp;cid=481","Naistepäeva turniir, ")</f>
        <v xml:space="preserve">Naistepäeva turniir, </v>
      </c>
      <c r="L80" s="516">
        <v>4</v>
      </c>
      <c r="M80" s="529" t="str">
        <f>HYPERLINK("#7!L1","SHK KV 7. etapp, ")</f>
        <v xml:space="preserve">SHK KV 7. etapp, </v>
      </c>
      <c r="N80" s="516">
        <v>5</v>
      </c>
    </row>
    <row r="81" spans="1:14" x14ac:dyDescent="0.2">
      <c r="A81" s="101"/>
      <c r="B81" s="102"/>
      <c r="C81" s="101"/>
      <c r="D81" s="102"/>
      <c r="E81" s="101"/>
      <c r="F81" s="102"/>
      <c r="G81" s="101"/>
      <c r="H81" s="102"/>
      <c r="I81" s="101"/>
      <c r="J81" s="102"/>
      <c r="K81" s="794" t="s">
        <v>12</v>
      </c>
      <c r="L81" s="102"/>
      <c r="M81" s="798" t="s">
        <v>9</v>
      </c>
      <c r="N81" s="123"/>
    </row>
    <row r="82" spans="1:14" ht="13.5" thickBot="1" x14ac:dyDescent="0.25">
      <c r="A82" s="101"/>
      <c r="B82" s="102"/>
      <c r="C82" s="101"/>
      <c r="D82" s="102"/>
      <c r="E82" s="101"/>
      <c r="F82" s="102"/>
      <c r="G82" s="101"/>
      <c r="H82" s="102"/>
      <c r="I82" s="101"/>
      <c r="J82" s="102"/>
      <c r="K82" s="795" t="str">
        <f>HYPERLINK("https://kaart.delfi.ee/?bookmark=0807568cf7d8a03cedbb545921254497","Tallinn")</f>
        <v>Tallinn</v>
      </c>
      <c r="L82" s="611"/>
      <c r="M82" s="909" t="s">
        <v>36</v>
      </c>
      <c r="N82" s="612"/>
    </row>
    <row r="83" spans="1:14" ht="13.5" hidden="1" thickBot="1" x14ac:dyDescent="0.25">
      <c r="A83" s="101"/>
      <c r="B83" s="102"/>
      <c r="C83" s="101"/>
      <c r="D83" s="102"/>
      <c r="E83" s="101"/>
      <c r="F83" s="102"/>
      <c r="G83" s="101"/>
      <c r="H83" s="102"/>
      <c r="I83" s="101"/>
      <c r="J83" s="102"/>
      <c r="K83" s="904" t="s">
        <v>294</v>
      </c>
      <c r="L83" s="616"/>
      <c r="M83" s="904" t="s">
        <v>288</v>
      </c>
      <c r="N83" s="616"/>
    </row>
    <row r="84" spans="1:14" ht="13.5" hidden="1" customHeight="1" thickBot="1" x14ac:dyDescent="0.25">
      <c r="A84" s="105"/>
      <c r="B84" s="106"/>
      <c r="C84" s="105"/>
      <c r="D84" s="106"/>
      <c r="E84" s="105"/>
      <c r="F84" s="106"/>
      <c r="G84" s="105"/>
      <c r="H84" s="106"/>
      <c r="I84" s="105"/>
      <c r="J84" s="106"/>
      <c r="K84" s="905" t="str">
        <f>HYPERLINK("https://www.google.com/maps/dir/60.1955816,24.9359298/60.1948296,24.9330223/@60.1958625,24.9317434,401m/am=t/data=!3m2!1e3!4b1!4m2!4m1!3e0?hl=en","Helsingi (Soome)")</f>
        <v>Helsingi (Soome)</v>
      </c>
      <c r="L84" s="64"/>
      <c r="M84" s="905" t="str">
        <f>HYPERLINK("https://www.google.com/maps/dir/60.1955816,24.9359298/60.1948296,24.9330223/@60.1958625,24.9317434,401m/am=t/data=!3m2!1e3!4b1!4m2!4m1!3e0?hl=en","Helsingi (Soome)")</f>
        <v>Helsingi (Soome)</v>
      </c>
      <c r="N84" s="64"/>
    </row>
    <row r="85" spans="1:14" x14ac:dyDescent="0.2">
      <c r="A85" s="67"/>
      <c r="B85" s="516">
        <v>6</v>
      </c>
      <c r="C85" s="67"/>
      <c r="D85" s="516">
        <v>7</v>
      </c>
      <c r="E85" s="67"/>
      <c r="F85" s="516">
        <v>8</v>
      </c>
      <c r="G85" s="67"/>
      <c r="H85" s="516">
        <v>9</v>
      </c>
      <c r="I85" s="67"/>
      <c r="J85" s="516">
        <v>10</v>
      </c>
      <c r="K85" s="791" t="str">
        <f>HYPERLINK("https://www.petanque.ee/index.php?id=103589&amp;cid=482","Eesti sise-MV, ")</f>
        <v xml:space="preserve">Eesti sise-MV, </v>
      </c>
      <c r="L85" s="516">
        <v>11</v>
      </c>
      <c r="M85" s="910" t="str">
        <f>HYPERLINK("https://www.petanque.ee/index.php?id=103589&amp;cid=480","Eesti reiting, ")</f>
        <v xml:space="preserve">Eesti reiting, </v>
      </c>
      <c r="N85" s="516">
        <v>12</v>
      </c>
    </row>
    <row r="86" spans="1:14" x14ac:dyDescent="0.2">
      <c r="A86" s="69"/>
      <c r="B86" s="64"/>
      <c r="C86" s="69"/>
      <c r="D86" s="64"/>
      <c r="E86" s="69"/>
      <c r="F86" s="64"/>
      <c r="G86" s="69"/>
      <c r="H86" s="64"/>
      <c r="I86" s="69"/>
      <c r="J86" s="64"/>
      <c r="K86" s="790" t="s">
        <v>11</v>
      </c>
      <c r="L86" s="64"/>
      <c r="M86" s="709" t="s">
        <v>10</v>
      </c>
      <c r="N86" s="64"/>
    </row>
    <row r="87" spans="1:14" ht="13.5" thickBot="1" x14ac:dyDescent="0.25">
      <c r="A87" s="70"/>
      <c r="B87" s="66"/>
      <c r="C87" s="70"/>
      <c r="D87" s="66"/>
      <c r="E87" s="70"/>
      <c r="F87" s="66"/>
      <c r="G87" s="70"/>
      <c r="H87" s="66"/>
      <c r="I87" s="70"/>
      <c r="J87" s="66"/>
      <c r="K87" s="906" t="str">
        <f>HYPERLINK("https://kaart.delfi.ee/?bookmark=225e5f274dc79e88e106035de3e50b2d","K-Järve petangihall")</f>
        <v>K-Järve petangihall</v>
      </c>
      <c r="L87" s="118"/>
      <c r="M87" s="906" t="str">
        <f>HYPERLINK("https://kaart.delfi.ee/?bookmark=225e5f274dc79e88e106035de3e50b2d","K-Järve petangihall")</f>
        <v>K-Järve petangihall</v>
      </c>
      <c r="N87" s="118"/>
    </row>
    <row r="88" spans="1:14" x14ac:dyDescent="0.2">
      <c r="A88" s="67"/>
      <c r="B88" s="516">
        <v>13</v>
      </c>
      <c r="C88" s="67"/>
      <c r="D88" s="516">
        <v>14</v>
      </c>
      <c r="E88" s="67"/>
      <c r="F88" s="516">
        <v>15</v>
      </c>
      <c r="G88" s="67"/>
      <c r="H88" s="516">
        <v>16</v>
      </c>
      <c r="I88" s="67"/>
      <c r="J88" s="516">
        <v>17</v>
      </c>
      <c r="K88" s="907"/>
      <c r="L88" s="516">
        <v>18</v>
      </c>
      <c r="M88" s="743"/>
      <c r="N88" s="516">
        <v>19</v>
      </c>
    </row>
    <row r="89" spans="1:14" x14ac:dyDescent="0.2">
      <c r="A89" s="69"/>
      <c r="B89" s="64"/>
      <c r="C89" s="69"/>
      <c r="D89" s="64"/>
      <c r="E89" s="69"/>
      <c r="F89" s="64"/>
      <c r="G89" s="69"/>
      <c r="H89" s="64"/>
      <c r="I89" s="69"/>
      <c r="J89" s="64"/>
      <c r="K89" s="744"/>
      <c r="L89" s="64"/>
      <c r="M89" s="744"/>
      <c r="N89" s="64"/>
    </row>
    <row r="90" spans="1:14" ht="13.5" thickBot="1" x14ac:dyDescent="0.25">
      <c r="A90" s="69"/>
      <c r="B90" s="64"/>
      <c r="C90" s="69"/>
      <c r="D90" s="64"/>
      <c r="E90" s="69"/>
      <c r="F90" s="64"/>
      <c r="G90" s="69"/>
      <c r="H90" s="64"/>
      <c r="I90" s="69"/>
      <c r="J90" s="64"/>
      <c r="K90" s="744"/>
      <c r="L90" s="64"/>
      <c r="M90" s="744"/>
      <c r="N90" s="64"/>
    </row>
    <row r="91" spans="1:14" x14ac:dyDescent="0.2">
      <c r="A91" s="67"/>
      <c r="B91" s="516">
        <v>20</v>
      </c>
      <c r="C91" s="67"/>
      <c r="D91" s="516">
        <v>21</v>
      </c>
      <c r="E91" s="67"/>
      <c r="F91" s="516">
        <v>22</v>
      </c>
      <c r="G91" s="67"/>
      <c r="H91" s="516">
        <v>23</v>
      </c>
      <c r="I91" s="67"/>
      <c r="J91" s="516">
        <v>24</v>
      </c>
      <c r="K91" s="708" t="str">
        <f>HYPERLINK("https://www.petanque.ee/index.php?id=103589&amp;cid=483","Eesti reiting, ")</f>
        <v xml:space="preserve">Eesti reiting, </v>
      </c>
      <c r="L91" s="516">
        <v>25</v>
      </c>
      <c r="M91" s="67"/>
      <c r="N91" s="516">
        <v>26</v>
      </c>
    </row>
    <row r="92" spans="1:14" x14ac:dyDescent="0.2">
      <c r="A92" s="69"/>
      <c r="B92" s="64"/>
      <c r="C92" s="69"/>
      <c r="D92" s="64"/>
      <c r="E92" s="69"/>
      <c r="F92" s="64"/>
      <c r="G92" s="69"/>
      <c r="H92" s="64"/>
      <c r="I92" s="69"/>
      <c r="J92" s="64"/>
      <c r="K92" s="709" t="s">
        <v>9</v>
      </c>
      <c r="L92" s="64"/>
      <c r="M92" s="69"/>
      <c r="N92" s="64"/>
    </row>
    <row r="93" spans="1:14" ht="13.5" thickBot="1" x14ac:dyDescent="0.25">
      <c r="A93" s="70"/>
      <c r="B93" s="91"/>
      <c r="C93" s="70"/>
      <c r="D93" s="91"/>
      <c r="E93" s="70"/>
      <c r="F93" s="66"/>
      <c r="G93" s="70"/>
      <c r="H93" s="91"/>
      <c r="I93" s="70"/>
      <c r="J93" s="91"/>
      <c r="K93" s="908" t="str">
        <f>HYPERLINK("https://kaart.delfi.ee/?bookmark=0807568cf7d8a03cedbb545921254497","Tallinn")</f>
        <v>Tallinn</v>
      </c>
      <c r="L93" s="66"/>
      <c r="M93" s="70"/>
      <c r="N93" s="66"/>
    </row>
    <row r="94" spans="1:14" s="44" customFormat="1" ht="13.5" thickBot="1" x14ac:dyDescent="0.25">
      <c r="A94" s="113" t="s">
        <v>15</v>
      </c>
      <c r="B94" s="115"/>
      <c r="C94" s="205"/>
      <c r="D94" s="43"/>
      <c r="E94" s="42"/>
      <c r="F94" s="43"/>
      <c r="G94" s="42"/>
      <c r="H94" s="43"/>
      <c r="I94" s="43"/>
      <c r="J94" s="43"/>
      <c r="K94" s="42"/>
      <c r="L94" s="43"/>
      <c r="M94" s="42"/>
      <c r="N94" s="43"/>
    </row>
    <row r="95" spans="1:14" x14ac:dyDescent="0.2">
      <c r="A95" s="13"/>
      <c r="B95" s="516">
        <v>27</v>
      </c>
      <c r="C95" s="27"/>
      <c r="D95" s="516">
        <v>28</v>
      </c>
      <c r="E95" s="13"/>
      <c r="F95" s="516">
        <v>29</v>
      </c>
      <c r="G95" s="38"/>
      <c r="H95" s="516">
        <v>30</v>
      </c>
      <c r="I95" s="41"/>
      <c r="J95" s="516">
        <v>31</v>
      </c>
      <c r="K95" s="902" t="str">
        <f>HYPERLINK("https://www.petanque.ee/index.php?id=103589&amp;cid=484","Naljaturniir, ")</f>
        <v xml:space="preserve">Naljaturniir, </v>
      </c>
      <c r="L95" s="516">
        <v>1</v>
      </c>
      <c r="M95" s="529" t="str">
        <f>HYPERLINK("#8!L1","SHK KV 8. etapp, ")</f>
        <v xml:space="preserve">SHK KV 8. etapp, </v>
      </c>
      <c r="N95" s="516">
        <v>2</v>
      </c>
    </row>
    <row r="96" spans="1:14" x14ac:dyDescent="0.2">
      <c r="A96" s="18"/>
      <c r="B96" s="12"/>
      <c r="C96" s="10"/>
      <c r="D96" s="12"/>
      <c r="E96" s="18"/>
      <c r="F96" s="12"/>
      <c r="G96" s="18"/>
      <c r="H96" s="12"/>
      <c r="I96" s="18"/>
      <c r="J96" s="12"/>
      <c r="K96" s="794" t="s">
        <v>275</v>
      </c>
      <c r="L96" s="12"/>
      <c r="M96" s="898" t="s">
        <v>10</v>
      </c>
      <c r="N96" s="125"/>
    </row>
    <row r="97" spans="1:19" ht="13.5" thickBot="1" x14ac:dyDescent="0.25">
      <c r="A97" s="17"/>
      <c r="B97" s="16"/>
      <c r="C97" s="14"/>
      <c r="D97" s="16"/>
      <c r="E97" s="17"/>
      <c r="F97" s="16"/>
      <c r="G97" s="39"/>
      <c r="H97" s="16"/>
      <c r="I97" s="15"/>
      <c r="J97" s="16"/>
      <c r="K97" s="903" t="str">
        <f>HYPERLINK("https://kaart.delfi.ee/?bookmark=0807568cf7d8a03cedbb545921254497","Tallinn")</f>
        <v>Tallinn</v>
      </c>
      <c r="L97" s="16"/>
      <c r="M97" s="797" t="str">
        <f>HYPERLINK("https://kaart.delfi.ee/?bookmark=225e5f274dc79e88e106035de3e50b2d","K-Järve petangihall")</f>
        <v>K-Järve petangihall</v>
      </c>
      <c r="N97" s="126"/>
    </row>
    <row r="98" spans="1:19" x14ac:dyDescent="0.2">
      <c r="A98" s="13"/>
      <c r="B98" s="516">
        <v>3</v>
      </c>
      <c r="C98" s="27"/>
      <c r="D98" s="516">
        <v>4</v>
      </c>
      <c r="E98" s="13"/>
      <c r="F98" s="516">
        <v>5</v>
      </c>
      <c r="G98" s="38"/>
      <c r="H98" s="516">
        <v>6</v>
      </c>
      <c r="I98" s="41"/>
      <c r="J98" s="516">
        <v>7</v>
      </c>
      <c r="K98" s="830" t="s">
        <v>401</v>
      </c>
      <c r="L98" s="516">
        <v>8</v>
      </c>
      <c r="M98" s="708" t="str">
        <f>HYPERLINK("https://www.petanque.ee/index.php?id=103589&amp;cid=485","Eesti reiting, ")</f>
        <v xml:space="preserve">Eesti reiting, </v>
      </c>
      <c r="N98" s="516">
        <v>9</v>
      </c>
    </row>
    <row r="99" spans="1:19" x14ac:dyDescent="0.2">
      <c r="A99" s="18"/>
      <c r="B99" s="12"/>
      <c r="C99" s="10"/>
      <c r="D99" s="12"/>
      <c r="E99" s="18"/>
      <c r="F99" s="12"/>
      <c r="G99" s="18"/>
      <c r="H99" s="12"/>
      <c r="I99" s="11"/>
      <c r="J99" s="11"/>
      <c r="K99" s="829" t="str">
        <f>HYPERLINK("https://www.facebook.com/eestipetank/posts/1625328650828751","kvalifikatsiooni alagrupid")</f>
        <v>kvalifikatsiooni alagrupid</v>
      </c>
      <c r="L99" s="12"/>
      <c r="M99" s="709" t="s">
        <v>10</v>
      </c>
      <c r="N99" s="45"/>
    </row>
    <row r="100" spans="1:19" ht="13.5" thickBot="1" x14ac:dyDescent="0.25">
      <c r="A100" s="17"/>
      <c r="B100" s="16"/>
      <c r="C100" s="14"/>
      <c r="D100" s="16"/>
      <c r="E100" s="17"/>
      <c r="F100" s="16"/>
      <c r="G100" s="39"/>
      <c r="H100" s="16"/>
      <c r="I100" s="15"/>
      <c r="J100" s="15"/>
      <c r="K100" s="829" t="str">
        <f>HYPERLINK("https://www.google.ru/maps/place/Hedebo+Petanque+Club/@55.5617699,12.2499644,462m/data=!3m2!1e3!4b1!4m5!3m4!1s0x4652f7bbce32bc4f:0x2afad67bcc5742c!8m2!3d55.5617669!4d12.2521531","ja toimumiskoht Taani")</f>
        <v>ja toimumiskoht Taani</v>
      </c>
      <c r="L100" s="16"/>
      <c r="M100" s="899" t="str">
        <f>HYPERLINK("https://kaart.delfi.ee/?bookmark=0807568cf7d8a03cedbb545921254497","Tallinn")</f>
        <v>Tallinn</v>
      </c>
      <c r="N100" s="55"/>
    </row>
    <row r="101" spans="1:19" x14ac:dyDescent="0.2">
      <c r="A101" s="117"/>
      <c r="B101" s="516">
        <v>10</v>
      </c>
      <c r="C101" s="423"/>
      <c r="D101" s="516">
        <v>11</v>
      </c>
      <c r="E101" s="117"/>
      <c r="F101" s="516">
        <v>12</v>
      </c>
      <c r="G101" s="117"/>
      <c r="H101" s="822">
        <v>13</v>
      </c>
      <c r="I101" s="117"/>
      <c r="J101" s="699">
        <v>14</v>
      </c>
      <c r="K101" s="117"/>
      <c r="L101" s="516">
        <v>15</v>
      </c>
      <c r="M101" s="900" t="str">
        <f>HYPERLINK("#9!L1","SHK KV 9. etapp, ")</f>
        <v xml:space="preserve">SHK KV 9. etapp, </v>
      </c>
      <c r="N101" s="523">
        <v>16</v>
      </c>
    </row>
    <row r="102" spans="1:19" s="40" customFormat="1" x14ac:dyDescent="0.2">
      <c r="A102" s="700"/>
      <c r="B102" s="102"/>
      <c r="C102" s="701"/>
      <c r="D102" s="102"/>
      <c r="E102" s="700"/>
      <c r="F102" s="102"/>
      <c r="G102" s="18"/>
      <c r="H102" s="820"/>
      <c r="I102" s="823"/>
      <c r="J102" s="824"/>
      <c r="K102" s="823"/>
      <c r="L102" s="102"/>
      <c r="M102" s="901" t="s">
        <v>8</v>
      </c>
      <c r="N102" s="821"/>
      <c r="O102" s="2"/>
      <c r="P102" s="2"/>
      <c r="Q102" s="2"/>
      <c r="R102" s="2"/>
      <c r="S102" s="2"/>
    </row>
    <row r="103" spans="1:19" s="40" customFormat="1" x14ac:dyDescent="0.2">
      <c r="A103" s="700"/>
      <c r="B103" s="102"/>
      <c r="C103" s="701"/>
      <c r="D103" s="102"/>
      <c r="E103" s="700"/>
      <c r="F103" s="102"/>
      <c r="G103" s="937"/>
      <c r="H103" s="945"/>
      <c r="I103" s="946"/>
      <c r="J103" s="947"/>
      <c r="K103" s="946"/>
      <c r="L103" s="948"/>
      <c r="M103" s="949" t="str">
        <f>HYPERLINK("https://kaart.delfi.ee/?bookmark=225e5f274dc79e88e106035de3e50b2d","K-Järve petangihall")</f>
        <v>K-Järve petangihall</v>
      </c>
      <c r="N103" s="950"/>
      <c r="O103" s="2"/>
      <c r="P103" s="2"/>
      <c r="Q103" s="2"/>
      <c r="R103" s="2"/>
      <c r="S103" s="2"/>
    </row>
    <row r="104" spans="1:19" x14ac:dyDescent="0.2">
      <c r="A104" s="700"/>
      <c r="B104" s="12"/>
      <c r="C104" s="701"/>
      <c r="D104" s="12"/>
      <c r="E104" s="700"/>
      <c r="F104" s="12"/>
      <c r="G104" s="951"/>
      <c r="H104" s="952"/>
      <c r="I104" s="953"/>
      <c r="J104" s="954"/>
      <c r="K104" s="955"/>
      <c r="L104" s="956"/>
      <c r="M104" s="957" t="s">
        <v>400</v>
      </c>
      <c r="N104" s="958" t="str">
        <f>HYPERLINK("https://www.facebook.com/WpcBelgium/?hc_ref=PAGES_TIMELINE","fb")</f>
        <v>fb</v>
      </c>
    </row>
    <row r="105" spans="1:19" ht="13.5" thickBot="1" x14ac:dyDescent="0.25">
      <c r="A105" s="702"/>
      <c r="B105" s="16"/>
      <c r="C105" s="703"/>
      <c r="D105" s="16"/>
      <c r="E105" s="702"/>
      <c r="F105" s="16"/>
      <c r="G105" s="819"/>
      <c r="H105" s="799"/>
      <c r="I105" s="800"/>
      <c r="J105" s="801"/>
      <c r="K105" s="802" t="str">
        <f>HYPERLINK("https://www.google.be/maps/place/Sport+Vlaanderen+Gent/@51.049117,3.6830932,481m/data=!3m2!1e3!4b1!4m5!3m4!1s0x47c3719c908ff58b:0xd1e59010a256a2e5!8m2!3d51.049117!4d3.684921","Gent (Belgia)")</f>
        <v>Gent (Belgia)</v>
      </c>
      <c r="L105" s="803" t="str">
        <f>HYPERLINK("http://wpc-belgium2017.be/index.html","inf")</f>
        <v>inf</v>
      </c>
      <c r="M105" s="800"/>
      <c r="N105" s="804"/>
    </row>
    <row r="106" spans="1:19" x14ac:dyDescent="0.2">
      <c r="A106" s="13"/>
      <c r="B106" s="516">
        <v>17</v>
      </c>
      <c r="C106" s="13"/>
      <c r="D106" s="516">
        <v>18</v>
      </c>
      <c r="E106" s="27"/>
      <c r="F106" s="516">
        <v>19</v>
      </c>
      <c r="G106" s="38"/>
      <c r="H106" s="516">
        <v>20</v>
      </c>
      <c r="I106" s="41"/>
      <c r="J106" s="516">
        <v>21</v>
      </c>
      <c r="K106" s="895" t="str">
        <f>HYPERLINK("https://www.petanque.ee/index.php?id=103589&amp;cid=486","Regioonide karika ")</f>
        <v xml:space="preserve">Regioonide karika </v>
      </c>
      <c r="L106" s="516">
        <v>22</v>
      </c>
      <c r="M106" s="791" t="str">
        <f>HYPERLINK("https://www.petanque.ee/index.php?id=103589&amp;cid=487","Eesti sise-MV, ")</f>
        <v xml:space="preserve">Eesti sise-MV, </v>
      </c>
      <c r="N106" s="516">
        <v>23</v>
      </c>
    </row>
    <row r="107" spans="1:19" x14ac:dyDescent="0.2">
      <c r="A107" s="18"/>
      <c r="B107" s="11"/>
      <c r="C107" s="18"/>
      <c r="D107" s="12"/>
      <c r="E107" s="18"/>
      <c r="F107" s="11"/>
      <c r="G107" s="32"/>
      <c r="H107" s="12"/>
      <c r="I107" s="11"/>
      <c r="J107" s="11"/>
      <c r="K107" s="896" t="s">
        <v>30</v>
      </c>
      <c r="L107" s="742" t="str">
        <f>HYPERLINK("https://www.petanque.ee/juhendid/regioonide-karikas-2016-2017/","juh")</f>
        <v>juh</v>
      </c>
      <c r="M107" s="790" t="s">
        <v>10</v>
      </c>
      <c r="N107" s="45"/>
    </row>
    <row r="108" spans="1:19" ht="13.5" thickBot="1" x14ac:dyDescent="0.25">
      <c r="A108" s="17"/>
      <c r="B108" s="15"/>
      <c r="C108" s="17"/>
      <c r="D108" s="16"/>
      <c r="E108" s="14"/>
      <c r="F108" s="15"/>
      <c r="G108" s="39"/>
      <c r="H108" s="16"/>
      <c r="I108" s="15"/>
      <c r="J108" s="15"/>
      <c r="K108" s="897" t="str">
        <f>HYPERLINK("https://kaart.delfi.ee/?bookmark=0807568cf7d8a03cedbb545921254497","Tallinn")</f>
        <v>Tallinn</v>
      </c>
      <c r="L108" s="16"/>
      <c r="M108" s="710" t="str">
        <f>HYPERLINK("https://kaart.delfi.ee/?bookmark=0807568cf7d8a03cedbb545921254497","Tallinn")</f>
        <v>Tallinn</v>
      </c>
      <c r="N108" s="55"/>
    </row>
    <row r="109" spans="1:19" x14ac:dyDescent="0.2">
      <c r="A109" s="13"/>
      <c r="B109" s="822">
        <v>24</v>
      </c>
      <c r="C109" s="13"/>
      <c r="D109" s="516">
        <v>25</v>
      </c>
      <c r="E109" s="27"/>
      <c r="F109" s="516">
        <v>26</v>
      </c>
      <c r="G109" s="38"/>
      <c r="H109" s="516">
        <v>27</v>
      </c>
      <c r="I109" s="41"/>
      <c r="J109" s="516">
        <v>28</v>
      </c>
      <c r="K109" s="108"/>
      <c r="L109" s="516">
        <v>29</v>
      </c>
      <c r="M109" s="825"/>
      <c r="N109" s="516">
        <v>30</v>
      </c>
    </row>
    <row r="110" spans="1:19" x14ac:dyDescent="0.2">
      <c r="A110" s="18"/>
      <c r="B110" s="11"/>
      <c r="C110" s="18"/>
      <c r="D110" s="827"/>
      <c r="E110" s="18"/>
      <c r="F110" s="12"/>
      <c r="G110" s="32"/>
      <c r="H110" s="12"/>
      <c r="I110" s="11"/>
      <c r="J110" s="11"/>
      <c r="K110" s="18"/>
      <c r="L110" s="12"/>
      <c r="M110" s="32"/>
      <c r="N110" s="12"/>
    </row>
    <row r="111" spans="1:19" ht="13.5" thickBot="1" x14ac:dyDescent="0.25">
      <c r="A111" s="17"/>
      <c r="B111" s="15"/>
      <c r="C111" s="702"/>
      <c r="D111" s="16"/>
      <c r="E111" s="702"/>
      <c r="F111" s="16"/>
      <c r="G111" s="39"/>
      <c r="H111" s="16"/>
      <c r="I111" s="15"/>
      <c r="J111" s="15"/>
      <c r="K111" s="17"/>
      <c r="L111" s="16"/>
      <c r="M111" s="826"/>
      <c r="N111" s="16"/>
    </row>
    <row r="112" spans="1:19" s="5" customFormat="1" x14ac:dyDescent="0.2">
      <c r="E112" s="1"/>
      <c r="F112" s="1"/>
      <c r="N112" s="1"/>
    </row>
    <row r="113" spans="1:14" s="46" customFormat="1" x14ac:dyDescent="0.2">
      <c r="A113" s="129" t="s">
        <v>13</v>
      </c>
      <c r="B113" s="128"/>
      <c r="C113" s="128"/>
      <c r="D113" s="128"/>
      <c r="E113" s="128"/>
      <c r="F113" s="128"/>
      <c r="G113" s="128"/>
      <c r="H113" s="128"/>
      <c r="I113" s="128"/>
      <c r="J113" s="128"/>
      <c r="K113" s="128"/>
      <c r="L113" s="48"/>
      <c r="M113" s="48"/>
      <c r="N113" s="48"/>
    </row>
    <row r="114" spans="1:14" s="46" customFormat="1" x14ac:dyDescent="0.2">
      <c r="A114" s="127" t="s">
        <v>213</v>
      </c>
      <c r="B114" s="128"/>
      <c r="C114" s="128"/>
      <c r="D114" s="128"/>
      <c r="E114" s="128"/>
      <c r="F114" s="128"/>
      <c r="G114" s="128"/>
      <c r="H114" s="128"/>
      <c r="I114" s="128"/>
      <c r="J114" s="128"/>
      <c r="K114" s="128"/>
      <c r="L114" s="48"/>
      <c r="M114" s="48"/>
      <c r="N114" s="48"/>
    </row>
    <row r="115" spans="1:14" s="48" customFormat="1" x14ac:dyDescent="0.2">
      <c r="A115" s="130" t="s">
        <v>380</v>
      </c>
    </row>
    <row r="116" spans="1:14" s="46" customFormat="1" x14ac:dyDescent="0.2">
      <c r="A116" s="49" t="s">
        <v>14</v>
      </c>
      <c r="N116" s="677" t="s">
        <v>150</v>
      </c>
    </row>
    <row r="117" spans="1:14" s="52" customFormat="1" x14ac:dyDescent="0.2">
      <c r="A117" s="50"/>
      <c r="B117" s="51"/>
      <c r="D117" s="53"/>
      <c r="E117" s="54"/>
      <c r="F117" s="54"/>
      <c r="H117" s="4"/>
    </row>
  </sheetData>
  <mergeCells count="1">
    <mergeCell ref="I3:J3"/>
  </mergeCells>
  <hyperlinks>
    <hyperlink ref="L30" r:id="rId1"/>
  </hyperlinks>
  <printOptions horizontalCentered="1"/>
  <pageMargins left="0.39370078740157483" right="0.39370078740157483" top="0.31496062992125984" bottom="0.31496062992125984" header="0.31496062992125984" footer="0"/>
  <pageSetup paperSize="9" fitToHeight="0" orientation="portrait" r:id="rId2"/>
  <headerFooter>
    <oddHeader>&amp;R&amp;"Arial,Regular"&amp;9Page &amp;P of &amp;N</oddHeader>
  </headerFooter>
  <rowBreaks count="1" manualBreakCount="1">
    <brk id="65" max="16383"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V46"/>
  <sheetViews>
    <sheetView showGridLines="0" showRowColHeaders="0" zoomScaleNormal="100" workbookViewId="0">
      <pane ySplit="6" topLeftCell="A7" activePane="bottomLeft" state="frozen"/>
      <selection pane="bottomLeft" activeCell="V1" sqref="V1"/>
    </sheetView>
  </sheetViews>
  <sheetFormatPr defaultRowHeight="12.75" x14ac:dyDescent="0.2"/>
  <cols>
    <col min="1" max="2" width="3.28515625" style="584" customWidth="1"/>
    <col min="3" max="3" width="5.7109375" style="584" customWidth="1"/>
    <col min="4" max="4" width="13.28515625" style="584" customWidth="1"/>
    <col min="5" max="6" width="4" style="601" customWidth="1"/>
    <col min="7" max="7" width="19.42578125" style="601" hidden="1" customWidth="1"/>
    <col min="8" max="8" width="6.7109375" style="601" hidden="1" customWidth="1"/>
    <col min="9" max="17" width="5.42578125" style="585" customWidth="1"/>
    <col min="18" max="20" width="3.28515625" style="584" bestFit="1" customWidth="1"/>
    <col min="21" max="16384" width="9.140625" style="584"/>
  </cols>
  <sheetData>
    <row r="1" spans="1:22" x14ac:dyDescent="0.2">
      <c r="B1" s="89"/>
      <c r="D1" s="582" t="s">
        <v>379</v>
      </c>
      <c r="F1" s="89"/>
      <c r="G1" s="89"/>
      <c r="H1" s="89"/>
      <c r="I1" s="89"/>
      <c r="J1" s="89"/>
      <c r="K1" s="89"/>
      <c r="L1" s="89"/>
      <c r="M1" s="89"/>
      <c r="O1" s="134"/>
      <c r="P1" s="134"/>
      <c r="Q1" s="134" t="s">
        <v>246</v>
      </c>
      <c r="R1" s="586"/>
      <c r="T1" s="615" t="str">
        <f>HYPERLINK("#'Kal E'!N1","Kalender")</f>
        <v>Kalender</v>
      </c>
    </row>
    <row r="2" spans="1:22" x14ac:dyDescent="0.2">
      <c r="B2" s="89"/>
      <c r="D2" s="583" t="s">
        <v>418</v>
      </c>
      <c r="F2" s="89"/>
      <c r="G2" s="89"/>
      <c r="H2" s="89"/>
      <c r="I2" s="89"/>
      <c r="J2" s="89"/>
      <c r="K2" s="89"/>
      <c r="L2" s="89"/>
      <c r="M2" s="89"/>
      <c r="O2" s="89"/>
      <c r="P2" s="89"/>
      <c r="Q2" s="89"/>
      <c r="T2" s="89"/>
    </row>
    <row r="3" spans="1:22" x14ac:dyDescent="0.2">
      <c r="B3" s="587"/>
      <c r="C3" s="587"/>
      <c r="D3" s="828" t="s">
        <v>417</v>
      </c>
      <c r="E3" s="587"/>
      <c r="F3" s="587"/>
      <c r="G3" s="587"/>
      <c r="H3" s="587"/>
      <c r="I3" s="587"/>
      <c r="J3" s="587"/>
      <c r="K3" s="587"/>
      <c r="L3" s="587"/>
      <c r="M3" s="587"/>
      <c r="N3" s="587"/>
      <c r="O3" s="587"/>
      <c r="P3" s="587"/>
      <c r="Q3" s="587"/>
      <c r="R3" s="968" t="s">
        <v>40</v>
      </c>
      <c r="S3" s="967" t="s">
        <v>41</v>
      </c>
      <c r="T3" s="969" t="s">
        <v>42</v>
      </c>
    </row>
    <row r="4" spans="1:22" ht="31.5" customHeight="1" x14ac:dyDescent="0.2">
      <c r="A4" s="135" t="s">
        <v>23</v>
      </c>
      <c r="B4" s="135" t="s">
        <v>23</v>
      </c>
      <c r="C4" s="678" t="s">
        <v>23</v>
      </c>
      <c r="D4" s="679"/>
      <c r="E4" s="137" t="s">
        <v>23</v>
      </c>
      <c r="F4" s="137" t="s">
        <v>23</v>
      </c>
      <c r="G4" s="137" t="s">
        <v>23</v>
      </c>
      <c r="H4" s="138" t="s">
        <v>23</v>
      </c>
      <c r="I4" s="528" t="str">
        <f>MID(Kalend!A6,4,5)</f>
        <v>13.11</v>
      </c>
      <c r="J4" s="528" t="str">
        <f>MID(Kalend!A10,4,5)</f>
        <v>18.12</v>
      </c>
      <c r="K4" s="528" t="str">
        <f>MID(Kalend!A15,4,5)</f>
        <v>15.01</v>
      </c>
      <c r="L4" s="528" t="str">
        <f>MID(Kalend!A17,4,5)</f>
        <v>29.01</v>
      </c>
      <c r="M4" s="528" t="str">
        <f>MID(Kalend!A21,4,5)</f>
        <v>12.02</v>
      </c>
      <c r="N4" s="528" t="str">
        <f>MID(Kalend!A23,4,5)</f>
        <v>26.02</v>
      </c>
      <c r="O4" s="528" t="str">
        <f>MID(Kalend!A25,4,5)</f>
        <v>05.03</v>
      </c>
      <c r="P4" s="528" t="str">
        <f>MID(Kalend!A30,4,5)</f>
        <v>02.04</v>
      </c>
      <c r="Q4" s="835" t="str">
        <f>MID(Kalend!A32,4,5)</f>
        <v>16.04</v>
      </c>
      <c r="R4" s="968"/>
      <c r="S4" s="967"/>
      <c r="T4" s="969"/>
    </row>
    <row r="5" spans="1:22" x14ac:dyDescent="0.2">
      <c r="A5" s="135" t="s">
        <v>23</v>
      </c>
      <c r="B5" s="135" t="s">
        <v>23</v>
      </c>
      <c r="C5" s="678" t="s">
        <v>23</v>
      </c>
      <c r="D5" s="679"/>
      <c r="E5" s="137" t="s">
        <v>23</v>
      </c>
      <c r="F5" s="137" t="s">
        <v>23</v>
      </c>
      <c r="G5" s="137" t="s">
        <v>23</v>
      </c>
      <c r="H5" s="138" t="s">
        <v>23</v>
      </c>
      <c r="I5" s="139" t="str">
        <f>HYPERLINK("#'1'!L1","  1  ")</f>
        <v xml:space="preserve">  1  </v>
      </c>
      <c r="J5" s="139" t="str">
        <f>HYPERLINK("#'2'!J1","  2  ")</f>
        <v xml:space="preserve">  2  </v>
      </c>
      <c r="K5" s="139" t="str">
        <f>HYPERLINK("#'3'!J1","  3  ")</f>
        <v xml:space="preserve">  3  </v>
      </c>
      <c r="L5" s="139" t="str">
        <f>HYPERLINK("#'4'!L1","  4  ")</f>
        <v xml:space="preserve">  4  </v>
      </c>
      <c r="M5" s="139" t="str">
        <f>HYPERLINK("#'5'!J1","  5  ")</f>
        <v xml:space="preserve">  5  </v>
      </c>
      <c r="N5" s="139" t="str">
        <f>HYPERLINK("#'6'!I1","  6  ")</f>
        <v xml:space="preserve">  6  </v>
      </c>
      <c r="O5" s="139" t="str">
        <f>HYPERLINK("#'7'!I1","  7  ")</f>
        <v xml:space="preserve">  7  </v>
      </c>
      <c r="P5" s="139" t="str">
        <f>HYPERLINK("#'8'!I1","  8  ")</f>
        <v xml:space="preserve">  8  </v>
      </c>
      <c r="Q5" s="139" t="str">
        <f>HYPERLINK("#'9'!I1","  9  ")</f>
        <v xml:space="preserve">  9  </v>
      </c>
      <c r="R5" s="968"/>
      <c r="S5" s="967"/>
      <c r="T5" s="969"/>
    </row>
    <row r="6" spans="1:22" x14ac:dyDescent="0.2">
      <c r="A6" s="140" t="s">
        <v>43</v>
      </c>
      <c r="B6" s="136" t="s">
        <v>23</v>
      </c>
      <c r="C6" s="680" t="s">
        <v>44</v>
      </c>
      <c r="D6" s="681"/>
      <c r="E6" s="138" t="s">
        <v>45</v>
      </c>
      <c r="F6" s="140" t="s">
        <v>43</v>
      </c>
      <c r="G6" s="141" t="s">
        <v>46</v>
      </c>
      <c r="H6" s="142" t="s">
        <v>47</v>
      </c>
      <c r="I6" s="833" t="s">
        <v>50</v>
      </c>
      <c r="J6" s="833" t="s">
        <v>49</v>
      </c>
      <c r="K6" s="834" t="s">
        <v>49</v>
      </c>
      <c r="L6" s="834" t="s">
        <v>48</v>
      </c>
      <c r="M6" s="834" t="s">
        <v>50</v>
      </c>
      <c r="N6" s="834" t="s">
        <v>48</v>
      </c>
      <c r="O6" s="834" t="s">
        <v>49</v>
      </c>
      <c r="P6" s="834" t="s">
        <v>50</v>
      </c>
      <c r="Q6" s="834" t="s">
        <v>48</v>
      </c>
      <c r="R6" s="589"/>
      <c r="S6" s="590"/>
      <c r="T6" s="586"/>
    </row>
    <row r="7" spans="1:22" x14ac:dyDescent="0.2">
      <c r="A7" s="592">
        <f t="shared" ref="A7:A44" si="0">RANK(F7,F$7:F$44,0)</f>
        <v>1</v>
      </c>
      <c r="B7" s="593">
        <v>1</v>
      </c>
      <c r="C7" s="841" t="s">
        <v>184</v>
      </c>
      <c r="D7" s="842"/>
      <c r="E7" s="594">
        <v>222</v>
      </c>
      <c r="F7" s="595">
        <f t="shared" ref="F7:F44" si="1">G7+H7</f>
        <v>222.34101000000001</v>
      </c>
      <c r="G7" s="596">
        <f t="shared" ref="G7:G44" si="2">COUNTIF(I7:Q7,40)/10+COUNTIF(I7:Q7,34)/100+COUNTIF(I7:Q7,30)/1000+COUNTIF(I7:Q7,26)/10000+COUNTIF(I7:Q7,24)/100000+COUNTIF(I7:Q7,22)/1000000+COUNTIF(I7:Q7,20)/10000000+COUNTIF(I7:Q7,18)/100000000+COUNTIF(I7:Q7,16)/1000000000+COUNTIF(I7:Q7,14)/10000000000+COUNTIF(I7:Q7,12)/100000000000+COUNTIF(I7:Q7,10)/1000000000000+COUNTIF(I7:Q7,8)/10000000000000+COUNTIF(I7:Q7,6)/100000000000000+COUNTIF(I7:Q7,4)/1000000000000000+COUNTIF(I7:Q7,2)/10000000000000000</f>
        <v>0.34100999999999998</v>
      </c>
      <c r="H7" s="595">
        <f t="array" ref="H7">(IF(COUNT(L7,N7,Q7)&lt;2,SUM(L7,N7,Q7),SUM(LARGE((L7,N7,Q7),{1;2}))))+(IF(COUNT(J7,K7,O7)&lt;2,SUM(J7,K7,O7),SUM(LARGE((J7,K7,O7),{1;2}))))+(IF(COUNT(I7,M7,P7)&lt;2,SUM(I7,M7,P7),SUM(LARGE((I7,M7,P7),{1;2}))))</f>
        <v>222</v>
      </c>
      <c r="I7" s="597">
        <v>40</v>
      </c>
      <c r="J7" s="598">
        <v>40</v>
      </c>
      <c r="K7" s="597">
        <v>34</v>
      </c>
      <c r="L7" s="598">
        <v>34</v>
      </c>
      <c r="M7" s="831">
        <v>34</v>
      </c>
      <c r="N7" s="831">
        <v>24</v>
      </c>
      <c r="O7" s="831">
        <v>30</v>
      </c>
      <c r="P7" s="598">
        <v>40</v>
      </c>
      <c r="Q7" s="598">
        <v>34</v>
      </c>
      <c r="R7" s="599">
        <f t="shared" ref="R7:R44" si="3">COUNTIF(I7:Q7,"&gt;=0")</f>
        <v>9</v>
      </c>
      <c r="S7" s="600">
        <f t="shared" ref="S7:S44" si="4">COUNTIF(I7:Q7,"&gt;=30")</f>
        <v>8</v>
      </c>
      <c r="T7" s="600">
        <f t="shared" ref="T7:T44" si="5">COUNTIF(I7:Q7,"=40")</f>
        <v>3</v>
      </c>
      <c r="V7" s="918"/>
    </row>
    <row r="8" spans="1:22" x14ac:dyDescent="0.2">
      <c r="A8" s="592">
        <f t="shared" si="0"/>
        <v>2</v>
      </c>
      <c r="B8" s="593">
        <v>2</v>
      </c>
      <c r="C8" s="843" t="s">
        <v>187</v>
      </c>
      <c r="D8" s="844"/>
      <c r="E8" s="594">
        <v>218</v>
      </c>
      <c r="F8" s="595">
        <f t="shared" si="1"/>
        <v>218.3310000001</v>
      </c>
      <c r="G8" s="596">
        <f t="shared" si="2"/>
        <v>0.33100000010000996</v>
      </c>
      <c r="H8" s="595">
        <f t="array" ref="H8">(IF(COUNT(L8,N8,Q8)&lt;2,SUM(L8,N8,Q8),SUM(LARGE((L8,N8,Q8),{1;2}))))+(IF(COUNT(J8,K8,O8)&lt;2,SUM(J8,K8,O8),SUM(LARGE((J8,K8,O8),{1;2}))))+(IF(COUNT(I8,M8,P8)&lt;2,SUM(I8,M8,P8),SUM(LARGE((I8,M8,P8),{1;2}))))</f>
        <v>218</v>
      </c>
      <c r="I8" s="832">
        <v>34</v>
      </c>
      <c r="J8" s="598">
        <v>30</v>
      </c>
      <c r="K8" s="832">
        <v>14</v>
      </c>
      <c r="L8" s="831">
        <v>6</v>
      </c>
      <c r="M8" s="598">
        <v>34</v>
      </c>
      <c r="N8" s="598">
        <v>40</v>
      </c>
      <c r="O8" s="597">
        <v>34</v>
      </c>
      <c r="P8" s="598">
        <v>40</v>
      </c>
      <c r="Q8" s="598">
        <v>40</v>
      </c>
      <c r="R8" s="599">
        <f t="shared" si="3"/>
        <v>9</v>
      </c>
      <c r="S8" s="600">
        <f t="shared" si="4"/>
        <v>7</v>
      </c>
      <c r="T8" s="600">
        <f t="shared" si="5"/>
        <v>3</v>
      </c>
      <c r="V8" s="918"/>
    </row>
    <row r="9" spans="1:22" x14ac:dyDescent="0.2">
      <c r="A9" s="592">
        <f t="shared" si="0"/>
        <v>3</v>
      </c>
      <c r="B9" s="593">
        <v>3</v>
      </c>
      <c r="C9" s="845" t="s">
        <v>183</v>
      </c>
      <c r="D9" s="846"/>
      <c r="E9" s="594">
        <v>196</v>
      </c>
      <c r="F9" s="595">
        <f t="shared" si="1"/>
        <v>196.221101</v>
      </c>
      <c r="G9" s="596">
        <f t="shared" si="2"/>
        <v>0.22110099999999999</v>
      </c>
      <c r="H9" s="595">
        <f t="array" ref="H9">(IF(COUNT(L9,N9,Q9)&lt;2,SUM(L9,N9,Q9),SUM(LARGE((L9,N9,Q9),{1;2}))))+(IF(COUNT(J9,K9,O9)&lt;2,SUM(J9,K9,O9),SUM(LARGE((J9,K9,O9),{1;2}))))+(IF(COUNT(I9,M9,P9)&lt;2,SUM(I9,M9,P9),SUM(LARGE((I9,M9,P9),{1;2}))))</f>
        <v>196</v>
      </c>
      <c r="I9" s="597">
        <v>40</v>
      </c>
      <c r="J9" s="598">
        <v>40</v>
      </c>
      <c r="K9" s="597">
        <v>34</v>
      </c>
      <c r="L9" s="598">
        <v>22</v>
      </c>
      <c r="M9" s="598">
        <v>34</v>
      </c>
      <c r="N9" s="598">
        <v>26</v>
      </c>
      <c r="O9" s="831">
        <v>30</v>
      </c>
      <c r="P9" s="831" t="s">
        <v>397</v>
      </c>
      <c r="Q9" s="831">
        <v>3.7</v>
      </c>
      <c r="R9" s="600">
        <f t="shared" si="3"/>
        <v>8</v>
      </c>
      <c r="S9" s="600">
        <f t="shared" si="4"/>
        <v>5</v>
      </c>
      <c r="T9" s="600">
        <f t="shared" si="5"/>
        <v>2</v>
      </c>
      <c r="V9" s="918"/>
    </row>
    <row r="10" spans="1:22" x14ac:dyDescent="0.2">
      <c r="A10" s="592">
        <f t="shared" si="0"/>
        <v>4</v>
      </c>
      <c r="B10" s="602">
        <v>4</v>
      </c>
      <c r="C10" s="682" t="s">
        <v>190</v>
      </c>
      <c r="D10" s="683"/>
      <c r="E10" s="594">
        <v>173</v>
      </c>
      <c r="F10" s="595">
        <f t="shared" si="1"/>
        <v>173.10311000000999</v>
      </c>
      <c r="G10" s="596">
        <f t="shared" si="2"/>
        <v>0.10311000001000001</v>
      </c>
      <c r="H10" s="595">
        <f t="array" ref="H10">(IF(COUNT(L10,N10,Q10)&lt;2,SUM(L10,N10,Q10),SUM(LARGE((L10,N10,Q10),{1;2}))))+(IF(COUNT(J10,K10,O10)&lt;2,SUM(J10,K10,O10),SUM(LARGE((J10,K10,O10),{1;2}))))+(IF(COUNT(I10,M10,P10)&lt;2,SUM(I10,M10,P10),SUM(LARGE((I10,M10,P10),{1;2}))))</f>
        <v>173</v>
      </c>
      <c r="I10" s="832">
        <v>30</v>
      </c>
      <c r="J10" s="831" t="s">
        <v>397</v>
      </c>
      <c r="K10" s="597">
        <v>30</v>
      </c>
      <c r="L10" s="597">
        <v>24</v>
      </c>
      <c r="M10" s="597">
        <v>40</v>
      </c>
      <c r="N10" s="832">
        <v>12</v>
      </c>
      <c r="O10" s="598">
        <v>26</v>
      </c>
      <c r="P10" s="598">
        <v>30</v>
      </c>
      <c r="Q10" s="598">
        <v>23</v>
      </c>
      <c r="R10" s="600">
        <f t="shared" si="3"/>
        <v>8</v>
      </c>
      <c r="S10" s="600">
        <f t="shared" si="4"/>
        <v>4</v>
      </c>
      <c r="T10" s="600">
        <f t="shared" si="5"/>
        <v>1</v>
      </c>
      <c r="V10" s="918"/>
    </row>
    <row r="11" spans="1:22" x14ac:dyDescent="0.2">
      <c r="A11" s="592">
        <f t="shared" si="0"/>
        <v>5</v>
      </c>
      <c r="B11" s="593">
        <v>5</v>
      </c>
      <c r="C11" s="682" t="s">
        <v>188</v>
      </c>
      <c r="D11" s="683"/>
      <c r="E11" s="594">
        <v>171</v>
      </c>
      <c r="F11" s="595">
        <f t="shared" si="1"/>
        <v>171.11221</v>
      </c>
      <c r="G11" s="596">
        <f t="shared" si="2"/>
        <v>0.11221</v>
      </c>
      <c r="H11" s="595">
        <f t="array" ref="H11">(IF(COUNT(L11,N11,Q11)&lt;2,SUM(L11,N11,Q11),SUM(LARGE((L11,N11,Q11),{1;2}))))+(IF(COUNT(J11,K11,O11)&lt;2,SUM(J11,K11,O11),SUM(LARGE((J11,K11,O11),{1;2}))))+(IF(COUNT(I11,M11,P11)&lt;2,SUM(I11,M11,P11),SUM(LARGE((I11,M11,P11),{1;2}))))</f>
        <v>171</v>
      </c>
      <c r="I11" s="597">
        <v>34</v>
      </c>
      <c r="J11" s="831">
        <v>24</v>
      </c>
      <c r="K11" s="597">
        <v>26</v>
      </c>
      <c r="L11" s="598">
        <v>11</v>
      </c>
      <c r="M11" s="598">
        <v>30</v>
      </c>
      <c r="N11" s="831">
        <v>1</v>
      </c>
      <c r="O11" s="598">
        <v>40</v>
      </c>
      <c r="P11" s="831">
        <v>26</v>
      </c>
      <c r="Q11" s="598">
        <v>30</v>
      </c>
      <c r="R11" s="600">
        <f t="shared" si="3"/>
        <v>9</v>
      </c>
      <c r="S11" s="600">
        <f t="shared" si="4"/>
        <v>4</v>
      </c>
      <c r="T11" s="600">
        <f t="shared" si="5"/>
        <v>1</v>
      </c>
      <c r="V11" s="918"/>
    </row>
    <row r="12" spans="1:22" x14ac:dyDescent="0.2">
      <c r="A12" s="592">
        <f t="shared" si="0"/>
        <v>6</v>
      </c>
      <c r="B12" s="593">
        <v>6</v>
      </c>
      <c r="C12" s="682" t="s">
        <v>191</v>
      </c>
      <c r="D12" s="683"/>
      <c r="E12" s="594">
        <v>157</v>
      </c>
      <c r="F12" s="595">
        <f t="shared" si="1"/>
        <v>157.01111110010001</v>
      </c>
      <c r="G12" s="596">
        <f t="shared" si="2"/>
        <v>1.1111100099999997E-2</v>
      </c>
      <c r="H12" s="595">
        <f t="array" ref="H12">(IF(COUNT(L12,N12,Q12)&lt;2,SUM(L12,N12,Q12),SUM(LARGE((L12,N12,Q12),{1;2}))))+(IF(COUNT(J12,K12,O12)&lt;2,SUM(J12,K12,O12),SUM(LARGE((J12,K12,O12),{1;2}))))+(IF(COUNT(I12,M12,P12)&lt;2,SUM(I12,M12,P12),SUM(LARGE((I12,M12,P12),{1;2}))))</f>
        <v>157</v>
      </c>
      <c r="I12" s="597">
        <v>26</v>
      </c>
      <c r="J12" s="598">
        <v>30</v>
      </c>
      <c r="K12" s="832">
        <v>14</v>
      </c>
      <c r="L12" s="831">
        <v>11</v>
      </c>
      <c r="M12" s="598">
        <v>24</v>
      </c>
      <c r="N12" s="598">
        <v>20</v>
      </c>
      <c r="O12" s="597">
        <v>34</v>
      </c>
      <c r="P12" s="831">
        <v>22</v>
      </c>
      <c r="Q12" s="598">
        <v>23</v>
      </c>
      <c r="R12" s="600">
        <f t="shared" si="3"/>
        <v>9</v>
      </c>
      <c r="S12" s="600">
        <f t="shared" si="4"/>
        <v>2</v>
      </c>
      <c r="T12" s="600">
        <f t="shared" si="5"/>
        <v>0</v>
      </c>
      <c r="V12" s="918"/>
    </row>
    <row r="13" spans="1:22" x14ac:dyDescent="0.2">
      <c r="A13" s="592">
        <f t="shared" si="0"/>
        <v>7</v>
      </c>
      <c r="B13" s="593">
        <v>7</v>
      </c>
      <c r="C13" s="686" t="s">
        <v>192</v>
      </c>
      <c r="D13" s="687"/>
      <c r="E13" s="594">
        <v>156</v>
      </c>
      <c r="F13" s="595">
        <f t="shared" si="1"/>
        <v>156.10012121</v>
      </c>
      <c r="G13" s="596">
        <f t="shared" si="2"/>
        <v>0.10012121000000002</v>
      </c>
      <c r="H13" s="595">
        <f t="array" ref="H13">(IF(COUNT(L13,N13,Q13)&lt;2,SUM(L13,N13,Q13),SUM(LARGE((L13,N13,Q13),{1;2}))))+(IF(COUNT(J13,K13,O13)&lt;2,SUM(J13,K13,O13),SUM(LARGE((J13,K13,O13),{1;2}))))+(IF(COUNT(I13,M13,P13)&lt;2,SUM(I13,M13,P13),SUM(LARGE((I13,M13,P13),{1;2}))))</f>
        <v>156</v>
      </c>
      <c r="I13" s="597">
        <v>26</v>
      </c>
      <c r="J13" s="832">
        <v>20</v>
      </c>
      <c r="K13" s="597">
        <v>20</v>
      </c>
      <c r="L13" s="597">
        <v>40</v>
      </c>
      <c r="M13" s="598">
        <v>24</v>
      </c>
      <c r="N13" s="598">
        <v>22</v>
      </c>
      <c r="O13" s="597">
        <v>24</v>
      </c>
      <c r="P13" s="831" t="s">
        <v>397</v>
      </c>
      <c r="Q13" s="831">
        <v>18</v>
      </c>
      <c r="R13" s="600">
        <f t="shared" si="3"/>
        <v>8</v>
      </c>
      <c r="S13" s="600">
        <f t="shared" si="4"/>
        <v>1</v>
      </c>
      <c r="T13" s="600">
        <f t="shared" si="5"/>
        <v>1</v>
      </c>
      <c r="V13" s="918"/>
    </row>
    <row r="14" spans="1:22" x14ac:dyDescent="0.2">
      <c r="A14" s="592">
        <f t="shared" si="0"/>
        <v>8</v>
      </c>
      <c r="B14" s="602">
        <v>8</v>
      </c>
      <c r="C14" s="682" t="s">
        <v>315</v>
      </c>
      <c r="D14" s="683"/>
      <c r="E14" s="603">
        <v>140</v>
      </c>
      <c r="F14" s="595">
        <f t="shared" si="1"/>
        <v>140.10210000009999</v>
      </c>
      <c r="G14" s="596">
        <f t="shared" si="2"/>
        <v>0.1021000001</v>
      </c>
      <c r="H14" s="595">
        <f t="array" ref="H14">(IF(COUNT(L14,N14,Q14)&lt;2,SUM(L14,N14,Q14),SUM(LARGE((L14,N14,Q14),{1;2}))))+(IF(COUNT(J14,K14,O14)&lt;2,SUM(J14,K14,O14),SUM(LARGE((J14,K14,O14),{1;2}))))+(IF(COUNT(I14,M14,P14)&lt;2,SUM(I14,M14,P14),SUM(LARGE((I14,M14,P14),{1;2}))))</f>
        <v>140</v>
      </c>
      <c r="I14" s="832" t="s">
        <v>397</v>
      </c>
      <c r="J14" s="831" t="s">
        <v>397</v>
      </c>
      <c r="K14" s="597"/>
      <c r="L14" s="597">
        <v>30</v>
      </c>
      <c r="M14" s="597">
        <v>30</v>
      </c>
      <c r="N14" s="597">
        <v>14</v>
      </c>
      <c r="O14" s="598">
        <v>40</v>
      </c>
      <c r="P14" s="598">
        <v>26</v>
      </c>
      <c r="Q14" s="831">
        <v>1</v>
      </c>
      <c r="R14" s="600">
        <f t="shared" si="3"/>
        <v>6</v>
      </c>
      <c r="S14" s="600">
        <f t="shared" si="4"/>
        <v>3</v>
      </c>
      <c r="T14" s="600">
        <f t="shared" si="5"/>
        <v>1</v>
      </c>
      <c r="V14" s="918"/>
    </row>
    <row r="15" spans="1:22" x14ac:dyDescent="0.2">
      <c r="A15" s="592">
        <f t="shared" si="0"/>
        <v>9</v>
      </c>
      <c r="B15" s="593">
        <v>9</v>
      </c>
      <c r="C15" s="682" t="s">
        <v>189</v>
      </c>
      <c r="D15" s="683"/>
      <c r="E15" s="594">
        <v>138</v>
      </c>
      <c r="F15" s="595">
        <f t="shared" si="1"/>
        <v>138.10310001000011</v>
      </c>
      <c r="G15" s="596">
        <f t="shared" si="2"/>
        <v>0.10310001000010101</v>
      </c>
      <c r="H15" s="595">
        <f t="array" ref="H15">(IF(COUNT(L15,N15,Q15)&lt;2,SUM(L15,N15,Q15),SUM(LARGE((L15,N15,Q15),{1;2}))))+(IF(COUNT(J15,K15,O15)&lt;2,SUM(J15,K15,O15),SUM(LARGE((J15,K15,O15),{1;2}))))+(IF(COUNT(I15,M15,P15)&lt;2,SUM(I15,M15,P15),SUM(LARGE((I15,M15,P15),{1;2}))))</f>
        <v>138</v>
      </c>
      <c r="I15" s="832">
        <v>30</v>
      </c>
      <c r="J15" s="831">
        <v>18</v>
      </c>
      <c r="K15" s="597">
        <v>30</v>
      </c>
      <c r="L15" s="598">
        <v>8</v>
      </c>
      <c r="M15" s="598">
        <v>40</v>
      </c>
      <c r="N15" s="598">
        <v>4</v>
      </c>
      <c r="O15" s="597">
        <v>26</v>
      </c>
      <c r="P15" s="598">
        <v>30</v>
      </c>
      <c r="Q15" s="831">
        <v>3.7</v>
      </c>
      <c r="R15" s="600">
        <f t="shared" si="3"/>
        <v>9</v>
      </c>
      <c r="S15" s="600">
        <f t="shared" si="4"/>
        <v>4</v>
      </c>
      <c r="T15" s="600">
        <f t="shared" si="5"/>
        <v>1</v>
      </c>
      <c r="V15" s="918"/>
    </row>
    <row r="16" spans="1:22" x14ac:dyDescent="0.2">
      <c r="A16" s="592">
        <f t="shared" si="0"/>
        <v>10</v>
      </c>
      <c r="B16" s="593">
        <v>10</v>
      </c>
      <c r="C16" s="690" t="s">
        <v>201</v>
      </c>
      <c r="D16" s="691"/>
      <c r="E16" s="594">
        <v>132</v>
      </c>
      <c r="F16" s="595">
        <f t="shared" si="1"/>
        <v>132.0201101001</v>
      </c>
      <c r="G16" s="596">
        <f t="shared" si="2"/>
        <v>2.01101001E-2</v>
      </c>
      <c r="H16" s="595">
        <f t="array" ref="H16">(IF(COUNT(L16,N16,Q16)&lt;2,SUM(L16,N16,Q16),SUM(LARGE((L16,N16,Q16),{1;2}))))+(IF(COUNT(J16,K16,O16)&lt;2,SUM(J16,K16,O16),SUM(LARGE((J16,K16,O16),{1;2}))))+(IF(COUNT(I16,M16,P16)&lt;2,SUM(I16,M16,P16),SUM(LARGE((I16,M16,P16),{1;2}))))</f>
        <v>132</v>
      </c>
      <c r="I16" s="832">
        <v>20</v>
      </c>
      <c r="J16" s="598">
        <v>34</v>
      </c>
      <c r="K16" s="832" t="s">
        <v>397</v>
      </c>
      <c r="L16" s="832" t="s">
        <v>397</v>
      </c>
      <c r="M16" s="597">
        <v>26</v>
      </c>
      <c r="N16" s="598">
        <v>34</v>
      </c>
      <c r="O16" s="598">
        <v>14</v>
      </c>
      <c r="P16" s="598">
        <v>24</v>
      </c>
      <c r="Q16" s="598"/>
      <c r="R16" s="600">
        <f t="shared" si="3"/>
        <v>6</v>
      </c>
      <c r="S16" s="600">
        <f t="shared" si="4"/>
        <v>2</v>
      </c>
      <c r="T16" s="600">
        <f t="shared" si="5"/>
        <v>0</v>
      </c>
      <c r="V16" s="918"/>
    </row>
    <row r="17" spans="1:22" x14ac:dyDescent="0.2">
      <c r="A17" s="592">
        <f t="shared" si="0"/>
        <v>11</v>
      </c>
      <c r="B17" s="593">
        <v>11</v>
      </c>
      <c r="C17" s="682" t="s">
        <v>199</v>
      </c>
      <c r="D17" s="683"/>
      <c r="E17" s="594">
        <v>131.69999999999999</v>
      </c>
      <c r="F17" s="595">
        <f t="shared" si="1"/>
        <v>131.7111101001</v>
      </c>
      <c r="G17" s="596">
        <f t="shared" si="2"/>
        <v>1.1110100099999997E-2</v>
      </c>
      <c r="H17" s="595">
        <f t="array" ref="H17">(IF(COUNT(L17,N17,Q17)&lt;2,SUM(L17,N17,Q17),SUM(LARGE((L17,N17,Q17),{1;2}))))+(IF(COUNT(J17,K17,O17)&lt;2,SUM(J17,K17,O17),SUM(LARGE((J17,K17,O17),{1;2}))))+(IF(COUNT(I17,M17,P17)&lt;2,SUM(I17,M17,P17),SUM(LARGE((I17,M17,P17),{1;2}))))</f>
        <v>131.69999999999999</v>
      </c>
      <c r="I17" s="832">
        <v>20</v>
      </c>
      <c r="J17" s="598">
        <v>34</v>
      </c>
      <c r="K17" s="832" t="s">
        <v>397</v>
      </c>
      <c r="L17" s="831">
        <v>1</v>
      </c>
      <c r="M17" s="598">
        <v>26</v>
      </c>
      <c r="N17" s="598">
        <v>30</v>
      </c>
      <c r="O17" s="598">
        <v>14</v>
      </c>
      <c r="P17" s="598">
        <v>24</v>
      </c>
      <c r="Q17" s="598">
        <v>3.7</v>
      </c>
      <c r="R17" s="600">
        <f t="shared" si="3"/>
        <v>8</v>
      </c>
      <c r="S17" s="600">
        <f t="shared" si="4"/>
        <v>2</v>
      </c>
      <c r="T17" s="600">
        <f t="shared" si="5"/>
        <v>0</v>
      </c>
      <c r="V17" s="918"/>
    </row>
    <row r="18" spans="1:22" x14ac:dyDescent="0.2">
      <c r="A18" s="592">
        <f t="shared" si="0"/>
        <v>12</v>
      </c>
      <c r="B18" s="593">
        <v>12</v>
      </c>
      <c r="C18" s="682" t="s">
        <v>194</v>
      </c>
      <c r="D18" s="683"/>
      <c r="E18" s="594">
        <v>126</v>
      </c>
      <c r="F18" s="595">
        <f t="shared" si="1"/>
        <v>126.1000112</v>
      </c>
      <c r="G18" s="596">
        <f t="shared" si="2"/>
        <v>0.10001120000000001</v>
      </c>
      <c r="H18" s="595">
        <f t="array" ref="H18">(IF(COUNT(L18,N18,Q18)&lt;2,SUM(L18,N18,Q18),SUM(LARGE((L18,N18,Q18),{1;2}))))+(IF(COUNT(J18,K18,O18)&lt;2,SUM(J18,K18,O18),SUM(LARGE((J18,K18,O18),{1;2}))))+(IF(COUNT(I18,M18,P18)&lt;2,SUM(I18,M18,P18),SUM(LARGE((I18,M18,P18),{1;2}))))</f>
        <v>126</v>
      </c>
      <c r="I18" s="597">
        <v>24</v>
      </c>
      <c r="J18" s="598">
        <v>22</v>
      </c>
      <c r="K18" s="597">
        <v>40</v>
      </c>
      <c r="L18" s="598">
        <v>20</v>
      </c>
      <c r="M18" s="597">
        <v>20</v>
      </c>
      <c r="N18" s="831" t="s">
        <v>397</v>
      </c>
      <c r="O18" s="832" t="s">
        <v>397</v>
      </c>
      <c r="P18" s="832" t="s">
        <v>397</v>
      </c>
      <c r="Q18" s="598"/>
      <c r="R18" s="600">
        <f t="shared" si="3"/>
        <v>5</v>
      </c>
      <c r="S18" s="600">
        <f t="shared" si="4"/>
        <v>1</v>
      </c>
      <c r="T18" s="600">
        <f t="shared" si="5"/>
        <v>1</v>
      </c>
      <c r="V18" s="918"/>
    </row>
    <row r="19" spans="1:22" x14ac:dyDescent="0.2">
      <c r="A19" s="592">
        <f t="shared" si="0"/>
        <v>13</v>
      </c>
      <c r="B19" s="593">
        <v>13</v>
      </c>
      <c r="C19" s="682" t="s">
        <v>171</v>
      </c>
      <c r="D19" s="683"/>
      <c r="E19" s="594">
        <v>125</v>
      </c>
      <c r="F19" s="595">
        <f t="shared" si="1"/>
        <v>125.00012121</v>
      </c>
      <c r="G19" s="596">
        <f t="shared" si="2"/>
        <v>1.2121E-4</v>
      </c>
      <c r="H19" s="595">
        <f t="array" ref="H19">(IF(COUNT(L19,N19,Q19)&lt;2,SUM(L19,N19,Q19),SUM(LARGE((L19,N19,Q19),{1;2}))))+(IF(COUNT(J19,K19,O19)&lt;2,SUM(J19,K19,O19),SUM(LARGE((J19,K19,O19),{1;2}))))+(IF(COUNT(I19,M19,P19)&lt;2,SUM(I19,M19,P19),SUM(LARGE((I19,M19,P19),{1;2}))))</f>
        <v>125</v>
      </c>
      <c r="I19" s="597">
        <v>26</v>
      </c>
      <c r="J19" s="831">
        <v>20</v>
      </c>
      <c r="K19" s="597">
        <v>20</v>
      </c>
      <c r="L19" s="831">
        <v>1</v>
      </c>
      <c r="M19" s="598">
        <v>24</v>
      </c>
      <c r="N19" s="598">
        <v>18</v>
      </c>
      <c r="O19" s="598">
        <v>24</v>
      </c>
      <c r="P19" s="831">
        <v>22</v>
      </c>
      <c r="Q19" s="598">
        <v>13</v>
      </c>
      <c r="R19" s="600">
        <f t="shared" si="3"/>
        <v>9</v>
      </c>
      <c r="S19" s="600">
        <f t="shared" si="4"/>
        <v>0</v>
      </c>
      <c r="T19" s="600">
        <f t="shared" si="5"/>
        <v>0</v>
      </c>
      <c r="V19" s="918"/>
    </row>
    <row r="20" spans="1:22" x14ac:dyDescent="0.2">
      <c r="A20" s="592">
        <f t="shared" si="0"/>
        <v>14</v>
      </c>
      <c r="B20" s="591">
        <v>14</v>
      </c>
      <c r="C20" s="684" t="s">
        <v>262</v>
      </c>
      <c r="D20" s="685"/>
      <c r="E20" s="594">
        <v>124</v>
      </c>
      <c r="F20" s="595">
        <f t="shared" si="1"/>
        <v>124.10020001010101</v>
      </c>
      <c r="G20" s="596">
        <f t="shared" si="2"/>
        <v>0.10020001010100001</v>
      </c>
      <c r="H20" s="595">
        <f t="array" ref="H20">(IF(COUNT(L20,N20,Q20)&lt;2,SUM(L20,N20,Q20),SUM(LARGE((L20,N20,Q20),{1;2}))))+(IF(COUNT(J20,K20,O20)&lt;2,SUM(J20,K20,O20),SUM(LARGE((J20,K20,O20),{1;2}))))+(IF(COUNT(I20,M20,P20)&lt;2,SUM(I20,M20,P20),SUM(LARGE((I20,M20,P20),{1;2}))))</f>
        <v>124</v>
      </c>
      <c r="I20" s="832" t="s">
        <v>397</v>
      </c>
      <c r="J20" s="598">
        <v>14</v>
      </c>
      <c r="K20" s="832" t="s">
        <v>397</v>
      </c>
      <c r="L20" s="598">
        <v>26</v>
      </c>
      <c r="M20" s="598"/>
      <c r="N20" s="831">
        <v>10</v>
      </c>
      <c r="O20" s="598">
        <v>18</v>
      </c>
      <c r="P20" s="598">
        <v>40</v>
      </c>
      <c r="Q20" s="598">
        <v>26</v>
      </c>
      <c r="R20" s="600">
        <f t="shared" si="3"/>
        <v>6</v>
      </c>
      <c r="S20" s="600">
        <f t="shared" si="4"/>
        <v>1</v>
      </c>
      <c r="T20" s="600">
        <f t="shared" si="5"/>
        <v>1</v>
      </c>
      <c r="V20" s="918"/>
    </row>
    <row r="21" spans="1:22" x14ac:dyDescent="0.2">
      <c r="A21" s="592">
        <f t="shared" si="0"/>
        <v>15</v>
      </c>
      <c r="B21" s="593">
        <v>15</v>
      </c>
      <c r="C21" s="682" t="s">
        <v>186</v>
      </c>
      <c r="D21" s="689"/>
      <c r="E21" s="594">
        <v>117.7</v>
      </c>
      <c r="F21" s="595">
        <f t="shared" si="1"/>
        <v>117.71121000000001</v>
      </c>
      <c r="G21" s="596">
        <f t="shared" si="2"/>
        <v>1.1209999999999999E-2</v>
      </c>
      <c r="H21" s="595">
        <f t="array" ref="H21">(IF(COUNT(L21,N21,Q21)&lt;2,SUM(L21,N21,Q21),SUM(LARGE((L21,N21,Q21),{1;2}))))+(IF(COUNT(J21,K21,O21)&lt;2,SUM(J21,K21,O21),SUM(LARGE((J21,K21,O21),{1;2}))))+(IF(COUNT(I21,M21,P21)&lt;2,SUM(I21,M21,P21),SUM(LARGE((I21,M21,P21),{1;2}))))</f>
        <v>117.7</v>
      </c>
      <c r="I21" s="597">
        <v>34</v>
      </c>
      <c r="J21" s="597">
        <v>24</v>
      </c>
      <c r="K21" s="598">
        <v>26</v>
      </c>
      <c r="L21" s="831" t="s">
        <v>397</v>
      </c>
      <c r="M21" s="598">
        <v>30</v>
      </c>
      <c r="N21" s="598"/>
      <c r="O21" s="832" t="s">
        <v>397</v>
      </c>
      <c r="P21" s="831">
        <v>26</v>
      </c>
      <c r="Q21" s="598">
        <v>3.7</v>
      </c>
      <c r="R21" s="600">
        <f t="shared" si="3"/>
        <v>6</v>
      </c>
      <c r="S21" s="600">
        <f t="shared" si="4"/>
        <v>2</v>
      </c>
      <c r="T21" s="600">
        <f t="shared" si="5"/>
        <v>0</v>
      </c>
      <c r="V21" s="918"/>
    </row>
    <row r="22" spans="1:22" x14ac:dyDescent="0.2">
      <c r="A22" s="592">
        <f t="shared" si="0"/>
        <v>16</v>
      </c>
      <c r="B22" s="591">
        <v>16</v>
      </c>
      <c r="C22" s="682" t="s">
        <v>203</v>
      </c>
      <c r="D22" s="683"/>
      <c r="E22" s="594">
        <v>115</v>
      </c>
      <c r="F22" s="595">
        <f t="shared" si="1"/>
        <v>115.01000202100001</v>
      </c>
      <c r="G22" s="596">
        <f t="shared" si="2"/>
        <v>1.0002021000010001E-2</v>
      </c>
      <c r="H22" s="595">
        <f t="array" ref="H22">(IF(COUNT(L22,N22,Q22)&lt;2,SUM(L22,N22,Q22),SUM(LARGE((L22,N22,Q22),{1;2}))))+(IF(COUNT(J22,K22,O22)&lt;2,SUM(J22,K22,O22),SUM(LARGE((J22,K22,O22),{1;2}))))+(IF(COUNT(I22,M22,P22)&lt;2,SUM(I22,M22,P22),SUM(LARGE((I22,M22,P22),{1;2}))))</f>
        <v>115</v>
      </c>
      <c r="I22" s="832">
        <v>18</v>
      </c>
      <c r="J22" s="831">
        <v>16</v>
      </c>
      <c r="K22" s="597">
        <v>18</v>
      </c>
      <c r="L22" s="832">
        <v>1</v>
      </c>
      <c r="M22" s="598">
        <v>22</v>
      </c>
      <c r="N22" s="598">
        <v>6</v>
      </c>
      <c r="O22" s="598">
        <v>22</v>
      </c>
      <c r="P22" s="598">
        <v>34</v>
      </c>
      <c r="Q22" s="598">
        <v>13</v>
      </c>
      <c r="R22" s="600">
        <f t="shared" si="3"/>
        <v>9</v>
      </c>
      <c r="S22" s="600">
        <f t="shared" si="4"/>
        <v>1</v>
      </c>
      <c r="T22" s="600">
        <f t="shared" si="5"/>
        <v>0</v>
      </c>
      <c r="V22" s="918"/>
    </row>
    <row r="23" spans="1:22" x14ac:dyDescent="0.2">
      <c r="A23" s="592">
        <f t="shared" si="0"/>
        <v>17</v>
      </c>
      <c r="B23" s="593">
        <v>17</v>
      </c>
      <c r="C23" s="684" t="s">
        <v>162</v>
      </c>
      <c r="D23" s="685"/>
      <c r="E23" s="594">
        <v>107</v>
      </c>
      <c r="F23" s="595">
        <f t="shared" si="1"/>
        <v>107.10200002000001</v>
      </c>
      <c r="G23" s="596">
        <f t="shared" si="2"/>
        <v>0.10200002000000001</v>
      </c>
      <c r="H23" s="595">
        <f t="array" ref="H23">(IF(COUNT(L23,N23,Q23)&lt;2,SUM(L23,N23,Q23),SUM(LARGE((L23,N23,Q23),{1;2}))))+(IF(COUNT(J23,K23,O23)&lt;2,SUM(J23,K23,O23),SUM(LARGE((J23,K23,O23),{1;2}))))+(IF(COUNT(I23,M23,P23)&lt;2,SUM(I23,M23,P23),SUM(LARGE((I23,M23,P23),{1;2}))))</f>
        <v>107</v>
      </c>
      <c r="I23" s="832">
        <v>30</v>
      </c>
      <c r="J23" s="598">
        <v>18</v>
      </c>
      <c r="K23" s="832" t="s">
        <v>397</v>
      </c>
      <c r="L23" s="598">
        <v>18</v>
      </c>
      <c r="M23" s="597">
        <v>40</v>
      </c>
      <c r="N23" s="831" t="s">
        <v>397</v>
      </c>
      <c r="O23" s="598"/>
      <c r="P23" s="598">
        <v>30</v>
      </c>
      <c r="Q23" s="598">
        <v>1</v>
      </c>
      <c r="R23" s="600">
        <f t="shared" si="3"/>
        <v>6</v>
      </c>
      <c r="S23" s="600">
        <f t="shared" si="4"/>
        <v>3</v>
      </c>
      <c r="T23" s="600">
        <f t="shared" si="5"/>
        <v>1</v>
      </c>
      <c r="V23" s="918"/>
    </row>
    <row r="24" spans="1:22" s="601" customFormat="1" x14ac:dyDescent="0.2">
      <c r="A24" s="592">
        <f t="shared" si="0"/>
        <v>18</v>
      </c>
      <c r="B24" s="593">
        <v>18</v>
      </c>
      <c r="C24" s="682" t="s">
        <v>200</v>
      </c>
      <c r="D24" s="689"/>
      <c r="E24" s="594">
        <v>103</v>
      </c>
      <c r="F24" s="595">
        <f t="shared" si="1"/>
        <v>103.0001101101001</v>
      </c>
      <c r="G24" s="596">
        <f t="shared" si="2"/>
        <v>1.101101001E-4</v>
      </c>
      <c r="H24" s="595">
        <f t="array" ref="H24">(IF(COUNT(L24,N24,Q24)&lt;2,SUM(L24,N24,Q24),SUM(LARGE((L24,N24,Q24),{1;2}))))+(IF(COUNT(J24,K24,O24)&lt;2,SUM(J24,K24,O24),SUM(LARGE((J24,K24,O24),{1;2}))))+(IF(COUNT(I24,M24,P24)&lt;2,SUM(I24,M24,P24),SUM(LARGE((I24,M24,P24),{1;2}))))</f>
        <v>103</v>
      </c>
      <c r="I24" s="832">
        <v>20</v>
      </c>
      <c r="J24" s="598">
        <v>14</v>
      </c>
      <c r="K24" s="832" t="s">
        <v>397</v>
      </c>
      <c r="L24" s="832" t="s">
        <v>397</v>
      </c>
      <c r="M24" s="598">
        <v>26</v>
      </c>
      <c r="N24" s="598">
        <v>8</v>
      </c>
      <c r="O24" s="597">
        <v>18</v>
      </c>
      <c r="P24" s="597">
        <v>24</v>
      </c>
      <c r="Q24" s="597">
        <v>13</v>
      </c>
      <c r="R24" s="600">
        <f t="shared" si="3"/>
        <v>7</v>
      </c>
      <c r="S24" s="600">
        <f t="shared" si="4"/>
        <v>0</v>
      </c>
      <c r="T24" s="600">
        <f t="shared" si="5"/>
        <v>0</v>
      </c>
      <c r="V24" s="918"/>
    </row>
    <row r="25" spans="1:22" s="601" customFormat="1" x14ac:dyDescent="0.2">
      <c r="A25" s="592">
        <f t="shared" si="0"/>
        <v>19</v>
      </c>
      <c r="B25" s="591">
        <v>19</v>
      </c>
      <c r="C25" s="692" t="s">
        <v>202</v>
      </c>
      <c r="D25" s="693"/>
      <c r="E25" s="594">
        <v>101.7</v>
      </c>
      <c r="F25" s="595">
        <f t="shared" si="1"/>
        <v>101.71000202100001</v>
      </c>
      <c r="G25" s="596">
        <f t="shared" si="2"/>
        <v>1.00020210000001E-2</v>
      </c>
      <c r="H25" s="595">
        <f t="array" ref="H25">(IF(COUNT(L25,N25,Q25)&lt;2,SUM(L25,N25,Q25),SUM(LARGE((L25,N25,Q25),{1;2}))))+(IF(COUNT(J25,K25,O25)&lt;2,SUM(J25,K25,O25),SUM(LARGE((J25,K25,O25),{1;2}))))+(IF(COUNT(I25,M25,P25)&lt;2,SUM(I25,M25,P25),SUM(LARGE((I25,M25,P25),{1;2}))))</f>
        <v>101.7</v>
      </c>
      <c r="I25" s="832">
        <v>18</v>
      </c>
      <c r="J25" s="831">
        <v>16</v>
      </c>
      <c r="K25" s="597">
        <v>18</v>
      </c>
      <c r="L25" s="831">
        <v>1</v>
      </c>
      <c r="M25" s="597">
        <v>22</v>
      </c>
      <c r="N25" s="598">
        <v>2</v>
      </c>
      <c r="O25" s="598">
        <v>22</v>
      </c>
      <c r="P25" s="598">
        <v>34</v>
      </c>
      <c r="Q25" s="598">
        <v>3.7</v>
      </c>
      <c r="R25" s="600">
        <f t="shared" si="3"/>
        <v>9</v>
      </c>
      <c r="S25" s="600">
        <f t="shared" si="4"/>
        <v>1</v>
      </c>
      <c r="T25" s="600">
        <f t="shared" si="5"/>
        <v>0</v>
      </c>
      <c r="V25" s="918"/>
    </row>
    <row r="26" spans="1:22" x14ac:dyDescent="0.2">
      <c r="A26" s="592">
        <f t="shared" si="0"/>
        <v>20</v>
      </c>
      <c r="B26" s="593">
        <v>20</v>
      </c>
      <c r="C26" s="684" t="s">
        <v>368</v>
      </c>
      <c r="D26" s="685"/>
      <c r="E26" s="594">
        <v>97</v>
      </c>
      <c r="F26" s="595">
        <f t="shared" si="1"/>
        <v>97.0001010111</v>
      </c>
      <c r="G26" s="596">
        <f t="shared" si="2"/>
        <v>1.0101109999999999E-4</v>
      </c>
      <c r="H26" s="595">
        <f t="array" ref="H26">(IF(COUNT(L26,N26,Q26)&lt;2,SUM(L26,N26,Q26),SUM(LARGE((L26,N26,Q26),{1;2}))))+(IF(COUNT(J26,K26,O26)&lt;2,SUM(J26,K26,O26),SUM(LARGE((J26,K26,O26),{1;2}))))+(IF(COUNT(I26,M26,P26)&lt;2,SUM(I26,M26,P26),SUM(LARGE((I26,M26,P26),{1;2}))))</f>
        <v>97</v>
      </c>
      <c r="I26" s="597">
        <v>18</v>
      </c>
      <c r="J26" s="597">
        <v>26</v>
      </c>
      <c r="K26" s="598">
        <v>16</v>
      </c>
      <c r="L26" s="598">
        <v>14</v>
      </c>
      <c r="M26" s="598">
        <v>22</v>
      </c>
      <c r="N26" s="831">
        <v>1</v>
      </c>
      <c r="O26" s="831" t="s">
        <v>23</v>
      </c>
      <c r="P26" s="832" t="s">
        <v>397</v>
      </c>
      <c r="Q26" s="598">
        <v>1</v>
      </c>
      <c r="R26" s="600">
        <f t="shared" si="3"/>
        <v>7</v>
      </c>
      <c r="S26" s="600">
        <f t="shared" si="4"/>
        <v>0</v>
      </c>
      <c r="T26" s="600">
        <f t="shared" si="5"/>
        <v>0</v>
      </c>
      <c r="V26" s="918"/>
    </row>
    <row r="27" spans="1:22" s="601" customFormat="1" x14ac:dyDescent="0.2">
      <c r="A27" s="592">
        <f t="shared" si="0"/>
        <v>21</v>
      </c>
      <c r="B27" s="602">
        <v>21</v>
      </c>
      <c r="C27" s="682" t="s">
        <v>261</v>
      </c>
      <c r="D27" s="683"/>
      <c r="E27" s="594">
        <v>86</v>
      </c>
      <c r="F27" s="595">
        <f t="shared" si="1"/>
        <v>86.100000102001005</v>
      </c>
      <c r="G27" s="596">
        <f t="shared" si="2"/>
        <v>0.10000010200100001</v>
      </c>
      <c r="H27" s="595">
        <f t="array" ref="H27">(IF(COUNT(L27,N27,Q27)&lt;2,SUM(L27,N27,Q27),SUM(LARGE((L27,N27,Q27),{1;2}))))+(IF(COUNT(J27,K27,O27)&lt;2,SUM(J27,K27,O27),SUM(LARGE((J27,K27,O27),{1;2}))))+(IF(COUNT(I27,M27,P27)&lt;2,SUM(I27,M27,P27),SUM(LARGE((I27,M27,P27),{1;2}))))</f>
        <v>86</v>
      </c>
      <c r="I27" s="832" t="s">
        <v>397</v>
      </c>
      <c r="J27" s="598">
        <v>10</v>
      </c>
      <c r="K27" s="597">
        <v>40</v>
      </c>
      <c r="L27" s="832">
        <v>16</v>
      </c>
      <c r="M27" s="597"/>
      <c r="N27" s="597">
        <v>16</v>
      </c>
      <c r="O27" s="831" t="s">
        <v>397</v>
      </c>
      <c r="P27" s="598"/>
      <c r="Q27" s="598">
        <v>20</v>
      </c>
      <c r="R27" s="600">
        <f t="shared" si="3"/>
        <v>5</v>
      </c>
      <c r="S27" s="600">
        <f t="shared" si="4"/>
        <v>1</v>
      </c>
      <c r="T27" s="600">
        <f t="shared" si="5"/>
        <v>1</v>
      </c>
      <c r="V27" s="918"/>
    </row>
    <row r="28" spans="1:22" x14ac:dyDescent="0.2">
      <c r="A28" s="592">
        <f t="shared" si="0"/>
        <v>22</v>
      </c>
      <c r="B28" s="591">
        <v>22</v>
      </c>
      <c r="C28" s="686" t="s">
        <v>185</v>
      </c>
      <c r="D28" s="687"/>
      <c r="E28" s="594">
        <v>83</v>
      </c>
      <c r="F28" s="595">
        <f t="shared" si="1"/>
        <v>83.1000011</v>
      </c>
      <c r="G28" s="596">
        <f t="shared" si="2"/>
        <v>0.10000110000000001</v>
      </c>
      <c r="H28" s="595">
        <f t="array" ref="H28">(IF(COUNT(L28,N28,Q28)&lt;2,SUM(L28,N28,Q28),SUM(LARGE((L28,N28,Q28),{1;2}))))+(IF(COUNT(J28,K28,O28)&lt;2,SUM(J28,K28,O28),SUM(LARGE((J28,K28,O28),{1;2}))))+(IF(COUNT(I28,M28,P28)&lt;2,SUM(I28,M28,P28),SUM(LARGE((I28,M28,P28),{1;2}))))</f>
        <v>83</v>
      </c>
      <c r="I28" s="597">
        <v>40</v>
      </c>
      <c r="J28" s="598">
        <v>22</v>
      </c>
      <c r="K28" s="832" t="s">
        <v>397</v>
      </c>
      <c r="L28" s="597">
        <v>1</v>
      </c>
      <c r="M28" s="831" t="s">
        <v>397</v>
      </c>
      <c r="N28" s="831" t="s">
        <v>397</v>
      </c>
      <c r="O28" s="598">
        <v>20</v>
      </c>
      <c r="P28" s="597"/>
      <c r="Q28" s="598"/>
      <c r="R28" s="600">
        <f t="shared" si="3"/>
        <v>4</v>
      </c>
      <c r="S28" s="600">
        <f t="shared" si="4"/>
        <v>1</v>
      </c>
      <c r="T28" s="600">
        <f t="shared" si="5"/>
        <v>1</v>
      </c>
      <c r="V28" s="918"/>
    </row>
    <row r="29" spans="1:22" x14ac:dyDescent="0.2">
      <c r="A29" s="592">
        <f t="shared" si="0"/>
        <v>23</v>
      </c>
      <c r="B29" s="593">
        <v>23</v>
      </c>
      <c r="C29" s="682" t="s">
        <v>197</v>
      </c>
      <c r="D29" s="683"/>
      <c r="E29" s="594">
        <v>82.7</v>
      </c>
      <c r="F29" s="595">
        <f t="shared" si="1"/>
        <v>82.70000201101</v>
      </c>
      <c r="G29" s="596">
        <f t="shared" si="2"/>
        <v>2.0110099999999997E-6</v>
      </c>
      <c r="H29" s="595">
        <f t="array" ref="H29">(IF(COUNT(L29,N29,Q29)&lt;2,SUM(L29,N29,Q29),SUM(LARGE((L29,N29,Q29),{1;2}))))+(IF(COUNT(J29,K29,O29)&lt;2,SUM(J29,K29,O29),SUM(LARGE((J29,K29,O29),{1;2}))))+(IF(COUNT(I29,M29,P29)&lt;2,SUM(I29,M29,P29),SUM(LARGE((I29,M29,P29),{1;2}))))</f>
        <v>82.7</v>
      </c>
      <c r="I29" s="598">
        <v>22</v>
      </c>
      <c r="J29" s="831">
        <v>12</v>
      </c>
      <c r="K29" s="597">
        <v>22</v>
      </c>
      <c r="L29" s="598">
        <v>1</v>
      </c>
      <c r="M29" s="597">
        <v>18</v>
      </c>
      <c r="N29" s="831" t="s">
        <v>397</v>
      </c>
      <c r="O29" s="597">
        <v>16</v>
      </c>
      <c r="P29" s="831" t="s">
        <v>397</v>
      </c>
      <c r="Q29" s="598">
        <v>3.7</v>
      </c>
      <c r="R29" s="600">
        <f t="shared" si="3"/>
        <v>7</v>
      </c>
      <c r="S29" s="600">
        <f t="shared" si="4"/>
        <v>0</v>
      </c>
      <c r="T29" s="600">
        <f t="shared" si="5"/>
        <v>0</v>
      </c>
      <c r="V29" s="918"/>
    </row>
    <row r="30" spans="1:22" x14ac:dyDescent="0.2">
      <c r="A30" s="592">
        <f t="shared" si="0"/>
        <v>24</v>
      </c>
      <c r="B30" s="593">
        <v>24</v>
      </c>
      <c r="C30" s="692" t="s">
        <v>257</v>
      </c>
      <c r="D30" s="693"/>
      <c r="E30" s="594">
        <v>64</v>
      </c>
      <c r="F30" s="595">
        <f t="shared" si="1"/>
        <v>64.000100101000001</v>
      </c>
      <c r="G30" s="596">
        <f t="shared" si="2"/>
        <v>1.0010100000000001E-4</v>
      </c>
      <c r="H30" s="595">
        <f t="array" ref="H30">(IF(COUNT(L30,N30,Q30)&lt;2,SUM(L30,N30,Q30),SUM(LARGE((L30,N30,Q30),{1;2}))))+(IF(COUNT(J30,K30,O30)&lt;2,SUM(J30,K30,O30),SUM(LARGE((J30,K30,O30),{1;2}))))+(IF(COUNT(I30,M30,P30)&lt;2,SUM(I30,M30,P30),SUM(LARGE((I30,M30,P30),{1;2}))))</f>
        <v>64</v>
      </c>
      <c r="I30" s="832" t="s">
        <v>397</v>
      </c>
      <c r="J30" s="597">
        <v>26</v>
      </c>
      <c r="K30" s="598">
        <v>16</v>
      </c>
      <c r="L30" s="832">
        <v>1</v>
      </c>
      <c r="M30" s="598">
        <v>20</v>
      </c>
      <c r="N30" s="598">
        <v>1</v>
      </c>
      <c r="O30" s="831" t="s">
        <v>397</v>
      </c>
      <c r="P30" s="598"/>
      <c r="Q30" s="598">
        <v>1</v>
      </c>
      <c r="R30" s="600">
        <f t="shared" si="3"/>
        <v>6</v>
      </c>
      <c r="S30" s="600">
        <f t="shared" si="4"/>
        <v>0</v>
      </c>
      <c r="T30" s="600">
        <f t="shared" si="5"/>
        <v>0</v>
      </c>
      <c r="V30" s="918"/>
    </row>
    <row r="31" spans="1:22" s="601" customFormat="1" x14ac:dyDescent="0.2">
      <c r="A31" s="592">
        <f t="shared" si="0"/>
        <v>25</v>
      </c>
      <c r="B31" s="593">
        <v>25</v>
      </c>
      <c r="C31" s="694" t="s">
        <v>196</v>
      </c>
      <c r="D31" s="695"/>
      <c r="E31" s="594">
        <v>50</v>
      </c>
      <c r="F31" s="595">
        <f t="shared" si="1"/>
        <v>50.000001010001</v>
      </c>
      <c r="G31" s="596">
        <f t="shared" si="2"/>
        <v>1.0100009999999999E-6</v>
      </c>
      <c r="H31" s="595">
        <f t="array" ref="H31">(IF(COUNT(L31,N31,Q31)&lt;2,SUM(L31,N31,Q31),SUM(LARGE((L31,N31,Q31),{1;2}))))+(IF(COUNT(J31,K31,O31)&lt;2,SUM(J31,K31,O31),SUM(LARGE((J31,K31,O31),{1;2}))))+(IF(COUNT(I31,M31,P31)&lt;2,SUM(I31,M31,P31),SUM(LARGE((I31,M31,P31),{1;2}))))</f>
        <v>50</v>
      </c>
      <c r="I31" s="597">
        <v>22</v>
      </c>
      <c r="J31" s="598">
        <v>10</v>
      </c>
      <c r="K31" s="832" t="s">
        <v>397</v>
      </c>
      <c r="L31" s="831" t="s">
        <v>397</v>
      </c>
      <c r="M31" s="598">
        <v>18</v>
      </c>
      <c r="N31" s="598"/>
      <c r="O31" s="598"/>
      <c r="P31" s="831" t="s">
        <v>397</v>
      </c>
      <c r="Q31" s="598"/>
      <c r="R31" s="600">
        <f t="shared" si="3"/>
        <v>3</v>
      </c>
      <c r="S31" s="600">
        <f t="shared" si="4"/>
        <v>0</v>
      </c>
      <c r="T31" s="600">
        <f t="shared" si="5"/>
        <v>0</v>
      </c>
      <c r="V31" s="918"/>
    </row>
    <row r="32" spans="1:22" s="601" customFormat="1" x14ac:dyDescent="0.2">
      <c r="A32" s="592">
        <f t="shared" si="0"/>
        <v>26</v>
      </c>
      <c r="B32" s="602">
        <v>26</v>
      </c>
      <c r="C32" s="682" t="s">
        <v>311</v>
      </c>
      <c r="D32" s="683"/>
      <c r="E32" s="603">
        <v>49</v>
      </c>
      <c r="F32" s="595">
        <f t="shared" si="1"/>
        <v>49.000000010999997</v>
      </c>
      <c r="G32" s="596">
        <f t="shared" si="2"/>
        <v>1.1000000100000001E-8</v>
      </c>
      <c r="H32" s="595">
        <f t="array" ref="H32">(IF(COUNT(L32,N32,Q32)&lt;2,SUM(L32,N32,Q32),SUM(LARGE((L32,N32,Q32),{1;2}))))+(IF(COUNT(J32,K32,O32)&lt;2,SUM(J32,K32,O32),SUM(LARGE((J32,K32,O32),{1;2}))))+(IF(COUNT(I32,M32,P32)&lt;2,SUM(I32,M32,P32),SUM(LARGE((I32,M32,P32),{1;2}))))</f>
        <v>49</v>
      </c>
      <c r="I32" s="832" t="s">
        <v>397</v>
      </c>
      <c r="J32" s="831" t="s">
        <v>397</v>
      </c>
      <c r="K32" s="597"/>
      <c r="L32" s="597">
        <v>2</v>
      </c>
      <c r="M32" s="597">
        <v>18</v>
      </c>
      <c r="N32" s="832" t="s">
        <v>397</v>
      </c>
      <c r="O32" s="598">
        <v>16</v>
      </c>
      <c r="P32" s="598"/>
      <c r="Q32" s="598">
        <v>13</v>
      </c>
      <c r="R32" s="600">
        <f t="shared" si="3"/>
        <v>4</v>
      </c>
      <c r="S32" s="600">
        <f t="shared" si="4"/>
        <v>0</v>
      </c>
      <c r="T32" s="600">
        <f t="shared" si="5"/>
        <v>0</v>
      </c>
      <c r="V32" s="918"/>
    </row>
    <row r="33" spans="1:22" s="601" customFormat="1" x14ac:dyDescent="0.2">
      <c r="A33" s="592">
        <f t="shared" si="0"/>
        <v>27</v>
      </c>
      <c r="B33" s="593">
        <v>27</v>
      </c>
      <c r="C33" s="682" t="s">
        <v>204</v>
      </c>
      <c r="D33" s="683"/>
      <c r="E33" s="594">
        <v>40</v>
      </c>
      <c r="F33" s="595">
        <f t="shared" si="1"/>
        <v>40.000010001</v>
      </c>
      <c r="G33" s="596">
        <f t="shared" si="2"/>
        <v>1.0001000000000001E-5</v>
      </c>
      <c r="H33" s="595">
        <f t="array" ref="H33">(IF(COUNT(L33,N33,Q33)&lt;2,SUM(L33,N33,Q33),SUM(LARGE((L33,N33,Q33),{1;2}))))+(IF(COUNT(J33,K33,O33)&lt;2,SUM(J33,K33,O33),SUM(LARGE((J33,K33,O33),{1;2}))))+(IF(COUNT(I33,M33,P33)&lt;2,SUM(I33,M33,P33),SUM(LARGE((I33,M33,P33),{1;2}))))</f>
        <v>40</v>
      </c>
      <c r="I33" s="597">
        <v>16</v>
      </c>
      <c r="J33" s="831" t="s">
        <v>397</v>
      </c>
      <c r="K33" s="597">
        <v>24</v>
      </c>
      <c r="L33" s="831" t="s">
        <v>397</v>
      </c>
      <c r="M33" s="832" t="s">
        <v>397</v>
      </c>
      <c r="N33" s="597"/>
      <c r="O33" s="597"/>
      <c r="P33" s="598"/>
      <c r="Q33" s="598"/>
      <c r="R33" s="600">
        <f t="shared" si="3"/>
        <v>2</v>
      </c>
      <c r="S33" s="600">
        <f t="shared" si="4"/>
        <v>0</v>
      </c>
      <c r="T33" s="600">
        <f t="shared" si="5"/>
        <v>0</v>
      </c>
      <c r="V33" s="918"/>
    </row>
    <row r="34" spans="1:22" x14ac:dyDescent="0.2">
      <c r="A34" s="592">
        <f t="shared" si="0"/>
        <v>27</v>
      </c>
      <c r="B34" s="602">
        <v>27</v>
      </c>
      <c r="C34" s="694" t="s">
        <v>206</v>
      </c>
      <c r="D34" s="695"/>
      <c r="E34" s="594">
        <v>40</v>
      </c>
      <c r="F34" s="595">
        <f t="shared" si="1"/>
        <v>40.000010001</v>
      </c>
      <c r="G34" s="596">
        <f t="shared" si="2"/>
        <v>1.0001000000000001E-5</v>
      </c>
      <c r="H34" s="595">
        <f t="array" ref="H34">(IF(COUNT(L34,N34,Q34)&lt;2,SUM(L34,N34,Q34),SUM(LARGE((L34,N34,Q34),{1;2}))))+(IF(COUNT(J34,K34,O34)&lt;2,SUM(J34,K34,O34),SUM(LARGE((J34,K34,O34),{1;2}))))+(IF(COUNT(I34,M34,P34)&lt;2,SUM(I34,M34,P34),SUM(LARGE((I34,M34,P34),{1;2}))))</f>
        <v>40</v>
      </c>
      <c r="I34" s="597">
        <v>16</v>
      </c>
      <c r="J34" s="831" t="s">
        <v>397</v>
      </c>
      <c r="K34" s="597">
        <v>24</v>
      </c>
      <c r="L34" s="832" t="s">
        <v>397</v>
      </c>
      <c r="M34" s="832" t="s">
        <v>397</v>
      </c>
      <c r="N34" s="597"/>
      <c r="O34" s="598"/>
      <c r="P34" s="598"/>
      <c r="Q34" s="598"/>
      <c r="R34" s="600">
        <f t="shared" si="3"/>
        <v>2</v>
      </c>
      <c r="S34" s="600">
        <f t="shared" si="4"/>
        <v>0</v>
      </c>
      <c r="T34" s="600">
        <f t="shared" si="5"/>
        <v>0</v>
      </c>
      <c r="V34" s="918"/>
    </row>
    <row r="35" spans="1:22" x14ac:dyDescent="0.2">
      <c r="A35" s="592">
        <f t="shared" si="0"/>
        <v>29</v>
      </c>
      <c r="B35" s="602">
        <v>29</v>
      </c>
      <c r="C35" s="682" t="s">
        <v>395</v>
      </c>
      <c r="D35" s="689"/>
      <c r="E35" s="594">
        <v>34</v>
      </c>
      <c r="F35" s="595">
        <f t="shared" si="1"/>
        <v>34.01</v>
      </c>
      <c r="G35" s="596">
        <f t="shared" si="2"/>
        <v>0.01</v>
      </c>
      <c r="H35" s="595">
        <f t="array" ref="H35">(IF(COUNT(L35,N35,Q35)&lt;2,SUM(L35,N35,Q35),SUM(LARGE((L35,N35,Q35),{1;2}))))+(IF(COUNT(J35,K35,O35)&lt;2,SUM(J35,K35,O35),SUM(LARGE((J35,K35,O35),{1;2}))))+(IF(COUNT(I35,M35,P35)&lt;2,SUM(I35,M35,P35),SUM(LARGE((I35,M35,P35),{1;2}))))</f>
        <v>34</v>
      </c>
      <c r="I35" s="832" t="s">
        <v>397</v>
      </c>
      <c r="J35" s="831" t="s">
        <v>397</v>
      </c>
      <c r="K35" s="597"/>
      <c r="L35" s="832" t="s">
        <v>397</v>
      </c>
      <c r="M35" s="597"/>
      <c r="N35" s="597"/>
      <c r="O35" s="598"/>
      <c r="P35" s="598">
        <v>34</v>
      </c>
      <c r="Q35" s="598"/>
      <c r="R35" s="600">
        <f t="shared" si="3"/>
        <v>1</v>
      </c>
      <c r="S35" s="600">
        <f t="shared" si="4"/>
        <v>1</v>
      </c>
      <c r="T35" s="600">
        <f t="shared" si="5"/>
        <v>0</v>
      </c>
      <c r="V35" s="918"/>
    </row>
    <row r="36" spans="1:22" x14ac:dyDescent="0.2">
      <c r="A36" s="592">
        <f t="shared" si="0"/>
        <v>30</v>
      </c>
      <c r="B36" s="602">
        <v>30</v>
      </c>
      <c r="C36" s="694" t="s">
        <v>258</v>
      </c>
      <c r="D36" s="695"/>
      <c r="E36" s="594">
        <v>34</v>
      </c>
      <c r="F36" s="595">
        <f t="shared" si="1"/>
        <v>34.000001000010002</v>
      </c>
      <c r="G36" s="596">
        <f t="shared" si="2"/>
        <v>1.00001E-6</v>
      </c>
      <c r="H36" s="595">
        <f t="array" ref="H36">(IF(COUNT(L36,N36,Q36)&lt;2,SUM(L36,N36,Q36),SUM(LARGE((L36,N36,Q36),{1;2}))))+(IF(COUNT(J36,K36,O36)&lt;2,SUM(J36,K36,O36),SUM(LARGE((J36,K36,O36),{1;2}))))+(IF(COUNT(I36,M36,P36)&lt;2,SUM(I36,M36,P36),SUM(LARGE((I36,M36,P36),{1;2}))))</f>
        <v>34</v>
      </c>
      <c r="I36" s="832" t="s">
        <v>23</v>
      </c>
      <c r="J36" s="598">
        <v>12</v>
      </c>
      <c r="K36" s="597">
        <v>22</v>
      </c>
      <c r="L36" s="831" t="s">
        <v>397</v>
      </c>
      <c r="M36" s="598"/>
      <c r="N36" s="597"/>
      <c r="O36" s="831" t="s">
        <v>397</v>
      </c>
      <c r="P36" s="598"/>
      <c r="Q36" s="598"/>
      <c r="R36" s="600">
        <f t="shared" si="3"/>
        <v>2</v>
      </c>
      <c r="S36" s="600">
        <f t="shared" si="4"/>
        <v>0</v>
      </c>
      <c r="T36" s="600">
        <f t="shared" si="5"/>
        <v>0</v>
      </c>
      <c r="V36" s="918"/>
    </row>
    <row r="37" spans="1:22" x14ac:dyDescent="0.2">
      <c r="A37" s="592">
        <f t="shared" si="0"/>
        <v>31</v>
      </c>
      <c r="B37" s="593">
        <v>31</v>
      </c>
      <c r="C37" s="682" t="s">
        <v>198</v>
      </c>
      <c r="D37" s="683"/>
      <c r="E37" s="594">
        <v>26</v>
      </c>
      <c r="F37" s="595">
        <f t="shared" si="1"/>
        <v>26.000001000000001</v>
      </c>
      <c r="G37" s="596">
        <f t="shared" si="2"/>
        <v>1.0000000009999999E-6</v>
      </c>
      <c r="H37" s="595">
        <f t="array" ref="H37">(IF(COUNT(L37,N37,Q37)&lt;2,SUM(L37,N37,Q37),SUM(LARGE((L37,N37,Q37),{1;2}))))+(IF(COUNT(J37,K37,O37)&lt;2,SUM(J37,K37,O37),SUM(LARGE((J37,K37,O37),{1;2}))))+(IF(COUNT(I37,M37,P37)&lt;2,SUM(I37,M37,P37),SUM(LARGE((I37,M37,P37),{1;2}))))</f>
        <v>26</v>
      </c>
      <c r="I37" s="598">
        <v>22</v>
      </c>
      <c r="J37" s="831" t="s">
        <v>397</v>
      </c>
      <c r="K37" s="598"/>
      <c r="L37" s="597">
        <v>4</v>
      </c>
      <c r="M37" s="831" t="s">
        <v>397</v>
      </c>
      <c r="N37" s="832" t="s">
        <v>397</v>
      </c>
      <c r="O37" s="598"/>
      <c r="P37" s="598"/>
      <c r="Q37" s="598"/>
      <c r="R37" s="600">
        <f t="shared" si="3"/>
        <v>2</v>
      </c>
      <c r="S37" s="600">
        <f t="shared" si="4"/>
        <v>0</v>
      </c>
      <c r="T37" s="600">
        <f t="shared" si="5"/>
        <v>0</v>
      </c>
      <c r="V37" s="918"/>
    </row>
    <row r="38" spans="1:22" x14ac:dyDescent="0.2">
      <c r="A38" s="592">
        <f t="shared" si="0"/>
        <v>32</v>
      </c>
      <c r="B38" s="593">
        <v>32</v>
      </c>
      <c r="C38" s="688" t="s">
        <v>193</v>
      </c>
      <c r="D38" s="689"/>
      <c r="E38" s="594">
        <v>24</v>
      </c>
      <c r="F38" s="595">
        <f t="shared" si="1"/>
        <v>24.00001</v>
      </c>
      <c r="G38" s="596">
        <f t="shared" si="2"/>
        <v>1.0000000000000001E-5</v>
      </c>
      <c r="H38" s="595">
        <f t="array" ref="H38">(IF(COUNT(L38,N38,Q38)&lt;2,SUM(L38,N38,Q38),SUM(LARGE((L38,N38,Q38),{1;2}))))+(IF(COUNT(J38,K38,O38)&lt;2,SUM(J38,K38,O38),SUM(LARGE((J38,K38,O38),{1;2}))))+(IF(COUNT(I38,M38,P38)&lt;2,SUM(I38,M38,P38),SUM(LARGE((I38,M38,P38),{1;2}))))</f>
        <v>24</v>
      </c>
      <c r="I38" s="597">
        <v>24</v>
      </c>
      <c r="J38" s="831" t="s">
        <v>397</v>
      </c>
      <c r="K38" s="597"/>
      <c r="L38" s="831" t="s">
        <v>397</v>
      </c>
      <c r="M38" s="831" t="s">
        <v>397</v>
      </c>
      <c r="N38" s="831"/>
      <c r="O38" s="598"/>
      <c r="P38" s="598"/>
      <c r="Q38" s="598"/>
      <c r="R38" s="600">
        <f t="shared" si="3"/>
        <v>1</v>
      </c>
      <c r="S38" s="600">
        <f t="shared" si="4"/>
        <v>0</v>
      </c>
      <c r="T38" s="600">
        <f t="shared" si="5"/>
        <v>0</v>
      </c>
      <c r="V38" s="918"/>
    </row>
    <row r="39" spans="1:22" x14ac:dyDescent="0.2">
      <c r="A39" s="592">
        <f t="shared" si="0"/>
        <v>32</v>
      </c>
      <c r="B39" s="593">
        <v>32</v>
      </c>
      <c r="C39" s="694" t="s">
        <v>195</v>
      </c>
      <c r="D39" s="695"/>
      <c r="E39" s="594">
        <v>24</v>
      </c>
      <c r="F39" s="595">
        <f t="shared" si="1"/>
        <v>24.00001</v>
      </c>
      <c r="G39" s="596">
        <f t="shared" si="2"/>
        <v>1.0000000000000001E-5</v>
      </c>
      <c r="H39" s="595">
        <f t="array" ref="H39">(IF(COUNT(L39,N39,Q39)&lt;2,SUM(L39,N39,Q39),SUM(LARGE((L39,N39,Q39),{1;2}))))+(IF(COUNT(J39,K39,O39)&lt;2,SUM(J39,K39,O39),SUM(LARGE((J39,K39,O39),{1;2}))))+(IF(COUNT(I39,M39,P39)&lt;2,SUM(I39,M39,P39),SUM(LARGE((I39,M39,P39),{1;2}))))</f>
        <v>24</v>
      </c>
      <c r="I39" s="597">
        <v>24</v>
      </c>
      <c r="J39" s="831" t="s">
        <v>397</v>
      </c>
      <c r="K39" s="597"/>
      <c r="L39" s="831" t="s">
        <v>397</v>
      </c>
      <c r="M39" s="832" t="s">
        <v>397</v>
      </c>
      <c r="N39" s="831"/>
      <c r="O39" s="597"/>
      <c r="P39" s="598"/>
      <c r="Q39" s="598"/>
      <c r="R39" s="600">
        <f t="shared" si="3"/>
        <v>1</v>
      </c>
      <c r="S39" s="600">
        <f t="shared" si="4"/>
        <v>0</v>
      </c>
      <c r="T39" s="600">
        <f t="shared" si="5"/>
        <v>0</v>
      </c>
      <c r="V39" s="918"/>
    </row>
    <row r="40" spans="1:22" x14ac:dyDescent="0.2">
      <c r="A40" s="592">
        <f t="shared" si="0"/>
        <v>34</v>
      </c>
      <c r="B40" s="602">
        <v>34</v>
      </c>
      <c r="C40" s="688" t="s">
        <v>396</v>
      </c>
      <c r="D40" s="689"/>
      <c r="E40" s="594">
        <v>22</v>
      </c>
      <c r="F40" s="595">
        <f t="shared" si="1"/>
        <v>22.000001000000001</v>
      </c>
      <c r="G40" s="596">
        <f t="shared" si="2"/>
        <v>9.9999999999999995E-7</v>
      </c>
      <c r="H40" s="595">
        <f t="array" ref="H40">(IF(COUNT(L40,N40,Q40)&lt;2,SUM(L40,N40,Q40),SUM(LARGE((L40,N40,Q40),{1;2}))))+(IF(COUNT(J40,K40,O40)&lt;2,SUM(J40,K40,O40),SUM(LARGE((J40,K40,O40),{1;2}))))+(IF(COUNT(I40,M40,P40)&lt;2,SUM(I40,M40,P40),SUM(LARGE((I40,M40,P40),{1;2}))))</f>
        <v>22</v>
      </c>
      <c r="I40" s="832" t="s">
        <v>397</v>
      </c>
      <c r="J40" s="831" t="s">
        <v>397</v>
      </c>
      <c r="K40" s="597"/>
      <c r="L40" s="832" t="s">
        <v>397</v>
      </c>
      <c r="M40" s="597"/>
      <c r="N40" s="597"/>
      <c r="O40" s="598"/>
      <c r="P40" s="598">
        <v>22</v>
      </c>
      <c r="Q40" s="598"/>
      <c r="R40" s="600">
        <f t="shared" si="3"/>
        <v>1</v>
      </c>
      <c r="S40" s="600">
        <f t="shared" si="4"/>
        <v>0</v>
      </c>
      <c r="T40" s="600">
        <f t="shared" si="5"/>
        <v>0</v>
      </c>
      <c r="V40" s="918"/>
    </row>
    <row r="41" spans="1:22" x14ac:dyDescent="0.2">
      <c r="A41" s="592">
        <f t="shared" si="0"/>
        <v>35</v>
      </c>
      <c r="B41" s="593">
        <v>35</v>
      </c>
      <c r="C41" s="682" t="s">
        <v>360</v>
      </c>
      <c r="D41" s="683"/>
      <c r="E41" s="594">
        <v>21</v>
      </c>
      <c r="F41" s="595">
        <f t="shared" si="1"/>
        <v>21.000000100000001</v>
      </c>
      <c r="G41" s="596">
        <f t="shared" si="2"/>
        <v>9.9999999999999995E-8</v>
      </c>
      <c r="H41" s="595">
        <f t="array" ref="H41">(IF(COUNT(L41,N41,Q41)&lt;2,SUM(L41,N41,Q41),SUM(LARGE((L41,N41,Q41),{1;2}))))+(IF(COUNT(J41,K41,O41)&lt;2,SUM(J41,K41,O41),SUM(LARGE((J41,K41,O41),{1;2}))))+(IF(COUNT(I41,M41,P41)&lt;2,SUM(I41,M41,P41),SUM(LARGE((I41,M41,P41),{1;2}))))</f>
        <v>21</v>
      </c>
      <c r="I41" s="832" t="s">
        <v>397</v>
      </c>
      <c r="J41" s="831" t="s">
        <v>397</v>
      </c>
      <c r="K41" s="598"/>
      <c r="L41" s="832" t="s">
        <v>397</v>
      </c>
      <c r="M41" s="597">
        <v>20</v>
      </c>
      <c r="N41" s="598">
        <v>1</v>
      </c>
      <c r="O41" s="597"/>
      <c r="P41" s="598"/>
      <c r="Q41" s="598"/>
      <c r="R41" s="600">
        <f t="shared" si="3"/>
        <v>2</v>
      </c>
      <c r="S41" s="600">
        <f t="shared" si="4"/>
        <v>0</v>
      </c>
      <c r="T41" s="600">
        <f t="shared" si="5"/>
        <v>0</v>
      </c>
      <c r="V41" s="918"/>
    </row>
    <row r="42" spans="1:22" x14ac:dyDescent="0.2">
      <c r="A42" s="592">
        <f t="shared" si="0"/>
        <v>36</v>
      </c>
      <c r="B42" s="602">
        <v>36</v>
      </c>
      <c r="C42" s="682" t="s">
        <v>377</v>
      </c>
      <c r="D42" s="689"/>
      <c r="E42" s="594">
        <v>20</v>
      </c>
      <c r="F42" s="595">
        <f t="shared" si="1"/>
        <v>20.000000100000001</v>
      </c>
      <c r="G42" s="596">
        <f t="shared" si="2"/>
        <v>9.9999999999999995E-8</v>
      </c>
      <c r="H42" s="595">
        <f t="array" ref="H42">(IF(COUNT(L42,N42,Q42)&lt;2,SUM(L42,N42,Q42),SUM(LARGE((L42,N42,Q42),{1;2}))))+(IF(COUNT(J42,K42,O42)&lt;2,SUM(J42,K42,O42),SUM(LARGE((J42,K42,O42),{1;2}))))+(IF(COUNT(I42,M42,P42)&lt;2,SUM(I42,M42,P42),SUM(LARGE((I42,M42,P42),{1;2}))))</f>
        <v>20</v>
      </c>
      <c r="I42" s="832" t="s">
        <v>397</v>
      </c>
      <c r="J42" s="831" t="s">
        <v>397</v>
      </c>
      <c r="K42" s="597"/>
      <c r="L42" s="831" t="s">
        <v>397</v>
      </c>
      <c r="M42" s="597"/>
      <c r="N42" s="597"/>
      <c r="O42" s="598">
        <v>20</v>
      </c>
      <c r="P42" s="598"/>
      <c r="Q42" s="598"/>
      <c r="R42" s="600">
        <f t="shared" si="3"/>
        <v>1</v>
      </c>
      <c r="S42" s="600">
        <f t="shared" si="4"/>
        <v>0</v>
      </c>
      <c r="T42" s="600">
        <f t="shared" si="5"/>
        <v>0</v>
      </c>
      <c r="V42" s="918"/>
    </row>
    <row r="43" spans="1:22" x14ac:dyDescent="0.2">
      <c r="A43" s="592">
        <f t="shared" si="0"/>
        <v>37</v>
      </c>
      <c r="B43" s="602">
        <v>37</v>
      </c>
      <c r="C43" s="692" t="s">
        <v>205</v>
      </c>
      <c r="D43" s="693"/>
      <c r="E43" s="594">
        <v>16</v>
      </c>
      <c r="F43" s="595">
        <f t="shared" si="1"/>
        <v>16.000000001</v>
      </c>
      <c r="G43" s="596">
        <f t="shared" si="2"/>
        <v>1.0000000000000001E-9</v>
      </c>
      <c r="H43" s="595">
        <f t="array" ref="H43">(IF(COUNT(L43,N43,Q43)&lt;2,SUM(L43,N43,Q43),SUM(LARGE((L43,N43,Q43),{1;2}))))+(IF(COUNT(J43,K43,O43)&lt;2,SUM(J43,K43,O43),SUM(LARGE((J43,K43,O43),{1;2}))))+(IF(COUNT(I43,M43,P43)&lt;2,SUM(I43,M43,P43),SUM(LARGE((I43,M43,P43),{1;2}))))</f>
        <v>16</v>
      </c>
      <c r="I43" s="597">
        <v>16</v>
      </c>
      <c r="J43" s="831" t="s">
        <v>397</v>
      </c>
      <c r="K43" s="597"/>
      <c r="L43" s="831" t="s">
        <v>397</v>
      </c>
      <c r="M43" s="832" t="s">
        <v>397</v>
      </c>
      <c r="N43" s="598"/>
      <c r="O43" s="598"/>
      <c r="P43" s="597"/>
      <c r="Q43" s="598"/>
      <c r="R43" s="600">
        <f t="shared" si="3"/>
        <v>1</v>
      </c>
      <c r="S43" s="600">
        <f t="shared" si="4"/>
        <v>0</v>
      </c>
      <c r="T43" s="600">
        <f t="shared" si="5"/>
        <v>0</v>
      </c>
      <c r="V43" s="918"/>
    </row>
    <row r="44" spans="1:22" x14ac:dyDescent="0.2">
      <c r="A44" s="592">
        <f t="shared" si="0"/>
        <v>38</v>
      </c>
      <c r="B44" s="591">
        <v>38</v>
      </c>
      <c r="C44" s="692" t="s">
        <v>407</v>
      </c>
      <c r="D44" s="689"/>
      <c r="E44" s="594">
        <v>1</v>
      </c>
      <c r="F44" s="595">
        <f t="shared" si="1"/>
        <v>1</v>
      </c>
      <c r="G44" s="596">
        <f t="shared" si="2"/>
        <v>0</v>
      </c>
      <c r="H44" s="595">
        <f t="array" ref="H44">(IF(COUNT(L44,N44,Q44)&lt;2,SUM(L44,N44,Q44),SUM(LARGE((L44,N44,Q44),{1;2}))))+(IF(COUNT(J44,K44,O44)&lt;2,SUM(J44,K44,O44),SUM(LARGE((J44,K44,O44),{1;2}))))+(IF(COUNT(I44,M44,P44)&lt;2,SUM(I44,M44,P44),SUM(LARGE((I44,M44,P44),{1;2}))))</f>
        <v>1</v>
      </c>
      <c r="I44" s="832" t="s">
        <v>397</v>
      </c>
      <c r="J44" s="831" t="s">
        <v>397</v>
      </c>
      <c r="K44" s="597"/>
      <c r="L44" s="831" t="s">
        <v>397</v>
      </c>
      <c r="M44" s="598"/>
      <c r="N44" s="598"/>
      <c r="O44" s="598"/>
      <c r="P44" s="598"/>
      <c r="Q44" s="598">
        <v>1</v>
      </c>
      <c r="R44" s="600">
        <f t="shared" si="3"/>
        <v>1</v>
      </c>
      <c r="S44" s="600">
        <f t="shared" si="4"/>
        <v>0</v>
      </c>
      <c r="T44" s="600">
        <f t="shared" si="5"/>
        <v>0</v>
      </c>
      <c r="V44" s="918"/>
    </row>
    <row r="45" spans="1:22" x14ac:dyDescent="0.2">
      <c r="A45" s="588"/>
      <c r="B45" s="604">
        <f>COUNT(B7:B44)</f>
        <v>38</v>
      </c>
      <c r="C45" s="588"/>
      <c r="D45" s="605" t="s">
        <v>51</v>
      </c>
      <c r="E45" s="606"/>
      <c r="F45" s="606"/>
      <c r="G45" s="606"/>
      <c r="H45" s="606"/>
      <c r="I45" s="607">
        <f t="shared" ref="I45:Q45" si="6">COUNTIF(I7:I44,"&gt;=0")</f>
        <v>27</v>
      </c>
      <c r="J45" s="607">
        <f t="shared" si="6"/>
        <v>24</v>
      </c>
      <c r="K45" s="607">
        <f t="shared" si="6"/>
        <v>20</v>
      </c>
      <c r="L45" s="607">
        <f t="shared" si="6"/>
        <v>23</v>
      </c>
      <c r="M45" s="607">
        <f t="shared" si="6"/>
        <v>24</v>
      </c>
      <c r="N45" s="607">
        <f t="shared" si="6"/>
        <v>20</v>
      </c>
      <c r="O45" s="607">
        <f t="shared" si="6"/>
        <v>20</v>
      </c>
      <c r="P45" s="607">
        <f t="shared" si="6"/>
        <v>18</v>
      </c>
      <c r="Q45" s="607">
        <f t="shared" si="6"/>
        <v>23</v>
      </c>
      <c r="R45" s="588"/>
      <c r="S45" s="608">
        <f>SUM(S7:S44)</f>
        <v>54</v>
      </c>
      <c r="T45" s="608">
        <f>SUM(T7:T44)</f>
        <v>18</v>
      </c>
    </row>
    <row r="46" spans="1:22" x14ac:dyDescent="0.2">
      <c r="A46" s="588"/>
      <c r="B46" s="588"/>
      <c r="C46" s="588"/>
      <c r="D46" s="605" t="s">
        <v>52</v>
      </c>
      <c r="E46" s="606"/>
      <c r="F46" s="606"/>
      <c r="G46" s="606"/>
      <c r="H46" s="606"/>
      <c r="I46" s="609">
        <f>IF((I45/(LEN(I6)-LEN(SUBSTITUTE(I6,"*","")))-0.5)&lt;0,"",I45/(LEN(I6)-LEN(SUBSTITUTE(I6,"*","")))-0.5)</f>
        <v>8.5</v>
      </c>
      <c r="J46" s="609">
        <f>IF((J45/(LEN(J6)-LEN(SUBSTITUTE(J6,"*","")))-0.5)&lt;0,"",J45/(LEN(J6)-LEN(SUBSTITUTE(J6,"*","")))-0.5)</f>
        <v>11.5</v>
      </c>
      <c r="K46" s="609"/>
      <c r="L46" s="609">
        <f>IF((L45/(LEN(L6)-LEN(SUBSTITUTE(L6,"*","")))-0.5)&lt;0,"",L45/(LEN(L6)-LEN(SUBSTITUTE(L6,"*","")))-0.5)</f>
        <v>22.5</v>
      </c>
      <c r="M46" s="609"/>
      <c r="N46" s="609">
        <f>IF((N45/(LEN(N6)-LEN(SUBSTITUTE(N6,"*","")))-0.5)&lt;0,"",N45/(LEN(N6)-LEN(SUBSTITUTE(N6,"*","")))-0.5)</f>
        <v>19.5</v>
      </c>
      <c r="O46" s="609">
        <f>IF((O45/(LEN(O6)-LEN(SUBSTITUTE(O6,"*","")))-0.5)&lt;0,"",O45/(LEN(O6)-LEN(SUBSTITUTE(O6,"*","")))-0.5)</f>
        <v>9.5</v>
      </c>
      <c r="P46" s="609"/>
      <c r="Q46" s="609">
        <f>IF((Q45/(LEN(Q6)-LEN(SUBSTITUTE(Q6,"*","")))-0.5)&lt;0,"",Q45/(LEN(Q6)-LEN(SUBSTITUTE(Q6,"*","")))-0.5)</f>
        <v>22.5</v>
      </c>
      <c r="R46" s="588"/>
      <c r="S46" s="588"/>
      <c r="T46" s="588"/>
    </row>
  </sheetData>
  <autoFilter ref="R6:T44"/>
  <sortState ref="A6:T46">
    <sortCondition descending="1" ref="E7"/>
  </sortState>
  <mergeCells count="3">
    <mergeCell ref="S3:S5"/>
    <mergeCell ref="R3:R5"/>
    <mergeCell ref="T3:T5"/>
  </mergeCells>
  <conditionalFormatting sqref="I45:Q45">
    <cfRule type="top10" dxfId="113" priority="54" stopIfTrue="1" rank="1"/>
  </conditionalFormatting>
  <conditionalFormatting sqref="I7:Q44">
    <cfRule type="cellIs" dxfId="112" priority="1" operator="equal">
      <formula>40</formula>
    </cfRule>
  </conditionalFormatting>
  <conditionalFormatting sqref="S7:S44">
    <cfRule type="top10" dxfId="111" priority="63" stopIfTrue="1" rank="1"/>
  </conditionalFormatting>
  <conditionalFormatting sqref="T7:T44">
    <cfRule type="top10" dxfId="110" priority="64" stopIfTrue="1" rank="1"/>
  </conditionalFormatting>
  <conditionalFormatting sqref="R7:R44">
    <cfRule type="top10" dxfId="109" priority="65" stopIfTrue="1" rank="1"/>
  </conditionalFormatting>
  <conditionalFormatting sqref="F7:F44">
    <cfRule type="duplicateValues" dxfId="108" priority="66" stopIfTrue="1"/>
  </conditionalFormatting>
  <conditionalFormatting sqref="H7:H44">
    <cfRule type="duplicateValues" dxfId="107" priority="67" stopIfTrue="1"/>
  </conditionalFormatting>
  <conditionalFormatting sqref="A7:A44">
    <cfRule type="duplicateValues" dxfId="106" priority="68" stopIfTrue="1"/>
  </conditionalFormatting>
  <conditionalFormatting sqref="C7:D44">
    <cfRule type="duplicateValues" dxfId="105" priority="69" stopIfTrue="1"/>
  </conditionalFormatting>
  <pageMargins left="0.78740157480314965" right="0.31496062992125984" top="0.78740157480314965" bottom="0.39370078740157483" header="0.59055118110236227" footer="0"/>
  <pageSetup paperSize="9" fitToHeight="0" orientation="portrait" verticalDpi="300" r:id="rId1"/>
  <headerFooter alignWithMargins="0">
    <oddHeader>&amp;R&amp;"Arial,Regular"&amp;9Page &amp;P of &amp;N</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74"/>
  <sheetViews>
    <sheetView showGridLines="0" showRowColHeaders="0" zoomScaleNormal="100" workbookViewId="0">
      <pane ySplit="2" topLeftCell="A3" activePane="bottomLeft" state="frozen"/>
      <selection activeCell="M1" sqref="M1"/>
      <selection pane="bottomLeft" activeCell="I1" sqref="I1"/>
    </sheetView>
  </sheetViews>
  <sheetFormatPr defaultRowHeight="12.75" x14ac:dyDescent="0.2"/>
  <cols>
    <col min="1" max="1" width="3.28515625" style="215" customWidth="1"/>
    <col min="2" max="2" width="47.140625" style="214" bestFit="1" customWidth="1"/>
    <col min="3" max="3" width="7.28515625" style="215" bestFit="1" customWidth="1"/>
    <col min="4" max="4" width="7.42578125" style="215" bestFit="1" customWidth="1"/>
    <col min="5" max="5" width="9.140625" style="215" bestFit="1" customWidth="1"/>
    <col min="6" max="6" width="6.7109375" style="215" bestFit="1" customWidth="1"/>
    <col min="7" max="7" width="5.140625" style="215" bestFit="1" customWidth="1"/>
    <col min="8" max="8" width="4.7109375" style="215" customWidth="1"/>
    <col min="9" max="9" width="5.28515625" style="215" customWidth="1"/>
    <col min="10" max="10" width="9.140625" style="215"/>
    <col min="11" max="11" width="9.140625" style="215" customWidth="1"/>
    <col min="12" max="16384" width="9.140625" style="215"/>
  </cols>
  <sheetData>
    <row r="1" spans="1:8" x14ac:dyDescent="0.2">
      <c r="A1" s="213" t="str">
        <f>UPPER((Kalend!D6)&amp;" - "&amp;(Kalend!C6)&amp;" - "&amp;(Kalend!E6))</f>
        <v>1 - SHK KV 1. ETAPP - TRIO</v>
      </c>
      <c r="E1" s="133" t="str">
        <f>HYPERLINK("#'Kalend'!I1","Kalender")</f>
        <v>Kalender</v>
      </c>
      <c r="F1" s="216"/>
      <c r="G1" s="133" t="str">
        <f>HYPERLINK("#'Reit'!J1","Reiting")</f>
        <v>Reiting</v>
      </c>
      <c r="H1" s="216"/>
    </row>
    <row r="2" spans="1:8" s="216" customFormat="1" x14ac:dyDescent="0.2">
      <c r="A2" s="216" t="str">
        <f>"Toimumisaeg: "&amp;(Kalend!A6)&amp;" kell "&amp;(Kalend!B6)</f>
        <v>Toimumisaeg: P, 13.11.2016 kell 11:00</v>
      </c>
    </row>
    <row r="3" spans="1:8" s="216" customFormat="1" x14ac:dyDescent="0.2">
      <c r="A3" s="216" t="str">
        <f>"Toimumiskoht: "&amp;(Kalend!F6)</f>
        <v>Toimumiskoht: K-Järve petangihall</v>
      </c>
    </row>
    <row r="4" spans="1:8" s="216" customFormat="1" x14ac:dyDescent="0.2">
      <c r="A4" s="216" t="str">
        <f>"Korraldaja: "&amp;(Kalend!G6)</f>
        <v>Korraldaja: K-Järve petangihall</v>
      </c>
    </row>
    <row r="6" spans="1:8" s="219" customFormat="1" x14ac:dyDescent="0.2">
      <c r="A6" s="424" t="s">
        <v>156</v>
      </c>
      <c r="B6" s="424"/>
      <c r="C6" s="218" t="s">
        <v>97</v>
      </c>
      <c r="D6" s="218" t="s">
        <v>98</v>
      </c>
      <c r="E6" s="218" t="s">
        <v>99</v>
      </c>
      <c r="F6" s="218" t="s">
        <v>100</v>
      </c>
      <c r="G6" s="218" t="s">
        <v>101</v>
      </c>
    </row>
    <row r="7" spans="1:8" s="219" customFormat="1" x14ac:dyDescent="0.2">
      <c r="A7" s="424">
        <v>1</v>
      </c>
      <c r="B7" s="536" t="s">
        <v>169</v>
      </c>
      <c r="C7" s="220">
        <v>13</v>
      </c>
      <c r="D7" s="220">
        <v>6</v>
      </c>
      <c r="E7" s="220"/>
      <c r="F7" s="220">
        <v>13</v>
      </c>
      <c r="G7" s="419" t="s">
        <v>181</v>
      </c>
    </row>
    <row r="8" spans="1:8" s="219" customFormat="1" x14ac:dyDescent="0.2">
      <c r="A8" s="424">
        <v>2</v>
      </c>
      <c r="B8" s="536" t="s">
        <v>175</v>
      </c>
      <c r="C8" s="220">
        <v>13</v>
      </c>
      <c r="D8" s="220">
        <v>13</v>
      </c>
      <c r="E8" s="220"/>
      <c r="F8" s="220"/>
      <c r="G8" s="419" t="s">
        <v>180</v>
      </c>
    </row>
    <row r="9" spans="1:8" s="219" customFormat="1" x14ac:dyDescent="0.2">
      <c r="A9" s="424">
        <v>3</v>
      </c>
      <c r="B9" s="536" t="s">
        <v>369</v>
      </c>
      <c r="C9" s="220">
        <v>12</v>
      </c>
      <c r="D9" s="220"/>
      <c r="E9" s="220">
        <v>13</v>
      </c>
      <c r="F9" s="220">
        <v>9</v>
      </c>
      <c r="G9" s="419" t="s">
        <v>182</v>
      </c>
    </row>
    <row r="10" spans="1:8" s="219" customFormat="1" x14ac:dyDescent="0.2">
      <c r="A10" s="217">
        <v>4</v>
      </c>
      <c r="B10" s="148"/>
      <c r="C10" s="220">
        <v>0</v>
      </c>
      <c r="D10" s="220"/>
      <c r="E10" s="220">
        <v>0</v>
      </c>
      <c r="F10" s="220"/>
      <c r="G10" s="221"/>
    </row>
    <row r="11" spans="1:8" s="219" customFormat="1" x14ac:dyDescent="0.2">
      <c r="A11" s="223"/>
      <c r="B11" s="222"/>
      <c r="C11" s="224"/>
      <c r="D11" s="224"/>
      <c r="E11" s="224"/>
      <c r="F11" s="225"/>
      <c r="G11" s="226"/>
    </row>
    <row r="12" spans="1:8" s="219" customFormat="1" x14ac:dyDescent="0.2">
      <c r="A12" s="521" t="s">
        <v>102</v>
      </c>
      <c r="B12" s="522"/>
      <c r="C12" s="218" t="s">
        <v>97</v>
      </c>
      <c r="D12" s="218" t="s">
        <v>98</v>
      </c>
      <c r="E12" s="218" t="s">
        <v>99</v>
      </c>
      <c r="F12" s="218" t="s">
        <v>100</v>
      </c>
      <c r="G12" s="218" t="s">
        <v>101</v>
      </c>
    </row>
    <row r="13" spans="1:8" s="219" customFormat="1" x14ac:dyDescent="0.2">
      <c r="A13" s="217">
        <v>1</v>
      </c>
      <c r="B13" s="149" t="s">
        <v>177</v>
      </c>
      <c r="C13" s="220">
        <v>13</v>
      </c>
      <c r="D13" s="220">
        <v>13</v>
      </c>
      <c r="E13" s="220"/>
      <c r="F13" s="220"/>
      <c r="G13" s="419" t="s">
        <v>180</v>
      </c>
    </row>
    <row r="14" spans="1:8" s="219" customFormat="1" x14ac:dyDescent="0.2">
      <c r="A14" s="217">
        <v>2</v>
      </c>
      <c r="B14" s="149" t="s">
        <v>179</v>
      </c>
      <c r="C14" s="220">
        <v>3</v>
      </c>
      <c r="D14" s="220"/>
      <c r="E14" s="220">
        <v>13</v>
      </c>
      <c r="F14" s="220">
        <v>5</v>
      </c>
      <c r="G14" s="419" t="s">
        <v>182</v>
      </c>
    </row>
    <row r="15" spans="1:8" s="219" customFormat="1" x14ac:dyDescent="0.2">
      <c r="A15" s="217">
        <v>3</v>
      </c>
      <c r="B15" s="149" t="s">
        <v>176</v>
      </c>
      <c r="C15" s="220">
        <v>13</v>
      </c>
      <c r="D15" s="220">
        <v>6</v>
      </c>
      <c r="E15" s="220"/>
      <c r="F15" s="220">
        <v>13</v>
      </c>
      <c r="G15" s="419" t="s">
        <v>181</v>
      </c>
    </row>
    <row r="16" spans="1:8" s="219" customFormat="1" x14ac:dyDescent="0.2">
      <c r="A16" s="217">
        <v>4</v>
      </c>
      <c r="B16" s="148"/>
      <c r="C16" s="220">
        <v>0</v>
      </c>
      <c r="D16" s="220"/>
      <c r="E16" s="220">
        <v>0</v>
      </c>
      <c r="F16" s="220"/>
      <c r="G16" s="221"/>
    </row>
    <row r="17" spans="1:9" s="219" customFormat="1" x14ac:dyDescent="0.2">
      <c r="A17" s="223"/>
      <c r="B17" s="222"/>
      <c r="C17" s="224"/>
      <c r="D17" s="224"/>
      <c r="E17" s="224"/>
      <c r="F17" s="225"/>
      <c r="G17" s="226"/>
    </row>
    <row r="18" spans="1:9" s="219" customFormat="1" x14ac:dyDescent="0.2">
      <c r="A18" s="521" t="s">
        <v>103</v>
      </c>
      <c r="B18" s="522"/>
      <c r="C18" s="218" t="s">
        <v>97</v>
      </c>
      <c r="D18" s="218" t="s">
        <v>98</v>
      </c>
      <c r="E18" s="218" t="s">
        <v>99</v>
      </c>
      <c r="F18" s="218" t="s">
        <v>100</v>
      </c>
      <c r="G18" s="218" t="s">
        <v>101</v>
      </c>
    </row>
    <row r="19" spans="1:9" s="219" customFormat="1" x14ac:dyDescent="0.2">
      <c r="A19" s="217">
        <v>1</v>
      </c>
      <c r="B19" s="149" t="s">
        <v>168</v>
      </c>
      <c r="C19" s="220">
        <v>13</v>
      </c>
      <c r="D19" s="220">
        <v>13</v>
      </c>
      <c r="E19" s="220"/>
      <c r="F19" s="220"/>
      <c r="G19" s="419" t="s">
        <v>180</v>
      </c>
    </row>
    <row r="20" spans="1:9" s="219" customFormat="1" x14ac:dyDescent="0.2">
      <c r="A20" s="217">
        <v>2</v>
      </c>
      <c r="B20" s="149" t="s">
        <v>167</v>
      </c>
      <c r="C20" s="220">
        <v>0</v>
      </c>
      <c r="D20" s="220"/>
      <c r="E20" s="220">
        <v>13</v>
      </c>
      <c r="F20" s="220">
        <v>13</v>
      </c>
      <c r="G20" s="419" t="s">
        <v>181</v>
      </c>
    </row>
    <row r="21" spans="1:9" s="219" customFormat="1" x14ac:dyDescent="0.2">
      <c r="A21" s="217">
        <v>3</v>
      </c>
      <c r="B21" s="149" t="s">
        <v>178</v>
      </c>
      <c r="C21" s="220">
        <v>13</v>
      </c>
      <c r="D21" s="220">
        <v>6</v>
      </c>
      <c r="E21" s="220"/>
      <c r="F21" s="220">
        <v>10</v>
      </c>
      <c r="G21" s="419" t="s">
        <v>182</v>
      </c>
    </row>
    <row r="22" spans="1:9" s="219" customFormat="1" x14ac:dyDescent="0.2">
      <c r="A22" s="217">
        <v>4</v>
      </c>
      <c r="B22" s="149"/>
      <c r="C22" s="220">
        <v>0</v>
      </c>
      <c r="D22" s="220"/>
      <c r="E22" s="220">
        <v>0</v>
      </c>
      <c r="F22" s="220"/>
      <c r="G22" s="221"/>
    </row>
    <row r="23" spans="1:9" s="219" customFormat="1" x14ac:dyDescent="0.2"/>
    <row r="24" spans="1:9" s="229" customFormat="1" x14ac:dyDescent="0.2">
      <c r="A24" s="228" t="s">
        <v>163</v>
      </c>
    </row>
    <row r="25" spans="1:9" s="229" customFormat="1" x14ac:dyDescent="0.2">
      <c r="A25" s="228"/>
    </row>
    <row r="26" spans="1:9" s="229" customFormat="1" x14ac:dyDescent="0.2">
      <c r="A26" s="230" t="s">
        <v>207</v>
      </c>
      <c r="B26" s="392" t="s">
        <v>175</v>
      </c>
      <c r="C26" s="240">
        <v>13</v>
      </c>
    </row>
    <row r="27" spans="1:9" s="229" customFormat="1" x14ac:dyDescent="0.2">
      <c r="A27" s="231"/>
      <c r="B27" s="237"/>
      <c r="C27" s="392" t="s">
        <v>175</v>
      </c>
      <c r="D27" s="238"/>
      <c r="F27" s="240">
        <v>13</v>
      </c>
    </row>
    <row r="28" spans="1:9" s="229" customFormat="1" x14ac:dyDescent="0.2">
      <c r="A28" s="230"/>
      <c r="B28" s="393" t="s">
        <v>160</v>
      </c>
      <c r="C28" s="394">
        <v>0</v>
      </c>
      <c r="D28" s="232"/>
      <c r="E28" s="237"/>
    </row>
    <row r="29" spans="1:9" s="229" customFormat="1" x14ac:dyDescent="0.2">
      <c r="A29" s="231"/>
      <c r="C29" s="238"/>
      <c r="D29" s="238"/>
      <c r="E29" s="239"/>
      <c r="F29" s="229" t="s">
        <v>175</v>
      </c>
      <c r="I29" s="240">
        <v>4</v>
      </c>
    </row>
    <row r="30" spans="1:9" s="229" customFormat="1" x14ac:dyDescent="0.2">
      <c r="A30" s="230" t="s">
        <v>161</v>
      </c>
      <c r="B30" s="395" t="s">
        <v>176</v>
      </c>
      <c r="C30" s="244">
        <v>13</v>
      </c>
      <c r="D30" s="238"/>
      <c r="E30" s="239"/>
      <c r="F30" s="232"/>
      <c r="G30" s="232"/>
      <c r="H30" s="237"/>
    </row>
    <row r="31" spans="1:9" s="229" customFormat="1" x14ac:dyDescent="0.2">
      <c r="A31" s="231"/>
      <c r="B31" s="232"/>
      <c r="C31" s="233" t="s">
        <v>176</v>
      </c>
      <c r="D31" s="234"/>
      <c r="E31" s="243"/>
      <c r="F31" s="244">
        <v>10</v>
      </c>
      <c r="G31" s="238"/>
      <c r="H31" s="239"/>
    </row>
    <row r="32" spans="1:9" s="229" customFormat="1" x14ac:dyDescent="0.2">
      <c r="A32" s="230" t="s">
        <v>166</v>
      </c>
      <c r="B32" s="393" t="s">
        <v>167</v>
      </c>
      <c r="C32" s="245">
        <v>4</v>
      </c>
      <c r="D32" s="232"/>
      <c r="F32" s="238"/>
      <c r="G32" s="238"/>
      <c r="H32" s="239"/>
    </row>
    <row r="33" spans="1:11" s="229" customFormat="1" ht="13.5" thickBot="1" x14ac:dyDescent="0.25">
      <c r="A33" s="231"/>
      <c r="F33" s="238"/>
      <c r="G33" s="238"/>
      <c r="H33" s="239"/>
      <c r="J33" s="229" t="s">
        <v>168</v>
      </c>
    </row>
    <row r="34" spans="1:11" s="229" customFormat="1" x14ac:dyDescent="0.2">
      <c r="A34" s="230" t="s">
        <v>208</v>
      </c>
      <c r="B34" s="392" t="s">
        <v>168</v>
      </c>
      <c r="C34" s="240">
        <v>13</v>
      </c>
      <c r="F34" s="238"/>
      <c r="G34" s="238"/>
      <c r="H34" s="239"/>
      <c r="I34" s="246"/>
      <c r="J34" s="247" t="s">
        <v>106</v>
      </c>
      <c r="K34" s="248"/>
    </row>
    <row r="35" spans="1:11" s="229" customFormat="1" x14ac:dyDescent="0.2">
      <c r="A35" s="231"/>
      <c r="B35" s="232"/>
      <c r="C35" s="233" t="s">
        <v>168</v>
      </c>
      <c r="D35" s="234"/>
      <c r="F35" s="244">
        <v>13</v>
      </c>
      <c r="G35" s="238"/>
      <c r="H35" s="239"/>
    </row>
    <row r="36" spans="1:11" s="229" customFormat="1" ht="13.5" thickBot="1" x14ac:dyDescent="0.25">
      <c r="A36" s="230" t="s">
        <v>170</v>
      </c>
      <c r="B36" s="403" t="s">
        <v>169</v>
      </c>
      <c r="C36" s="236">
        <v>12</v>
      </c>
      <c r="E36" s="237"/>
      <c r="F36" s="238"/>
      <c r="G36" s="238"/>
      <c r="H36" s="239"/>
      <c r="J36" s="250" t="s">
        <v>175</v>
      </c>
      <c r="K36" s="250"/>
    </row>
    <row r="37" spans="1:11" s="229" customFormat="1" x14ac:dyDescent="0.2">
      <c r="A37" s="231"/>
      <c r="D37" s="238"/>
      <c r="E37" s="239"/>
      <c r="F37" s="234" t="s">
        <v>168</v>
      </c>
      <c r="G37" s="234"/>
      <c r="H37" s="243"/>
      <c r="I37" s="240">
        <v>13</v>
      </c>
      <c r="J37" s="247" t="s">
        <v>107</v>
      </c>
    </row>
    <row r="38" spans="1:11" s="229" customFormat="1" x14ac:dyDescent="0.2">
      <c r="A38" s="230" t="s">
        <v>209</v>
      </c>
      <c r="B38" s="392" t="s">
        <v>177</v>
      </c>
      <c r="C38" s="244">
        <v>13</v>
      </c>
      <c r="E38" s="239"/>
    </row>
    <row r="39" spans="1:11" s="229" customFormat="1" x14ac:dyDescent="0.2">
      <c r="A39" s="231"/>
      <c r="B39" s="232"/>
      <c r="C39" s="242" t="s">
        <v>177</v>
      </c>
      <c r="E39" s="243"/>
      <c r="F39" s="240">
        <v>6</v>
      </c>
    </row>
    <row r="40" spans="1:11" s="229" customFormat="1" x14ac:dyDescent="0.2">
      <c r="A40" s="230"/>
      <c r="B40" s="404" t="s">
        <v>160</v>
      </c>
      <c r="C40" s="245">
        <v>0</v>
      </c>
      <c r="D40" s="232"/>
    </row>
    <row r="41" spans="1:11" s="229" customFormat="1" x14ac:dyDescent="0.2">
      <c r="F41" s="229" t="s">
        <v>176</v>
      </c>
      <c r="I41" s="244">
        <v>13</v>
      </c>
      <c r="J41" s="238"/>
      <c r="K41" s="238"/>
    </row>
    <row r="42" spans="1:11" s="229" customFormat="1" ht="13.5" thickBot="1" x14ac:dyDescent="0.25">
      <c r="F42" s="232"/>
      <c r="G42" s="232"/>
      <c r="H42" s="237"/>
      <c r="I42" s="250"/>
      <c r="J42" s="250" t="s">
        <v>176</v>
      </c>
      <c r="K42" s="250"/>
    </row>
    <row r="43" spans="1:11" s="229" customFormat="1" x14ac:dyDescent="0.2">
      <c r="F43" s="234" t="s">
        <v>177</v>
      </c>
      <c r="G43" s="234"/>
      <c r="H43" s="243"/>
      <c r="I43" s="240">
        <v>6</v>
      </c>
      <c r="J43" s="251" t="s">
        <v>108</v>
      </c>
      <c r="K43" s="238"/>
    </row>
    <row r="44" spans="1:11" s="229" customFormat="1" x14ac:dyDescent="0.2">
      <c r="J44" s="238"/>
      <c r="K44" s="238"/>
    </row>
    <row r="45" spans="1:11" s="229" customFormat="1" ht="13.5" thickBot="1" x14ac:dyDescent="0.25">
      <c r="G45" s="238"/>
      <c r="H45" s="238"/>
      <c r="J45" s="250" t="s">
        <v>177</v>
      </c>
      <c r="K45" s="250"/>
    </row>
    <row r="46" spans="1:11" s="229" customFormat="1" x14ac:dyDescent="0.2">
      <c r="C46" s="392" t="s">
        <v>160</v>
      </c>
      <c r="F46" s="240">
        <v>0</v>
      </c>
      <c r="J46" s="252" t="s">
        <v>109</v>
      </c>
    </row>
    <row r="47" spans="1:11" s="229" customFormat="1" x14ac:dyDescent="0.2">
      <c r="C47" s="232"/>
      <c r="D47" s="232"/>
      <c r="E47" s="237"/>
      <c r="F47" s="233" t="s">
        <v>167</v>
      </c>
      <c r="G47" s="234"/>
      <c r="H47" s="234"/>
      <c r="I47" s="240">
        <v>7</v>
      </c>
    </row>
    <row r="48" spans="1:11" s="229" customFormat="1" x14ac:dyDescent="0.2">
      <c r="C48" s="404" t="s">
        <v>167</v>
      </c>
      <c r="D48" s="234"/>
      <c r="E48" s="243"/>
      <c r="F48" s="236">
        <v>13</v>
      </c>
      <c r="H48" s="239"/>
    </row>
    <row r="49" spans="1:11" s="229" customFormat="1" ht="13.5" thickBot="1" x14ac:dyDescent="0.25">
      <c r="F49" s="238"/>
      <c r="H49" s="239"/>
      <c r="J49" s="229" t="s">
        <v>169</v>
      </c>
    </row>
    <row r="50" spans="1:11" s="229" customFormat="1" x14ac:dyDescent="0.2">
      <c r="C50" s="229" t="s">
        <v>169</v>
      </c>
      <c r="F50" s="244">
        <v>13</v>
      </c>
      <c r="H50" s="239"/>
      <c r="I50" s="246"/>
      <c r="J50" s="247" t="s">
        <v>110</v>
      </c>
      <c r="K50" s="248"/>
    </row>
    <row r="51" spans="1:11" s="229" customFormat="1" x14ac:dyDescent="0.2">
      <c r="C51" s="232"/>
      <c r="D51" s="232"/>
      <c r="E51" s="237"/>
      <c r="F51" s="242" t="s">
        <v>169</v>
      </c>
      <c r="H51" s="243"/>
      <c r="I51" s="244">
        <v>13</v>
      </c>
    </row>
    <row r="52" spans="1:11" s="229" customFormat="1" ht="13.5" thickBot="1" x14ac:dyDescent="0.25">
      <c r="C52" s="404" t="s">
        <v>160</v>
      </c>
      <c r="D52" s="234"/>
      <c r="E52" s="243"/>
      <c r="F52" s="245">
        <v>0</v>
      </c>
      <c r="G52" s="232"/>
      <c r="I52" s="238"/>
      <c r="J52" s="405" t="s">
        <v>167</v>
      </c>
      <c r="K52" s="250"/>
    </row>
    <row r="53" spans="1:11" s="229" customFormat="1" x14ac:dyDescent="0.2">
      <c r="I53" s="238"/>
      <c r="J53" s="247" t="s">
        <v>111</v>
      </c>
      <c r="K53" s="238"/>
    </row>
    <row r="54" spans="1:11" s="229" customFormat="1" x14ac:dyDescent="0.2">
      <c r="J54" s="238"/>
      <c r="K54" s="238"/>
    </row>
    <row r="55" spans="1:11" s="229" customFormat="1" x14ac:dyDescent="0.2">
      <c r="A55" s="228" t="s">
        <v>210</v>
      </c>
    </row>
    <row r="56" spans="1:11" s="229" customFormat="1" x14ac:dyDescent="0.2">
      <c r="A56" s="228"/>
    </row>
    <row r="57" spans="1:11" s="229" customFormat="1" ht="13.5" thickBot="1" x14ac:dyDescent="0.25">
      <c r="A57" s="217"/>
      <c r="B57" s="217"/>
      <c r="C57" s="218">
        <v>1</v>
      </c>
      <c r="D57" s="218">
        <v>2</v>
      </c>
      <c r="E57" s="218">
        <v>3</v>
      </c>
      <c r="F57" s="218" t="s">
        <v>164</v>
      </c>
      <c r="G57" s="396" t="s">
        <v>101</v>
      </c>
      <c r="J57" s="250" t="s">
        <v>178</v>
      </c>
      <c r="K57" s="250"/>
    </row>
    <row r="58" spans="1:11" s="229" customFormat="1" x14ac:dyDescent="0.2">
      <c r="A58" s="217">
        <v>1</v>
      </c>
      <c r="B58" s="406" t="s">
        <v>369</v>
      </c>
      <c r="C58" s="383"/>
      <c r="D58" s="384">
        <v>5</v>
      </c>
      <c r="E58" s="407" t="s">
        <v>172</v>
      </c>
      <c r="F58" s="408" t="s">
        <v>165</v>
      </c>
      <c r="G58" s="410" t="s">
        <v>181</v>
      </c>
      <c r="J58" s="251" t="s">
        <v>112</v>
      </c>
      <c r="K58" s="238"/>
    </row>
    <row r="59" spans="1:11" s="229" customFormat="1" x14ac:dyDescent="0.2">
      <c r="A59" s="217">
        <v>2</v>
      </c>
      <c r="B59" s="406" t="s">
        <v>178</v>
      </c>
      <c r="C59" s="384">
        <v>13</v>
      </c>
      <c r="D59" s="383"/>
      <c r="E59" s="407" t="s">
        <v>172</v>
      </c>
      <c r="F59" s="408" t="s">
        <v>173</v>
      </c>
      <c r="G59" s="410" t="s">
        <v>180</v>
      </c>
      <c r="J59" s="238"/>
      <c r="K59" s="238"/>
    </row>
    <row r="60" spans="1:11" s="229" customFormat="1" ht="13.5" thickBot="1" x14ac:dyDescent="0.25">
      <c r="A60" s="217">
        <v>3</v>
      </c>
      <c r="B60" s="406" t="s">
        <v>179</v>
      </c>
      <c r="C60" s="407" t="s">
        <v>160</v>
      </c>
      <c r="D60" s="407" t="s">
        <v>160</v>
      </c>
      <c r="E60" s="383"/>
      <c r="F60" s="408" t="s">
        <v>174</v>
      </c>
      <c r="G60" s="410" t="s">
        <v>182</v>
      </c>
      <c r="I60" s="240"/>
      <c r="J60" s="250" t="s">
        <v>369</v>
      </c>
      <c r="K60" s="250"/>
    </row>
    <row r="61" spans="1:11" s="229" customFormat="1" x14ac:dyDescent="0.2">
      <c r="A61" s="397"/>
      <c r="B61" s="398"/>
      <c r="C61" s="399"/>
      <c r="D61" s="400"/>
      <c r="E61" s="402"/>
      <c r="F61" s="401"/>
      <c r="I61" s="240"/>
      <c r="J61" s="252" t="s">
        <v>113</v>
      </c>
    </row>
    <row r="62" spans="1:11" s="229" customFormat="1" x14ac:dyDescent="0.2">
      <c r="F62" s="219"/>
      <c r="G62" s="219"/>
      <c r="H62" s="219"/>
      <c r="I62" s="219"/>
    </row>
    <row r="63" spans="1:11" s="219" customFormat="1" ht="13.5" thickBot="1" x14ac:dyDescent="0.25">
      <c r="J63" s="229" t="s">
        <v>179</v>
      </c>
      <c r="K63" s="229"/>
    </row>
    <row r="64" spans="1:11" s="219" customFormat="1" x14ac:dyDescent="0.2">
      <c r="J64" s="247" t="s">
        <v>114</v>
      </c>
      <c r="K64" s="248"/>
    </row>
    <row r="65" spans="1:2" s="219" customFormat="1" x14ac:dyDescent="0.2"/>
    <row r="66" spans="1:2" s="219" customFormat="1" x14ac:dyDescent="0.2">
      <c r="A66" s="217">
        <v>1</v>
      </c>
      <c r="B66" s="217" t="s">
        <v>168</v>
      </c>
    </row>
    <row r="67" spans="1:2" s="219" customFormat="1" x14ac:dyDescent="0.2">
      <c r="A67" s="217">
        <v>2</v>
      </c>
      <c r="B67" s="409" t="s">
        <v>175</v>
      </c>
    </row>
    <row r="68" spans="1:2" s="219" customFormat="1" x14ac:dyDescent="0.2">
      <c r="A68" s="217">
        <v>3</v>
      </c>
      <c r="B68" s="409" t="s">
        <v>176</v>
      </c>
    </row>
    <row r="69" spans="1:2" s="219" customFormat="1" x14ac:dyDescent="0.2">
      <c r="A69" s="217">
        <v>4</v>
      </c>
      <c r="B69" s="409" t="s">
        <v>177</v>
      </c>
    </row>
    <row r="70" spans="1:2" s="219" customFormat="1" x14ac:dyDescent="0.2">
      <c r="A70" s="217">
        <v>5</v>
      </c>
      <c r="B70" s="409" t="s">
        <v>169</v>
      </c>
    </row>
    <row r="71" spans="1:2" s="219" customFormat="1" x14ac:dyDescent="0.2">
      <c r="A71" s="217">
        <v>6</v>
      </c>
      <c r="B71" s="409" t="s">
        <v>167</v>
      </c>
    </row>
    <row r="72" spans="1:2" x14ac:dyDescent="0.2">
      <c r="A72" s="217">
        <v>7</v>
      </c>
      <c r="B72" s="409" t="s">
        <v>178</v>
      </c>
    </row>
    <row r="73" spans="1:2" x14ac:dyDescent="0.2">
      <c r="A73" s="217">
        <v>8</v>
      </c>
      <c r="B73" s="409" t="s">
        <v>369</v>
      </c>
    </row>
    <row r="74" spans="1:2" x14ac:dyDescent="0.2">
      <c r="A74" s="217">
        <v>9</v>
      </c>
      <c r="B74" s="409" t="s">
        <v>179</v>
      </c>
    </row>
  </sheetData>
  <conditionalFormatting sqref="D27:I27 C10:I26 C28:I61 H7:I9">
    <cfRule type="cellIs" dxfId="104" priority="4" stopIfTrue="1" operator="equal">
      <formula>13</formula>
    </cfRule>
  </conditionalFormatting>
  <conditionalFormatting sqref="C6:G9">
    <cfRule type="cellIs" dxfId="103" priority="1" stopIfTrue="1" operator="equal">
      <formula>13</formula>
    </cfRule>
  </conditionalFormatting>
  <pageMargins left="0.39370078740157483" right="0.39370078740157483" top="0.78740157480314965" bottom="0.39370078740157483" header="0.59055118110236227" footer="0"/>
  <pageSetup paperSize="9" fitToHeight="0" orientation="landscape" verticalDpi="1200" r:id="rId1"/>
  <headerFooter alignWithMargins="0">
    <oddHeader>&amp;R&amp;"Arial,Regular"&amp;9Page &amp;P of &amp;N</oddHeader>
  </headerFooter>
  <rowBreaks count="2" manualBreakCount="2">
    <brk id="22" max="16383" man="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95"/>
  <sheetViews>
    <sheetView showGridLines="0" showRowColHeaders="0" zoomScaleNormal="100" workbookViewId="0">
      <pane ySplit="2" topLeftCell="A3" activePane="bottomLeft" state="frozen"/>
      <selection activeCell="M1" sqref="M1"/>
      <selection pane="bottomLeft" activeCell="J1" sqref="J1"/>
    </sheetView>
  </sheetViews>
  <sheetFormatPr defaultRowHeight="12.75" x14ac:dyDescent="0.2"/>
  <cols>
    <col min="1" max="1" width="3.28515625" style="215" customWidth="1"/>
    <col min="2" max="2" width="28.85546875" style="214" bestFit="1" customWidth="1"/>
    <col min="3" max="3" width="7.28515625" style="215" bestFit="1" customWidth="1"/>
    <col min="4" max="4" width="7.42578125" style="215" bestFit="1" customWidth="1"/>
    <col min="5" max="5" width="9.140625" style="215" bestFit="1" customWidth="1"/>
    <col min="6" max="6" width="6.7109375" style="215" bestFit="1" customWidth="1"/>
    <col min="7" max="7" width="5.140625" style="215" bestFit="1" customWidth="1"/>
    <col min="8" max="8" width="9.140625" style="215" customWidth="1"/>
    <col min="9" max="9" width="6.7109375" style="215" customWidth="1"/>
    <col min="10" max="16384" width="9.140625" style="215"/>
  </cols>
  <sheetData>
    <row r="1" spans="1:13" x14ac:dyDescent="0.2">
      <c r="A1" s="213" t="str">
        <f>UPPER((Kalend!D10)&amp;" - "&amp;(Kalend!C10)&amp;" - "&amp;(Kalend!E10))</f>
        <v>2 - SHK KV 2. ETAPP - DUO</v>
      </c>
      <c r="F1" s="133" t="str">
        <f>HYPERLINK("#'Kalend'!I1","Kalender")</f>
        <v>Kalender</v>
      </c>
      <c r="G1" s="216"/>
      <c r="H1" s="133" t="str">
        <f>HYPERLINK("#'Reit'!J1","Reiting")</f>
        <v>Reiting</v>
      </c>
      <c r="I1" s="216"/>
    </row>
    <row r="2" spans="1:13" s="216" customFormat="1" x14ac:dyDescent="0.2">
      <c r="A2" s="216" t="str">
        <f>"Toimumisaeg: "&amp;(Kalend!A10)&amp;" kell "&amp;(Kalend!B10)</f>
        <v>Toimumisaeg: P, 18.12.2016 kell 11:00</v>
      </c>
    </row>
    <row r="3" spans="1:13" s="216" customFormat="1" x14ac:dyDescent="0.2">
      <c r="A3" s="216" t="str">
        <f>"Toimumiskoht: "&amp;(Kalend!F10)</f>
        <v>Toimumiskoht: K-Järve petangihall</v>
      </c>
    </row>
    <row r="4" spans="1:13" s="216" customFormat="1" x14ac:dyDescent="0.2">
      <c r="A4" s="216" t="str">
        <f>"Korraldaja: "&amp;(Kalend!G10)</f>
        <v>Korraldaja: K-Järve SHK, Ivar Viljaste</v>
      </c>
    </row>
    <row r="6" spans="1:13" s="219" customFormat="1" x14ac:dyDescent="0.2">
      <c r="A6" s="521" t="s">
        <v>96</v>
      </c>
      <c r="B6" s="522"/>
      <c r="C6" s="218" t="s">
        <v>97</v>
      </c>
      <c r="D6" s="218" t="s">
        <v>98</v>
      </c>
      <c r="E6" s="218" t="s">
        <v>99</v>
      </c>
      <c r="F6" s="218" t="s">
        <v>100</v>
      </c>
      <c r="G6" s="218" t="s">
        <v>101</v>
      </c>
    </row>
    <row r="7" spans="1:13" s="219" customFormat="1" x14ac:dyDescent="0.2">
      <c r="A7" s="217">
        <v>1</v>
      </c>
      <c r="B7" s="411" t="s">
        <v>248</v>
      </c>
      <c r="C7" s="220">
        <v>13</v>
      </c>
      <c r="D7" s="220">
        <v>3</v>
      </c>
      <c r="E7" s="220"/>
      <c r="F7" s="220">
        <v>13</v>
      </c>
      <c r="G7" s="419" t="s">
        <v>181</v>
      </c>
      <c r="M7" s="222"/>
    </row>
    <row r="8" spans="1:13" s="219" customFormat="1" x14ac:dyDescent="0.2">
      <c r="A8" s="217">
        <v>2</v>
      </c>
      <c r="B8" s="411" t="s">
        <v>249</v>
      </c>
      <c r="C8" s="220">
        <v>13</v>
      </c>
      <c r="D8" s="220">
        <v>13</v>
      </c>
      <c r="E8" s="220"/>
      <c r="F8" s="220"/>
      <c r="G8" s="419" t="s">
        <v>180</v>
      </c>
      <c r="M8" s="222"/>
    </row>
    <row r="9" spans="1:13" s="219" customFormat="1" x14ac:dyDescent="0.2">
      <c r="A9" s="217">
        <v>3</v>
      </c>
      <c r="B9" s="411" t="s">
        <v>250</v>
      </c>
      <c r="C9" s="220">
        <v>8</v>
      </c>
      <c r="D9" s="220"/>
      <c r="E9" s="220">
        <v>13</v>
      </c>
      <c r="F9" s="220">
        <v>3</v>
      </c>
      <c r="G9" s="419" t="s">
        <v>182</v>
      </c>
      <c r="M9" s="222"/>
    </row>
    <row r="10" spans="1:13" s="219" customFormat="1" x14ac:dyDescent="0.2">
      <c r="A10" s="217">
        <v>4</v>
      </c>
      <c r="B10" s="148"/>
      <c r="C10" s="220">
        <v>0</v>
      </c>
      <c r="D10" s="220"/>
      <c r="E10" s="220">
        <v>0</v>
      </c>
      <c r="F10" s="220"/>
      <c r="G10" s="221"/>
      <c r="M10" s="222"/>
    </row>
    <row r="11" spans="1:13" s="219" customFormat="1" x14ac:dyDescent="0.2">
      <c r="A11" s="223"/>
      <c r="B11" s="222"/>
      <c r="C11" s="224"/>
      <c r="D11" s="224"/>
      <c r="E11" s="224"/>
      <c r="F11" s="225"/>
      <c r="G11" s="226"/>
      <c r="M11" s="222"/>
    </row>
    <row r="12" spans="1:13" s="219" customFormat="1" x14ac:dyDescent="0.2">
      <c r="A12" s="521" t="s">
        <v>102</v>
      </c>
      <c r="B12" s="522"/>
      <c r="C12" s="218" t="s">
        <v>97</v>
      </c>
      <c r="D12" s="218" t="s">
        <v>98</v>
      </c>
      <c r="E12" s="218" t="s">
        <v>99</v>
      </c>
      <c r="F12" s="218" t="s">
        <v>100</v>
      </c>
      <c r="G12" s="218" t="s">
        <v>101</v>
      </c>
      <c r="M12" s="222"/>
    </row>
    <row r="13" spans="1:13" s="219" customFormat="1" x14ac:dyDescent="0.2">
      <c r="A13" s="217">
        <v>1</v>
      </c>
      <c r="B13" s="411" t="s">
        <v>251</v>
      </c>
      <c r="C13" s="220">
        <v>13</v>
      </c>
      <c r="D13" s="220">
        <v>7</v>
      </c>
      <c r="E13" s="220"/>
      <c r="F13" s="220">
        <v>13</v>
      </c>
      <c r="G13" s="419" t="s">
        <v>181</v>
      </c>
      <c r="M13" s="222"/>
    </row>
    <row r="14" spans="1:13" s="219" customFormat="1" x14ac:dyDescent="0.2">
      <c r="A14" s="217">
        <v>2</v>
      </c>
      <c r="B14" s="411" t="s">
        <v>252</v>
      </c>
      <c r="C14" s="220">
        <v>13</v>
      </c>
      <c r="D14" s="220">
        <v>13</v>
      </c>
      <c r="E14" s="220"/>
      <c r="F14" s="220"/>
      <c r="G14" s="419" t="s">
        <v>180</v>
      </c>
      <c r="M14" s="222"/>
    </row>
    <row r="15" spans="1:13" s="219" customFormat="1" x14ac:dyDescent="0.2">
      <c r="A15" s="217">
        <v>3</v>
      </c>
      <c r="B15" s="411" t="s">
        <v>259</v>
      </c>
      <c r="C15" s="220">
        <v>3</v>
      </c>
      <c r="D15" s="220"/>
      <c r="E15" s="220">
        <v>13</v>
      </c>
      <c r="F15" s="220">
        <v>2</v>
      </c>
      <c r="G15" s="419" t="s">
        <v>182</v>
      </c>
      <c r="M15" s="222"/>
    </row>
    <row r="16" spans="1:13" s="219" customFormat="1" x14ac:dyDescent="0.2">
      <c r="A16" s="217">
        <v>4</v>
      </c>
      <c r="B16" s="148"/>
      <c r="C16" s="220">
        <v>0</v>
      </c>
      <c r="D16" s="220"/>
      <c r="E16" s="220">
        <v>0</v>
      </c>
      <c r="F16" s="220"/>
      <c r="G16" s="221"/>
      <c r="M16" s="222"/>
    </row>
    <row r="17" spans="1:13" s="219" customFormat="1" x14ac:dyDescent="0.2">
      <c r="A17" s="223"/>
      <c r="B17" s="222"/>
      <c r="C17" s="224"/>
      <c r="D17" s="224"/>
      <c r="E17" s="224"/>
      <c r="F17" s="225"/>
      <c r="G17" s="226"/>
      <c r="M17" s="222"/>
    </row>
    <row r="18" spans="1:13" s="219" customFormat="1" x14ac:dyDescent="0.2">
      <c r="A18" s="521" t="s">
        <v>103</v>
      </c>
      <c r="B18" s="522"/>
      <c r="C18" s="218" t="s">
        <v>97</v>
      </c>
      <c r="D18" s="218" t="s">
        <v>98</v>
      </c>
      <c r="E18" s="218" t="s">
        <v>99</v>
      </c>
      <c r="F18" s="218" t="s">
        <v>100</v>
      </c>
      <c r="G18" s="218" t="s">
        <v>101</v>
      </c>
      <c r="M18" s="227"/>
    </row>
    <row r="19" spans="1:13" s="219" customFormat="1" x14ac:dyDescent="0.2">
      <c r="A19" s="217">
        <v>1</v>
      </c>
      <c r="B19" s="411" t="s">
        <v>253</v>
      </c>
      <c r="C19" s="220">
        <v>13</v>
      </c>
      <c r="D19" s="220">
        <v>8</v>
      </c>
      <c r="E19" s="220"/>
      <c r="F19" s="220">
        <v>13</v>
      </c>
      <c r="G19" s="419" t="s">
        <v>181</v>
      </c>
      <c r="M19" s="227"/>
    </row>
    <row r="20" spans="1:13" s="219" customFormat="1" x14ac:dyDescent="0.2">
      <c r="A20" s="217">
        <v>2</v>
      </c>
      <c r="B20" s="411" t="s">
        <v>254</v>
      </c>
      <c r="C20" s="220">
        <v>13</v>
      </c>
      <c r="D20" s="220">
        <v>13</v>
      </c>
      <c r="E20" s="220"/>
      <c r="F20" s="220"/>
      <c r="G20" s="419" t="s">
        <v>180</v>
      </c>
      <c r="M20" s="227"/>
    </row>
    <row r="21" spans="1:13" s="219" customFormat="1" x14ac:dyDescent="0.2">
      <c r="A21" s="217">
        <v>3</v>
      </c>
      <c r="B21" s="411" t="s">
        <v>255</v>
      </c>
      <c r="C21" s="220">
        <v>4</v>
      </c>
      <c r="D21" s="220"/>
      <c r="E21" s="220">
        <v>13</v>
      </c>
      <c r="F21" s="220">
        <v>7</v>
      </c>
      <c r="G21" s="419" t="s">
        <v>182</v>
      </c>
      <c r="M21" s="227"/>
    </row>
    <row r="22" spans="1:13" s="219" customFormat="1" x14ac:dyDescent="0.2">
      <c r="A22" s="217">
        <v>4</v>
      </c>
      <c r="B22" s="149"/>
      <c r="C22" s="220">
        <v>0</v>
      </c>
      <c r="D22" s="220"/>
      <c r="E22" s="220">
        <v>0</v>
      </c>
      <c r="F22" s="220"/>
      <c r="G22" s="221"/>
    </row>
    <row r="23" spans="1:13" s="219" customFormat="1" x14ac:dyDescent="0.2"/>
    <row r="24" spans="1:13" s="219" customFormat="1" x14ac:dyDescent="0.2">
      <c r="A24" s="521" t="s">
        <v>104</v>
      </c>
      <c r="B24" s="522"/>
      <c r="C24" s="218" t="s">
        <v>97</v>
      </c>
      <c r="D24" s="218" t="s">
        <v>98</v>
      </c>
      <c r="E24" s="218" t="s">
        <v>99</v>
      </c>
      <c r="F24" s="218" t="s">
        <v>100</v>
      </c>
      <c r="G24" s="218" t="s">
        <v>101</v>
      </c>
    </row>
    <row r="25" spans="1:13" s="219" customFormat="1" x14ac:dyDescent="0.2">
      <c r="A25" s="217">
        <v>1</v>
      </c>
      <c r="B25" s="411" t="s">
        <v>256</v>
      </c>
      <c r="C25" s="220">
        <v>13</v>
      </c>
      <c r="D25" s="220">
        <v>13</v>
      </c>
      <c r="E25" s="220"/>
      <c r="F25" s="220"/>
      <c r="G25" s="419" t="s">
        <v>180</v>
      </c>
    </row>
    <row r="26" spans="1:13" s="219" customFormat="1" x14ac:dyDescent="0.2">
      <c r="A26" s="217">
        <v>2</v>
      </c>
      <c r="B26" s="411" t="s">
        <v>260</v>
      </c>
      <c r="C26" s="220">
        <v>9</v>
      </c>
      <c r="D26" s="220"/>
      <c r="E26" s="220">
        <v>13</v>
      </c>
      <c r="F26" s="220">
        <v>8</v>
      </c>
      <c r="G26" s="419" t="s">
        <v>182</v>
      </c>
    </row>
    <row r="27" spans="1:13" s="219" customFormat="1" x14ac:dyDescent="0.2">
      <c r="A27" s="217">
        <v>3</v>
      </c>
      <c r="B27" s="411" t="s">
        <v>370</v>
      </c>
      <c r="C27" s="220">
        <v>13</v>
      </c>
      <c r="D27" s="220">
        <v>11</v>
      </c>
      <c r="E27" s="220"/>
      <c r="F27" s="220">
        <v>13</v>
      </c>
      <c r="G27" s="419" t="s">
        <v>181</v>
      </c>
    </row>
    <row r="28" spans="1:13" s="219" customFormat="1" x14ac:dyDescent="0.2">
      <c r="A28" s="217">
        <v>4</v>
      </c>
      <c r="B28" s="148"/>
      <c r="C28" s="220">
        <v>0</v>
      </c>
      <c r="D28" s="220"/>
      <c r="E28" s="220">
        <v>0</v>
      </c>
      <c r="F28" s="220"/>
      <c r="G28" s="221"/>
    </row>
    <row r="29" spans="1:13" s="219" customFormat="1" x14ac:dyDescent="0.2"/>
    <row r="30" spans="1:13" s="229" customFormat="1" x14ac:dyDescent="0.2">
      <c r="A30" s="228" t="s">
        <v>105</v>
      </c>
    </row>
    <row r="31" spans="1:13" s="229" customFormat="1" x14ac:dyDescent="0.2">
      <c r="A31" s="228"/>
    </row>
    <row r="32" spans="1:13" s="229" customFormat="1" x14ac:dyDescent="0.2">
      <c r="A32" s="230" t="s">
        <v>208</v>
      </c>
      <c r="B32" s="229" t="s">
        <v>254</v>
      </c>
      <c r="C32" s="240">
        <v>13</v>
      </c>
    </row>
    <row r="33" spans="1:11" s="229" customFormat="1" x14ac:dyDescent="0.2">
      <c r="A33" s="231"/>
      <c r="B33" s="232"/>
      <c r="C33" s="233" t="s">
        <v>254</v>
      </c>
      <c r="D33" s="234"/>
      <c r="F33" s="240">
        <v>13</v>
      </c>
    </row>
    <row r="34" spans="1:11" s="229" customFormat="1" x14ac:dyDescent="0.2">
      <c r="A34" s="230" t="s">
        <v>170</v>
      </c>
      <c r="B34" s="235" t="s">
        <v>248</v>
      </c>
      <c r="C34" s="236">
        <v>10</v>
      </c>
      <c r="E34" s="237"/>
    </row>
    <row r="35" spans="1:11" s="229" customFormat="1" x14ac:dyDescent="0.2">
      <c r="A35" s="231"/>
      <c r="D35" s="238"/>
      <c r="E35" s="239"/>
      <c r="F35" s="392" t="s">
        <v>254</v>
      </c>
      <c r="I35" s="240">
        <v>2</v>
      </c>
    </row>
    <row r="36" spans="1:11" s="229" customFormat="1" x14ac:dyDescent="0.2">
      <c r="A36" s="230" t="s">
        <v>209</v>
      </c>
      <c r="B36" s="241" t="s">
        <v>252</v>
      </c>
      <c r="C36" s="244">
        <v>6</v>
      </c>
      <c r="E36" s="239"/>
      <c r="F36" s="232"/>
      <c r="G36" s="232"/>
      <c r="H36" s="237"/>
    </row>
    <row r="37" spans="1:11" s="229" customFormat="1" x14ac:dyDescent="0.2">
      <c r="A37" s="231"/>
      <c r="B37" s="232"/>
      <c r="C37" s="242" t="s">
        <v>370</v>
      </c>
      <c r="E37" s="243"/>
      <c r="F37" s="244">
        <v>2</v>
      </c>
      <c r="G37" s="238"/>
      <c r="H37" s="239"/>
    </row>
    <row r="38" spans="1:11" s="229" customFormat="1" x14ac:dyDescent="0.2">
      <c r="A38" s="230" t="s">
        <v>266</v>
      </c>
      <c r="B38" s="235" t="s">
        <v>370</v>
      </c>
      <c r="C38" s="245">
        <v>13</v>
      </c>
      <c r="D38" s="232"/>
      <c r="F38" s="238"/>
      <c r="G38" s="238"/>
      <c r="H38" s="239"/>
    </row>
    <row r="39" spans="1:11" s="229" customFormat="1" ht="13.5" thickBot="1" x14ac:dyDescent="0.25">
      <c r="A39" s="231"/>
      <c r="F39" s="238"/>
      <c r="G39" s="238"/>
      <c r="H39" s="239"/>
      <c r="J39" s="229" t="s">
        <v>253</v>
      </c>
    </row>
    <row r="40" spans="1:11" s="229" customFormat="1" x14ac:dyDescent="0.2">
      <c r="A40" s="230" t="s">
        <v>207</v>
      </c>
      <c r="B40" s="229" t="s">
        <v>249</v>
      </c>
      <c r="C40" s="240">
        <v>7</v>
      </c>
      <c r="F40" s="238"/>
      <c r="G40" s="238"/>
      <c r="H40" s="239"/>
      <c r="I40" s="246"/>
      <c r="J40" s="247" t="s">
        <v>106</v>
      </c>
      <c r="K40" s="248"/>
    </row>
    <row r="41" spans="1:11" s="229" customFormat="1" x14ac:dyDescent="0.2">
      <c r="A41" s="231"/>
      <c r="B41" s="232"/>
      <c r="C41" s="233" t="s">
        <v>253</v>
      </c>
      <c r="D41" s="234"/>
      <c r="F41" s="244">
        <v>13</v>
      </c>
      <c r="G41" s="238"/>
      <c r="H41" s="239"/>
    </row>
    <row r="42" spans="1:11" s="229" customFormat="1" ht="13.5" thickBot="1" x14ac:dyDescent="0.25">
      <c r="A42" s="230" t="s">
        <v>166</v>
      </c>
      <c r="B42" s="249" t="s">
        <v>253</v>
      </c>
      <c r="C42" s="236">
        <v>13</v>
      </c>
      <c r="E42" s="237"/>
      <c r="F42" s="238"/>
      <c r="G42" s="238"/>
      <c r="H42" s="239"/>
      <c r="J42" s="250" t="s">
        <v>254</v>
      </c>
      <c r="K42" s="250"/>
    </row>
    <row r="43" spans="1:11" s="229" customFormat="1" x14ac:dyDescent="0.2">
      <c r="A43" s="231"/>
      <c r="D43" s="238"/>
      <c r="E43" s="239"/>
      <c r="F43" s="234" t="s">
        <v>253</v>
      </c>
      <c r="G43" s="234"/>
      <c r="H43" s="243"/>
      <c r="I43" s="240">
        <v>13</v>
      </c>
      <c r="J43" s="247" t="s">
        <v>107</v>
      </c>
    </row>
    <row r="44" spans="1:11" s="229" customFormat="1" x14ac:dyDescent="0.2">
      <c r="A44" s="230" t="s">
        <v>267</v>
      </c>
      <c r="B44" s="229" t="s">
        <v>256</v>
      </c>
      <c r="C44" s="244">
        <v>13</v>
      </c>
      <c r="E44" s="239"/>
    </row>
    <row r="45" spans="1:11" s="229" customFormat="1" x14ac:dyDescent="0.2">
      <c r="A45" s="231"/>
      <c r="B45" s="232"/>
      <c r="C45" s="242" t="s">
        <v>256</v>
      </c>
      <c r="E45" s="243"/>
      <c r="F45" s="240">
        <v>6</v>
      </c>
    </row>
    <row r="46" spans="1:11" s="229" customFormat="1" x14ac:dyDescent="0.2">
      <c r="A46" s="230" t="s">
        <v>161</v>
      </c>
      <c r="B46" s="234" t="s">
        <v>251</v>
      </c>
      <c r="C46" s="245">
        <v>1</v>
      </c>
      <c r="D46" s="232"/>
    </row>
    <row r="47" spans="1:11" s="229" customFormat="1" x14ac:dyDescent="0.2">
      <c r="F47" s="229" t="s">
        <v>370</v>
      </c>
      <c r="I47" s="244">
        <v>3</v>
      </c>
      <c r="J47" s="238"/>
      <c r="K47" s="238"/>
    </row>
    <row r="48" spans="1:11" s="229" customFormat="1" ht="13.5" thickBot="1" x14ac:dyDescent="0.25">
      <c r="F48" s="232"/>
      <c r="G48" s="232"/>
      <c r="H48" s="237"/>
      <c r="I48" s="250"/>
      <c r="J48" s="527" t="s">
        <v>256</v>
      </c>
      <c r="K48" s="250"/>
    </row>
    <row r="49" spans="3:11" s="229" customFormat="1" x14ac:dyDescent="0.2">
      <c r="F49" s="234" t="s">
        <v>256</v>
      </c>
      <c r="G49" s="234"/>
      <c r="H49" s="243"/>
      <c r="I49" s="240">
        <v>13</v>
      </c>
      <c r="J49" s="251" t="s">
        <v>108</v>
      </c>
      <c r="K49" s="238"/>
    </row>
    <row r="50" spans="3:11" s="229" customFormat="1" x14ac:dyDescent="0.2">
      <c r="J50" s="238"/>
      <c r="K50" s="238"/>
    </row>
    <row r="51" spans="3:11" s="229" customFormat="1" ht="13.5" thickBot="1" x14ac:dyDescent="0.25">
      <c r="G51" s="238"/>
      <c r="H51" s="238"/>
      <c r="J51" s="250" t="s">
        <v>370</v>
      </c>
      <c r="K51" s="250"/>
    </row>
    <row r="52" spans="3:11" s="229" customFormat="1" x14ac:dyDescent="0.2">
      <c r="C52" s="229" t="s">
        <v>248</v>
      </c>
      <c r="F52" s="240">
        <v>13</v>
      </c>
      <c r="J52" s="252" t="s">
        <v>109</v>
      </c>
    </row>
    <row r="53" spans="3:11" s="229" customFormat="1" x14ac:dyDescent="0.2">
      <c r="C53" s="232"/>
      <c r="D53" s="232"/>
      <c r="E53" s="237"/>
      <c r="F53" s="233" t="s">
        <v>248</v>
      </c>
      <c r="G53" s="234"/>
      <c r="H53" s="234"/>
      <c r="I53" s="240">
        <v>13</v>
      </c>
    </row>
    <row r="54" spans="3:11" s="229" customFormat="1" x14ac:dyDescent="0.2">
      <c r="C54" s="234" t="s">
        <v>252</v>
      </c>
      <c r="D54" s="234"/>
      <c r="E54" s="243"/>
      <c r="F54" s="236">
        <v>6</v>
      </c>
      <c r="H54" s="239"/>
    </row>
    <row r="55" spans="3:11" s="229" customFormat="1" ht="13.5" thickBot="1" x14ac:dyDescent="0.25">
      <c r="F55" s="238"/>
      <c r="H55" s="239"/>
      <c r="J55" s="229" t="s">
        <v>248</v>
      </c>
    </row>
    <row r="56" spans="3:11" s="229" customFormat="1" x14ac:dyDescent="0.2">
      <c r="C56" s="229" t="s">
        <v>249</v>
      </c>
      <c r="F56" s="244">
        <v>6</v>
      </c>
      <c r="H56" s="239"/>
      <c r="I56" s="246"/>
      <c r="J56" s="247" t="s">
        <v>110</v>
      </c>
      <c r="K56" s="248"/>
    </row>
    <row r="57" spans="3:11" s="229" customFormat="1" x14ac:dyDescent="0.2">
      <c r="C57" s="232"/>
      <c r="D57" s="232"/>
      <c r="E57" s="237"/>
      <c r="F57" s="242" t="s">
        <v>251</v>
      </c>
      <c r="H57" s="243"/>
      <c r="I57" s="244">
        <v>5</v>
      </c>
    </row>
    <row r="58" spans="3:11" s="229" customFormat="1" ht="13.5" thickBot="1" x14ac:dyDescent="0.25">
      <c r="C58" s="234" t="s">
        <v>251</v>
      </c>
      <c r="D58" s="234"/>
      <c r="E58" s="243"/>
      <c r="F58" s="245">
        <v>13</v>
      </c>
      <c r="G58" s="232"/>
      <c r="I58" s="238"/>
      <c r="J58" s="238" t="s">
        <v>251</v>
      </c>
      <c r="K58" s="250"/>
    </row>
    <row r="59" spans="3:11" s="229" customFormat="1" x14ac:dyDescent="0.2">
      <c r="F59" s="229">
        <v>13</v>
      </c>
      <c r="I59" s="238"/>
      <c r="J59" s="247" t="s">
        <v>111</v>
      </c>
      <c r="K59" s="238"/>
    </row>
    <row r="60" spans="3:11" s="229" customFormat="1" x14ac:dyDescent="0.2">
      <c r="F60" s="229" t="s">
        <v>252</v>
      </c>
      <c r="I60" s="244">
        <v>13</v>
      </c>
      <c r="J60" s="238"/>
      <c r="K60" s="238"/>
    </row>
    <row r="61" spans="3:11" s="229" customFormat="1" ht="13.5" thickBot="1" x14ac:dyDescent="0.25">
      <c r="F61" s="232"/>
      <c r="G61" s="232"/>
      <c r="H61" s="237"/>
      <c r="I61" s="250"/>
      <c r="J61" s="250" t="s">
        <v>252</v>
      </c>
      <c r="K61" s="250"/>
    </row>
    <row r="62" spans="3:11" s="229" customFormat="1" x14ac:dyDescent="0.2">
      <c r="F62" s="234" t="s">
        <v>249</v>
      </c>
      <c r="G62" s="234"/>
      <c r="H62" s="243"/>
      <c r="I62" s="240">
        <v>6</v>
      </c>
      <c r="J62" s="251" t="s">
        <v>112</v>
      </c>
      <c r="K62" s="238"/>
    </row>
    <row r="63" spans="3:11" s="229" customFormat="1" x14ac:dyDescent="0.2">
      <c r="J63" s="238"/>
      <c r="K63" s="238"/>
    </row>
    <row r="64" spans="3:11" s="229" customFormat="1" ht="13.5" thickBot="1" x14ac:dyDescent="0.25">
      <c r="G64" s="238"/>
      <c r="H64" s="238"/>
      <c r="J64" s="250" t="s">
        <v>249</v>
      </c>
      <c r="K64" s="250"/>
    </row>
    <row r="65" spans="1:11" s="229" customFormat="1" x14ac:dyDescent="0.2">
      <c r="G65" s="238"/>
      <c r="H65" s="238"/>
      <c r="J65" s="252" t="s">
        <v>113</v>
      </c>
    </row>
    <row r="66" spans="1:11" s="229" customFormat="1" x14ac:dyDescent="0.2"/>
    <row r="67" spans="1:11" s="229" customFormat="1" x14ac:dyDescent="0.2">
      <c r="A67" s="524" t="s">
        <v>265</v>
      </c>
      <c r="B67" s="281"/>
      <c r="C67" s="281"/>
      <c r="D67" s="281"/>
      <c r="E67" s="281"/>
      <c r="F67" s="281"/>
      <c r="G67" s="281"/>
      <c r="H67" s="281"/>
      <c r="I67" s="281"/>
      <c r="J67" s="281"/>
      <c r="K67" s="281"/>
    </row>
    <row r="68" spans="1:11" s="229" customFormat="1" x14ac:dyDescent="0.2">
      <c r="A68" s="524"/>
      <c r="B68" s="281"/>
      <c r="C68" s="281"/>
      <c r="D68" s="281"/>
      <c r="E68" s="281"/>
      <c r="F68" s="281"/>
      <c r="G68" s="281"/>
      <c r="H68" s="281"/>
      <c r="I68" s="281"/>
      <c r="J68" s="281"/>
      <c r="K68" s="281"/>
    </row>
    <row r="69" spans="1:11" s="229" customFormat="1" x14ac:dyDescent="0.2">
      <c r="A69" s="281"/>
      <c r="B69" s="525" t="s">
        <v>220</v>
      </c>
      <c r="C69" s="227" t="s">
        <v>250</v>
      </c>
      <c r="D69" s="215"/>
      <c r="E69" s="215"/>
      <c r="F69" s="270">
        <v>13</v>
      </c>
      <c r="H69" s="215"/>
      <c r="I69" s="215"/>
      <c r="J69" s="215"/>
      <c r="K69" s="215"/>
    </row>
    <row r="70" spans="1:11" s="229" customFormat="1" x14ac:dyDescent="0.2">
      <c r="A70" s="281"/>
      <c r="B70" s="281"/>
      <c r="C70" s="257"/>
      <c r="D70" s="257"/>
      <c r="E70" s="261"/>
      <c r="F70" s="267" t="s">
        <v>250</v>
      </c>
      <c r="H70" s="215"/>
      <c r="I70" s="270">
        <v>12</v>
      </c>
      <c r="J70" s="215"/>
      <c r="K70" s="215"/>
    </row>
    <row r="71" spans="1:11" s="229" customFormat="1" x14ac:dyDescent="0.2">
      <c r="A71" s="281"/>
      <c r="B71" s="525" t="s">
        <v>264</v>
      </c>
      <c r="C71" s="259" t="s">
        <v>255</v>
      </c>
      <c r="D71" s="259"/>
      <c r="E71" s="268"/>
      <c r="F71" s="272">
        <v>3</v>
      </c>
      <c r="G71" s="232"/>
      <c r="H71" s="261"/>
      <c r="I71" s="215"/>
      <c r="J71" s="215"/>
      <c r="K71" s="215"/>
    </row>
    <row r="72" spans="1:11" s="229" customFormat="1" ht="13.5" thickBot="1" x14ac:dyDescent="0.25">
      <c r="A72" s="281"/>
      <c r="B72" s="281"/>
      <c r="C72" s="270"/>
      <c r="D72" s="215"/>
      <c r="E72" s="215"/>
      <c r="F72" s="227"/>
      <c r="G72" s="238"/>
      <c r="H72" s="262"/>
      <c r="I72" s="215"/>
      <c r="J72" s="215" t="s">
        <v>260</v>
      </c>
      <c r="K72" s="215"/>
    </row>
    <row r="73" spans="1:11" s="229" customFormat="1" x14ac:dyDescent="0.2">
      <c r="A73" s="281"/>
      <c r="B73" s="525" t="s">
        <v>263</v>
      </c>
      <c r="C73" s="227" t="s">
        <v>260</v>
      </c>
      <c r="D73" s="215"/>
      <c r="E73" s="215"/>
      <c r="F73" s="263">
        <v>13</v>
      </c>
      <c r="G73" s="238"/>
      <c r="H73" s="262"/>
      <c r="I73" s="266"/>
      <c r="J73" s="265" t="s">
        <v>114</v>
      </c>
      <c r="K73" s="266"/>
    </row>
    <row r="74" spans="1:11" s="229" customFormat="1" x14ac:dyDescent="0.2">
      <c r="A74" s="281"/>
      <c r="B74" s="281"/>
      <c r="C74" s="257"/>
      <c r="D74" s="257"/>
      <c r="E74" s="261"/>
      <c r="F74" s="258" t="s">
        <v>260</v>
      </c>
      <c r="G74" s="234"/>
      <c r="H74" s="268"/>
      <c r="I74" s="270">
        <v>13</v>
      </c>
      <c r="J74" s="215"/>
      <c r="K74" s="215"/>
    </row>
    <row r="75" spans="1:11" s="229" customFormat="1" ht="13.5" thickBot="1" x14ac:dyDescent="0.25">
      <c r="A75" s="281"/>
      <c r="B75" s="525" t="s">
        <v>222</v>
      </c>
      <c r="C75" s="259" t="s">
        <v>259</v>
      </c>
      <c r="D75" s="259"/>
      <c r="E75" s="268"/>
      <c r="F75" s="260">
        <v>3</v>
      </c>
      <c r="H75" s="227"/>
      <c r="I75" s="215"/>
      <c r="J75" s="227" t="s">
        <v>250</v>
      </c>
      <c r="K75" s="269"/>
    </row>
    <row r="76" spans="1:11" s="229" customFormat="1" x14ac:dyDescent="0.2">
      <c r="A76" s="281"/>
      <c r="B76" s="281"/>
      <c r="C76" s="281"/>
      <c r="D76" s="263"/>
      <c r="E76" s="215"/>
      <c r="F76" s="215"/>
      <c r="G76" s="227"/>
      <c r="H76" s="227"/>
      <c r="I76" s="215"/>
      <c r="J76" s="265" t="s">
        <v>115</v>
      </c>
      <c r="K76" s="215"/>
    </row>
    <row r="77" spans="1:11" s="229" customFormat="1" x14ac:dyDescent="0.2">
      <c r="A77" s="281"/>
      <c r="B77" s="281"/>
      <c r="C77" s="281"/>
      <c r="D77" s="227"/>
      <c r="E77" s="227"/>
      <c r="F77" s="215" t="s">
        <v>255</v>
      </c>
      <c r="H77" s="215"/>
      <c r="I77" s="263">
        <v>7</v>
      </c>
      <c r="J77" s="215"/>
      <c r="K77" s="215"/>
    </row>
    <row r="78" spans="1:11" s="229" customFormat="1" ht="13.5" thickBot="1" x14ac:dyDescent="0.25">
      <c r="A78" s="281"/>
      <c r="B78" s="281"/>
      <c r="C78" s="281"/>
      <c r="D78" s="227"/>
      <c r="E78" s="227"/>
      <c r="F78" s="257"/>
      <c r="G78" s="232"/>
      <c r="H78" s="261"/>
      <c r="I78" s="269"/>
      <c r="J78" s="269" t="s">
        <v>259</v>
      </c>
      <c r="K78" s="269"/>
    </row>
    <row r="79" spans="1:11" s="229" customFormat="1" x14ac:dyDescent="0.2">
      <c r="A79" s="281"/>
      <c r="B79" s="281"/>
      <c r="C79" s="281"/>
      <c r="D79" s="227"/>
      <c r="E79" s="227"/>
      <c r="F79" s="259" t="s">
        <v>259</v>
      </c>
      <c r="G79" s="234"/>
      <c r="H79" s="268"/>
      <c r="I79" s="270">
        <v>13</v>
      </c>
      <c r="J79" s="271" t="s">
        <v>116</v>
      </c>
      <c r="K79" s="227"/>
    </row>
    <row r="80" spans="1:11" s="229" customFormat="1" x14ac:dyDescent="0.2">
      <c r="A80" s="281"/>
      <c r="B80" s="281"/>
      <c r="C80" s="281"/>
      <c r="D80" s="263"/>
      <c r="E80" s="227"/>
      <c r="F80" s="227"/>
      <c r="G80" s="215"/>
      <c r="H80" s="215"/>
      <c r="I80" s="215"/>
      <c r="J80" s="227"/>
      <c r="K80" s="227"/>
    </row>
    <row r="81" spans="1:11" s="229" customFormat="1" ht="13.5" thickBot="1" x14ac:dyDescent="0.25">
      <c r="A81" s="281"/>
      <c r="B81" s="281"/>
      <c r="C81" s="281"/>
      <c r="D81" s="227"/>
      <c r="E81" s="227"/>
      <c r="F81" s="227"/>
      <c r="G81" s="227"/>
      <c r="H81" s="227"/>
      <c r="I81" s="215"/>
      <c r="J81" s="526" t="s">
        <v>255</v>
      </c>
      <c r="K81" s="269"/>
    </row>
    <row r="82" spans="1:11" s="229" customFormat="1" x14ac:dyDescent="0.2">
      <c r="A82" s="281"/>
      <c r="B82" s="281"/>
      <c r="C82" s="281"/>
      <c r="D82" s="227"/>
      <c r="E82" s="227"/>
      <c r="F82" s="227"/>
      <c r="G82" s="227"/>
      <c r="H82" s="227"/>
      <c r="I82" s="215"/>
      <c r="J82" s="214" t="s">
        <v>117</v>
      </c>
      <c r="K82" s="215"/>
    </row>
    <row r="83" spans="1:11" s="229" customFormat="1" x14ac:dyDescent="0.2">
      <c r="F83" s="219"/>
      <c r="G83" s="219"/>
      <c r="H83" s="219"/>
      <c r="I83" s="219"/>
      <c r="J83" s="219"/>
      <c r="K83" s="219"/>
    </row>
    <row r="84" spans="1:11" s="219" customFormat="1" x14ac:dyDescent="0.2">
      <c r="A84" s="217">
        <v>1</v>
      </c>
      <c r="B84" s="217" t="s">
        <v>253</v>
      </c>
    </row>
    <row r="85" spans="1:11" s="219" customFormat="1" x14ac:dyDescent="0.2">
      <c r="A85" s="217">
        <v>2</v>
      </c>
      <c r="B85" s="253" t="s">
        <v>254</v>
      </c>
    </row>
    <row r="86" spans="1:11" s="219" customFormat="1" x14ac:dyDescent="0.2">
      <c r="A86" s="217">
        <v>3</v>
      </c>
      <c r="B86" s="253" t="s">
        <v>256</v>
      </c>
    </row>
    <row r="87" spans="1:11" s="219" customFormat="1" x14ac:dyDescent="0.2">
      <c r="A87" s="217">
        <v>4</v>
      </c>
      <c r="B87" s="253" t="s">
        <v>370</v>
      </c>
    </row>
    <row r="88" spans="1:11" s="219" customFormat="1" x14ac:dyDescent="0.2">
      <c r="A88" s="217">
        <v>5</v>
      </c>
      <c r="B88" s="253" t="s">
        <v>248</v>
      </c>
    </row>
    <row r="89" spans="1:11" s="219" customFormat="1" x14ac:dyDescent="0.2">
      <c r="A89" s="217">
        <v>6</v>
      </c>
      <c r="B89" s="253" t="s">
        <v>251</v>
      </c>
    </row>
    <row r="90" spans="1:11" s="219" customFormat="1" x14ac:dyDescent="0.2">
      <c r="A90" s="217">
        <v>7</v>
      </c>
      <c r="B90" s="253" t="s">
        <v>252</v>
      </c>
    </row>
    <row r="91" spans="1:11" s="219" customFormat="1" x14ac:dyDescent="0.2">
      <c r="A91" s="217">
        <v>8</v>
      </c>
      <c r="B91" s="253" t="s">
        <v>249</v>
      </c>
    </row>
    <row r="92" spans="1:11" s="219" customFormat="1" x14ac:dyDescent="0.2">
      <c r="A92" s="217">
        <v>9</v>
      </c>
      <c r="B92" s="253" t="s">
        <v>260</v>
      </c>
    </row>
    <row r="93" spans="1:11" s="219" customFormat="1" x14ac:dyDescent="0.2">
      <c r="A93" s="217">
        <v>10</v>
      </c>
      <c r="B93" s="253" t="s">
        <v>250</v>
      </c>
    </row>
    <row r="94" spans="1:11" s="219" customFormat="1" x14ac:dyDescent="0.2">
      <c r="A94" s="217">
        <v>11</v>
      </c>
      <c r="B94" s="253" t="s">
        <v>259</v>
      </c>
    </row>
    <row r="95" spans="1:11" x14ac:dyDescent="0.2">
      <c r="A95" s="217">
        <v>12</v>
      </c>
      <c r="B95" s="254" t="s">
        <v>255</v>
      </c>
    </row>
  </sheetData>
  <conditionalFormatting sqref="H7:I28 C29:I68 C76:I76 H69:I75 B69:F75 H77:I79 C77:F79">
    <cfRule type="cellIs" dxfId="102" priority="3" stopIfTrue="1" operator="equal">
      <formula>13</formula>
    </cfRule>
  </conditionalFormatting>
  <conditionalFormatting sqref="C7:G28">
    <cfRule type="cellIs" dxfId="101" priority="2" stopIfTrue="1" operator="equal">
      <formula>13</formula>
    </cfRule>
  </conditionalFormatting>
  <pageMargins left="0.78740157480314965" right="0.39370078740157483" top="0.78740157480314965" bottom="0.39370078740157483" header="0.59055118110236227" footer="0"/>
  <pageSetup paperSize="9" fitToHeight="0" orientation="landscape" verticalDpi="1200" r:id="rId1"/>
  <headerFooter alignWithMargins="0">
    <oddHeader>&amp;R&amp;"Arial,Regular"&amp;9Page &amp;P of &amp;N</oddHeader>
  </headerFooter>
  <rowBreaks count="3" manualBreakCount="3">
    <brk id="28" max="16383" man="1"/>
    <brk id="65" max="16383" man="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M19"/>
  <sheetViews>
    <sheetView showGridLines="0" showRowColHeaders="0" zoomScaleNormal="100" workbookViewId="0">
      <pane ySplit="2" topLeftCell="A3" activePane="bottomLeft" state="frozen"/>
      <selection activeCell="M1" sqref="M1"/>
      <selection pane="bottomLeft" activeCell="J1" sqref="J1"/>
    </sheetView>
  </sheetViews>
  <sheetFormatPr defaultRowHeight="12.75" x14ac:dyDescent="0.2"/>
  <cols>
    <col min="1" max="1" width="3.28515625" style="215" customWidth="1"/>
    <col min="2" max="2" width="29.7109375" style="214" bestFit="1" customWidth="1"/>
    <col min="3" max="9" width="9.140625" style="215" customWidth="1"/>
    <col min="10" max="16384" width="9.140625" style="215"/>
  </cols>
  <sheetData>
    <row r="1" spans="1:13" x14ac:dyDescent="0.2">
      <c r="A1" s="213" t="str">
        <f>UPPER((Kalend!D11)&amp;" - "&amp;(Kalend!C11)&amp;" - "&amp;(Kalend!E11))</f>
        <v>JT - JÕULUTURNIIR - LOOSIDUO</v>
      </c>
      <c r="F1" s="133" t="str">
        <f>HYPERLINK("#'Kalend'!I1","Kalender")</f>
        <v>Kalender</v>
      </c>
      <c r="G1" s="216"/>
      <c r="H1" s="133" t="str">
        <f>HYPERLINK("#'Reit'!J1","Reiting")</f>
        <v>Reiting</v>
      </c>
      <c r="I1" s="216"/>
    </row>
    <row r="2" spans="1:13" s="216" customFormat="1" x14ac:dyDescent="0.2">
      <c r="A2" s="216" t="str">
        <f>"Toimumisaeg: "&amp;(Kalend!A11)&amp;" kell "&amp;(Kalend!B11)</f>
        <v xml:space="preserve">Toimumisaeg: P, 25.12.2016 kell </v>
      </c>
    </row>
    <row r="3" spans="1:13" s="216" customFormat="1" x14ac:dyDescent="0.2">
      <c r="A3" s="216" t="str">
        <f>"Toimumiskoht: "&amp;(Kalend!F11)</f>
        <v>Toimumiskoht: K-Järve petangihall</v>
      </c>
    </row>
    <row r="4" spans="1:13" s="216" customFormat="1" x14ac:dyDescent="0.2">
      <c r="A4" s="216" t="str">
        <f>"Korraldaja: "&amp;(Kalend!G11)</f>
        <v>Korraldaja: K-Järve SHK, Ivar Viljaste</v>
      </c>
    </row>
    <row r="5" spans="1:13" s="219" customFormat="1" x14ac:dyDescent="0.2">
      <c r="A5" s="533"/>
      <c r="B5" s="533"/>
      <c r="C5" s="533"/>
      <c r="D5" s="533"/>
      <c r="E5" s="533"/>
      <c r="F5" s="533"/>
      <c r="G5" s="533"/>
      <c r="M5" s="222"/>
    </row>
    <row r="6" spans="1:13" s="219" customFormat="1" x14ac:dyDescent="0.2">
      <c r="A6" s="539" t="s">
        <v>273</v>
      </c>
      <c r="B6" s="533"/>
      <c r="C6" s="533"/>
      <c r="D6" s="533"/>
      <c r="E6" s="533"/>
      <c r="F6" s="533"/>
      <c r="G6" s="533"/>
      <c r="M6" s="222"/>
    </row>
    <row r="7" spans="1:13" s="219" customFormat="1" x14ac:dyDescent="0.2">
      <c r="A7" s="533"/>
      <c r="B7" s="533"/>
      <c r="C7" s="533"/>
      <c r="D7" s="533"/>
      <c r="E7" s="533"/>
      <c r="F7" s="533"/>
      <c r="G7" s="533"/>
      <c r="H7" s="535"/>
      <c r="M7" s="222"/>
    </row>
    <row r="8" spans="1:13" s="219" customFormat="1" x14ac:dyDescent="0.2">
      <c r="A8" s="540" t="s">
        <v>156</v>
      </c>
      <c r="B8" s="540"/>
      <c r="C8" s="537">
        <v>1</v>
      </c>
      <c r="D8" s="537">
        <v>2</v>
      </c>
      <c r="E8" s="537">
        <v>3</v>
      </c>
      <c r="F8" s="537">
        <v>4</v>
      </c>
      <c r="G8" s="541" t="s">
        <v>164</v>
      </c>
      <c r="H8" s="541" t="s">
        <v>101</v>
      </c>
      <c r="M8" s="222"/>
    </row>
    <row r="9" spans="1:13" s="219" customFormat="1" x14ac:dyDescent="0.2">
      <c r="A9" s="540">
        <v>1</v>
      </c>
      <c r="B9" s="536" t="s">
        <v>271</v>
      </c>
      <c r="C9" s="543"/>
      <c r="D9" s="552">
        <v>13</v>
      </c>
      <c r="E9" s="546">
        <v>13</v>
      </c>
      <c r="F9" s="552">
        <v>11</v>
      </c>
      <c r="G9" s="553" t="s">
        <v>218</v>
      </c>
      <c r="H9" s="545" t="s">
        <v>181</v>
      </c>
      <c r="I9" s="554" t="s">
        <v>278</v>
      </c>
      <c r="M9" s="222"/>
    </row>
    <row r="10" spans="1:13" s="219" customFormat="1" x14ac:dyDescent="0.2">
      <c r="A10" s="540">
        <v>2</v>
      </c>
      <c r="B10" s="542" t="s">
        <v>272</v>
      </c>
      <c r="C10" s="552">
        <v>8</v>
      </c>
      <c r="D10" s="543"/>
      <c r="E10" s="546">
        <v>13</v>
      </c>
      <c r="F10" s="552">
        <v>13</v>
      </c>
      <c r="G10" s="553" t="s">
        <v>218</v>
      </c>
      <c r="H10" s="545" t="s">
        <v>180</v>
      </c>
      <c r="I10" s="554" t="s">
        <v>241</v>
      </c>
      <c r="M10" s="222"/>
    </row>
    <row r="11" spans="1:13" s="219" customFormat="1" x14ac:dyDescent="0.2">
      <c r="A11" s="540">
        <v>3</v>
      </c>
      <c r="B11" s="536" t="s">
        <v>277</v>
      </c>
      <c r="C11" s="546">
        <v>3</v>
      </c>
      <c r="D11" s="546">
        <v>6</v>
      </c>
      <c r="E11" s="543"/>
      <c r="F11" s="546">
        <v>8</v>
      </c>
      <c r="G11" s="544" t="s">
        <v>276</v>
      </c>
      <c r="H11" s="545" t="s">
        <v>245</v>
      </c>
      <c r="M11" s="222"/>
    </row>
    <row r="12" spans="1:13" s="219" customFormat="1" x14ac:dyDescent="0.2">
      <c r="A12" s="540">
        <v>4</v>
      </c>
      <c r="B12" s="536" t="s">
        <v>280</v>
      </c>
      <c r="C12" s="552">
        <v>13</v>
      </c>
      <c r="D12" s="552">
        <v>3</v>
      </c>
      <c r="E12" s="546">
        <v>13</v>
      </c>
      <c r="F12" s="543"/>
      <c r="G12" s="553" t="s">
        <v>218</v>
      </c>
      <c r="H12" s="545" t="s">
        <v>182</v>
      </c>
      <c r="I12" s="554" t="s">
        <v>279</v>
      </c>
      <c r="M12" s="222"/>
    </row>
    <row r="13" spans="1:13" s="535" customFormat="1" x14ac:dyDescent="0.2">
      <c r="A13" s="547"/>
      <c r="B13" s="548"/>
      <c r="C13" s="538"/>
      <c r="D13" s="549"/>
      <c r="E13" s="538"/>
      <c r="F13" s="538"/>
      <c r="G13" s="550"/>
      <c r="H13" s="551"/>
      <c r="M13" s="222"/>
    </row>
    <row r="14" spans="1:13" s="219" customFormat="1" x14ac:dyDescent="0.2">
      <c r="A14" s="535"/>
      <c r="B14" s="535"/>
      <c r="C14" s="535"/>
      <c r="D14" s="535"/>
      <c r="E14" s="535"/>
      <c r="F14" s="535"/>
      <c r="G14" s="535"/>
      <c r="M14" s="227"/>
    </row>
    <row r="15" spans="1:13" s="219" customFormat="1" x14ac:dyDescent="0.2">
      <c r="A15" s="534">
        <v>1</v>
      </c>
      <c r="B15" s="534" t="s">
        <v>272</v>
      </c>
      <c r="C15" s="535"/>
      <c r="D15" s="535"/>
      <c r="E15" s="535"/>
      <c r="F15" s="535"/>
      <c r="G15" s="535"/>
      <c r="M15" s="227"/>
    </row>
    <row r="16" spans="1:13" s="219" customFormat="1" x14ac:dyDescent="0.2">
      <c r="A16" s="534">
        <v>2</v>
      </c>
      <c r="B16" s="536" t="s">
        <v>271</v>
      </c>
      <c r="C16" s="535"/>
      <c r="D16" s="535"/>
      <c r="E16" s="535"/>
      <c r="F16" s="535"/>
      <c r="G16" s="535"/>
      <c r="H16" s="535"/>
      <c r="M16" s="227"/>
    </row>
    <row r="17" spans="1:13" s="219" customFormat="1" x14ac:dyDescent="0.2">
      <c r="A17" s="534">
        <v>3</v>
      </c>
      <c r="B17" s="536" t="s">
        <v>280</v>
      </c>
      <c r="C17" s="535"/>
      <c r="D17" s="535"/>
      <c r="E17" s="535"/>
      <c r="F17" s="535"/>
      <c r="G17" s="535"/>
      <c r="H17" s="535"/>
      <c r="M17" s="227"/>
    </row>
    <row r="18" spans="1:13" s="219" customFormat="1" x14ac:dyDescent="0.2">
      <c r="A18" s="534">
        <v>4</v>
      </c>
      <c r="B18" s="536" t="s">
        <v>277</v>
      </c>
      <c r="C18" s="535"/>
      <c r="D18" s="535"/>
      <c r="E18" s="535"/>
      <c r="F18" s="535"/>
      <c r="G18" s="535"/>
      <c r="H18" s="535"/>
    </row>
    <row r="19" spans="1:13" x14ac:dyDescent="0.2">
      <c r="C19" s="535"/>
      <c r="D19" s="535"/>
      <c r="E19" s="535"/>
      <c r="F19" s="535"/>
      <c r="G19" s="535"/>
      <c r="H19" s="535"/>
    </row>
  </sheetData>
  <conditionalFormatting sqref="C9:F12">
    <cfRule type="cellIs" dxfId="100" priority="1" operator="equal">
      <formula>13</formula>
    </cfRule>
  </conditionalFormatting>
  <pageMargins left="0.78740157480314965" right="0.39370078740157483" top="0.78740157480314965" bottom="0.39370078740157483" header="0.59055118110236227" footer="0"/>
  <pageSetup paperSize="9" fitToHeight="0" orientation="landscape" verticalDpi="1200" r:id="rId1"/>
  <headerFooter alignWithMargins="0">
    <oddHeader>&amp;R&amp;"Arial,Regular"&amp;9Page &amp;P of &amp;N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AG61"/>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281" customWidth="1"/>
    <col min="2" max="2" width="18.7109375" style="281" bestFit="1" customWidth="1"/>
    <col min="3" max="22" width="2.85546875" style="281" customWidth="1"/>
    <col min="23" max="23" width="3" style="281" bestFit="1" customWidth="1"/>
    <col min="24" max="24" width="10.5703125" style="281" customWidth="1"/>
    <col min="25" max="26" width="4" style="281" hidden="1" customWidth="1"/>
    <col min="27" max="27" width="4.5703125" style="281" hidden="1" customWidth="1"/>
    <col min="28" max="16384" width="9.140625" style="281"/>
  </cols>
  <sheetData>
    <row r="1" spans="1:24" s="215" customFormat="1" x14ac:dyDescent="0.2">
      <c r="A1" s="273" t="str">
        <f>UPPER((Kalend!E14))</f>
        <v>TULISTAMINE</v>
      </c>
      <c r="Q1" s="189" t="str">
        <f>HYPERLINK("#'Kalend'!I1","Kalender")</f>
        <v>Kalender</v>
      </c>
      <c r="R1" s="274"/>
      <c r="V1" s="46"/>
    </row>
    <row r="2" spans="1:24" s="215" customFormat="1" x14ac:dyDescent="0.2">
      <c r="A2" s="274" t="str">
        <f>"Toimumisaeg: "&amp;(Kalend!A14)&amp;" kell "&amp;(Kalend!B14)</f>
        <v>Toimumisaeg: T, 03.01.2017 kell 18:00</v>
      </c>
      <c r="R2" s="46"/>
      <c r="S2" s="46"/>
      <c r="T2" s="46"/>
    </row>
    <row r="3" spans="1:24" s="215" customFormat="1" x14ac:dyDescent="0.2">
      <c r="A3" s="274" t="str">
        <f>"Toimumiskoht: "&amp;(Kalend!F14)</f>
        <v>Toimumiskoht: K-Järve petangihall</v>
      </c>
      <c r="R3" s="46"/>
      <c r="S3" s="46"/>
      <c r="T3" s="46"/>
    </row>
    <row r="4" spans="1:24" s="215" customFormat="1" x14ac:dyDescent="0.2">
      <c r="A4" s="274" t="str">
        <f>"Korraldaja: "&amp;(Kalend!G14)</f>
        <v>Korraldaja: K-Järve SHK, Ivar Viljaste</v>
      </c>
      <c r="R4" s="46"/>
      <c r="S4" s="46"/>
      <c r="T4" s="46"/>
    </row>
    <row r="5" spans="1:24" s="215" customFormat="1" ht="13.5" thickBot="1" x14ac:dyDescent="0.25">
      <c r="A5" s="46"/>
      <c r="B5" s="46"/>
      <c r="C5" s="46"/>
      <c r="D5" s="46"/>
      <c r="E5" s="46"/>
      <c r="F5" s="46"/>
      <c r="G5" s="46"/>
      <c r="H5" s="46"/>
      <c r="I5" s="46"/>
      <c r="J5" s="46"/>
      <c r="K5" s="46"/>
    </row>
    <row r="6" spans="1:24" ht="63.75" customHeight="1" thickBot="1" x14ac:dyDescent="0.25">
      <c r="A6" s="275"/>
      <c r="B6" s="276"/>
      <c r="C6" s="277"/>
      <c r="D6" s="277"/>
      <c r="E6" s="277"/>
      <c r="F6" s="277"/>
      <c r="G6" s="278"/>
      <c r="H6" s="277"/>
      <c r="I6" s="277"/>
      <c r="J6" s="279"/>
      <c r="K6" s="277"/>
      <c r="L6" s="277"/>
      <c r="M6" s="277"/>
      <c r="N6" s="277"/>
      <c r="O6" s="278"/>
      <c r="P6" s="277"/>
      <c r="Q6" s="277"/>
      <c r="R6" s="279"/>
      <c r="S6" s="277"/>
      <c r="T6" s="277"/>
      <c r="U6" s="277"/>
      <c r="V6" s="277"/>
      <c r="W6" s="280"/>
      <c r="X6" s="280"/>
    </row>
    <row r="7" spans="1:24" s="289" customFormat="1" ht="13.5" thickBot="1" x14ac:dyDescent="0.25">
      <c r="A7" s="282"/>
      <c r="B7" s="283"/>
      <c r="C7" s="284">
        <v>6</v>
      </c>
      <c r="D7" s="285">
        <v>7</v>
      </c>
      <c r="E7" s="285">
        <v>8</v>
      </c>
      <c r="F7" s="286">
        <v>9</v>
      </c>
      <c r="G7" s="284">
        <v>6</v>
      </c>
      <c r="H7" s="285">
        <v>7</v>
      </c>
      <c r="I7" s="285">
        <v>8</v>
      </c>
      <c r="J7" s="286">
        <v>9</v>
      </c>
      <c r="K7" s="284">
        <v>6</v>
      </c>
      <c r="L7" s="285">
        <v>7</v>
      </c>
      <c r="M7" s="285">
        <v>8</v>
      </c>
      <c r="N7" s="286">
        <v>9</v>
      </c>
      <c r="O7" s="284">
        <v>6</v>
      </c>
      <c r="P7" s="285">
        <v>7</v>
      </c>
      <c r="Q7" s="285">
        <v>8</v>
      </c>
      <c r="R7" s="286">
        <v>9</v>
      </c>
      <c r="S7" s="284">
        <v>6</v>
      </c>
      <c r="T7" s="285">
        <v>7</v>
      </c>
      <c r="U7" s="285">
        <v>8</v>
      </c>
      <c r="V7" s="286">
        <v>9</v>
      </c>
      <c r="W7" s="287" t="s">
        <v>45</v>
      </c>
      <c r="X7" s="288" t="s">
        <v>124</v>
      </c>
    </row>
    <row r="8" spans="1:24" x14ac:dyDescent="0.2">
      <c r="A8" s="290"/>
      <c r="B8" s="291" t="s">
        <v>125</v>
      </c>
      <c r="C8" s="292"/>
      <c r="D8" s="293"/>
      <c r="E8" s="293"/>
      <c r="F8" s="294"/>
      <c r="G8" s="292"/>
      <c r="H8" s="293"/>
      <c r="I8" s="293"/>
      <c r="J8" s="294"/>
      <c r="K8" s="292"/>
      <c r="L8" s="293"/>
      <c r="M8" s="293"/>
      <c r="N8" s="294"/>
      <c r="O8" s="292"/>
      <c r="P8" s="293"/>
      <c r="Q8" s="293"/>
      <c r="R8" s="294"/>
      <c r="S8" s="292"/>
      <c r="T8" s="293"/>
      <c r="U8" s="293"/>
      <c r="V8" s="294"/>
      <c r="W8" s="290"/>
      <c r="X8" s="295"/>
    </row>
    <row r="9" spans="1:24" x14ac:dyDescent="0.2">
      <c r="A9" s="296">
        <v>1</v>
      </c>
      <c r="B9" s="556" t="s">
        <v>199</v>
      </c>
      <c r="C9" s="297">
        <v>0</v>
      </c>
      <c r="D9" s="298">
        <v>0</v>
      </c>
      <c r="E9" s="298">
        <v>0</v>
      </c>
      <c r="F9" s="299">
        <v>0</v>
      </c>
      <c r="G9" s="297">
        <v>0</v>
      </c>
      <c r="H9" s="298">
        <v>0</v>
      </c>
      <c r="I9" s="298">
        <v>0</v>
      </c>
      <c r="J9" s="299">
        <v>0</v>
      </c>
      <c r="K9" s="297">
        <v>0</v>
      </c>
      <c r="L9" s="298">
        <v>0</v>
      </c>
      <c r="M9" s="298">
        <v>0</v>
      </c>
      <c r="N9" s="299">
        <v>0</v>
      </c>
      <c r="O9" s="297">
        <v>0</v>
      </c>
      <c r="P9" s="298">
        <v>0</v>
      </c>
      <c r="Q9" s="298">
        <v>0</v>
      </c>
      <c r="R9" s="299">
        <v>0</v>
      </c>
      <c r="S9" s="297">
        <v>0</v>
      </c>
      <c r="T9" s="298">
        <v>0</v>
      </c>
      <c r="U9" s="298">
        <v>0</v>
      </c>
      <c r="V9" s="299">
        <v>0</v>
      </c>
      <c r="W9" s="300">
        <f t="shared" ref="W9:W18" si="0">IF(COUNTA(C9:V9)=0,"",SUM(C9:V9)+COUNTIF(C9:V9,5)/100+COUNTIF(C9:V9,3)/10000)</f>
        <v>0</v>
      </c>
      <c r="X9" s="570">
        <f t="shared" ref="X9:X18" si="1">IF(COUNTA(C9:V9)=0,"",IF(RANK(W9,$W$9:$W$18)&lt;9,"edasi "&amp;RANK(W9,$W$9:$W$18),RANK(W9,$W$9:$W$18)))</f>
        <v>10</v>
      </c>
    </row>
    <row r="10" spans="1:24" ht="13.5" thickBot="1" x14ac:dyDescent="0.25">
      <c r="A10" s="296">
        <v>2</v>
      </c>
      <c r="B10" s="558" t="s">
        <v>201</v>
      </c>
      <c r="C10" s="297">
        <v>0</v>
      </c>
      <c r="D10" s="298">
        <v>0</v>
      </c>
      <c r="E10" s="298">
        <v>0</v>
      </c>
      <c r="F10" s="299">
        <v>0</v>
      </c>
      <c r="G10" s="297">
        <v>0</v>
      </c>
      <c r="H10" s="298">
        <v>0</v>
      </c>
      <c r="I10" s="298">
        <v>0</v>
      </c>
      <c r="J10" s="299">
        <v>0</v>
      </c>
      <c r="K10" s="297">
        <v>3</v>
      </c>
      <c r="L10" s="298">
        <v>3</v>
      </c>
      <c r="M10" s="298">
        <v>0</v>
      </c>
      <c r="N10" s="299">
        <v>0</v>
      </c>
      <c r="O10" s="297">
        <v>0</v>
      </c>
      <c r="P10" s="298">
        <v>0</v>
      </c>
      <c r="Q10" s="298">
        <v>0</v>
      </c>
      <c r="R10" s="299">
        <v>0</v>
      </c>
      <c r="S10" s="297">
        <v>0</v>
      </c>
      <c r="T10" s="298">
        <v>3</v>
      </c>
      <c r="U10" s="298">
        <v>0</v>
      </c>
      <c r="V10" s="299">
        <v>3</v>
      </c>
      <c r="W10" s="300">
        <f t="shared" si="0"/>
        <v>12.000400000000001</v>
      </c>
      <c r="X10" s="300" t="str">
        <f t="shared" si="1"/>
        <v>edasi 2</v>
      </c>
    </row>
    <row r="11" spans="1:24" ht="14.25" thickTop="1" thickBot="1" x14ac:dyDescent="0.25">
      <c r="A11" s="301">
        <v>3</v>
      </c>
      <c r="B11" s="566" t="s">
        <v>262</v>
      </c>
      <c r="C11" s="302">
        <v>3</v>
      </c>
      <c r="D11" s="303">
        <v>0</v>
      </c>
      <c r="E11" s="303">
        <v>0</v>
      </c>
      <c r="F11" s="304">
        <v>0</v>
      </c>
      <c r="G11" s="302">
        <v>0</v>
      </c>
      <c r="H11" s="303">
        <v>0</v>
      </c>
      <c r="I11" s="303">
        <v>0</v>
      </c>
      <c r="J11" s="304">
        <v>0</v>
      </c>
      <c r="K11" s="302">
        <v>0</v>
      </c>
      <c r="L11" s="303">
        <v>0</v>
      </c>
      <c r="M11" s="303">
        <v>0</v>
      </c>
      <c r="N11" s="304">
        <v>0</v>
      </c>
      <c r="O11" s="302">
        <v>0</v>
      </c>
      <c r="P11" s="746">
        <v>5</v>
      </c>
      <c r="Q11" s="303">
        <v>0</v>
      </c>
      <c r="R11" s="304">
        <v>0</v>
      </c>
      <c r="S11" s="302">
        <v>0</v>
      </c>
      <c r="T11" s="303">
        <v>0</v>
      </c>
      <c r="U11" s="303">
        <v>0</v>
      </c>
      <c r="V11" s="304">
        <v>0</v>
      </c>
      <c r="W11" s="305">
        <f t="shared" si="0"/>
        <v>8.0100999999999996</v>
      </c>
      <c r="X11" s="305" t="str">
        <f t="shared" si="1"/>
        <v>edasi 5</v>
      </c>
    </row>
    <row r="12" spans="1:24" ht="14.25" thickTop="1" thickBot="1" x14ac:dyDescent="0.25">
      <c r="A12" s="301">
        <v>4</v>
      </c>
      <c r="B12" s="557" t="s">
        <v>183</v>
      </c>
      <c r="C12" s="302">
        <v>0</v>
      </c>
      <c r="D12" s="303">
        <v>0</v>
      </c>
      <c r="E12" s="303">
        <v>0</v>
      </c>
      <c r="F12" s="304">
        <v>3</v>
      </c>
      <c r="G12" s="302">
        <v>1</v>
      </c>
      <c r="H12" s="303">
        <v>0</v>
      </c>
      <c r="I12" s="303">
        <v>3</v>
      </c>
      <c r="J12" s="304">
        <v>0</v>
      </c>
      <c r="K12" s="302">
        <v>0</v>
      </c>
      <c r="L12" s="303">
        <v>1</v>
      </c>
      <c r="M12" s="303">
        <v>0</v>
      </c>
      <c r="N12" s="304">
        <v>0</v>
      </c>
      <c r="O12" s="302">
        <v>0</v>
      </c>
      <c r="P12" s="303">
        <v>0</v>
      </c>
      <c r="Q12" s="303">
        <v>0</v>
      </c>
      <c r="R12" s="304">
        <v>0</v>
      </c>
      <c r="S12" s="302">
        <v>0</v>
      </c>
      <c r="T12" s="303">
        <v>0</v>
      </c>
      <c r="U12" s="303">
        <v>0</v>
      </c>
      <c r="V12" s="304">
        <v>0</v>
      </c>
      <c r="W12" s="305">
        <f t="shared" si="0"/>
        <v>8.0001999999999995</v>
      </c>
      <c r="X12" s="305" t="str">
        <f t="shared" si="1"/>
        <v>edasi 6</v>
      </c>
    </row>
    <row r="13" spans="1:24" ht="14.25" thickTop="1" thickBot="1" x14ac:dyDescent="0.25">
      <c r="A13" s="296">
        <v>5</v>
      </c>
      <c r="B13" s="558" t="s">
        <v>192</v>
      </c>
      <c r="C13" s="297">
        <v>3</v>
      </c>
      <c r="D13" s="745">
        <v>5</v>
      </c>
      <c r="E13" s="298">
        <v>0</v>
      </c>
      <c r="F13" s="299">
        <v>0</v>
      </c>
      <c r="G13" s="297">
        <v>0</v>
      </c>
      <c r="H13" s="298">
        <v>0</v>
      </c>
      <c r="I13" s="298">
        <v>0</v>
      </c>
      <c r="J13" s="299">
        <v>0</v>
      </c>
      <c r="K13" s="297">
        <v>0</v>
      </c>
      <c r="L13" s="298">
        <v>0</v>
      </c>
      <c r="M13" s="298">
        <v>0</v>
      </c>
      <c r="N13" s="299">
        <v>0</v>
      </c>
      <c r="O13" s="297">
        <v>3</v>
      </c>
      <c r="P13" s="298">
        <v>0</v>
      </c>
      <c r="Q13" s="298">
        <v>0</v>
      </c>
      <c r="R13" s="299">
        <v>0</v>
      </c>
      <c r="S13" s="297">
        <v>0</v>
      </c>
      <c r="T13" s="298">
        <v>0</v>
      </c>
      <c r="U13" s="298">
        <v>0</v>
      </c>
      <c r="V13" s="299">
        <v>0</v>
      </c>
      <c r="W13" s="300">
        <f t="shared" si="0"/>
        <v>11.010199999999999</v>
      </c>
      <c r="X13" s="300" t="str">
        <f t="shared" si="1"/>
        <v>edasi 3</v>
      </c>
    </row>
    <row r="14" spans="1:24" ht="14.25" thickTop="1" thickBot="1" x14ac:dyDescent="0.25">
      <c r="A14" s="296">
        <v>6</v>
      </c>
      <c r="B14" s="556" t="s">
        <v>185</v>
      </c>
      <c r="C14" s="297">
        <v>3</v>
      </c>
      <c r="D14" s="298">
        <v>0</v>
      </c>
      <c r="E14" s="298">
        <v>0</v>
      </c>
      <c r="F14" s="299">
        <v>0</v>
      </c>
      <c r="G14" s="297">
        <v>0</v>
      </c>
      <c r="H14" s="298">
        <v>0</v>
      </c>
      <c r="I14" s="298">
        <v>0</v>
      </c>
      <c r="J14" s="299">
        <v>0</v>
      </c>
      <c r="K14" s="297">
        <v>1</v>
      </c>
      <c r="L14" s="298">
        <v>0</v>
      </c>
      <c r="M14" s="298">
        <v>0</v>
      </c>
      <c r="N14" s="299">
        <v>0</v>
      </c>
      <c r="O14" s="297">
        <v>0</v>
      </c>
      <c r="P14" s="298">
        <v>0</v>
      </c>
      <c r="Q14" s="298">
        <v>0</v>
      </c>
      <c r="R14" s="299">
        <v>0</v>
      </c>
      <c r="S14" s="297">
        <v>0</v>
      </c>
      <c r="T14" s="298">
        <v>0</v>
      </c>
      <c r="U14" s="298">
        <v>0</v>
      </c>
      <c r="V14" s="299">
        <v>0</v>
      </c>
      <c r="W14" s="300">
        <f t="shared" si="0"/>
        <v>4.0000999999999998</v>
      </c>
      <c r="X14" s="570">
        <f t="shared" si="1"/>
        <v>9</v>
      </c>
    </row>
    <row r="15" spans="1:24" ht="14.25" thickTop="1" thickBot="1" x14ac:dyDescent="0.25">
      <c r="A15" s="301">
        <v>7</v>
      </c>
      <c r="B15" s="567" t="s">
        <v>184</v>
      </c>
      <c r="C15" s="302">
        <v>3</v>
      </c>
      <c r="D15" s="746">
        <v>5</v>
      </c>
      <c r="E15" s="303">
        <v>0</v>
      </c>
      <c r="F15" s="304">
        <v>0</v>
      </c>
      <c r="G15" s="302">
        <v>0</v>
      </c>
      <c r="H15" s="303">
        <v>0</v>
      </c>
      <c r="I15" s="303">
        <v>3</v>
      </c>
      <c r="J15" s="304">
        <v>3</v>
      </c>
      <c r="K15" s="302">
        <v>1</v>
      </c>
      <c r="L15" s="303">
        <v>1</v>
      </c>
      <c r="M15" s="303">
        <v>1</v>
      </c>
      <c r="N15" s="304">
        <v>0</v>
      </c>
      <c r="O15" s="302">
        <v>0</v>
      </c>
      <c r="P15" s="303">
        <v>0</v>
      </c>
      <c r="Q15" s="303">
        <v>0</v>
      </c>
      <c r="R15" s="304">
        <v>0</v>
      </c>
      <c r="S15" s="302">
        <v>0</v>
      </c>
      <c r="T15" s="303">
        <v>0</v>
      </c>
      <c r="U15" s="303">
        <v>0</v>
      </c>
      <c r="V15" s="304">
        <v>0</v>
      </c>
      <c r="W15" s="305">
        <f t="shared" si="0"/>
        <v>17.010300000000001</v>
      </c>
      <c r="X15" s="305" t="str">
        <f>IF(COUNTA(C15:V15)=0,"",IF(RANK(W15,$W$9:$W$18)&lt;9,"edasi "&amp;RANK(W15,$W$9:$W$18),RANK(W15,$W$9:$W$18)))</f>
        <v>edasi 1</v>
      </c>
    </row>
    <row r="16" spans="1:24" ht="13.5" thickTop="1" x14ac:dyDescent="0.2">
      <c r="A16" s="301">
        <v>8</v>
      </c>
      <c r="B16" s="562" t="s">
        <v>206</v>
      </c>
      <c r="C16" s="302">
        <v>0</v>
      </c>
      <c r="D16" s="303">
        <v>0</v>
      </c>
      <c r="E16" s="303">
        <v>3</v>
      </c>
      <c r="F16" s="304">
        <v>0</v>
      </c>
      <c r="G16" s="302">
        <v>0</v>
      </c>
      <c r="H16" s="303">
        <v>0</v>
      </c>
      <c r="I16" s="303">
        <v>3</v>
      </c>
      <c r="J16" s="304">
        <v>0</v>
      </c>
      <c r="K16" s="302">
        <v>0</v>
      </c>
      <c r="L16" s="303">
        <v>0</v>
      </c>
      <c r="M16" s="303">
        <v>1</v>
      </c>
      <c r="N16" s="304">
        <v>0</v>
      </c>
      <c r="O16" s="302">
        <v>1</v>
      </c>
      <c r="P16" s="303">
        <v>0</v>
      </c>
      <c r="Q16" s="303">
        <v>0</v>
      </c>
      <c r="R16" s="304">
        <v>0</v>
      </c>
      <c r="S16" s="302">
        <v>0</v>
      </c>
      <c r="T16" s="303">
        <v>0</v>
      </c>
      <c r="U16" s="303">
        <v>0</v>
      </c>
      <c r="V16" s="304">
        <v>0</v>
      </c>
      <c r="W16" s="305">
        <f t="shared" si="0"/>
        <v>8.0001999999999995</v>
      </c>
      <c r="X16" s="305" t="str">
        <f t="shared" si="1"/>
        <v>edasi 6</v>
      </c>
    </row>
    <row r="17" spans="1:33" ht="13.5" thickBot="1" x14ac:dyDescent="0.25">
      <c r="A17" s="296">
        <v>9</v>
      </c>
      <c r="B17" s="558" t="s">
        <v>283</v>
      </c>
      <c r="C17" s="297">
        <v>0</v>
      </c>
      <c r="D17" s="298">
        <v>3</v>
      </c>
      <c r="E17" s="298">
        <v>0</v>
      </c>
      <c r="F17" s="299">
        <v>0</v>
      </c>
      <c r="G17" s="297">
        <v>0</v>
      </c>
      <c r="H17" s="298">
        <v>0</v>
      </c>
      <c r="I17" s="298">
        <v>0</v>
      </c>
      <c r="J17" s="299">
        <v>0</v>
      </c>
      <c r="K17" s="297">
        <v>1</v>
      </c>
      <c r="L17" s="298">
        <v>0</v>
      </c>
      <c r="M17" s="298">
        <v>3</v>
      </c>
      <c r="N17" s="299">
        <v>0</v>
      </c>
      <c r="O17" s="297">
        <v>0</v>
      </c>
      <c r="P17" s="298">
        <v>0</v>
      </c>
      <c r="Q17" s="298">
        <v>0</v>
      </c>
      <c r="R17" s="299">
        <v>0</v>
      </c>
      <c r="S17" s="297">
        <v>0</v>
      </c>
      <c r="T17" s="298">
        <v>0</v>
      </c>
      <c r="U17" s="298">
        <v>0</v>
      </c>
      <c r="V17" s="299">
        <v>0</v>
      </c>
      <c r="W17" s="300">
        <f t="shared" si="0"/>
        <v>7.0002000000000004</v>
      </c>
      <c r="X17" s="300" t="str">
        <f t="shared" si="1"/>
        <v>edasi 8</v>
      </c>
    </row>
    <row r="18" spans="1:33" ht="14.25" thickTop="1" thickBot="1" x14ac:dyDescent="0.25">
      <c r="A18" s="296">
        <v>10</v>
      </c>
      <c r="B18" s="558" t="s">
        <v>171</v>
      </c>
      <c r="C18" s="745">
        <v>5</v>
      </c>
      <c r="D18" s="298">
        <v>0</v>
      </c>
      <c r="E18" s="298">
        <v>3</v>
      </c>
      <c r="F18" s="299">
        <v>0</v>
      </c>
      <c r="G18" s="297">
        <v>0</v>
      </c>
      <c r="H18" s="298">
        <v>0</v>
      </c>
      <c r="I18" s="298">
        <v>0</v>
      </c>
      <c r="J18" s="299">
        <v>0</v>
      </c>
      <c r="K18" s="297">
        <v>3</v>
      </c>
      <c r="L18" s="298">
        <v>0</v>
      </c>
      <c r="M18" s="298">
        <v>0</v>
      </c>
      <c r="N18" s="299">
        <v>0</v>
      </c>
      <c r="O18" s="297">
        <v>0</v>
      </c>
      <c r="P18" s="298">
        <v>0</v>
      </c>
      <c r="Q18" s="298">
        <v>0</v>
      </c>
      <c r="R18" s="299">
        <v>0</v>
      </c>
      <c r="S18" s="297">
        <v>0</v>
      </c>
      <c r="T18" s="298">
        <v>0</v>
      </c>
      <c r="U18" s="298">
        <v>0</v>
      </c>
      <c r="V18" s="299">
        <v>0</v>
      </c>
      <c r="W18" s="300">
        <f t="shared" si="0"/>
        <v>11.010199999999999</v>
      </c>
      <c r="X18" s="300" t="str">
        <f t="shared" si="1"/>
        <v>edasi 3</v>
      </c>
    </row>
    <row r="19" spans="1:33" ht="13.5" thickTop="1" x14ac:dyDescent="0.2">
      <c r="A19" s="328"/>
      <c r="B19" s="329" t="s">
        <v>129</v>
      </c>
      <c r="C19" s="292"/>
      <c r="D19" s="293"/>
      <c r="E19" s="293"/>
      <c r="F19" s="294"/>
      <c r="G19" s="292"/>
      <c r="H19" s="293"/>
      <c r="I19" s="293"/>
      <c r="J19" s="294"/>
      <c r="K19" s="292"/>
      <c r="L19" s="293"/>
      <c r="M19" s="293"/>
      <c r="N19" s="294"/>
      <c r="O19" s="292"/>
      <c r="P19" s="293"/>
      <c r="Q19" s="293"/>
      <c r="R19" s="294"/>
      <c r="S19" s="292"/>
      <c r="T19" s="293"/>
      <c r="U19" s="293"/>
      <c r="V19" s="294"/>
      <c r="W19" s="330"/>
      <c r="X19" s="295"/>
      <c r="Y19" s="306"/>
      <c r="Z19" s="307"/>
      <c r="AA19" s="307"/>
    </row>
    <row r="20" spans="1:33" ht="13.5" thickBot="1" x14ac:dyDescent="0.25">
      <c r="A20" s="315"/>
      <c r="B20" s="555" t="s">
        <v>171</v>
      </c>
      <c r="C20" s="316"/>
      <c r="D20" s="317">
        <v>0</v>
      </c>
      <c r="E20" s="317"/>
      <c r="F20" s="318"/>
      <c r="G20" s="316"/>
      <c r="H20" s="317">
        <v>0</v>
      </c>
      <c r="I20" s="317"/>
      <c r="J20" s="318"/>
      <c r="K20" s="316"/>
      <c r="L20" s="317">
        <v>1</v>
      </c>
      <c r="M20" s="317"/>
      <c r="N20" s="318"/>
      <c r="O20" s="316"/>
      <c r="P20" s="317">
        <v>0</v>
      </c>
      <c r="Q20" s="317"/>
      <c r="R20" s="318"/>
      <c r="S20" s="316"/>
      <c r="T20" s="317">
        <v>0</v>
      </c>
      <c r="U20" s="317"/>
      <c r="V20" s="318"/>
      <c r="W20" s="300">
        <f>SUM(C20:V20)</f>
        <v>1</v>
      </c>
      <c r="X20" s="561" t="s">
        <v>281</v>
      </c>
      <c r="Y20" s="306"/>
      <c r="Z20" s="307"/>
      <c r="AA20" s="307"/>
    </row>
    <row r="21" spans="1:33" ht="14.25" thickTop="1" thickBot="1" x14ac:dyDescent="0.25">
      <c r="A21" s="315"/>
      <c r="B21" s="556" t="s">
        <v>192</v>
      </c>
      <c r="C21" s="316"/>
      <c r="D21" s="317">
        <v>0</v>
      </c>
      <c r="E21" s="317"/>
      <c r="F21" s="318"/>
      <c r="G21" s="316"/>
      <c r="H21" s="317">
        <v>0</v>
      </c>
      <c r="I21" s="317"/>
      <c r="J21" s="318"/>
      <c r="K21" s="316"/>
      <c r="L21" s="317">
        <v>3</v>
      </c>
      <c r="M21" s="317"/>
      <c r="N21" s="318"/>
      <c r="O21" s="316"/>
      <c r="P21" s="317">
        <v>1</v>
      </c>
      <c r="Q21" s="317"/>
      <c r="R21" s="318"/>
      <c r="S21" s="316"/>
      <c r="T21" s="747">
        <v>5</v>
      </c>
      <c r="U21" s="317"/>
      <c r="V21" s="318"/>
      <c r="W21" s="300">
        <f>SUM(C21:V21)</f>
        <v>9</v>
      </c>
      <c r="X21" s="561" t="s">
        <v>282</v>
      </c>
      <c r="Y21" s="306"/>
      <c r="Z21" s="307"/>
      <c r="AA21" s="307"/>
    </row>
    <row r="22" spans="1:33" ht="14.25" thickTop="1" thickBot="1" x14ac:dyDescent="0.25">
      <c r="A22" s="308"/>
      <c r="B22" s="562" t="s">
        <v>206</v>
      </c>
      <c r="C22" s="309"/>
      <c r="D22" s="310">
        <v>0</v>
      </c>
      <c r="E22" s="310"/>
      <c r="F22" s="311"/>
      <c r="G22" s="309"/>
      <c r="H22" s="310">
        <v>1</v>
      </c>
      <c r="I22" s="310"/>
      <c r="J22" s="311"/>
      <c r="K22" s="309"/>
      <c r="L22" s="310">
        <v>3</v>
      </c>
      <c r="M22" s="310"/>
      <c r="N22" s="311"/>
      <c r="O22" s="309"/>
      <c r="P22" s="310">
        <v>0</v>
      </c>
      <c r="Q22" s="310"/>
      <c r="R22" s="311"/>
      <c r="S22" s="309"/>
      <c r="T22" s="748">
        <v>5</v>
      </c>
      <c r="U22" s="310"/>
      <c r="V22" s="311"/>
      <c r="W22" s="305">
        <f>SUM(C22:V22)</f>
        <v>9</v>
      </c>
      <c r="X22" s="568" t="s">
        <v>285</v>
      </c>
      <c r="Y22" s="306"/>
      <c r="Z22" s="307"/>
      <c r="AA22" s="307"/>
    </row>
    <row r="23" spans="1:33" ht="14.25" thickTop="1" thickBot="1" x14ac:dyDescent="0.25">
      <c r="A23" s="322"/>
      <c r="B23" s="563" t="s">
        <v>183</v>
      </c>
      <c r="C23" s="323"/>
      <c r="D23" s="324">
        <v>3</v>
      </c>
      <c r="E23" s="324"/>
      <c r="F23" s="325"/>
      <c r="G23" s="323"/>
      <c r="H23" s="324">
        <v>0</v>
      </c>
      <c r="I23" s="324"/>
      <c r="J23" s="325"/>
      <c r="K23" s="323"/>
      <c r="L23" s="324">
        <v>1</v>
      </c>
      <c r="M23" s="324"/>
      <c r="N23" s="325"/>
      <c r="O23" s="323"/>
      <c r="P23" s="324">
        <v>0</v>
      </c>
      <c r="Q23" s="324"/>
      <c r="R23" s="325"/>
      <c r="S23" s="323"/>
      <c r="T23" s="324">
        <v>0</v>
      </c>
      <c r="U23" s="324"/>
      <c r="V23" s="325"/>
      <c r="W23" s="326">
        <f>SUM(C23:V23)</f>
        <v>4</v>
      </c>
      <c r="X23" s="569" t="s">
        <v>284</v>
      </c>
      <c r="Y23" s="306"/>
      <c r="Z23" s="307"/>
      <c r="AA23" s="307"/>
    </row>
    <row r="24" spans="1:33" ht="13.5" thickBot="1" x14ac:dyDescent="0.25">
      <c r="A24" s="328"/>
      <c r="B24" s="291" t="s">
        <v>126</v>
      </c>
      <c r="C24" s="292"/>
      <c r="D24" s="293"/>
      <c r="E24" s="293"/>
      <c r="F24" s="294"/>
      <c r="G24" s="292"/>
      <c r="H24" s="293"/>
      <c r="I24" s="293"/>
      <c r="J24" s="294"/>
      <c r="K24" s="292"/>
      <c r="L24" s="293"/>
      <c r="M24" s="293"/>
      <c r="N24" s="294"/>
      <c r="O24" s="292"/>
      <c r="P24" s="293"/>
      <c r="Q24" s="293"/>
      <c r="R24" s="294"/>
      <c r="S24" s="292"/>
      <c r="T24" s="293"/>
      <c r="U24" s="293"/>
      <c r="V24" s="294"/>
      <c r="W24" s="295"/>
      <c r="X24" s="295"/>
      <c r="Y24" s="313"/>
      <c r="Z24" s="314" t="s">
        <v>127</v>
      </c>
      <c r="AA24" s="314" t="s">
        <v>128</v>
      </c>
      <c r="AC24" s="215"/>
      <c r="AD24" s="215"/>
      <c r="AE24" s="215"/>
      <c r="AF24" s="215"/>
      <c r="AG24" s="215"/>
    </row>
    <row r="25" spans="1:33" ht="14.25" thickTop="1" thickBot="1" x14ac:dyDescent="0.25">
      <c r="A25" s="315">
        <v>4</v>
      </c>
      <c r="B25" s="555" t="s">
        <v>192</v>
      </c>
      <c r="C25" s="747">
        <v>5</v>
      </c>
      <c r="D25" s="317">
        <v>3</v>
      </c>
      <c r="E25" s="317">
        <v>0</v>
      </c>
      <c r="F25" s="318">
        <v>3</v>
      </c>
      <c r="G25" s="316">
        <v>0</v>
      </c>
      <c r="H25" s="317">
        <v>0</v>
      </c>
      <c r="I25" s="317">
        <v>0</v>
      </c>
      <c r="J25" s="318">
        <v>0</v>
      </c>
      <c r="K25" s="316">
        <v>0</v>
      </c>
      <c r="L25" s="317">
        <v>0</v>
      </c>
      <c r="M25" s="317">
        <v>1</v>
      </c>
      <c r="N25" s="318">
        <v>0</v>
      </c>
      <c r="O25" s="316">
        <v>0</v>
      </c>
      <c r="P25" s="317">
        <v>1</v>
      </c>
      <c r="Q25" s="317">
        <v>0</v>
      </c>
      <c r="R25" s="318">
        <v>0</v>
      </c>
      <c r="S25" s="316">
        <v>0</v>
      </c>
      <c r="T25" s="317">
        <v>0</v>
      </c>
      <c r="U25" s="317">
        <v>0</v>
      </c>
      <c r="V25" s="318">
        <v>0</v>
      </c>
      <c r="W25" s="300">
        <f t="shared" ref="W25:W46" si="2">IF(COUNTA(C25:V25)=0,"",SUM(C25:V25)+COUNTIF(C25:V25,5)/100+COUNTIF(C25:V25,3)/10000)</f>
        <v>13.010199999999999</v>
      </c>
      <c r="X25" s="319">
        <f>IF(ISBLANK(C25),"",IF(RANK(Y25,$Y$25:$Y$26)&lt;2,"edasi "&amp;RANK(W25,$AA$25:$AA$32),RANK(W25,$Z$25:$Z$32)+4))</f>
        <v>6</v>
      </c>
      <c r="Y25" s="320">
        <f>IF(COUNTA(C25:V25)=0,100,W25+IF(RANK(W25,$W$25:$W$26)=1,100,0))</f>
        <v>13.010199999999999</v>
      </c>
      <c r="Z25" s="314">
        <f>MIN(W25:W26)</f>
        <v>13.010199999999999</v>
      </c>
      <c r="AA25" s="314">
        <f>MAX(W25:W26)</f>
        <v>15.000500000000001</v>
      </c>
      <c r="AC25" s="215"/>
      <c r="AD25" s="215"/>
      <c r="AE25" s="215"/>
      <c r="AF25" s="215"/>
      <c r="AG25" s="215"/>
    </row>
    <row r="26" spans="1:33" ht="13.5" thickTop="1" x14ac:dyDescent="0.2">
      <c r="A26" s="315">
        <v>5</v>
      </c>
      <c r="B26" s="556" t="s">
        <v>262</v>
      </c>
      <c r="C26" s="316">
        <v>3</v>
      </c>
      <c r="D26" s="317">
        <v>3</v>
      </c>
      <c r="E26" s="317">
        <v>0</v>
      </c>
      <c r="F26" s="318">
        <v>0</v>
      </c>
      <c r="G26" s="316">
        <v>3</v>
      </c>
      <c r="H26" s="317">
        <v>3</v>
      </c>
      <c r="I26" s="317">
        <v>0</v>
      </c>
      <c r="J26" s="318">
        <v>0</v>
      </c>
      <c r="K26" s="316">
        <v>0</v>
      </c>
      <c r="L26" s="317">
        <v>0</v>
      </c>
      <c r="M26" s="317">
        <v>0</v>
      </c>
      <c r="N26" s="318">
        <v>3</v>
      </c>
      <c r="O26" s="316">
        <v>0</v>
      </c>
      <c r="P26" s="317">
        <v>0</v>
      </c>
      <c r="Q26" s="317">
        <v>0</v>
      </c>
      <c r="R26" s="318">
        <v>0</v>
      </c>
      <c r="S26" s="316">
        <v>0</v>
      </c>
      <c r="T26" s="317">
        <v>0</v>
      </c>
      <c r="U26" s="317">
        <v>0</v>
      </c>
      <c r="V26" s="318">
        <v>0</v>
      </c>
      <c r="W26" s="300">
        <f t="shared" si="2"/>
        <v>15.000500000000001</v>
      </c>
      <c r="X26" s="319" t="str">
        <f>IF(ISBLANK(C26),"",IF(RANK(Y26,$Y$25:$Y$26)&lt;2,"edasi "&amp;RANK(W26,$AA$25:$AA$32),RANK(W26,$Z$25:$Z$32)+4))</f>
        <v>edasi 3</v>
      </c>
      <c r="Y26" s="321">
        <f>IF(COUNTA(C26:V26)=0,0,W26+IF(RANK(W26,$W$25:$W$26)=1,100,0))</f>
        <v>115.0005</v>
      </c>
      <c r="Z26" s="314"/>
      <c r="AA26" s="314"/>
      <c r="AC26" s="215"/>
      <c r="AD26" s="215"/>
      <c r="AE26" s="215"/>
      <c r="AF26" s="215"/>
      <c r="AG26" s="215"/>
    </row>
    <row r="27" spans="1:33" x14ac:dyDescent="0.2">
      <c r="A27" s="308">
        <v>6</v>
      </c>
      <c r="B27" s="559" t="s">
        <v>206</v>
      </c>
      <c r="C27" s="309">
        <v>3</v>
      </c>
      <c r="D27" s="310">
        <v>0</v>
      </c>
      <c r="E27" s="310">
        <v>3</v>
      </c>
      <c r="F27" s="311">
        <v>3</v>
      </c>
      <c r="G27" s="309">
        <v>0</v>
      </c>
      <c r="H27" s="310">
        <v>0</v>
      </c>
      <c r="I27" s="310">
        <v>0</v>
      </c>
      <c r="J27" s="311">
        <v>0</v>
      </c>
      <c r="K27" s="309">
        <v>0</v>
      </c>
      <c r="L27" s="310">
        <v>0</v>
      </c>
      <c r="M27" s="310">
        <v>0</v>
      </c>
      <c r="N27" s="311">
        <v>0</v>
      </c>
      <c r="O27" s="309">
        <v>1</v>
      </c>
      <c r="P27" s="310">
        <v>0</v>
      </c>
      <c r="Q27" s="310">
        <v>0</v>
      </c>
      <c r="R27" s="311">
        <v>3</v>
      </c>
      <c r="S27" s="309">
        <v>0</v>
      </c>
      <c r="T27" s="310">
        <v>0</v>
      </c>
      <c r="U27" s="310">
        <v>3</v>
      </c>
      <c r="V27" s="311">
        <v>0</v>
      </c>
      <c r="W27" s="305">
        <f t="shared" si="2"/>
        <v>16.000499999999999</v>
      </c>
      <c r="X27" s="312" t="str">
        <f>IF(ISBLANK(C27),"",IF(RANK(Y27,$Y$27:$Y$28)&lt;2,"edasi "&amp;RANK(W27,$AA$25:$AA$32),RANK(W27,$Z$25:$Z$32)+4))</f>
        <v>edasi 2</v>
      </c>
      <c r="Y27" s="320">
        <f>IF(COUNTA(C27:V27)=0,100,W27+IF(RANK(W27,$W$27:$W$28)=1,100,0))</f>
        <v>116.0005</v>
      </c>
      <c r="Z27" s="314">
        <f>MIN(W27:W28)</f>
        <v>0</v>
      </c>
      <c r="AA27" s="314">
        <f>MAX(W27:W28)</f>
        <v>16.000499999999999</v>
      </c>
      <c r="AC27" s="215"/>
      <c r="AD27" s="215"/>
      <c r="AE27" s="215"/>
      <c r="AF27" s="215"/>
      <c r="AG27" s="215"/>
    </row>
    <row r="28" spans="1:33" ht="13.5" thickBot="1" x14ac:dyDescent="0.25">
      <c r="A28" s="308">
        <v>3</v>
      </c>
      <c r="B28" s="560" t="s">
        <v>171</v>
      </c>
      <c r="C28" s="571" t="s">
        <v>160</v>
      </c>
      <c r="D28" s="572" t="s">
        <v>160</v>
      </c>
      <c r="E28" s="572" t="s">
        <v>160</v>
      </c>
      <c r="F28" s="573" t="s">
        <v>160</v>
      </c>
      <c r="G28" s="571" t="s">
        <v>160</v>
      </c>
      <c r="H28" s="572" t="s">
        <v>160</v>
      </c>
      <c r="I28" s="572" t="s">
        <v>160</v>
      </c>
      <c r="J28" s="573" t="s">
        <v>160</v>
      </c>
      <c r="K28" s="571" t="s">
        <v>160</v>
      </c>
      <c r="L28" s="572" t="s">
        <v>160</v>
      </c>
      <c r="M28" s="572" t="s">
        <v>160</v>
      </c>
      <c r="N28" s="573" t="s">
        <v>160</v>
      </c>
      <c r="O28" s="571" t="s">
        <v>160</v>
      </c>
      <c r="P28" s="572" t="s">
        <v>160</v>
      </c>
      <c r="Q28" s="572" t="s">
        <v>160</v>
      </c>
      <c r="R28" s="573" t="s">
        <v>160</v>
      </c>
      <c r="S28" s="571" t="s">
        <v>160</v>
      </c>
      <c r="T28" s="572" t="s">
        <v>160</v>
      </c>
      <c r="U28" s="572" t="s">
        <v>160</v>
      </c>
      <c r="V28" s="573" t="s">
        <v>160</v>
      </c>
      <c r="W28" s="305">
        <f t="shared" si="2"/>
        <v>0</v>
      </c>
      <c r="X28" s="312">
        <f>IF(ISBLANK(C28),"",IF(RANK(Y28,$Y$27:$Y$28)&lt;2,"edasi "&amp;RANK(W28,$AA$25:$AA$32),RANK(W28,$Z$25:$Z$32)+4))</f>
        <v>8</v>
      </c>
      <c r="Y28" s="321">
        <f>IF(COUNTA(C28:V28)=0,0,W28+IF(RANK(W28,$W$27:$W$28)=1,100,0))</f>
        <v>0</v>
      </c>
      <c r="Z28" s="314"/>
      <c r="AA28" s="314"/>
      <c r="AC28" s="215"/>
      <c r="AD28" s="215"/>
      <c r="AE28" s="215"/>
      <c r="AF28" s="215"/>
      <c r="AG28" s="215"/>
    </row>
    <row r="29" spans="1:33" ht="14.25" thickTop="1" thickBot="1" x14ac:dyDescent="0.25">
      <c r="A29" s="315">
        <v>7</v>
      </c>
      <c r="B29" s="558" t="s">
        <v>183</v>
      </c>
      <c r="C29" s="316">
        <v>0</v>
      </c>
      <c r="D29" s="317">
        <v>0</v>
      </c>
      <c r="E29" s="317">
        <v>0</v>
      </c>
      <c r="F29" s="318">
        <v>0</v>
      </c>
      <c r="G29" s="316">
        <v>0</v>
      </c>
      <c r="H29" s="747">
        <v>5</v>
      </c>
      <c r="I29" s="317">
        <v>0</v>
      </c>
      <c r="J29" s="318">
        <v>0</v>
      </c>
      <c r="K29" s="316">
        <v>1</v>
      </c>
      <c r="L29" s="317">
        <v>0</v>
      </c>
      <c r="M29" s="317">
        <v>0</v>
      </c>
      <c r="N29" s="318">
        <v>0</v>
      </c>
      <c r="O29" s="316">
        <v>0</v>
      </c>
      <c r="P29" s="317">
        <v>0</v>
      </c>
      <c r="Q29" s="317">
        <v>0</v>
      </c>
      <c r="R29" s="318">
        <v>0</v>
      </c>
      <c r="S29" s="316">
        <v>0</v>
      </c>
      <c r="T29" s="317">
        <v>0</v>
      </c>
      <c r="U29" s="317">
        <v>0</v>
      </c>
      <c r="V29" s="747">
        <v>5</v>
      </c>
      <c r="W29" s="300">
        <f t="shared" si="2"/>
        <v>11.02</v>
      </c>
      <c r="X29" s="319" t="str">
        <f>IF(ISBLANK(C29),"",IF(RANK(Y29,$Y$29:$Y$30)&lt;2,"edasi "&amp;RANK(W29,$AA$25:$AA$32),RANK(W29,$Z$25:$Z$32)+4))</f>
        <v>edasi 4</v>
      </c>
      <c r="Y29" s="320">
        <f>IF(COUNTA(C29:V29)=0,100,W29+IF(RANK(W29,$W$29:$W$30)=1,100,0))</f>
        <v>111.02</v>
      </c>
      <c r="Z29" s="314">
        <f>MIN(W29:W30)</f>
        <v>11.010199999999999</v>
      </c>
      <c r="AA29" s="314">
        <f>MAX(W29:W30)</f>
        <v>11.02</v>
      </c>
      <c r="AC29" s="215"/>
      <c r="AD29" s="215"/>
      <c r="AE29" s="215"/>
      <c r="AF29" s="215"/>
      <c r="AG29" s="215"/>
    </row>
    <row r="30" spans="1:33" ht="14.25" thickTop="1" thickBot="1" x14ac:dyDescent="0.25">
      <c r="A30" s="315">
        <v>2</v>
      </c>
      <c r="B30" s="577" t="s">
        <v>201</v>
      </c>
      <c r="C30" s="316">
        <v>0</v>
      </c>
      <c r="D30" s="317">
        <v>3</v>
      </c>
      <c r="E30" s="317">
        <v>0</v>
      </c>
      <c r="F30" s="318">
        <v>0</v>
      </c>
      <c r="G30" s="316">
        <v>0</v>
      </c>
      <c r="H30" s="317">
        <v>0</v>
      </c>
      <c r="I30" s="317">
        <v>0</v>
      </c>
      <c r="J30" s="318">
        <v>0</v>
      </c>
      <c r="K30" s="747">
        <v>5</v>
      </c>
      <c r="L30" s="317">
        <v>3</v>
      </c>
      <c r="M30" s="317">
        <v>0</v>
      </c>
      <c r="N30" s="318">
        <v>0</v>
      </c>
      <c r="O30" s="316">
        <v>0</v>
      </c>
      <c r="P30" s="317">
        <v>0</v>
      </c>
      <c r="Q30" s="317">
        <v>0</v>
      </c>
      <c r="R30" s="318">
        <v>0</v>
      </c>
      <c r="S30" s="316">
        <v>0</v>
      </c>
      <c r="T30" s="317">
        <v>0</v>
      </c>
      <c r="U30" s="317">
        <v>0</v>
      </c>
      <c r="V30" s="318">
        <v>0</v>
      </c>
      <c r="W30" s="300">
        <f t="shared" si="2"/>
        <v>11.010199999999999</v>
      </c>
      <c r="X30" s="319">
        <f>IF(ISBLANK(C30),"",IF(RANK(Y30,$Y$29:$Y$30)&lt;2,"edasi "&amp;RANK(W30,$AA$25:$AA$32),RANK(W30,$Z$25:$Z$32)+4))</f>
        <v>7</v>
      </c>
      <c r="Y30" s="321">
        <f>IF(COUNTA(C30:V30)=0,0,W30+IF(RANK(W30,$W$29:$W$30)=1,100,0))</f>
        <v>11.010199999999999</v>
      </c>
      <c r="Z30" s="314"/>
      <c r="AA30" s="314"/>
      <c r="AC30" s="215"/>
      <c r="AD30" s="215"/>
      <c r="AE30" s="215"/>
      <c r="AF30" s="215"/>
      <c r="AG30" s="215"/>
    </row>
    <row r="31" spans="1:33" ht="14.25" thickTop="1" thickBot="1" x14ac:dyDescent="0.25">
      <c r="A31" s="308">
        <v>8</v>
      </c>
      <c r="B31" s="557" t="s">
        <v>187</v>
      </c>
      <c r="C31" s="748">
        <v>5</v>
      </c>
      <c r="D31" s="310">
        <v>0</v>
      </c>
      <c r="E31" s="310">
        <v>0</v>
      </c>
      <c r="F31" s="311">
        <v>0</v>
      </c>
      <c r="G31" s="309">
        <v>3</v>
      </c>
      <c r="H31" s="310">
        <v>0</v>
      </c>
      <c r="I31" s="310">
        <v>0</v>
      </c>
      <c r="J31" s="311">
        <v>0</v>
      </c>
      <c r="K31" s="309">
        <v>0</v>
      </c>
      <c r="L31" s="310">
        <v>0</v>
      </c>
      <c r="M31" s="310">
        <v>0</v>
      </c>
      <c r="N31" s="311">
        <v>0</v>
      </c>
      <c r="O31" s="309">
        <v>0</v>
      </c>
      <c r="P31" s="310">
        <v>0</v>
      </c>
      <c r="Q31" s="310">
        <v>0</v>
      </c>
      <c r="R31" s="311">
        <v>0</v>
      </c>
      <c r="S31" s="309">
        <v>3</v>
      </c>
      <c r="T31" s="310">
        <v>0</v>
      </c>
      <c r="U31" s="748">
        <v>5</v>
      </c>
      <c r="V31" s="311">
        <v>0</v>
      </c>
      <c r="W31" s="305">
        <f t="shared" si="2"/>
        <v>16.020199999999999</v>
      </c>
      <c r="X31" s="312">
        <f>IF(ISBLANK(C31),"",IF(RANK(Y31,$Y$31:$Y$32)&lt;2,"edasi "&amp;RANK(W31,$AA$25:$AA$32),RANK(W31,$Z$25:$Z$32)+4))</f>
        <v>5</v>
      </c>
      <c r="Y31" s="320">
        <f>IF(COUNTA(C31:V31)=0,100,W31+IF(RANK(W31,$W$31:$W$32)=1,100,0))</f>
        <v>16.020199999999999</v>
      </c>
      <c r="Z31" s="314">
        <f>MIN(W31:W32)</f>
        <v>16.020199999999999</v>
      </c>
      <c r="AA31" s="314">
        <f>MAX(W31:W32)</f>
        <v>27.020499999999998</v>
      </c>
      <c r="AC31" s="215"/>
      <c r="AD31" s="215"/>
      <c r="AE31" s="215"/>
      <c r="AF31" s="215"/>
      <c r="AG31" s="215"/>
    </row>
    <row r="32" spans="1:33" ht="14.25" thickTop="1" thickBot="1" x14ac:dyDescent="0.25">
      <c r="A32" s="322">
        <v>1</v>
      </c>
      <c r="B32" s="576" t="s">
        <v>184</v>
      </c>
      <c r="C32" s="323">
        <v>3</v>
      </c>
      <c r="D32" s="324">
        <v>3</v>
      </c>
      <c r="E32" s="324">
        <v>0</v>
      </c>
      <c r="F32" s="325">
        <v>0</v>
      </c>
      <c r="G32" s="748">
        <v>5</v>
      </c>
      <c r="H32" s="324">
        <v>0</v>
      </c>
      <c r="I32" s="324">
        <v>3</v>
      </c>
      <c r="J32" s="325">
        <v>0</v>
      </c>
      <c r="K32" s="323">
        <v>3</v>
      </c>
      <c r="L32" s="324">
        <v>1</v>
      </c>
      <c r="M32" s="324">
        <v>0</v>
      </c>
      <c r="N32" s="325">
        <v>1</v>
      </c>
      <c r="O32" s="323">
        <v>3</v>
      </c>
      <c r="P32" s="324">
        <v>0</v>
      </c>
      <c r="Q32" s="324">
        <v>0</v>
      </c>
      <c r="R32" s="325">
        <v>0</v>
      </c>
      <c r="S32" s="323">
        <v>0</v>
      </c>
      <c r="T32" s="748">
        <v>5</v>
      </c>
      <c r="U32" s="324">
        <v>0</v>
      </c>
      <c r="V32" s="325">
        <v>0</v>
      </c>
      <c r="W32" s="326">
        <f t="shared" si="2"/>
        <v>27.020499999999998</v>
      </c>
      <c r="X32" s="327" t="str">
        <f>IF(ISBLANK(C32),"",IF(RANK(Y32,$Y$31:$Y$32)&lt;2,"edasi "&amp;RANK(W32,$AA$25:$AA$32),RANK(W32,$Z$25:$Z$32)+4))</f>
        <v>edasi 1</v>
      </c>
      <c r="Y32" s="321">
        <f>IF(COUNTA(C32:V32)=0,0,W32+IF(RANK(W32,$W$31:$W$32)=1,100,0))</f>
        <v>127.0205</v>
      </c>
      <c r="Z32" s="314"/>
      <c r="AA32" s="314"/>
      <c r="AC32" s="215"/>
      <c r="AD32" s="215"/>
      <c r="AE32" s="215"/>
      <c r="AF32" s="215"/>
      <c r="AG32" s="215"/>
    </row>
    <row r="33" spans="1:33" ht="13.5" hidden="1" thickBot="1" x14ac:dyDescent="0.25">
      <c r="A33" s="328"/>
      <c r="B33" s="329" t="s">
        <v>129</v>
      </c>
      <c r="C33" s="292"/>
      <c r="D33" s="293"/>
      <c r="E33" s="293"/>
      <c r="F33" s="294"/>
      <c r="G33" s="292"/>
      <c r="H33" s="293"/>
      <c r="I33" s="293"/>
      <c r="J33" s="294"/>
      <c r="K33" s="292"/>
      <c r="L33" s="293"/>
      <c r="M33" s="293"/>
      <c r="N33" s="294"/>
      <c r="O33" s="292"/>
      <c r="P33" s="293"/>
      <c r="Q33" s="293"/>
      <c r="R33" s="294"/>
      <c r="S33" s="292"/>
      <c r="T33" s="293"/>
      <c r="U33" s="293"/>
      <c r="V33" s="294"/>
      <c r="W33" s="575" t="str">
        <f t="shared" si="2"/>
        <v/>
      </c>
      <c r="X33" s="295"/>
      <c r="Y33" s="306"/>
      <c r="Z33" s="307"/>
      <c r="AA33" s="307"/>
      <c r="AC33" s="215"/>
      <c r="AD33" s="215"/>
      <c r="AE33" s="215"/>
      <c r="AF33" s="215"/>
      <c r="AG33" s="215"/>
    </row>
    <row r="34" spans="1:33" ht="13.5" hidden="1" thickBot="1" x14ac:dyDescent="0.25">
      <c r="A34" s="308"/>
      <c r="B34" s="344"/>
      <c r="C34" s="309"/>
      <c r="D34" s="310"/>
      <c r="E34" s="310"/>
      <c r="F34" s="311"/>
      <c r="G34" s="309"/>
      <c r="H34" s="310"/>
      <c r="I34" s="310"/>
      <c r="J34" s="311"/>
      <c r="K34" s="309"/>
      <c r="L34" s="310"/>
      <c r="M34" s="310"/>
      <c r="N34" s="311"/>
      <c r="O34" s="309"/>
      <c r="P34" s="310"/>
      <c r="Q34" s="310"/>
      <c r="R34" s="311"/>
      <c r="S34" s="309"/>
      <c r="T34" s="310"/>
      <c r="U34" s="310"/>
      <c r="V34" s="311"/>
      <c r="W34" s="575" t="str">
        <f t="shared" si="2"/>
        <v/>
      </c>
      <c r="X34" s="312"/>
      <c r="Y34" s="306"/>
      <c r="Z34" s="307"/>
      <c r="AA34" s="307"/>
      <c r="AC34" s="215"/>
      <c r="AD34" s="215"/>
      <c r="AE34" s="215"/>
      <c r="AF34" s="215"/>
      <c r="AG34" s="215"/>
    </row>
    <row r="35" spans="1:33" ht="13.5" hidden="1" thickBot="1" x14ac:dyDescent="0.25">
      <c r="A35" s="322"/>
      <c r="B35" s="331"/>
      <c r="C35" s="323"/>
      <c r="D35" s="324"/>
      <c r="E35" s="324"/>
      <c r="F35" s="325"/>
      <c r="G35" s="323"/>
      <c r="H35" s="324"/>
      <c r="I35" s="324"/>
      <c r="J35" s="325"/>
      <c r="K35" s="323"/>
      <c r="L35" s="324"/>
      <c r="M35" s="324"/>
      <c r="N35" s="325"/>
      <c r="O35" s="323"/>
      <c r="P35" s="324"/>
      <c r="Q35" s="324"/>
      <c r="R35" s="325"/>
      <c r="S35" s="323"/>
      <c r="T35" s="324"/>
      <c r="U35" s="324"/>
      <c r="V35" s="325"/>
      <c r="W35" s="575" t="str">
        <f t="shared" si="2"/>
        <v/>
      </c>
      <c r="X35" s="327"/>
      <c r="Y35" s="306"/>
      <c r="Z35" s="307"/>
      <c r="AA35" s="307"/>
      <c r="AC35" s="215"/>
      <c r="AD35" s="215"/>
      <c r="AE35" s="215"/>
      <c r="AF35" s="215"/>
      <c r="AG35" s="215"/>
    </row>
    <row r="36" spans="1:33" x14ac:dyDescent="0.2">
      <c r="A36" s="328"/>
      <c r="B36" s="291" t="s">
        <v>130</v>
      </c>
      <c r="C36" s="292"/>
      <c r="D36" s="293"/>
      <c r="E36" s="293"/>
      <c r="F36" s="294"/>
      <c r="G36" s="292"/>
      <c r="H36" s="293"/>
      <c r="I36" s="293"/>
      <c r="J36" s="294"/>
      <c r="K36" s="292"/>
      <c r="L36" s="293"/>
      <c r="M36" s="293"/>
      <c r="N36" s="294"/>
      <c r="O36" s="292"/>
      <c r="P36" s="293"/>
      <c r="Q36" s="293"/>
      <c r="R36" s="294"/>
      <c r="S36" s="292"/>
      <c r="T36" s="293"/>
      <c r="U36" s="293"/>
      <c r="V36" s="294"/>
      <c r="W36" s="330" t="str">
        <f t="shared" si="2"/>
        <v/>
      </c>
      <c r="X36" s="295"/>
    </row>
    <row r="37" spans="1:33" x14ac:dyDescent="0.2">
      <c r="A37" s="315">
        <v>2</v>
      </c>
      <c r="B37" s="580" t="s">
        <v>206</v>
      </c>
      <c r="C37" s="316">
        <v>3</v>
      </c>
      <c r="D37" s="317">
        <v>3</v>
      </c>
      <c r="E37" s="317">
        <v>0</v>
      </c>
      <c r="F37" s="318">
        <v>0</v>
      </c>
      <c r="G37" s="316">
        <v>0</v>
      </c>
      <c r="H37" s="317">
        <v>0</v>
      </c>
      <c r="I37" s="317">
        <v>3</v>
      </c>
      <c r="J37" s="318">
        <v>0</v>
      </c>
      <c r="K37" s="316">
        <v>0</v>
      </c>
      <c r="L37" s="317">
        <v>1</v>
      </c>
      <c r="M37" s="317">
        <v>1</v>
      </c>
      <c r="N37" s="318">
        <v>0</v>
      </c>
      <c r="O37" s="316">
        <v>0</v>
      </c>
      <c r="P37" s="317">
        <v>0</v>
      </c>
      <c r="Q37" s="317">
        <v>0</v>
      </c>
      <c r="R37" s="318">
        <v>3</v>
      </c>
      <c r="S37" s="316">
        <v>0</v>
      </c>
      <c r="T37" s="317">
        <v>0</v>
      </c>
      <c r="U37" s="317">
        <v>0</v>
      </c>
      <c r="V37" s="318">
        <v>0</v>
      </c>
      <c r="W37" s="300">
        <f t="shared" si="2"/>
        <v>14.000400000000001</v>
      </c>
      <c r="X37" s="319" t="str">
        <f>IF(COUNTA(C37:V37)=0,"",IF(W37=W38,"ümbervisk",IF(W37&gt;W38,"finaali "&amp;(IF(W37&lt;MAX(W39:W40),2,IF(W37=MAX(W39:W40),"",1))),"pronksi "&amp;(IF(W37&lt;MIN(W39:W40),2,IF(W37=MIN(W39:W40),"",1))))))</f>
        <v>finaali 2</v>
      </c>
    </row>
    <row r="38" spans="1:33" ht="13.5" thickBot="1" x14ac:dyDescent="0.25">
      <c r="A38" s="315">
        <v>3</v>
      </c>
      <c r="B38" s="556" t="s">
        <v>262</v>
      </c>
      <c r="C38" s="316">
        <v>1</v>
      </c>
      <c r="D38" s="317">
        <v>0</v>
      </c>
      <c r="E38" s="317">
        <v>3</v>
      </c>
      <c r="F38" s="318">
        <v>0</v>
      </c>
      <c r="G38" s="316">
        <v>3</v>
      </c>
      <c r="H38" s="317">
        <v>0</v>
      </c>
      <c r="I38" s="317">
        <v>3</v>
      </c>
      <c r="J38" s="318">
        <v>0</v>
      </c>
      <c r="K38" s="316">
        <v>0</v>
      </c>
      <c r="L38" s="317">
        <v>0</v>
      </c>
      <c r="M38" s="317">
        <v>0</v>
      </c>
      <c r="N38" s="318">
        <v>0</v>
      </c>
      <c r="O38" s="316">
        <v>0</v>
      </c>
      <c r="P38" s="317">
        <v>0</v>
      </c>
      <c r="Q38" s="317">
        <v>0</v>
      </c>
      <c r="R38" s="318">
        <v>0</v>
      </c>
      <c r="S38" s="316">
        <v>3</v>
      </c>
      <c r="T38" s="317">
        <v>0</v>
      </c>
      <c r="U38" s="317">
        <v>0</v>
      </c>
      <c r="V38" s="318">
        <v>0</v>
      </c>
      <c r="W38" s="300">
        <f t="shared" si="2"/>
        <v>13.000400000000001</v>
      </c>
      <c r="X38" s="319" t="str">
        <f>IF(COUNTA(C38:V38)=0,"",IF(W37=W38,"ümbervisk",IF(W38&gt;W37,"finaali "&amp;(IF(W38&lt;MAX(W39:W40),2,IF(W38=MAX(W39:W40),"",1))),"pronksi "&amp;(IF(W38&lt;MIN(W39:W40),2,IF(W38=MIN(W39:W40),"",1))))))</f>
        <v>pronksi 1</v>
      </c>
    </row>
    <row r="39" spans="1:33" ht="14.25" thickTop="1" thickBot="1" x14ac:dyDescent="0.25">
      <c r="A39" s="308">
        <v>1</v>
      </c>
      <c r="B39" s="559" t="s">
        <v>184</v>
      </c>
      <c r="C39" s="748">
        <v>5</v>
      </c>
      <c r="D39" s="310">
        <v>3</v>
      </c>
      <c r="E39" s="310">
        <v>3</v>
      </c>
      <c r="F39" s="311">
        <v>3</v>
      </c>
      <c r="G39" s="309">
        <v>0</v>
      </c>
      <c r="H39" s="310">
        <v>1</v>
      </c>
      <c r="I39" s="310">
        <v>3</v>
      </c>
      <c r="J39" s="311">
        <v>0</v>
      </c>
      <c r="K39" s="748">
        <v>5</v>
      </c>
      <c r="L39" s="310">
        <v>0</v>
      </c>
      <c r="M39" s="310">
        <v>3</v>
      </c>
      <c r="N39" s="311">
        <v>3</v>
      </c>
      <c r="O39" s="309">
        <v>3</v>
      </c>
      <c r="P39" s="310">
        <v>1</v>
      </c>
      <c r="Q39" s="310">
        <v>0</v>
      </c>
      <c r="R39" s="748">
        <v>5</v>
      </c>
      <c r="S39" s="309">
        <v>0</v>
      </c>
      <c r="T39" s="310">
        <v>0</v>
      </c>
      <c r="U39" s="310">
        <v>0</v>
      </c>
      <c r="V39" s="311">
        <v>0</v>
      </c>
      <c r="W39" s="305">
        <f t="shared" si="2"/>
        <v>38.030700000000003</v>
      </c>
      <c r="X39" s="312" t="str">
        <f>IF(COUNTA(C39:V39)=0,"",IF(W39=W40,"ümbervisk",IF(W39&gt;W40,"finaali "&amp;(IF(W39&lt;MAX(W37:W38),2,IF(W39=MAX(W37:W38),"",1))),"pronksi "&amp;(IF(W39&lt;MIN(W37:W38),2,IF(W39=MIN(W37:W38),"",1))))))</f>
        <v>finaali 1</v>
      </c>
    </row>
    <row r="40" spans="1:33" ht="14.25" thickTop="1" thickBot="1" x14ac:dyDescent="0.25">
      <c r="A40" s="322">
        <v>4</v>
      </c>
      <c r="B40" s="579" t="s">
        <v>183</v>
      </c>
      <c r="C40" s="323">
        <v>3</v>
      </c>
      <c r="D40" s="324">
        <v>0</v>
      </c>
      <c r="E40" s="748">
        <v>5</v>
      </c>
      <c r="F40" s="325">
        <v>0</v>
      </c>
      <c r="G40" s="323">
        <v>0</v>
      </c>
      <c r="H40" s="324">
        <v>3</v>
      </c>
      <c r="I40" s="324">
        <v>0</v>
      </c>
      <c r="J40" s="325">
        <v>0</v>
      </c>
      <c r="K40" s="323">
        <v>1</v>
      </c>
      <c r="L40" s="324">
        <v>0</v>
      </c>
      <c r="M40" s="324">
        <v>0</v>
      </c>
      <c r="N40" s="325">
        <v>0</v>
      </c>
      <c r="O40" s="323">
        <v>0</v>
      </c>
      <c r="P40" s="324">
        <v>0</v>
      </c>
      <c r="Q40" s="324">
        <v>0</v>
      </c>
      <c r="R40" s="325">
        <v>0</v>
      </c>
      <c r="S40" s="323">
        <v>0</v>
      </c>
      <c r="T40" s="324">
        <v>0</v>
      </c>
      <c r="U40" s="324">
        <v>0</v>
      </c>
      <c r="V40" s="325">
        <v>0</v>
      </c>
      <c r="W40" s="574">
        <f t="shared" si="2"/>
        <v>12.010199999999999</v>
      </c>
      <c r="X40" s="327" t="str">
        <f>IF(COUNTA(C40:V40)=0,"",IF(W39=W40,"ümbervisk",IF(W40&gt;W39,"finaali "&amp;(IF(W40&lt;MAX(W37:W38),2,IF(W40=MAX(W37:W38),"",1))),"pronksi "&amp;(IF(W40&lt;MIN(W37:W38),2,IF(W40=MIN(W37:W38),"",1))))))</f>
        <v>pronksi 2</v>
      </c>
    </row>
    <row r="41" spans="1:33" ht="13.5" thickBot="1" x14ac:dyDescent="0.25">
      <c r="A41" s="328"/>
      <c r="B41" s="332" t="s">
        <v>131</v>
      </c>
      <c r="C41" s="292"/>
      <c r="D41" s="293"/>
      <c r="E41" s="293"/>
      <c r="F41" s="294"/>
      <c r="G41" s="292"/>
      <c r="H41" s="293"/>
      <c r="I41" s="293"/>
      <c r="J41" s="294"/>
      <c r="K41" s="292"/>
      <c r="L41" s="293"/>
      <c r="M41" s="293"/>
      <c r="N41" s="294"/>
      <c r="O41" s="292"/>
      <c r="P41" s="293"/>
      <c r="Q41" s="293"/>
      <c r="R41" s="294"/>
      <c r="S41" s="292"/>
      <c r="T41" s="293"/>
      <c r="U41" s="293"/>
      <c r="V41" s="294"/>
      <c r="W41" s="330" t="str">
        <f t="shared" si="2"/>
        <v/>
      </c>
      <c r="X41" s="295"/>
    </row>
    <row r="42" spans="1:33" ht="14.25" thickTop="1" thickBot="1" x14ac:dyDescent="0.25">
      <c r="A42" s="308"/>
      <c r="B42" s="559" t="s">
        <v>183</v>
      </c>
      <c r="C42" s="309">
        <v>3</v>
      </c>
      <c r="D42" s="310">
        <v>0</v>
      </c>
      <c r="E42" s="310">
        <v>0</v>
      </c>
      <c r="F42" s="311">
        <v>0</v>
      </c>
      <c r="G42" s="309">
        <v>0</v>
      </c>
      <c r="H42" s="310">
        <v>1</v>
      </c>
      <c r="I42" s="310">
        <v>0</v>
      </c>
      <c r="J42" s="311">
        <v>3</v>
      </c>
      <c r="K42" s="309">
        <v>0</v>
      </c>
      <c r="L42" s="310">
        <v>1</v>
      </c>
      <c r="M42" s="310">
        <v>3</v>
      </c>
      <c r="N42" s="311">
        <v>3</v>
      </c>
      <c r="O42" s="309">
        <v>0</v>
      </c>
      <c r="P42" s="310">
        <v>1</v>
      </c>
      <c r="Q42" s="310">
        <v>0</v>
      </c>
      <c r="R42" s="311">
        <v>0</v>
      </c>
      <c r="S42" s="748">
        <v>5</v>
      </c>
      <c r="T42" s="310">
        <v>0</v>
      </c>
      <c r="U42" s="310">
        <v>0</v>
      </c>
      <c r="V42" s="748">
        <v>5</v>
      </c>
      <c r="W42" s="305">
        <f t="shared" si="2"/>
        <v>25.020399999999999</v>
      </c>
      <c r="X42" s="333">
        <f ca="1">IF( INDIRECT("RC[-1]",0)=MAX(( INDIRECT("R[-1]C[-1]",0)):( INDIRECT("R[1]C[-1]",0))),3,4)</f>
        <v>3</v>
      </c>
    </row>
    <row r="43" spans="1:33" ht="14.25" thickTop="1" thickBot="1" x14ac:dyDescent="0.25">
      <c r="A43" s="308"/>
      <c r="B43" s="560" t="s">
        <v>262</v>
      </c>
      <c r="C43" s="309">
        <v>3</v>
      </c>
      <c r="D43" s="310">
        <v>1</v>
      </c>
      <c r="E43" s="310">
        <v>3</v>
      </c>
      <c r="F43" s="311">
        <v>3</v>
      </c>
      <c r="G43" s="309">
        <v>0</v>
      </c>
      <c r="H43" s="748">
        <v>5</v>
      </c>
      <c r="I43" s="310">
        <v>0</v>
      </c>
      <c r="J43" s="334">
        <v>0</v>
      </c>
      <c r="K43" s="309">
        <v>1</v>
      </c>
      <c r="L43" s="310">
        <v>0</v>
      </c>
      <c r="M43" s="310">
        <v>0</v>
      </c>
      <c r="N43" s="311">
        <v>1</v>
      </c>
      <c r="O43" s="309">
        <v>0</v>
      </c>
      <c r="P43" s="310">
        <v>3</v>
      </c>
      <c r="Q43" s="310">
        <v>0</v>
      </c>
      <c r="R43" s="311">
        <v>0</v>
      </c>
      <c r="S43" s="309">
        <v>0</v>
      </c>
      <c r="T43" s="310">
        <v>0</v>
      </c>
      <c r="U43" s="310">
        <v>0</v>
      </c>
      <c r="V43" s="311">
        <v>0</v>
      </c>
      <c r="W43" s="305">
        <f t="shared" si="2"/>
        <v>20.010400000000001</v>
      </c>
      <c r="X43" s="333">
        <f ca="1">IF( INDIRECT("RC[-1]",0)=MAX(( INDIRECT("R[-1]C[-1]",0)):( INDIRECT("R[1]C[-1]",0))),3,4)</f>
        <v>4</v>
      </c>
    </row>
    <row r="44" spans="1:33" ht="14.25" thickTop="1" thickBot="1" x14ac:dyDescent="0.25">
      <c r="A44" s="308"/>
      <c r="B44" s="335" t="s">
        <v>132</v>
      </c>
      <c r="C44" s="309"/>
      <c r="D44" s="310"/>
      <c r="E44" s="310"/>
      <c r="F44" s="311"/>
      <c r="G44" s="309"/>
      <c r="H44" s="310"/>
      <c r="I44" s="310"/>
      <c r="J44" s="311"/>
      <c r="K44" s="309"/>
      <c r="L44" s="310"/>
      <c r="M44" s="310"/>
      <c r="N44" s="311"/>
      <c r="O44" s="309"/>
      <c r="P44" s="310"/>
      <c r="Q44" s="310"/>
      <c r="R44" s="311"/>
      <c r="S44" s="309"/>
      <c r="T44" s="310"/>
      <c r="U44" s="310"/>
      <c r="V44" s="311"/>
      <c r="W44" s="305" t="str">
        <f t="shared" si="2"/>
        <v/>
      </c>
      <c r="X44" s="312"/>
    </row>
    <row r="45" spans="1:33" ht="14.25" thickTop="1" thickBot="1" x14ac:dyDescent="0.25">
      <c r="A45" s="308"/>
      <c r="B45" s="566" t="s">
        <v>184</v>
      </c>
      <c r="C45" s="309">
        <v>3</v>
      </c>
      <c r="D45" s="748">
        <v>5</v>
      </c>
      <c r="E45" s="310">
        <v>0</v>
      </c>
      <c r="F45" s="311">
        <v>0</v>
      </c>
      <c r="G45" s="309">
        <v>0</v>
      </c>
      <c r="H45" s="748">
        <v>5</v>
      </c>
      <c r="I45" s="310">
        <v>0</v>
      </c>
      <c r="J45" s="311">
        <v>3</v>
      </c>
      <c r="K45" s="309">
        <v>3</v>
      </c>
      <c r="L45" s="310">
        <v>0</v>
      </c>
      <c r="M45" s="310">
        <v>1</v>
      </c>
      <c r="N45" s="311">
        <v>1</v>
      </c>
      <c r="O45" s="309">
        <v>0</v>
      </c>
      <c r="P45" s="310">
        <v>0</v>
      </c>
      <c r="Q45" s="310">
        <v>0</v>
      </c>
      <c r="R45" s="311">
        <v>0</v>
      </c>
      <c r="S45" s="309">
        <v>3</v>
      </c>
      <c r="T45" s="310">
        <v>3</v>
      </c>
      <c r="U45" s="310">
        <v>0</v>
      </c>
      <c r="V45" s="311">
        <v>0</v>
      </c>
      <c r="W45" s="581">
        <f t="shared" si="2"/>
        <v>27.020499999999998</v>
      </c>
      <c r="X45" s="333">
        <f ca="1">IF( INDIRECT("RC[-1]",0)=MAX(( INDIRECT("R[-1]C[-1]",0)):( INDIRECT("R[1]C[-1]",0))),1,2)</f>
        <v>1</v>
      </c>
    </row>
    <row r="46" spans="1:33" ht="14.25" thickTop="1" thickBot="1" x14ac:dyDescent="0.25">
      <c r="A46" s="322"/>
      <c r="B46" s="579" t="s">
        <v>206</v>
      </c>
      <c r="C46" s="323">
        <v>0</v>
      </c>
      <c r="D46" s="324">
        <v>3</v>
      </c>
      <c r="E46" s="324">
        <v>3</v>
      </c>
      <c r="F46" s="325">
        <v>0</v>
      </c>
      <c r="G46" s="323">
        <v>0</v>
      </c>
      <c r="H46" s="324">
        <v>3</v>
      </c>
      <c r="I46" s="324">
        <v>0</v>
      </c>
      <c r="J46" s="325">
        <v>0</v>
      </c>
      <c r="K46" s="323">
        <v>1</v>
      </c>
      <c r="L46" s="324">
        <v>1</v>
      </c>
      <c r="M46" s="324">
        <v>0</v>
      </c>
      <c r="N46" s="325">
        <v>0</v>
      </c>
      <c r="O46" s="323">
        <v>0</v>
      </c>
      <c r="P46" s="324">
        <v>0</v>
      </c>
      <c r="Q46" s="324">
        <v>0</v>
      </c>
      <c r="R46" s="325">
        <v>0</v>
      </c>
      <c r="S46" s="323">
        <v>0</v>
      </c>
      <c r="T46" s="324">
        <v>0</v>
      </c>
      <c r="U46" s="324">
        <v>0</v>
      </c>
      <c r="V46" s="325">
        <v>3</v>
      </c>
      <c r="W46" s="326">
        <f t="shared" si="2"/>
        <v>14.000400000000001</v>
      </c>
      <c r="X46" s="336">
        <f ca="1">IF( INDIRECT("RC[-1]",0)=MAX(( INDIRECT("R[-1]C[-1]",0)):( INDIRECT("R[1]C[-1]",0))),1,2)</f>
        <v>2</v>
      </c>
    </row>
    <row r="47" spans="1:33" x14ac:dyDescent="0.2">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row>
    <row r="48" spans="1:33" x14ac:dyDescent="0.2">
      <c r="A48" s="338">
        <v>1</v>
      </c>
      <c r="B48" s="578" t="s">
        <v>184</v>
      </c>
      <c r="C48" s="337"/>
      <c r="D48" s="337"/>
      <c r="E48" s="337"/>
      <c r="F48" s="337"/>
      <c r="G48" s="337"/>
      <c r="H48" s="337"/>
      <c r="I48" s="337"/>
      <c r="J48" s="337"/>
      <c r="K48" s="337"/>
      <c r="L48" s="337"/>
      <c r="M48" s="337"/>
      <c r="N48" s="337"/>
      <c r="O48" s="337"/>
      <c r="P48" s="337"/>
      <c r="Q48" s="337"/>
      <c r="R48" s="337"/>
      <c r="S48" s="337"/>
      <c r="T48" s="337"/>
      <c r="U48" s="337"/>
      <c r="V48" s="337"/>
      <c r="W48" s="337"/>
      <c r="X48" s="337"/>
    </row>
    <row r="49" spans="1:24" x14ac:dyDescent="0.2">
      <c r="A49" s="338">
        <v>2</v>
      </c>
      <c r="B49" s="342" t="s">
        <v>206</v>
      </c>
      <c r="C49" s="337"/>
      <c r="D49" s="337"/>
      <c r="E49" s="337"/>
      <c r="F49" s="337"/>
      <c r="G49" s="337"/>
      <c r="H49" s="337"/>
      <c r="I49" s="337"/>
      <c r="J49" s="337"/>
      <c r="K49" s="337"/>
      <c r="L49" s="337"/>
      <c r="M49" s="337"/>
      <c r="N49" s="337"/>
      <c r="O49" s="337"/>
      <c r="P49" s="337"/>
      <c r="Q49" s="337"/>
      <c r="R49" s="337"/>
      <c r="S49" s="337"/>
      <c r="T49" s="337"/>
      <c r="U49" s="337"/>
      <c r="V49" s="337"/>
      <c r="W49" s="337"/>
      <c r="X49" s="337"/>
    </row>
    <row r="50" spans="1:24" x14ac:dyDescent="0.2">
      <c r="A50" s="338">
        <v>3</v>
      </c>
      <c r="B50" s="342" t="s">
        <v>183</v>
      </c>
      <c r="C50" s="337"/>
      <c r="D50" s="337"/>
      <c r="E50" s="337"/>
      <c r="F50" s="337"/>
      <c r="G50" s="337"/>
      <c r="H50" s="337"/>
      <c r="I50" s="337"/>
      <c r="J50" s="337"/>
      <c r="K50" s="337"/>
      <c r="L50" s="337"/>
      <c r="M50" s="337"/>
      <c r="N50" s="337"/>
      <c r="O50" s="337"/>
      <c r="P50" s="337"/>
      <c r="Q50" s="337"/>
      <c r="R50" s="337"/>
      <c r="S50" s="337"/>
      <c r="T50" s="337"/>
      <c r="U50" s="337"/>
      <c r="V50" s="337"/>
      <c r="W50" s="337"/>
      <c r="X50" s="337"/>
    </row>
    <row r="51" spans="1:24" x14ac:dyDescent="0.2">
      <c r="A51" s="338">
        <v>4</v>
      </c>
      <c r="B51" s="340" t="s">
        <v>262</v>
      </c>
      <c r="C51" s="337"/>
      <c r="D51" s="337"/>
      <c r="E51" s="337"/>
      <c r="F51" s="337"/>
      <c r="G51" s="337"/>
      <c r="H51" s="337"/>
      <c r="I51" s="337"/>
      <c r="J51" s="337"/>
      <c r="K51" s="337"/>
      <c r="L51" s="337"/>
      <c r="M51" s="337"/>
      <c r="N51" s="337"/>
      <c r="O51" s="337"/>
      <c r="P51" s="337"/>
      <c r="Q51" s="337"/>
      <c r="R51" s="337"/>
      <c r="S51" s="337"/>
      <c r="T51" s="337"/>
      <c r="U51" s="337"/>
      <c r="V51" s="337"/>
      <c r="W51" s="337"/>
      <c r="X51" s="337"/>
    </row>
    <row r="52" spans="1:24" x14ac:dyDescent="0.2">
      <c r="A52" s="338">
        <v>5</v>
      </c>
      <c r="B52" s="557" t="s">
        <v>187</v>
      </c>
      <c r="C52" s="337"/>
      <c r="D52" s="337"/>
      <c r="E52" s="337"/>
      <c r="F52" s="337"/>
      <c r="G52" s="337"/>
      <c r="H52" s="337"/>
      <c r="I52" s="337"/>
      <c r="J52" s="337"/>
      <c r="K52" s="337"/>
      <c r="L52" s="337"/>
      <c r="M52" s="337"/>
      <c r="N52" s="337"/>
      <c r="O52" s="337"/>
      <c r="P52" s="337"/>
      <c r="Q52" s="337"/>
      <c r="R52" s="337"/>
      <c r="S52" s="337"/>
      <c r="T52" s="337"/>
      <c r="U52" s="337"/>
      <c r="V52" s="337"/>
      <c r="W52" s="337"/>
      <c r="X52" s="337"/>
    </row>
    <row r="53" spans="1:24" x14ac:dyDescent="0.2">
      <c r="A53" s="338">
        <v>6</v>
      </c>
      <c r="B53" s="341" t="s">
        <v>192</v>
      </c>
      <c r="C53" s="337"/>
      <c r="D53" s="337"/>
      <c r="E53" s="337"/>
      <c r="F53" s="337"/>
      <c r="G53" s="337"/>
      <c r="H53" s="337"/>
      <c r="I53" s="337"/>
      <c r="J53" s="337"/>
      <c r="K53" s="337"/>
      <c r="L53" s="337"/>
      <c r="M53" s="337"/>
      <c r="N53" s="337"/>
      <c r="O53" s="337"/>
      <c r="P53" s="337"/>
      <c r="Q53" s="337"/>
      <c r="R53" s="337"/>
      <c r="S53" s="337"/>
      <c r="T53" s="337"/>
      <c r="U53" s="337"/>
      <c r="V53" s="337"/>
      <c r="W53" s="337"/>
      <c r="X53" s="337"/>
    </row>
    <row r="54" spans="1:24" x14ac:dyDescent="0.2">
      <c r="A54" s="338">
        <v>7</v>
      </c>
      <c r="B54" s="342" t="s">
        <v>201</v>
      </c>
      <c r="C54" s="337"/>
      <c r="D54" s="337"/>
      <c r="E54" s="337"/>
      <c r="F54" s="337"/>
      <c r="G54" s="337"/>
      <c r="H54" s="337"/>
      <c r="I54" s="337"/>
      <c r="J54" s="337"/>
      <c r="K54" s="337"/>
      <c r="L54" s="337"/>
      <c r="M54" s="337"/>
      <c r="N54" s="337"/>
      <c r="O54" s="337"/>
      <c r="P54" s="337"/>
      <c r="Q54" s="337"/>
      <c r="R54" s="337"/>
      <c r="S54" s="337"/>
      <c r="T54" s="337"/>
      <c r="U54" s="337"/>
      <c r="V54" s="337"/>
      <c r="W54" s="337"/>
      <c r="X54" s="337"/>
    </row>
    <row r="55" spans="1:24" x14ac:dyDescent="0.2">
      <c r="A55" s="338">
        <v>8</v>
      </c>
      <c r="B55" s="560" t="s">
        <v>171</v>
      </c>
      <c r="C55" s="337"/>
      <c r="D55" s="337"/>
      <c r="E55" s="337"/>
      <c r="F55" s="337"/>
      <c r="G55" s="337"/>
      <c r="H55" s="337"/>
      <c r="I55" s="337"/>
      <c r="J55" s="337"/>
      <c r="K55" s="337"/>
      <c r="L55" s="337"/>
      <c r="M55" s="337"/>
      <c r="N55" s="337"/>
      <c r="O55" s="337"/>
      <c r="P55" s="337"/>
      <c r="Q55" s="337"/>
      <c r="R55" s="337"/>
      <c r="S55" s="337"/>
      <c r="T55" s="337"/>
      <c r="U55" s="337"/>
      <c r="V55" s="337"/>
      <c r="W55" s="337"/>
      <c r="X55" s="337"/>
    </row>
    <row r="56" spans="1:24" x14ac:dyDescent="0.2">
      <c r="A56" s="338">
        <v>9</v>
      </c>
      <c r="B56" s="564" t="s">
        <v>185</v>
      </c>
      <c r="C56" s="337"/>
      <c r="D56" s="337"/>
      <c r="E56" s="337"/>
      <c r="F56" s="337"/>
      <c r="G56" s="337"/>
      <c r="H56" s="337"/>
      <c r="I56" s="337"/>
      <c r="J56" s="337"/>
      <c r="K56" s="337"/>
      <c r="L56" s="337"/>
      <c r="M56" s="337"/>
      <c r="N56" s="337"/>
      <c r="O56" s="337"/>
      <c r="P56" s="337"/>
      <c r="Q56" s="337"/>
      <c r="R56" s="337"/>
      <c r="S56" s="337"/>
      <c r="T56" s="337"/>
      <c r="U56" s="337"/>
      <c r="V56" s="337"/>
      <c r="W56" s="337"/>
      <c r="X56" s="337"/>
    </row>
    <row r="57" spans="1:24" x14ac:dyDescent="0.2">
      <c r="A57" s="338">
        <v>10</v>
      </c>
      <c r="B57" s="565" t="s">
        <v>199</v>
      </c>
      <c r="C57" s="337"/>
      <c r="D57" s="337"/>
      <c r="E57" s="337"/>
      <c r="F57" s="337"/>
      <c r="G57" s="337"/>
      <c r="H57" s="337"/>
      <c r="I57" s="337"/>
      <c r="J57" s="337"/>
      <c r="K57" s="337"/>
      <c r="L57" s="337"/>
      <c r="M57" s="337"/>
      <c r="N57" s="337"/>
      <c r="O57" s="337"/>
      <c r="P57" s="337"/>
      <c r="Q57" s="337"/>
      <c r="R57" s="337"/>
      <c r="S57" s="337"/>
      <c r="T57" s="337"/>
      <c r="U57" s="337"/>
      <c r="V57" s="337"/>
      <c r="W57" s="337"/>
      <c r="X57" s="337"/>
    </row>
    <row r="58" spans="1:24" x14ac:dyDescent="0.2">
      <c r="C58" s="337"/>
      <c r="D58" s="337"/>
      <c r="E58" s="337"/>
      <c r="F58" s="337"/>
      <c r="G58" s="337"/>
      <c r="H58" s="337"/>
      <c r="I58" s="337"/>
      <c r="J58" s="337"/>
      <c r="K58" s="337"/>
      <c r="L58" s="337"/>
      <c r="M58" s="337"/>
      <c r="N58" s="337"/>
      <c r="O58" s="337"/>
      <c r="P58" s="337"/>
      <c r="Q58" s="337"/>
      <c r="R58" s="337"/>
      <c r="S58" s="337"/>
      <c r="T58" s="337"/>
      <c r="U58" s="337"/>
      <c r="V58" s="337"/>
      <c r="W58" s="337"/>
      <c r="X58" s="337"/>
    </row>
    <row r="59" spans="1:24" x14ac:dyDescent="0.2">
      <c r="C59" s="337"/>
      <c r="D59" s="337"/>
      <c r="E59" s="337"/>
      <c r="F59" s="337"/>
      <c r="G59" s="337"/>
      <c r="H59" s="337"/>
      <c r="I59" s="337"/>
      <c r="J59" s="337"/>
      <c r="K59" s="337"/>
      <c r="L59" s="337"/>
      <c r="M59" s="337"/>
      <c r="N59" s="337"/>
      <c r="O59" s="337"/>
      <c r="P59" s="337"/>
      <c r="Q59" s="337"/>
      <c r="R59" s="337"/>
      <c r="S59" s="337"/>
      <c r="T59" s="337"/>
      <c r="U59" s="337"/>
      <c r="V59" s="337"/>
      <c r="W59" s="337"/>
      <c r="X59" s="337"/>
    </row>
    <row r="60" spans="1:24" x14ac:dyDescent="0.2">
      <c r="C60" s="337"/>
      <c r="D60" s="337"/>
      <c r="E60" s="337"/>
      <c r="F60" s="337"/>
      <c r="G60" s="337"/>
      <c r="H60" s="337"/>
      <c r="I60" s="337"/>
      <c r="J60" s="337"/>
      <c r="K60" s="337"/>
      <c r="L60" s="337"/>
      <c r="M60" s="337"/>
      <c r="N60" s="337"/>
      <c r="O60" s="337"/>
      <c r="P60" s="337"/>
      <c r="Q60" s="337"/>
      <c r="R60" s="337"/>
      <c r="S60" s="337"/>
      <c r="T60" s="337"/>
      <c r="U60" s="337"/>
      <c r="V60" s="337"/>
      <c r="W60" s="337"/>
      <c r="X60" s="337"/>
    </row>
    <row r="61" spans="1:24" x14ac:dyDescent="0.2">
      <c r="C61" s="337"/>
      <c r="D61" s="337"/>
      <c r="E61" s="337"/>
      <c r="F61" s="337"/>
      <c r="G61" s="337"/>
      <c r="H61" s="337"/>
      <c r="I61" s="337"/>
      <c r="J61" s="337"/>
      <c r="K61" s="337"/>
      <c r="L61" s="337"/>
      <c r="M61" s="337"/>
      <c r="N61" s="337"/>
      <c r="O61" s="337"/>
      <c r="P61" s="337"/>
      <c r="Q61" s="337"/>
      <c r="R61" s="337"/>
      <c r="S61" s="337"/>
      <c r="T61" s="337"/>
      <c r="U61" s="337"/>
      <c r="V61" s="337"/>
      <c r="W61" s="337"/>
      <c r="X61" s="337"/>
    </row>
  </sheetData>
  <conditionalFormatting sqref="W45:W46">
    <cfRule type="top10" dxfId="99" priority="39" rank="1"/>
  </conditionalFormatting>
  <conditionalFormatting sqref="W37:W38">
    <cfRule type="top10" dxfId="98" priority="42" rank="1"/>
  </conditionalFormatting>
  <conditionalFormatting sqref="W39:W40">
    <cfRule type="top10" dxfId="97" priority="41" rank="1"/>
  </conditionalFormatting>
  <conditionalFormatting sqref="W42:W43">
    <cfRule type="top10" dxfId="96" priority="40" rank="1"/>
  </conditionalFormatting>
  <conditionalFormatting sqref="W27:W28">
    <cfRule type="top10" dxfId="95" priority="37" rank="1"/>
  </conditionalFormatting>
  <conditionalFormatting sqref="W29:W30">
    <cfRule type="top10" dxfId="94" priority="36" rank="1"/>
  </conditionalFormatting>
  <conditionalFormatting sqref="B29">
    <cfRule type="duplicateValues" dxfId="93" priority="35" stopIfTrue="1"/>
  </conditionalFormatting>
  <conditionalFormatting sqref="B31">
    <cfRule type="duplicateValues" dxfId="92" priority="34" stopIfTrue="1"/>
  </conditionalFormatting>
  <conditionalFormatting sqref="B54">
    <cfRule type="duplicateValues" dxfId="91" priority="33" stopIfTrue="1"/>
  </conditionalFormatting>
  <conditionalFormatting sqref="B48:B51 B56:B57">
    <cfRule type="duplicateValues" dxfId="90" priority="46" stopIfTrue="1"/>
  </conditionalFormatting>
  <conditionalFormatting sqref="X37:X40">
    <cfRule type="duplicateValues" dxfId="89" priority="47"/>
  </conditionalFormatting>
  <conditionalFormatting sqref="X25:X35">
    <cfRule type="duplicateValues" dxfId="88" priority="48"/>
    <cfRule type="top10" dxfId="87" priority="49" stopIfTrue="1" rank="4"/>
  </conditionalFormatting>
  <conditionalFormatting sqref="B52">
    <cfRule type="duplicateValues" dxfId="86" priority="18" stopIfTrue="1"/>
  </conditionalFormatting>
  <conditionalFormatting sqref="W25:W26">
    <cfRule type="top10" dxfId="85" priority="17" rank="1"/>
  </conditionalFormatting>
  <conditionalFormatting sqref="W31:W32">
    <cfRule type="top10" dxfId="84" priority="16" rank="1"/>
  </conditionalFormatting>
  <conditionalFormatting sqref="X9:X18">
    <cfRule type="duplicateValues" dxfId="83" priority="13"/>
  </conditionalFormatting>
  <conditionalFormatting sqref="B9:B18">
    <cfRule type="duplicateValues" dxfId="82" priority="14" stopIfTrue="1"/>
  </conditionalFormatting>
  <conditionalFormatting sqref="W9:W46">
    <cfRule type="top10" dxfId="81" priority="52" stopIfTrue="1" rank="1"/>
  </conditionalFormatting>
  <conditionalFormatting sqref="X20:X21">
    <cfRule type="duplicateValues" dxfId="80" priority="8"/>
    <cfRule type="top10" dxfId="79" priority="9" stopIfTrue="1" rank="4"/>
  </conditionalFormatting>
  <conditionalFormatting sqref="X22:X23">
    <cfRule type="duplicateValues" dxfId="78" priority="10"/>
    <cfRule type="top10" dxfId="77" priority="11" stopIfTrue="1" rank="4"/>
  </conditionalFormatting>
  <conditionalFormatting sqref="W9:W10">
    <cfRule type="top10" dxfId="76" priority="7" rank="1"/>
  </conditionalFormatting>
  <conditionalFormatting sqref="W11:W12">
    <cfRule type="top10" dxfId="75" priority="6" rank="1"/>
  </conditionalFormatting>
  <conditionalFormatting sqref="W13:W14">
    <cfRule type="top10" dxfId="74" priority="5" rank="1"/>
  </conditionalFormatting>
  <conditionalFormatting sqref="W15:W16">
    <cfRule type="top10" dxfId="73" priority="4" rank="1"/>
  </conditionalFormatting>
  <conditionalFormatting sqref="W17:W18">
    <cfRule type="top10" dxfId="72" priority="3" rank="1"/>
  </conditionalFormatting>
  <conditionalFormatting sqref="W20:W21">
    <cfRule type="top10" dxfId="71" priority="2" rank="1"/>
  </conditionalFormatting>
  <conditionalFormatting sqref="W22:W23">
    <cfRule type="top10" dxfId="70" priority="1" rank="1"/>
  </conditionalFormatting>
  <pageMargins left="0.78740157480314965" right="0.31496062992125984" top="0.78740157480314965" bottom="0.39370078740157483" header="0.59055118110236227" footer="0"/>
  <pageSetup paperSize="9" fitToHeight="0" orientation="portrait" r:id="rId1"/>
  <headerFooter alignWithMargins="0">
    <oddHeader>&amp;R&amp;"Arial,Regular"&amp;9Page &amp;P of &amp;N</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79"/>
  <sheetViews>
    <sheetView showGridLines="0" showRowColHeaders="0" zoomScaleNormal="100" workbookViewId="0">
      <pane ySplit="2" topLeftCell="A3" activePane="bottomLeft" state="frozen"/>
      <selection activeCell="M1" sqref="M1"/>
      <selection pane="bottomLeft" activeCell="J1" sqref="J1"/>
    </sheetView>
  </sheetViews>
  <sheetFormatPr defaultRowHeight="12.75" x14ac:dyDescent="0.2"/>
  <cols>
    <col min="1" max="1" width="3.28515625" style="215" customWidth="1"/>
    <col min="2" max="2" width="31.140625" style="214" customWidth="1"/>
    <col min="3" max="3" width="7.28515625" style="215" bestFit="1" customWidth="1"/>
    <col min="4" max="4" width="7.42578125" style="215" bestFit="1" customWidth="1"/>
    <col min="5" max="5" width="9.140625" style="215" bestFit="1" customWidth="1"/>
    <col min="6" max="6" width="6.7109375" style="215" bestFit="1" customWidth="1"/>
    <col min="7" max="7" width="5.140625" style="215" bestFit="1" customWidth="1"/>
    <col min="8" max="9" width="5.85546875" style="215" customWidth="1"/>
    <col min="10" max="16384" width="9.140625" style="215"/>
  </cols>
  <sheetData>
    <row r="1" spans="1:13" x14ac:dyDescent="0.2">
      <c r="A1" s="213" t="str">
        <f>UPPER((Kalend!D15)&amp;" - "&amp;(Kalend!C15)&amp;" - "&amp;(Kalend!E15))</f>
        <v>3 - SHK KV 3. ETAPP - DUO</v>
      </c>
      <c r="F1" s="133" t="str">
        <f>HYPERLINK("#'Kalend'!I1","Kalender")</f>
        <v>Kalender</v>
      </c>
      <c r="G1" s="216"/>
      <c r="H1" s="133" t="str">
        <f>HYPERLINK("#'Reit'!J1","Reiting")</f>
        <v>Reiting</v>
      </c>
      <c r="I1" s="216"/>
    </row>
    <row r="2" spans="1:13" s="216" customFormat="1" x14ac:dyDescent="0.2">
      <c r="A2" s="216" t="str">
        <f>"Toimumisaeg: "&amp;(Kalend!A15)&amp;" kell "&amp;(Kalend!B15)</f>
        <v>Toimumisaeg: P, 15.01.2017 kell 11:00</v>
      </c>
    </row>
    <row r="3" spans="1:13" s="216" customFormat="1" x14ac:dyDescent="0.2">
      <c r="A3" s="216" t="str">
        <f>"Toimumiskoht: "&amp;(Kalend!F15)</f>
        <v>Toimumiskoht: K-Järve petangihall</v>
      </c>
    </row>
    <row r="4" spans="1:13" s="216" customFormat="1" x14ac:dyDescent="0.2">
      <c r="A4" s="216" t="str">
        <f>"Korraldaja: "&amp;(Kalend!G15)</f>
        <v>Korraldaja: K-Järve SHK, Ivar Viljaste</v>
      </c>
    </row>
    <row r="6" spans="1:13" s="219" customFormat="1" x14ac:dyDescent="0.2">
      <c r="A6" s="521" t="s">
        <v>96</v>
      </c>
      <c r="B6" s="522"/>
      <c r="C6" s="218" t="s">
        <v>97</v>
      </c>
      <c r="D6" s="218" t="s">
        <v>98</v>
      </c>
      <c r="E6" s="218" t="s">
        <v>99</v>
      </c>
      <c r="F6" s="218" t="s">
        <v>100</v>
      </c>
      <c r="G6" s="218" t="s">
        <v>101</v>
      </c>
    </row>
    <row r="7" spans="1:13" s="219" customFormat="1" x14ac:dyDescent="0.2">
      <c r="A7" s="217">
        <v>1</v>
      </c>
      <c r="B7" s="411" t="s">
        <v>256</v>
      </c>
      <c r="C7" s="220">
        <v>11</v>
      </c>
      <c r="D7" s="220"/>
      <c r="E7" s="220">
        <v>12</v>
      </c>
      <c r="F7" s="220"/>
      <c r="G7" s="419" t="s">
        <v>245</v>
      </c>
      <c r="H7" s="614" t="s">
        <v>291</v>
      </c>
      <c r="M7" s="222"/>
    </row>
    <row r="8" spans="1:13" s="219" customFormat="1" x14ac:dyDescent="0.2">
      <c r="A8" s="217">
        <v>2</v>
      </c>
      <c r="B8" s="411" t="s">
        <v>289</v>
      </c>
      <c r="C8" s="220">
        <v>13</v>
      </c>
      <c r="D8" s="220">
        <v>13</v>
      </c>
      <c r="E8" s="220"/>
      <c r="F8" s="220"/>
      <c r="G8" s="419" t="s">
        <v>180</v>
      </c>
      <c r="M8" s="222"/>
    </row>
    <row r="9" spans="1:13" s="219" customFormat="1" x14ac:dyDescent="0.2">
      <c r="A9" s="217">
        <v>3</v>
      </c>
      <c r="B9" s="411" t="s">
        <v>260</v>
      </c>
      <c r="C9" s="220">
        <v>6</v>
      </c>
      <c r="D9" s="220"/>
      <c r="E9" s="220">
        <v>13</v>
      </c>
      <c r="F9" s="220">
        <v>6</v>
      </c>
      <c r="G9" s="419" t="s">
        <v>182</v>
      </c>
      <c r="M9" s="222"/>
    </row>
    <row r="10" spans="1:13" s="219" customFormat="1" x14ac:dyDescent="0.2">
      <c r="A10" s="217">
        <v>4</v>
      </c>
      <c r="B10" s="613" t="s">
        <v>292</v>
      </c>
      <c r="C10" s="220">
        <v>13</v>
      </c>
      <c r="D10" s="220">
        <v>12</v>
      </c>
      <c r="E10" s="220"/>
      <c r="F10" s="220">
        <v>13</v>
      </c>
      <c r="G10" s="419" t="s">
        <v>181</v>
      </c>
      <c r="M10" s="222"/>
    </row>
    <row r="11" spans="1:13" s="219" customFormat="1" x14ac:dyDescent="0.2">
      <c r="A11" s="223"/>
      <c r="B11" s="222"/>
      <c r="C11" s="224"/>
      <c r="D11" s="224"/>
      <c r="E11" s="224"/>
      <c r="F11" s="225"/>
      <c r="G11" s="226"/>
      <c r="M11" s="222"/>
    </row>
    <row r="12" spans="1:13" s="219" customFormat="1" x14ac:dyDescent="0.2">
      <c r="A12" s="521" t="s">
        <v>102</v>
      </c>
      <c r="B12" s="522"/>
      <c r="C12" s="218" t="s">
        <v>97</v>
      </c>
      <c r="D12" s="218" t="s">
        <v>98</v>
      </c>
      <c r="E12" s="218" t="s">
        <v>99</v>
      </c>
      <c r="F12" s="218" t="s">
        <v>100</v>
      </c>
      <c r="G12" s="218" t="s">
        <v>101</v>
      </c>
      <c r="M12" s="222"/>
    </row>
    <row r="13" spans="1:13" s="219" customFormat="1" x14ac:dyDescent="0.2">
      <c r="A13" s="217">
        <v>1</v>
      </c>
      <c r="B13" s="411" t="s">
        <v>253</v>
      </c>
      <c r="C13" s="220">
        <v>13</v>
      </c>
      <c r="D13" s="220">
        <v>13</v>
      </c>
      <c r="E13" s="220"/>
      <c r="F13" s="220"/>
      <c r="G13" s="419" t="s">
        <v>180</v>
      </c>
      <c r="M13" s="222"/>
    </row>
    <row r="14" spans="1:13" s="219" customFormat="1" x14ac:dyDescent="0.2">
      <c r="A14" s="217">
        <v>2</v>
      </c>
      <c r="B14" s="411" t="s">
        <v>252</v>
      </c>
      <c r="C14" s="220">
        <v>2</v>
      </c>
      <c r="D14" s="220"/>
      <c r="E14" s="220">
        <v>13</v>
      </c>
      <c r="F14" s="220">
        <v>10</v>
      </c>
      <c r="G14" s="419" t="s">
        <v>182</v>
      </c>
      <c r="M14" s="222"/>
    </row>
    <row r="15" spans="1:13" s="219" customFormat="1" x14ac:dyDescent="0.2">
      <c r="A15" s="217">
        <v>3</v>
      </c>
      <c r="B15" s="411" t="s">
        <v>290</v>
      </c>
      <c r="C15" s="220">
        <v>13</v>
      </c>
      <c r="D15" s="220">
        <v>1</v>
      </c>
      <c r="E15" s="220"/>
      <c r="F15" s="220">
        <v>13</v>
      </c>
      <c r="G15" s="419" t="s">
        <v>181</v>
      </c>
      <c r="M15" s="222"/>
    </row>
    <row r="16" spans="1:13" s="219" customFormat="1" x14ac:dyDescent="0.2">
      <c r="A16" s="217">
        <v>4</v>
      </c>
      <c r="B16" s="148"/>
      <c r="C16" s="220">
        <v>0</v>
      </c>
      <c r="D16" s="220"/>
      <c r="E16" s="220">
        <v>0</v>
      </c>
      <c r="F16" s="220"/>
      <c r="G16" s="221"/>
      <c r="M16" s="222"/>
    </row>
    <row r="17" spans="1:13" s="219" customFormat="1" x14ac:dyDescent="0.2">
      <c r="A17" s="223"/>
      <c r="B17" s="222"/>
      <c r="C17" s="224"/>
      <c r="D17" s="224"/>
      <c r="E17" s="224"/>
      <c r="F17" s="225"/>
      <c r="G17" s="226"/>
      <c r="M17" s="222"/>
    </row>
    <row r="18" spans="1:13" s="219" customFormat="1" x14ac:dyDescent="0.2">
      <c r="A18" s="521" t="s">
        <v>103</v>
      </c>
      <c r="B18" s="522"/>
      <c r="C18" s="218" t="s">
        <v>97</v>
      </c>
      <c r="D18" s="218" t="s">
        <v>98</v>
      </c>
      <c r="E18" s="218" t="s">
        <v>99</v>
      </c>
      <c r="F18" s="218" t="s">
        <v>100</v>
      </c>
      <c r="G18" s="218" t="s">
        <v>101</v>
      </c>
      <c r="M18" s="227"/>
    </row>
    <row r="19" spans="1:13" s="219" customFormat="1" x14ac:dyDescent="0.2">
      <c r="A19" s="217">
        <v>1</v>
      </c>
      <c r="B19" s="411" t="s">
        <v>248</v>
      </c>
      <c r="C19" s="220">
        <v>13</v>
      </c>
      <c r="D19" s="220">
        <v>13</v>
      </c>
      <c r="E19" s="220"/>
      <c r="F19" s="220"/>
      <c r="G19" s="419" t="s">
        <v>180</v>
      </c>
      <c r="M19" s="227"/>
    </row>
    <row r="20" spans="1:13" s="219" customFormat="1" x14ac:dyDescent="0.2">
      <c r="A20" s="217">
        <v>2</v>
      </c>
      <c r="B20" s="411" t="s">
        <v>370</v>
      </c>
      <c r="C20" s="220">
        <v>7</v>
      </c>
      <c r="D20" s="220"/>
      <c r="E20" s="220">
        <v>13</v>
      </c>
      <c r="F20" s="220">
        <v>6</v>
      </c>
      <c r="G20" s="419" t="s">
        <v>182</v>
      </c>
      <c r="M20" s="227"/>
    </row>
    <row r="21" spans="1:13" s="219" customFormat="1" x14ac:dyDescent="0.2">
      <c r="A21" s="217">
        <v>3</v>
      </c>
      <c r="B21" s="411" t="s">
        <v>259</v>
      </c>
      <c r="C21" s="220">
        <v>13</v>
      </c>
      <c r="D21" s="220">
        <v>5</v>
      </c>
      <c r="E21" s="220"/>
      <c r="F21" s="220">
        <v>13</v>
      </c>
      <c r="G21" s="419" t="s">
        <v>181</v>
      </c>
      <c r="M21" s="227"/>
    </row>
    <row r="22" spans="1:13" s="219" customFormat="1" x14ac:dyDescent="0.2">
      <c r="A22" s="217">
        <v>4</v>
      </c>
      <c r="B22" s="149"/>
      <c r="C22" s="220">
        <v>0</v>
      </c>
      <c r="D22" s="220"/>
      <c r="E22" s="220">
        <v>0</v>
      </c>
      <c r="F22" s="220"/>
      <c r="G22" s="221"/>
    </row>
    <row r="23" spans="1:13" s="219" customFormat="1" x14ac:dyDescent="0.2"/>
    <row r="24" spans="1:13" s="229" customFormat="1" x14ac:dyDescent="0.2">
      <c r="A24" s="228" t="s">
        <v>163</v>
      </c>
    </row>
    <row r="25" spans="1:13" s="229" customFormat="1" x14ac:dyDescent="0.2">
      <c r="A25" s="228"/>
    </row>
    <row r="26" spans="1:13" s="229" customFormat="1" x14ac:dyDescent="0.2">
      <c r="A26" s="230" t="s">
        <v>209</v>
      </c>
      <c r="B26" s="229" t="s">
        <v>253</v>
      </c>
      <c r="C26" s="240">
        <v>13</v>
      </c>
    </row>
    <row r="27" spans="1:13" s="229" customFormat="1" x14ac:dyDescent="0.2">
      <c r="A27" s="231"/>
      <c r="B27" s="232"/>
      <c r="C27" s="233" t="s">
        <v>253</v>
      </c>
      <c r="D27" s="234"/>
      <c r="F27" s="240">
        <v>13</v>
      </c>
    </row>
    <row r="28" spans="1:13" s="229" customFormat="1" x14ac:dyDescent="0.2">
      <c r="A28" s="230"/>
      <c r="B28" s="393" t="s">
        <v>160</v>
      </c>
      <c r="C28" s="236">
        <v>0</v>
      </c>
      <c r="E28" s="237"/>
    </row>
    <row r="29" spans="1:13" s="229" customFormat="1" x14ac:dyDescent="0.2">
      <c r="A29" s="231"/>
      <c r="D29" s="238"/>
      <c r="E29" s="239"/>
      <c r="F29" s="229" t="s">
        <v>253</v>
      </c>
      <c r="I29" s="240">
        <v>5</v>
      </c>
    </row>
    <row r="30" spans="1:13" s="229" customFormat="1" x14ac:dyDescent="0.2">
      <c r="A30" s="230" t="s">
        <v>208</v>
      </c>
      <c r="B30" s="241" t="s">
        <v>248</v>
      </c>
      <c r="C30" s="244">
        <v>13</v>
      </c>
      <c r="E30" s="239"/>
      <c r="F30" s="232"/>
      <c r="G30" s="232"/>
      <c r="H30" s="237"/>
    </row>
    <row r="31" spans="1:13" s="229" customFormat="1" x14ac:dyDescent="0.2">
      <c r="A31" s="231"/>
      <c r="B31" s="232"/>
      <c r="C31" s="242" t="s">
        <v>248</v>
      </c>
      <c r="E31" s="243"/>
      <c r="F31" s="244">
        <v>11</v>
      </c>
      <c r="G31" s="238"/>
      <c r="H31" s="239"/>
    </row>
    <row r="32" spans="1:13" s="229" customFormat="1" x14ac:dyDescent="0.2">
      <c r="A32" s="230" t="s">
        <v>170</v>
      </c>
      <c r="B32" s="235" t="s">
        <v>292</v>
      </c>
      <c r="C32" s="245">
        <v>7</v>
      </c>
      <c r="D32" s="232"/>
      <c r="F32" s="238"/>
      <c r="G32" s="238"/>
      <c r="H32" s="239"/>
    </row>
    <row r="33" spans="1:11" s="229" customFormat="1" ht="13.5" thickBot="1" x14ac:dyDescent="0.25">
      <c r="A33" s="231"/>
      <c r="F33" s="238"/>
      <c r="G33" s="238"/>
      <c r="H33" s="239"/>
      <c r="J33" s="392" t="s">
        <v>290</v>
      </c>
    </row>
    <row r="34" spans="1:11" s="229" customFormat="1" x14ac:dyDescent="0.2">
      <c r="A34" s="230" t="s">
        <v>166</v>
      </c>
      <c r="B34" s="229" t="s">
        <v>259</v>
      </c>
      <c r="C34" s="240">
        <v>2</v>
      </c>
      <c r="F34" s="238"/>
      <c r="G34" s="238"/>
      <c r="H34" s="239"/>
      <c r="I34" s="246"/>
      <c r="J34" s="247" t="s">
        <v>106</v>
      </c>
      <c r="K34" s="248"/>
    </row>
    <row r="35" spans="1:11" s="229" customFormat="1" x14ac:dyDescent="0.2">
      <c r="A35" s="231"/>
      <c r="B35" s="232"/>
      <c r="C35" s="233" t="s">
        <v>290</v>
      </c>
      <c r="D35" s="234"/>
      <c r="F35" s="244">
        <v>13</v>
      </c>
      <c r="G35" s="238"/>
      <c r="H35" s="239"/>
    </row>
    <row r="36" spans="1:11" s="229" customFormat="1" ht="13.5" thickBot="1" x14ac:dyDescent="0.25">
      <c r="A36" s="230" t="s">
        <v>161</v>
      </c>
      <c r="B36" s="249" t="s">
        <v>290</v>
      </c>
      <c r="C36" s="236">
        <v>13</v>
      </c>
      <c r="E36" s="237"/>
      <c r="F36" s="238"/>
      <c r="G36" s="238"/>
      <c r="H36" s="239"/>
      <c r="J36" s="250" t="s">
        <v>253</v>
      </c>
      <c r="K36" s="250"/>
    </row>
    <row r="37" spans="1:11" s="229" customFormat="1" x14ac:dyDescent="0.2">
      <c r="A37" s="231"/>
      <c r="D37" s="238"/>
      <c r="E37" s="239"/>
      <c r="F37" s="234" t="s">
        <v>290</v>
      </c>
      <c r="G37" s="234"/>
      <c r="H37" s="243"/>
      <c r="I37" s="240">
        <v>13</v>
      </c>
      <c r="J37" s="247" t="s">
        <v>107</v>
      </c>
    </row>
    <row r="38" spans="1:11" s="229" customFormat="1" x14ac:dyDescent="0.2">
      <c r="A38" s="230"/>
      <c r="B38" s="392" t="s">
        <v>160</v>
      </c>
      <c r="C38" s="244">
        <v>0</v>
      </c>
      <c r="E38" s="239"/>
    </row>
    <row r="39" spans="1:11" s="229" customFormat="1" x14ac:dyDescent="0.2">
      <c r="A39" s="231"/>
      <c r="B39" s="232"/>
      <c r="C39" s="242" t="s">
        <v>289</v>
      </c>
      <c r="E39" s="243"/>
      <c r="F39" s="240">
        <v>6</v>
      </c>
    </row>
    <row r="40" spans="1:11" s="229" customFormat="1" x14ac:dyDescent="0.2">
      <c r="A40" s="230" t="s">
        <v>207</v>
      </c>
      <c r="B40" s="234" t="s">
        <v>289</v>
      </c>
      <c r="C40" s="245">
        <v>13</v>
      </c>
      <c r="D40" s="232"/>
    </row>
    <row r="41" spans="1:11" s="229" customFormat="1" x14ac:dyDescent="0.2">
      <c r="F41" s="229" t="s">
        <v>248</v>
      </c>
      <c r="I41" s="244">
        <v>6</v>
      </c>
      <c r="J41" s="238"/>
      <c r="K41" s="238"/>
    </row>
    <row r="42" spans="1:11" s="229" customFormat="1" ht="13.5" thickBot="1" x14ac:dyDescent="0.25">
      <c r="F42" s="232"/>
      <c r="G42" s="232"/>
      <c r="H42" s="237"/>
      <c r="I42" s="250"/>
      <c r="J42" s="527" t="s">
        <v>289</v>
      </c>
      <c r="K42" s="250"/>
    </row>
    <row r="43" spans="1:11" s="229" customFormat="1" x14ac:dyDescent="0.2">
      <c r="F43" s="234" t="s">
        <v>289</v>
      </c>
      <c r="G43" s="234"/>
      <c r="H43" s="243"/>
      <c r="I43" s="240">
        <v>13</v>
      </c>
      <c r="J43" s="251" t="s">
        <v>108</v>
      </c>
      <c r="K43" s="238"/>
    </row>
    <row r="44" spans="1:11" s="229" customFormat="1" x14ac:dyDescent="0.2">
      <c r="J44" s="238"/>
      <c r="K44" s="238"/>
    </row>
    <row r="45" spans="1:11" s="229" customFormat="1" ht="13.5" thickBot="1" x14ac:dyDescent="0.25">
      <c r="G45" s="238"/>
      <c r="H45" s="238"/>
      <c r="J45" s="250" t="s">
        <v>248</v>
      </c>
      <c r="K45" s="250"/>
    </row>
    <row r="46" spans="1:11" s="229" customFormat="1" x14ac:dyDescent="0.2">
      <c r="F46" s="240"/>
      <c r="J46" s="252" t="s">
        <v>109</v>
      </c>
    </row>
    <row r="47" spans="1:11" s="229" customFormat="1" x14ac:dyDescent="0.2">
      <c r="C47" s="392" t="s">
        <v>160</v>
      </c>
      <c r="F47" s="240">
        <v>0</v>
      </c>
      <c r="J47" s="252"/>
    </row>
    <row r="48" spans="1:11" s="229" customFormat="1" x14ac:dyDescent="0.2">
      <c r="C48" s="232"/>
      <c r="D48" s="232"/>
      <c r="E48" s="237"/>
      <c r="F48" s="233" t="s">
        <v>292</v>
      </c>
      <c r="G48" s="234"/>
      <c r="H48" s="234"/>
      <c r="I48" s="240">
        <v>13</v>
      </c>
    </row>
    <row r="49" spans="1:11" s="229" customFormat="1" x14ac:dyDescent="0.2">
      <c r="C49" s="234" t="s">
        <v>292</v>
      </c>
      <c r="D49" s="234"/>
      <c r="E49" s="243"/>
      <c r="F49" s="236">
        <v>13</v>
      </c>
      <c r="H49" s="239"/>
    </row>
    <row r="50" spans="1:11" s="229" customFormat="1" ht="13.5" thickBot="1" x14ac:dyDescent="0.25">
      <c r="F50" s="238"/>
      <c r="H50" s="239"/>
      <c r="J50" s="229" t="s">
        <v>292</v>
      </c>
    </row>
    <row r="51" spans="1:11" s="229" customFormat="1" x14ac:dyDescent="0.2">
      <c r="C51" s="229" t="s">
        <v>259</v>
      </c>
      <c r="F51" s="244">
        <v>13</v>
      </c>
      <c r="H51" s="239"/>
      <c r="I51" s="246"/>
      <c r="J51" s="247" t="s">
        <v>110</v>
      </c>
      <c r="K51" s="248"/>
    </row>
    <row r="52" spans="1:11" s="229" customFormat="1" x14ac:dyDescent="0.2">
      <c r="C52" s="232"/>
      <c r="D52" s="232"/>
      <c r="E52" s="237"/>
      <c r="F52" s="242" t="s">
        <v>259</v>
      </c>
      <c r="H52" s="243"/>
      <c r="I52" s="244">
        <v>6</v>
      </c>
    </row>
    <row r="53" spans="1:11" s="229" customFormat="1" ht="13.5" thickBot="1" x14ac:dyDescent="0.25">
      <c r="C53" s="404" t="s">
        <v>160</v>
      </c>
      <c r="D53" s="234"/>
      <c r="E53" s="243"/>
      <c r="F53" s="245">
        <v>0</v>
      </c>
      <c r="G53" s="232"/>
      <c r="I53" s="238"/>
      <c r="J53" s="238" t="s">
        <v>259</v>
      </c>
      <c r="K53" s="250"/>
    </row>
    <row r="54" spans="1:11" s="229" customFormat="1" x14ac:dyDescent="0.2">
      <c r="I54" s="238"/>
      <c r="J54" s="247" t="s">
        <v>111</v>
      </c>
      <c r="K54" s="238"/>
    </row>
    <row r="55" spans="1:11" s="229" customFormat="1" x14ac:dyDescent="0.2">
      <c r="I55" s="244"/>
      <c r="J55" s="238"/>
      <c r="K55" s="238"/>
    </row>
    <row r="56" spans="1:11" s="229" customFormat="1" x14ac:dyDescent="0.2">
      <c r="A56" s="228" t="s">
        <v>210</v>
      </c>
    </row>
    <row r="57" spans="1:11" s="229" customFormat="1" x14ac:dyDescent="0.2">
      <c r="A57" s="228"/>
    </row>
    <row r="58" spans="1:11" s="229" customFormat="1" ht="13.5" thickBot="1" x14ac:dyDescent="0.25">
      <c r="A58" s="534"/>
      <c r="B58" s="534"/>
      <c r="C58" s="218">
        <v>1</v>
      </c>
      <c r="D58" s="218">
        <v>2</v>
      </c>
      <c r="E58" s="218">
        <v>3</v>
      </c>
      <c r="F58" s="218" t="s">
        <v>164</v>
      </c>
      <c r="G58" s="396" t="s">
        <v>101</v>
      </c>
      <c r="J58" s="250" t="s">
        <v>252</v>
      </c>
      <c r="K58" s="250"/>
    </row>
    <row r="59" spans="1:11" s="229" customFormat="1" x14ac:dyDescent="0.2">
      <c r="A59" s="534">
        <v>1</v>
      </c>
      <c r="B59" s="411" t="s">
        <v>370</v>
      </c>
      <c r="C59" s="383"/>
      <c r="D59" s="384">
        <v>6</v>
      </c>
      <c r="E59" s="384">
        <v>2</v>
      </c>
      <c r="F59" s="408" t="s">
        <v>174</v>
      </c>
      <c r="G59" s="410" t="s">
        <v>182</v>
      </c>
      <c r="J59" s="251" t="s">
        <v>112</v>
      </c>
      <c r="K59" s="238"/>
    </row>
    <row r="60" spans="1:11" s="229" customFormat="1" x14ac:dyDescent="0.2">
      <c r="A60" s="534">
        <v>2</v>
      </c>
      <c r="B60" s="542" t="s">
        <v>252</v>
      </c>
      <c r="C60" s="384">
        <v>13</v>
      </c>
      <c r="D60" s="383"/>
      <c r="E60" s="384">
        <v>13</v>
      </c>
      <c r="F60" s="408" t="s">
        <v>173</v>
      </c>
      <c r="G60" s="410" t="s">
        <v>180</v>
      </c>
      <c r="J60" s="238"/>
      <c r="K60" s="238"/>
    </row>
    <row r="61" spans="1:11" s="229" customFormat="1" ht="13.5" thickBot="1" x14ac:dyDescent="0.25">
      <c r="A61" s="534">
        <v>3</v>
      </c>
      <c r="B61" s="542" t="s">
        <v>260</v>
      </c>
      <c r="C61" s="384">
        <v>13</v>
      </c>
      <c r="D61" s="384">
        <v>9</v>
      </c>
      <c r="E61" s="383"/>
      <c r="F61" s="408" t="s">
        <v>165</v>
      </c>
      <c r="G61" s="410" t="s">
        <v>181</v>
      </c>
      <c r="I61" s="240"/>
      <c r="J61" s="250" t="s">
        <v>260</v>
      </c>
      <c r="K61" s="250"/>
    </row>
    <row r="62" spans="1:11" s="229" customFormat="1" x14ac:dyDescent="0.2">
      <c r="A62" s="397"/>
      <c r="B62" s="398"/>
      <c r="C62" s="399"/>
      <c r="D62" s="400"/>
      <c r="E62" s="402"/>
      <c r="F62" s="401"/>
      <c r="I62" s="240"/>
      <c r="J62" s="252" t="s">
        <v>113</v>
      </c>
    </row>
    <row r="63" spans="1:11" s="229" customFormat="1" x14ac:dyDescent="0.2">
      <c r="F63" s="535"/>
      <c r="G63" s="535"/>
      <c r="H63" s="535"/>
      <c r="I63" s="535"/>
    </row>
    <row r="64" spans="1:11" s="229" customFormat="1" ht="13.5" thickBot="1" x14ac:dyDescent="0.25">
      <c r="A64" s="535"/>
      <c r="B64" s="535"/>
      <c r="C64" s="535"/>
      <c r="D64" s="535"/>
      <c r="E64" s="535"/>
      <c r="F64" s="535"/>
      <c r="G64" s="535"/>
      <c r="H64" s="535"/>
      <c r="I64" s="535"/>
      <c r="J64" s="392" t="s">
        <v>370</v>
      </c>
    </row>
    <row r="65" spans="1:11" s="229" customFormat="1" x14ac:dyDescent="0.2">
      <c r="A65" s="535"/>
      <c r="B65" s="535"/>
      <c r="C65" s="535"/>
      <c r="D65" s="535"/>
      <c r="E65" s="535"/>
      <c r="F65" s="535"/>
      <c r="G65" s="535"/>
      <c r="H65" s="535"/>
      <c r="I65" s="535"/>
      <c r="J65" s="247" t="s">
        <v>114</v>
      </c>
      <c r="K65" s="248"/>
    </row>
    <row r="66" spans="1:11" s="229" customFormat="1" x14ac:dyDescent="0.2">
      <c r="F66" s="535"/>
      <c r="G66" s="535"/>
      <c r="H66" s="535"/>
      <c r="I66" s="535"/>
    </row>
    <row r="67" spans="1:11" s="229" customFormat="1" ht="13.5" thickBot="1" x14ac:dyDescent="0.25">
      <c r="A67" s="535"/>
      <c r="B67" s="535"/>
      <c r="C67" s="535"/>
      <c r="D67" s="535"/>
      <c r="E67" s="535"/>
      <c r="F67" s="535"/>
      <c r="G67" s="535"/>
      <c r="H67" s="535"/>
      <c r="I67" s="535"/>
      <c r="J67" s="229" t="s">
        <v>256</v>
      </c>
    </row>
    <row r="68" spans="1:11" s="229" customFormat="1" x14ac:dyDescent="0.2">
      <c r="A68" s="535"/>
      <c r="B68" s="535"/>
      <c r="C68" s="535"/>
      <c r="D68" s="535"/>
      <c r="E68" s="535"/>
      <c r="F68" s="535"/>
      <c r="G68" s="535"/>
      <c r="H68" s="535"/>
      <c r="I68" s="535"/>
      <c r="J68" s="247" t="s">
        <v>115</v>
      </c>
      <c r="K68" s="248"/>
    </row>
    <row r="69" spans="1:11" s="229" customFormat="1" x14ac:dyDescent="0.2">
      <c r="F69" s="219"/>
      <c r="G69" s="219"/>
      <c r="H69" s="219"/>
      <c r="I69" s="219"/>
      <c r="J69" s="219"/>
      <c r="K69" s="219"/>
    </row>
    <row r="70" spans="1:11" s="219" customFormat="1" x14ac:dyDescent="0.2">
      <c r="A70" s="217">
        <v>1</v>
      </c>
      <c r="B70" s="217" t="s">
        <v>290</v>
      </c>
    </row>
    <row r="71" spans="1:11" s="219" customFormat="1" x14ac:dyDescent="0.2">
      <c r="A71" s="217">
        <v>2</v>
      </c>
      <c r="B71" s="253" t="s">
        <v>253</v>
      </c>
    </row>
    <row r="72" spans="1:11" s="219" customFormat="1" x14ac:dyDescent="0.2">
      <c r="A72" s="217">
        <v>3</v>
      </c>
      <c r="B72" s="253" t="s">
        <v>289</v>
      </c>
    </row>
    <row r="73" spans="1:11" s="219" customFormat="1" x14ac:dyDescent="0.2">
      <c r="A73" s="217">
        <v>4</v>
      </c>
      <c r="B73" s="253" t="s">
        <v>248</v>
      </c>
    </row>
    <row r="74" spans="1:11" s="219" customFormat="1" x14ac:dyDescent="0.2">
      <c r="A74" s="217">
        <v>5</v>
      </c>
      <c r="B74" s="253" t="s">
        <v>292</v>
      </c>
    </row>
    <row r="75" spans="1:11" s="219" customFormat="1" x14ac:dyDescent="0.2">
      <c r="A75" s="217">
        <v>6</v>
      </c>
      <c r="B75" s="253" t="s">
        <v>259</v>
      </c>
    </row>
    <row r="76" spans="1:11" s="219" customFormat="1" x14ac:dyDescent="0.2">
      <c r="A76" s="217">
        <v>7</v>
      </c>
      <c r="B76" s="253" t="s">
        <v>252</v>
      </c>
    </row>
    <row r="77" spans="1:11" s="219" customFormat="1" x14ac:dyDescent="0.2">
      <c r="A77" s="217">
        <v>8</v>
      </c>
      <c r="B77" s="253" t="s">
        <v>260</v>
      </c>
    </row>
    <row r="78" spans="1:11" s="219" customFormat="1" x14ac:dyDescent="0.2">
      <c r="A78" s="217">
        <v>9</v>
      </c>
      <c r="B78" s="253" t="s">
        <v>370</v>
      </c>
    </row>
    <row r="79" spans="1:11" x14ac:dyDescent="0.2">
      <c r="A79" s="534">
        <v>10</v>
      </c>
      <c r="B79" s="253" t="s">
        <v>256</v>
      </c>
    </row>
  </sheetData>
  <conditionalFormatting sqref="B10">
    <cfRule type="duplicateValues" dxfId="69" priority="3" stopIfTrue="1"/>
  </conditionalFormatting>
  <conditionalFormatting sqref="C7:I61">
    <cfRule type="cellIs" dxfId="68" priority="1" operator="equal">
      <formula>13</formula>
    </cfRule>
  </conditionalFormatting>
  <pageMargins left="0.78740157480314965" right="0.39370078740157483" top="0.78740157480314965" bottom="0.39370078740157483" header="0.59055118110236227" footer="0"/>
  <pageSetup paperSize="9" fitToHeight="0" orientation="landscape" verticalDpi="1200" r:id="rId1"/>
  <headerFooter alignWithMargins="0">
    <oddHeader>&amp;R&amp;"Arial,Regular"&amp;9Page &amp;P of &amp;N</oddHeader>
  </headerFooter>
  <rowBreaks count="2" manualBreakCount="2">
    <brk id="22" max="16383" man="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05"/>
  <sheetViews>
    <sheetView showGridLines="0" showRowColHeaders="0" zoomScaleNormal="100" workbookViewId="0">
      <pane ySplit="2" topLeftCell="A3" activePane="bottomLeft" state="frozen"/>
      <selection activeCell="M1" sqref="M1"/>
      <selection pane="bottomLeft" activeCell="L1" sqref="L1"/>
    </sheetView>
  </sheetViews>
  <sheetFormatPr defaultRowHeight="12.75" x14ac:dyDescent="0.2"/>
  <cols>
    <col min="1" max="1" width="5.5703125" style="215" customWidth="1"/>
    <col min="2" max="2" width="18.7109375" style="214" bestFit="1" customWidth="1"/>
    <col min="3" max="3" width="7.28515625" style="215" bestFit="1" customWidth="1"/>
    <col min="4" max="4" width="7.42578125" style="215" bestFit="1" customWidth="1"/>
    <col min="5" max="5" width="9.140625" style="215" bestFit="1" customWidth="1"/>
    <col min="6" max="6" width="6.7109375" style="215" bestFit="1" customWidth="1"/>
    <col min="7" max="7" width="5.140625" style="215" bestFit="1" customWidth="1"/>
    <col min="8" max="8" width="10.28515625" style="215" customWidth="1"/>
    <col min="9" max="9" width="3.7109375" style="215" customWidth="1"/>
    <col min="10" max="10" width="9.140625" style="215"/>
    <col min="11" max="11" width="8.7109375" style="215" customWidth="1"/>
    <col min="12" max="16384" width="9.140625" style="215"/>
  </cols>
  <sheetData>
    <row r="1" spans="1:13" x14ac:dyDescent="0.2">
      <c r="A1" s="213" t="str">
        <f>UPPER((Kalend!D17)&amp;" - "&amp;(Kalend!C17)&amp;" - "&amp;(Kalend!E17))</f>
        <v>4 - SHK KV 4. ETAPP - ÜKSIK</v>
      </c>
      <c r="H1" s="133" t="str">
        <f>HYPERLINK("#'Kalend'!I1","Kalender")</f>
        <v>Kalender</v>
      </c>
      <c r="I1" s="216"/>
      <c r="J1" s="133" t="str">
        <f>HYPERLINK("#'Reit'!J1","Reiting")</f>
        <v>Reiting</v>
      </c>
      <c r="K1" s="216"/>
    </row>
    <row r="2" spans="1:13" s="216" customFormat="1" x14ac:dyDescent="0.2">
      <c r="A2" s="216" t="str">
        <f>"Toimumisaeg: "&amp;(Kalend!A17)&amp;" kell "&amp;(Kalend!B17)</f>
        <v>Toimumisaeg: P, 29.01.2017 kell 11:00</v>
      </c>
    </row>
    <row r="3" spans="1:13" s="216" customFormat="1" x14ac:dyDescent="0.2">
      <c r="A3" s="216" t="str">
        <f>"Toimumiskoht: "&amp;(Kalend!F17)</f>
        <v>Toimumiskoht: K-Järve petangihall</v>
      </c>
    </row>
    <row r="4" spans="1:13" s="216" customFormat="1" x14ac:dyDescent="0.2">
      <c r="A4" s="216" t="str">
        <f>"Korraldaja: "&amp;(Kalend!G17)</f>
        <v>Korraldaja: K-Järve SHK, Ivar Viljaste</v>
      </c>
    </row>
    <row r="6" spans="1:13" s="219" customFormat="1" x14ac:dyDescent="0.2">
      <c r="A6" s="521" t="s">
        <v>96</v>
      </c>
      <c r="B6" s="522"/>
      <c r="C6" s="218" t="s">
        <v>97</v>
      </c>
      <c r="D6" s="218" t="s">
        <v>98</v>
      </c>
      <c r="E6" s="218" t="s">
        <v>99</v>
      </c>
      <c r="F6" s="218" t="s">
        <v>100</v>
      </c>
      <c r="G6" s="218" t="s">
        <v>101</v>
      </c>
    </row>
    <row r="7" spans="1:13" s="219" customFormat="1" x14ac:dyDescent="0.2">
      <c r="A7" s="217">
        <v>1</v>
      </c>
      <c r="B7" s="411" t="s">
        <v>184</v>
      </c>
      <c r="C7" s="220">
        <v>13</v>
      </c>
      <c r="D7" s="220">
        <v>8</v>
      </c>
      <c r="E7" s="220"/>
      <c r="F7" s="220">
        <v>13</v>
      </c>
      <c r="G7" s="419" t="s">
        <v>181</v>
      </c>
      <c r="M7" s="222"/>
    </row>
    <row r="8" spans="1:13" s="219" customFormat="1" x14ac:dyDescent="0.2">
      <c r="A8" s="217">
        <v>2</v>
      </c>
      <c r="B8" s="149" t="s">
        <v>190</v>
      </c>
      <c r="C8" s="220">
        <v>13</v>
      </c>
      <c r="D8" s="220">
        <v>13</v>
      </c>
      <c r="E8" s="220"/>
      <c r="F8" s="220"/>
      <c r="G8" s="419" t="s">
        <v>180</v>
      </c>
      <c r="M8" s="222"/>
    </row>
    <row r="9" spans="1:13" s="219" customFormat="1" x14ac:dyDescent="0.2">
      <c r="A9" s="217">
        <v>3</v>
      </c>
      <c r="B9" s="411" t="s">
        <v>202</v>
      </c>
      <c r="C9" s="220">
        <v>9</v>
      </c>
      <c r="D9" s="220"/>
      <c r="E9" s="220">
        <v>13</v>
      </c>
      <c r="F9" s="220">
        <v>4</v>
      </c>
      <c r="G9" s="419" t="s">
        <v>182</v>
      </c>
      <c r="M9" s="222"/>
    </row>
    <row r="10" spans="1:13" s="219" customFormat="1" x14ac:dyDescent="0.2">
      <c r="A10" s="217">
        <v>4</v>
      </c>
      <c r="B10" s="148"/>
      <c r="C10" s="220">
        <v>0</v>
      </c>
      <c r="D10" s="220"/>
      <c r="E10" s="220">
        <v>0</v>
      </c>
      <c r="F10" s="220"/>
      <c r="G10" s="221"/>
      <c r="M10" s="222"/>
    </row>
    <row r="11" spans="1:13" s="219" customFormat="1" x14ac:dyDescent="0.2">
      <c r="A11" s="223"/>
      <c r="B11" s="222"/>
      <c r="C11" s="224"/>
      <c r="D11" s="224"/>
      <c r="E11" s="224"/>
      <c r="F11" s="225"/>
      <c r="G11" s="226"/>
      <c r="M11" s="222"/>
    </row>
    <row r="12" spans="1:13" s="219" customFormat="1" x14ac:dyDescent="0.2">
      <c r="A12" s="521" t="s">
        <v>102</v>
      </c>
      <c r="B12" s="522"/>
      <c r="C12" s="218" t="s">
        <v>97</v>
      </c>
      <c r="D12" s="218" t="s">
        <v>98</v>
      </c>
      <c r="E12" s="218" t="s">
        <v>99</v>
      </c>
      <c r="F12" s="218" t="s">
        <v>100</v>
      </c>
      <c r="G12" s="218" t="s">
        <v>101</v>
      </c>
      <c r="M12" s="222"/>
    </row>
    <row r="13" spans="1:13" s="219" customFormat="1" x14ac:dyDescent="0.2">
      <c r="A13" s="217">
        <v>1</v>
      </c>
      <c r="B13" s="411" t="s">
        <v>187</v>
      </c>
      <c r="C13" s="220">
        <v>10</v>
      </c>
      <c r="D13" s="220"/>
      <c r="E13" s="220">
        <v>13</v>
      </c>
      <c r="F13" s="220">
        <v>7</v>
      </c>
      <c r="G13" s="419" t="s">
        <v>182</v>
      </c>
      <c r="M13" s="222"/>
    </row>
    <row r="14" spans="1:13" s="219" customFormat="1" x14ac:dyDescent="0.2">
      <c r="A14" s="217">
        <v>2</v>
      </c>
      <c r="B14" s="149" t="s">
        <v>368</v>
      </c>
      <c r="C14" s="220">
        <v>13</v>
      </c>
      <c r="D14" s="220">
        <v>7</v>
      </c>
      <c r="E14" s="220"/>
      <c r="F14" s="220">
        <v>13</v>
      </c>
      <c r="G14" s="419" t="s">
        <v>181</v>
      </c>
      <c r="M14" s="222"/>
    </row>
    <row r="15" spans="1:13" s="219" customFormat="1" x14ac:dyDescent="0.2">
      <c r="A15" s="217">
        <v>3</v>
      </c>
      <c r="B15" s="149" t="s">
        <v>203</v>
      </c>
      <c r="C15" s="220">
        <v>9</v>
      </c>
      <c r="D15" s="220"/>
      <c r="E15" s="220">
        <v>8</v>
      </c>
      <c r="F15" s="220"/>
      <c r="G15" s="419" t="s">
        <v>245</v>
      </c>
      <c r="M15" s="222"/>
    </row>
    <row r="16" spans="1:13" s="219" customFormat="1" x14ac:dyDescent="0.2">
      <c r="A16" s="217">
        <v>4</v>
      </c>
      <c r="B16" s="148" t="s">
        <v>262</v>
      </c>
      <c r="C16" s="220">
        <v>13</v>
      </c>
      <c r="D16" s="220">
        <v>13</v>
      </c>
      <c r="E16" s="220"/>
      <c r="F16" s="220"/>
      <c r="G16" s="419" t="s">
        <v>180</v>
      </c>
      <c r="M16" s="222"/>
    </row>
    <row r="17" spans="1:13" s="219" customFormat="1" x14ac:dyDescent="0.2">
      <c r="A17" s="223"/>
      <c r="B17" s="222"/>
      <c r="C17" s="224"/>
      <c r="D17" s="224"/>
      <c r="E17" s="224"/>
      <c r="F17" s="225"/>
      <c r="G17" s="226"/>
      <c r="M17" s="222"/>
    </row>
    <row r="18" spans="1:13" s="219" customFormat="1" x14ac:dyDescent="0.2">
      <c r="A18" s="521" t="s">
        <v>103</v>
      </c>
      <c r="B18" s="522"/>
      <c r="C18" s="218" t="s">
        <v>97</v>
      </c>
      <c r="D18" s="218" t="s">
        <v>98</v>
      </c>
      <c r="E18" s="218" t="s">
        <v>99</v>
      </c>
      <c r="F18" s="218" t="s">
        <v>100</v>
      </c>
      <c r="G18" s="218" t="s">
        <v>101</v>
      </c>
      <c r="M18" s="227"/>
    </row>
    <row r="19" spans="1:13" s="219" customFormat="1" x14ac:dyDescent="0.2">
      <c r="A19" s="217">
        <v>1</v>
      </c>
      <c r="B19" s="411" t="s">
        <v>188</v>
      </c>
      <c r="C19" s="220">
        <v>13</v>
      </c>
      <c r="D19" s="220">
        <v>11</v>
      </c>
      <c r="E19" s="220"/>
      <c r="F19" s="220">
        <v>13</v>
      </c>
      <c r="G19" s="419" t="s">
        <v>181</v>
      </c>
      <c r="M19" s="227"/>
    </row>
    <row r="20" spans="1:13" s="219" customFormat="1" x14ac:dyDescent="0.2">
      <c r="A20" s="217">
        <v>2</v>
      </c>
      <c r="B20" s="149" t="s">
        <v>191</v>
      </c>
      <c r="C20" s="220">
        <v>13</v>
      </c>
      <c r="D20" s="220">
        <v>13</v>
      </c>
      <c r="E20" s="220"/>
      <c r="F20" s="220"/>
      <c r="G20" s="419" t="s">
        <v>180</v>
      </c>
      <c r="M20" s="227"/>
    </row>
    <row r="21" spans="1:13" s="219" customFormat="1" x14ac:dyDescent="0.2">
      <c r="A21" s="217">
        <v>3</v>
      </c>
      <c r="B21" s="149" t="s">
        <v>197</v>
      </c>
      <c r="C21" s="220">
        <v>6</v>
      </c>
      <c r="D21" s="220"/>
      <c r="E21" s="220">
        <v>10</v>
      </c>
      <c r="F21" s="220"/>
      <c r="G21" s="419" t="s">
        <v>245</v>
      </c>
      <c r="M21" s="227"/>
    </row>
    <row r="22" spans="1:13" s="219" customFormat="1" x14ac:dyDescent="0.2">
      <c r="A22" s="217">
        <v>4</v>
      </c>
      <c r="B22" s="411" t="s">
        <v>311</v>
      </c>
      <c r="C22" s="220">
        <v>3</v>
      </c>
      <c r="D22" s="220"/>
      <c r="E22" s="220">
        <v>13</v>
      </c>
      <c r="F22" s="220">
        <v>5</v>
      </c>
      <c r="G22" s="419" t="s">
        <v>182</v>
      </c>
    </row>
    <row r="23" spans="1:13" s="219" customFormat="1" x14ac:dyDescent="0.2"/>
    <row r="24" spans="1:13" s="219" customFormat="1" x14ac:dyDescent="0.2">
      <c r="A24" s="521" t="s">
        <v>104</v>
      </c>
      <c r="B24" s="522"/>
      <c r="C24" s="218" t="s">
        <v>97</v>
      </c>
      <c r="D24" s="218" t="s">
        <v>98</v>
      </c>
      <c r="E24" s="218" t="s">
        <v>99</v>
      </c>
      <c r="F24" s="218" t="s">
        <v>100</v>
      </c>
      <c r="G24" s="218" t="s">
        <v>101</v>
      </c>
    </row>
    <row r="25" spans="1:13" s="219" customFormat="1" x14ac:dyDescent="0.2">
      <c r="A25" s="217">
        <v>1</v>
      </c>
      <c r="B25" s="411" t="s">
        <v>194</v>
      </c>
      <c r="C25" s="220">
        <v>13</v>
      </c>
      <c r="D25" s="220">
        <v>13</v>
      </c>
      <c r="E25" s="220"/>
      <c r="F25" s="220"/>
      <c r="G25" s="419" t="s">
        <v>180</v>
      </c>
    </row>
    <row r="26" spans="1:13" s="219" customFormat="1" x14ac:dyDescent="0.2">
      <c r="A26" s="217">
        <v>2</v>
      </c>
      <c r="B26" s="149" t="s">
        <v>192</v>
      </c>
      <c r="C26" s="220">
        <v>10</v>
      </c>
      <c r="D26" s="220"/>
      <c r="E26" s="220">
        <v>13</v>
      </c>
      <c r="F26" s="220">
        <v>13</v>
      </c>
      <c r="G26" s="419" t="s">
        <v>181</v>
      </c>
    </row>
    <row r="27" spans="1:13" s="219" customFormat="1" x14ac:dyDescent="0.2">
      <c r="A27" s="217">
        <v>3</v>
      </c>
      <c r="B27" s="149" t="s">
        <v>199</v>
      </c>
      <c r="C27" s="220">
        <v>13</v>
      </c>
      <c r="D27" s="220">
        <v>12</v>
      </c>
      <c r="E27" s="220"/>
      <c r="F27" s="220">
        <v>10</v>
      </c>
      <c r="G27" s="419" t="s">
        <v>182</v>
      </c>
    </row>
    <row r="28" spans="1:13" s="219" customFormat="1" x14ac:dyDescent="0.2">
      <c r="A28" s="217">
        <v>4</v>
      </c>
      <c r="B28" s="148" t="s">
        <v>257</v>
      </c>
      <c r="C28" s="220">
        <v>2</v>
      </c>
      <c r="D28" s="220"/>
      <c r="E28" s="220">
        <v>2</v>
      </c>
      <c r="F28" s="220"/>
      <c r="G28" s="419" t="s">
        <v>245</v>
      </c>
    </row>
    <row r="29" spans="1:13" s="535" customFormat="1" x14ac:dyDescent="0.2">
      <c r="A29" s="223"/>
      <c r="B29" s="222"/>
      <c r="C29" s="224"/>
      <c r="D29" s="224"/>
      <c r="E29" s="224"/>
      <c r="F29" s="225"/>
      <c r="G29" s="226"/>
      <c r="M29" s="222"/>
    </row>
    <row r="30" spans="1:13" s="535" customFormat="1" x14ac:dyDescent="0.2">
      <c r="A30" s="521" t="s">
        <v>295</v>
      </c>
      <c r="B30" s="522"/>
      <c r="C30" s="218" t="s">
        <v>97</v>
      </c>
      <c r="D30" s="218" t="s">
        <v>98</v>
      </c>
      <c r="E30" s="218" t="s">
        <v>99</v>
      </c>
      <c r="F30" s="218" t="s">
        <v>100</v>
      </c>
      <c r="G30" s="218" t="s">
        <v>101</v>
      </c>
      <c r="M30" s="227"/>
    </row>
    <row r="31" spans="1:13" s="535" customFormat="1" x14ac:dyDescent="0.2">
      <c r="A31" s="534">
        <v>1</v>
      </c>
      <c r="B31" s="149" t="s">
        <v>189</v>
      </c>
      <c r="C31" s="220">
        <v>8</v>
      </c>
      <c r="D31" s="220"/>
      <c r="E31" s="220">
        <v>13</v>
      </c>
      <c r="F31" s="220">
        <v>0</v>
      </c>
      <c r="G31" s="419" t="s">
        <v>182</v>
      </c>
      <c r="M31" s="227"/>
    </row>
    <row r="32" spans="1:13" s="535" customFormat="1" x14ac:dyDescent="0.2">
      <c r="A32" s="534">
        <v>2</v>
      </c>
      <c r="B32" s="149" t="s">
        <v>171</v>
      </c>
      <c r="C32" s="220">
        <v>6</v>
      </c>
      <c r="D32" s="220"/>
      <c r="E32" s="220">
        <v>12</v>
      </c>
      <c r="F32" s="220"/>
      <c r="G32" s="419" t="s">
        <v>245</v>
      </c>
      <c r="M32" s="227"/>
    </row>
    <row r="33" spans="1:13" s="535" customFormat="1" x14ac:dyDescent="0.2">
      <c r="A33" s="534">
        <v>3</v>
      </c>
      <c r="B33" s="149" t="s">
        <v>261</v>
      </c>
      <c r="C33" s="220">
        <v>13</v>
      </c>
      <c r="D33" s="220">
        <v>7</v>
      </c>
      <c r="E33" s="220"/>
      <c r="F33" s="220">
        <v>13</v>
      </c>
      <c r="G33" s="419" t="s">
        <v>181</v>
      </c>
      <c r="M33" s="227"/>
    </row>
    <row r="34" spans="1:13" s="535" customFormat="1" x14ac:dyDescent="0.2">
      <c r="A34" s="534">
        <v>4</v>
      </c>
      <c r="B34" s="149" t="s">
        <v>315</v>
      </c>
      <c r="C34" s="220">
        <v>13</v>
      </c>
      <c r="D34" s="220">
        <v>13</v>
      </c>
      <c r="E34" s="220"/>
      <c r="F34" s="220"/>
      <c r="G34" s="419" t="s">
        <v>180</v>
      </c>
    </row>
    <row r="35" spans="1:13" s="535" customFormat="1" x14ac:dyDescent="0.2"/>
    <row r="36" spans="1:13" s="535" customFormat="1" x14ac:dyDescent="0.2">
      <c r="A36" s="521" t="s">
        <v>296</v>
      </c>
      <c r="B36" s="522"/>
      <c r="C36" s="218" t="s">
        <v>97</v>
      </c>
      <c r="D36" s="218" t="s">
        <v>98</v>
      </c>
      <c r="E36" s="218" t="s">
        <v>99</v>
      </c>
      <c r="F36" s="218" t="s">
        <v>100</v>
      </c>
      <c r="G36" s="218" t="s">
        <v>101</v>
      </c>
    </row>
    <row r="37" spans="1:13" s="535" customFormat="1" x14ac:dyDescent="0.2">
      <c r="A37" s="534">
        <v>1</v>
      </c>
      <c r="B37" s="411" t="s">
        <v>183</v>
      </c>
      <c r="C37" s="220">
        <v>13</v>
      </c>
      <c r="D37" s="220">
        <v>13</v>
      </c>
      <c r="E37" s="220"/>
      <c r="F37" s="220"/>
      <c r="G37" s="419" t="s">
        <v>180</v>
      </c>
    </row>
    <row r="38" spans="1:13" s="535" customFormat="1" x14ac:dyDescent="0.2">
      <c r="A38" s="534">
        <v>2</v>
      </c>
      <c r="B38" s="149" t="s">
        <v>185</v>
      </c>
      <c r="C38" s="220">
        <v>7</v>
      </c>
      <c r="D38" s="220"/>
      <c r="E38" s="220">
        <v>8</v>
      </c>
      <c r="F38" s="220"/>
      <c r="G38" s="419" t="s">
        <v>245</v>
      </c>
    </row>
    <row r="39" spans="1:13" s="535" customFormat="1" x14ac:dyDescent="0.2">
      <c r="A39" s="534">
        <v>3</v>
      </c>
      <c r="B39" s="149" t="s">
        <v>162</v>
      </c>
      <c r="C39" s="220">
        <v>13</v>
      </c>
      <c r="D39" s="220">
        <v>8</v>
      </c>
      <c r="E39" s="220"/>
      <c r="F39" s="220">
        <v>13</v>
      </c>
      <c r="G39" s="419" t="s">
        <v>181</v>
      </c>
    </row>
    <row r="40" spans="1:13" s="535" customFormat="1" x14ac:dyDescent="0.2">
      <c r="A40" s="534">
        <v>4</v>
      </c>
      <c r="B40" s="148" t="s">
        <v>198</v>
      </c>
      <c r="C40" s="220">
        <v>2</v>
      </c>
      <c r="D40" s="220"/>
      <c r="E40" s="220">
        <v>13</v>
      </c>
      <c r="F40" s="220">
        <v>11</v>
      </c>
      <c r="G40" s="419" t="s">
        <v>182</v>
      </c>
    </row>
    <row r="41" spans="1:13" x14ac:dyDescent="0.2">
      <c r="A41" s="256"/>
      <c r="B41" s="215"/>
      <c r="F41" s="227"/>
      <c r="G41" s="227"/>
      <c r="H41" s="227"/>
      <c r="I41" s="617"/>
    </row>
    <row r="42" spans="1:13" x14ac:dyDescent="0.2">
      <c r="A42" s="618" t="s">
        <v>122</v>
      </c>
      <c r="B42" s="227"/>
      <c r="C42" s="224"/>
      <c r="D42" s="224"/>
      <c r="E42" s="224"/>
      <c r="F42" s="225"/>
      <c r="G42" s="226"/>
    </row>
    <row r="43" spans="1:13" x14ac:dyDescent="0.2">
      <c r="B43" s="215"/>
    </row>
    <row r="44" spans="1:13" x14ac:dyDescent="0.2">
      <c r="A44" s="255" t="s">
        <v>297</v>
      </c>
      <c r="B44" s="619" t="s">
        <v>162</v>
      </c>
      <c r="C44" s="270">
        <v>13</v>
      </c>
    </row>
    <row r="45" spans="1:13" x14ac:dyDescent="0.2">
      <c r="A45" s="256"/>
      <c r="B45" s="257"/>
      <c r="C45" s="258" t="s">
        <v>162</v>
      </c>
      <c r="E45" s="270">
        <v>5</v>
      </c>
    </row>
    <row r="46" spans="1:13" x14ac:dyDescent="0.2">
      <c r="A46" s="256" t="s">
        <v>166</v>
      </c>
      <c r="B46" s="259" t="s">
        <v>188</v>
      </c>
      <c r="C46" s="260">
        <v>5</v>
      </c>
      <c r="D46" s="261"/>
    </row>
    <row r="47" spans="1:13" x14ac:dyDescent="0.2">
      <c r="A47" s="256"/>
      <c r="B47" s="215"/>
      <c r="D47" s="262"/>
      <c r="E47" s="267" t="s">
        <v>315</v>
      </c>
      <c r="G47" s="270">
        <v>10</v>
      </c>
    </row>
    <row r="48" spans="1:13" x14ac:dyDescent="0.2">
      <c r="A48" s="256" t="s">
        <v>298</v>
      </c>
      <c r="B48" s="215" t="s">
        <v>315</v>
      </c>
      <c r="C48" s="263">
        <v>13</v>
      </c>
      <c r="D48" s="262"/>
      <c r="E48" s="620"/>
      <c r="F48" s="261"/>
    </row>
    <row r="49" spans="1:11" x14ac:dyDescent="0.2">
      <c r="A49" s="256"/>
      <c r="B49" s="257"/>
      <c r="C49" s="641" t="s">
        <v>315</v>
      </c>
      <c r="D49" s="268"/>
      <c r="E49" s="263">
        <v>13</v>
      </c>
      <c r="F49" s="262"/>
    </row>
    <row r="50" spans="1:11" x14ac:dyDescent="0.2">
      <c r="A50" s="256"/>
      <c r="B50" s="621" t="s">
        <v>160</v>
      </c>
      <c r="C50" s="622">
        <v>0</v>
      </c>
      <c r="E50" s="227"/>
      <c r="F50" s="262"/>
    </row>
    <row r="51" spans="1:11" x14ac:dyDescent="0.2">
      <c r="A51" s="214"/>
      <c r="B51" s="215"/>
      <c r="E51" s="227"/>
      <c r="F51" s="262"/>
      <c r="G51" s="267" t="s">
        <v>192</v>
      </c>
      <c r="I51" s="270">
        <v>13</v>
      </c>
    </row>
    <row r="52" spans="1:11" x14ac:dyDescent="0.2">
      <c r="A52" s="255" t="s">
        <v>207</v>
      </c>
      <c r="B52" s="215" t="s">
        <v>190</v>
      </c>
      <c r="C52" s="270">
        <v>13</v>
      </c>
      <c r="E52" s="227"/>
      <c r="F52" s="262"/>
      <c r="G52" s="257"/>
      <c r="H52" s="261"/>
    </row>
    <row r="53" spans="1:11" x14ac:dyDescent="0.2">
      <c r="A53" s="256"/>
      <c r="B53" s="257"/>
      <c r="C53" s="258" t="s">
        <v>190</v>
      </c>
      <c r="E53" s="263">
        <v>6</v>
      </c>
      <c r="F53" s="262"/>
      <c r="G53" s="227"/>
      <c r="H53" s="262"/>
    </row>
    <row r="54" spans="1:11" x14ac:dyDescent="0.2">
      <c r="A54" s="256" t="s">
        <v>161</v>
      </c>
      <c r="B54" s="621" t="s">
        <v>368</v>
      </c>
      <c r="C54" s="260">
        <v>4</v>
      </c>
      <c r="D54" s="261"/>
      <c r="E54" s="227"/>
      <c r="F54" s="262"/>
      <c r="G54" s="227"/>
      <c r="H54" s="262"/>
    </row>
    <row r="55" spans="1:11" x14ac:dyDescent="0.2">
      <c r="A55" s="256"/>
      <c r="B55" s="215"/>
      <c r="D55" s="262"/>
      <c r="E55" s="259" t="s">
        <v>192</v>
      </c>
      <c r="F55" s="268"/>
      <c r="G55" s="263">
        <v>13</v>
      </c>
      <c r="H55" s="262"/>
    </row>
    <row r="56" spans="1:11" x14ac:dyDescent="0.2">
      <c r="A56" s="256" t="s">
        <v>208</v>
      </c>
      <c r="B56" s="619" t="s">
        <v>191</v>
      </c>
      <c r="C56" s="263">
        <v>3</v>
      </c>
      <c r="D56" s="262"/>
      <c r="E56" s="267"/>
      <c r="F56" s="227"/>
      <c r="G56" s="227"/>
      <c r="H56" s="262"/>
    </row>
    <row r="57" spans="1:11" x14ac:dyDescent="0.2">
      <c r="A57" s="256"/>
      <c r="B57" s="257"/>
      <c r="C57" s="267" t="s">
        <v>192</v>
      </c>
      <c r="D57" s="268"/>
      <c r="E57" s="263">
        <v>13</v>
      </c>
      <c r="G57" s="227"/>
      <c r="H57" s="262"/>
    </row>
    <row r="58" spans="1:11" x14ac:dyDescent="0.2">
      <c r="A58" s="256" t="s">
        <v>266</v>
      </c>
      <c r="B58" s="259" t="s">
        <v>192</v>
      </c>
      <c r="C58" s="272">
        <v>13</v>
      </c>
      <c r="E58" s="227"/>
      <c r="F58" s="227"/>
      <c r="G58" s="227"/>
      <c r="H58" s="262"/>
    </row>
    <row r="59" spans="1:11" ht="13.5" thickBot="1" x14ac:dyDescent="0.25">
      <c r="B59" s="215"/>
      <c r="G59" s="227"/>
      <c r="H59" s="262"/>
      <c r="J59" s="215" t="s">
        <v>192</v>
      </c>
    </row>
    <row r="60" spans="1:11" x14ac:dyDescent="0.2">
      <c r="A60" s="255" t="s">
        <v>209</v>
      </c>
      <c r="B60" s="215" t="s">
        <v>262</v>
      </c>
      <c r="C60" s="270">
        <v>13</v>
      </c>
      <c r="G60" s="227"/>
      <c r="H60" s="262"/>
      <c r="I60" s="264"/>
      <c r="J60" s="265" t="s">
        <v>106</v>
      </c>
      <c r="K60" s="266"/>
    </row>
    <row r="61" spans="1:11" x14ac:dyDescent="0.2">
      <c r="A61" s="256"/>
      <c r="B61" s="257"/>
      <c r="C61" s="258" t="s">
        <v>262</v>
      </c>
      <c r="E61" s="270">
        <v>13</v>
      </c>
      <c r="G61" s="227"/>
      <c r="H61" s="262"/>
    </row>
    <row r="62" spans="1:11" x14ac:dyDescent="0.2">
      <c r="A62" s="256"/>
      <c r="B62" s="621" t="s">
        <v>160</v>
      </c>
      <c r="C62" s="260">
        <v>0</v>
      </c>
      <c r="D62" s="261"/>
      <c r="G62" s="227"/>
      <c r="H62" s="262"/>
    </row>
    <row r="63" spans="1:11" x14ac:dyDescent="0.2">
      <c r="A63" s="256"/>
      <c r="B63" s="215"/>
      <c r="D63" s="262"/>
      <c r="E63" s="215" t="s">
        <v>262</v>
      </c>
      <c r="G63" s="263">
        <v>3</v>
      </c>
      <c r="H63" s="262"/>
    </row>
    <row r="64" spans="1:11" x14ac:dyDescent="0.2">
      <c r="A64" s="256" t="s">
        <v>267</v>
      </c>
      <c r="B64" s="215" t="s">
        <v>194</v>
      </c>
      <c r="C64" s="263">
        <v>13</v>
      </c>
      <c r="D64" s="262"/>
      <c r="E64" s="620"/>
      <c r="F64" s="261"/>
      <c r="G64" s="227"/>
      <c r="H64" s="262"/>
    </row>
    <row r="65" spans="1:11" x14ac:dyDescent="0.2">
      <c r="A65" s="256"/>
      <c r="B65" s="257"/>
      <c r="C65" s="267" t="s">
        <v>194</v>
      </c>
      <c r="D65" s="268"/>
      <c r="E65" s="263">
        <v>7</v>
      </c>
      <c r="F65" s="262"/>
      <c r="G65" s="227"/>
      <c r="H65" s="262"/>
    </row>
    <row r="66" spans="1:11" x14ac:dyDescent="0.2">
      <c r="A66" s="256"/>
      <c r="B66" s="623"/>
      <c r="C66" s="272">
        <v>0</v>
      </c>
      <c r="E66" s="227"/>
      <c r="F66" s="262"/>
      <c r="G66" s="227"/>
      <c r="H66" s="262"/>
    </row>
    <row r="67" spans="1:11" x14ac:dyDescent="0.2">
      <c r="B67" s="215"/>
      <c r="E67" s="227"/>
      <c r="F67" s="262"/>
      <c r="G67" s="259" t="s">
        <v>184</v>
      </c>
      <c r="H67" s="268"/>
      <c r="I67" s="270">
        <v>12</v>
      </c>
    </row>
    <row r="68" spans="1:11" ht="13.5" thickBot="1" x14ac:dyDescent="0.25">
      <c r="A68" s="255" t="s">
        <v>299</v>
      </c>
      <c r="B68" s="215" t="s">
        <v>183</v>
      </c>
      <c r="C68" s="270">
        <v>13</v>
      </c>
      <c r="E68" s="227"/>
      <c r="F68" s="262"/>
      <c r="J68" s="624" t="s">
        <v>184</v>
      </c>
      <c r="K68" s="269"/>
    </row>
    <row r="69" spans="1:11" x14ac:dyDescent="0.2">
      <c r="A69" s="256"/>
      <c r="B69" s="257"/>
      <c r="C69" s="258" t="s">
        <v>183</v>
      </c>
      <c r="E69" s="263">
        <v>8</v>
      </c>
      <c r="F69" s="262"/>
      <c r="J69" s="265" t="s">
        <v>107</v>
      </c>
      <c r="K69" s="227"/>
    </row>
    <row r="70" spans="1:11" x14ac:dyDescent="0.2">
      <c r="A70" s="256"/>
      <c r="B70" s="621" t="s">
        <v>160</v>
      </c>
      <c r="C70" s="260">
        <v>0</v>
      </c>
      <c r="D70" s="261"/>
      <c r="E70" s="227"/>
      <c r="F70" s="262"/>
    </row>
    <row r="71" spans="1:11" x14ac:dyDescent="0.2">
      <c r="A71" s="256"/>
      <c r="B71" s="215"/>
      <c r="D71" s="262"/>
      <c r="E71" s="259" t="s">
        <v>184</v>
      </c>
      <c r="F71" s="268"/>
      <c r="G71" s="270">
        <v>13</v>
      </c>
    </row>
    <row r="72" spans="1:11" x14ac:dyDescent="0.2">
      <c r="A72" s="256" t="s">
        <v>314</v>
      </c>
      <c r="B72" s="215" t="s">
        <v>261</v>
      </c>
      <c r="C72" s="263">
        <v>11</v>
      </c>
      <c r="D72" s="262"/>
      <c r="E72" s="267"/>
      <c r="F72" s="227"/>
    </row>
    <row r="73" spans="1:11" x14ac:dyDescent="0.2">
      <c r="A73" s="256"/>
      <c r="B73" s="257"/>
      <c r="C73" s="267" t="s">
        <v>184</v>
      </c>
      <c r="D73" s="268"/>
      <c r="E73" s="263">
        <v>13</v>
      </c>
      <c r="G73" s="215" t="s">
        <v>315</v>
      </c>
      <c r="I73" s="263">
        <v>13</v>
      </c>
    </row>
    <row r="74" spans="1:11" ht="13.5" thickBot="1" x14ac:dyDescent="0.25">
      <c r="A74" s="256" t="s">
        <v>170</v>
      </c>
      <c r="B74" s="621" t="s">
        <v>184</v>
      </c>
      <c r="C74" s="272">
        <v>13</v>
      </c>
      <c r="E74" s="227"/>
      <c r="F74" s="227"/>
      <c r="G74" s="257"/>
      <c r="H74" s="261"/>
      <c r="I74" s="269"/>
      <c r="J74" s="526" t="s">
        <v>315</v>
      </c>
      <c r="K74" s="269"/>
    </row>
    <row r="75" spans="1:11" x14ac:dyDescent="0.2">
      <c r="B75" s="215"/>
      <c r="F75" s="227"/>
      <c r="G75" s="259" t="s">
        <v>262</v>
      </c>
      <c r="H75" s="268"/>
      <c r="I75" s="270">
        <v>6</v>
      </c>
      <c r="J75" s="271" t="s">
        <v>108</v>
      </c>
      <c r="K75" s="227"/>
    </row>
    <row r="76" spans="1:11" x14ac:dyDescent="0.2">
      <c r="B76" s="215"/>
      <c r="F76" s="227"/>
      <c r="J76" s="227"/>
      <c r="K76" s="227"/>
    </row>
    <row r="77" spans="1:11" ht="13.5" thickBot="1" x14ac:dyDescent="0.25">
      <c r="B77" s="215"/>
      <c r="F77" s="227"/>
      <c r="G77" s="227"/>
      <c r="H77" s="227"/>
      <c r="J77" s="269" t="s">
        <v>262</v>
      </c>
      <c r="K77" s="269"/>
    </row>
    <row r="78" spans="1:11" x14ac:dyDescent="0.2">
      <c r="B78" s="215"/>
      <c r="G78" s="227"/>
      <c r="H78" s="227"/>
      <c r="J78" s="214" t="s">
        <v>109</v>
      </c>
    </row>
    <row r="79" spans="1:11" x14ac:dyDescent="0.2">
      <c r="B79" s="215"/>
      <c r="H79" s="227"/>
      <c r="I79" s="227"/>
      <c r="K79" s="214"/>
    </row>
    <row r="80" spans="1:11" x14ac:dyDescent="0.2">
      <c r="A80" s="625" t="s">
        <v>123</v>
      </c>
      <c r="B80" s="215"/>
      <c r="H80" s="227"/>
      <c r="I80" s="227"/>
      <c r="K80" s="214"/>
    </row>
    <row r="81" spans="1:11" x14ac:dyDescent="0.2">
      <c r="A81" s="625"/>
      <c r="B81" s="215"/>
      <c r="G81" s="227"/>
      <c r="H81" s="227"/>
      <c r="J81" s="214"/>
    </row>
    <row r="82" spans="1:11" x14ac:dyDescent="0.2">
      <c r="B82" s="215"/>
      <c r="D82" s="626" t="s">
        <v>162</v>
      </c>
      <c r="E82" s="270"/>
      <c r="F82" s="270"/>
      <c r="G82" s="634" t="s">
        <v>160</v>
      </c>
      <c r="H82" s="270"/>
      <c r="I82" s="270"/>
    </row>
    <row r="83" spans="1:11" x14ac:dyDescent="0.2">
      <c r="B83" s="215"/>
      <c r="D83" s="627"/>
      <c r="E83" s="627"/>
      <c r="F83" s="628"/>
      <c r="G83" s="263" t="s">
        <v>190</v>
      </c>
      <c r="H83" s="270"/>
      <c r="I83" s="270">
        <v>13</v>
      </c>
    </row>
    <row r="84" spans="1:11" x14ac:dyDescent="0.2">
      <c r="B84" s="215"/>
      <c r="D84" s="629" t="s">
        <v>190</v>
      </c>
      <c r="E84" s="629"/>
      <c r="F84" s="630"/>
      <c r="G84" s="627">
        <v>13</v>
      </c>
      <c r="H84" s="628"/>
      <c r="I84" s="270"/>
    </row>
    <row r="85" spans="1:11" ht="13.5" thickBot="1" x14ac:dyDescent="0.25">
      <c r="B85" s="215"/>
      <c r="D85" s="270"/>
      <c r="E85" s="270"/>
      <c r="F85" s="270"/>
      <c r="G85" s="263"/>
      <c r="H85" s="631"/>
      <c r="I85" s="270"/>
      <c r="J85" s="215" t="s">
        <v>190</v>
      </c>
    </row>
    <row r="86" spans="1:11" x14ac:dyDescent="0.2">
      <c r="B86" s="215"/>
      <c r="D86" s="270" t="s">
        <v>194</v>
      </c>
      <c r="E86" s="270"/>
      <c r="F86" s="270"/>
      <c r="G86" s="263">
        <v>7</v>
      </c>
      <c r="H86" s="631"/>
      <c r="I86" s="632"/>
      <c r="J86" s="265" t="s">
        <v>110</v>
      </c>
      <c r="K86" s="266"/>
    </row>
    <row r="87" spans="1:11" x14ac:dyDescent="0.2">
      <c r="B87" s="215"/>
      <c r="D87" s="627"/>
      <c r="E87" s="627"/>
      <c r="F87" s="628"/>
      <c r="G87" s="629" t="s">
        <v>183</v>
      </c>
      <c r="H87" s="630"/>
      <c r="I87" s="263">
        <v>12</v>
      </c>
    </row>
    <row r="88" spans="1:11" ht="13.5" thickBot="1" x14ac:dyDescent="0.25">
      <c r="B88" s="215"/>
      <c r="D88" s="629" t="s">
        <v>183</v>
      </c>
      <c r="E88" s="629"/>
      <c r="F88" s="630"/>
      <c r="G88" s="263">
        <v>13</v>
      </c>
      <c r="H88" s="270"/>
      <c r="I88" s="263"/>
      <c r="J88" s="227" t="s">
        <v>183</v>
      </c>
      <c r="K88" s="269"/>
    </row>
    <row r="89" spans="1:11" x14ac:dyDescent="0.2">
      <c r="B89" s="215"/>
      <c r="D89" s="270"/>
      <c r="E89" s="270"/>
      <c r="F89" s="270"/>
      <c r="G89" s="270"/>
      <c r="H89" s="270"/>
      <c r="I89" s="263"/>
      <c r="J89" s="265" t="s">
        <v>111</v>
      </c>
      <c r="K89" s="227"/>
    </row>
    <row r="90" spans="1:11" x14ac:dyDescent="0.2">
      <c r="B90" s="215"/>
      <c r="D90" s="270"/>
      <c r="E90" s="270"/>
      <c r="F90" s="263"/>
      <c r="G90" s="270" t="s">
        <v>162</v>
      </c>
      <c r="H90" s="270"/>
      <c r="I90" s="640" t="s">
        <v>160</v>
      </c>
      <c r="J90" s="227"/>
      <c r="K90" s="227"/>
    </row>
    <row r="91" spans="1:11" ht="13.5" thickBot="1" x14ac:dyDescent="0.25">
      <c r="B91" s="215"/>
      <c r="D91" s="270"/>
      <c r="E91" s="270"/>
      <c r="F91" s="263"/>
      <c r="G91" s="627"/>
      <c r="H91" s="628"/>
      <c r="I91" s="633"/>
      <c r="J91" s="269" t="s">
        <v>194</v>
      </c>
      <c r="K91" s="269"/>
    </row>
    <row r="92" spans="1:11" x14ac:dyDescent="0.2">
      <c r="B92" s="215"/>
      <c r="D92" s="270"/>
      <c r="E92" s="270"/>
      <c r="F92" s="263"/>
      <c r="G92" s="629" t="s">
        <v>194</v>
      </c>
      <c r="H92" s="630"/>
      <c r="I92" s="270">
        <v>13</v>
      </c>
      <c r="J92" s="271" t="s">
        <v>112</v>
      </c>
      <c r="K92" s="227"/>
    </row>
    <row r="93" spans="1:11" x14ac:dyDescent="0.2">
      <c r="B93" s="215"/>
      <c r="F93" s="227"/>
      <c r="J93" s="227"/>
      <c r="K93" s="227"/>
    </row>
    <row r="94" spans="1:11" ht="13.5" thickBot="1" x14ac:dyDescent="0.25">
      <c r="B94" s="215"/>
      <c r="D94" s="214"/>
      <c r="G94" s="227"/>
      <c r="H94" s="227"/>
      <c r="J94" s="269" t="s">
        <v>162</v>
      </c>
      <c r="K94" s="269"/>
    </row>
    <row r="95" spans="1:11" x14ac:dyDescent="0.2">
      <c r="B95" s="215"/>
      <c r="D95" s="214"/>
      <c r="G95" s="227"/>
      <c r="H95" s="227"/>
      <c r="J95" s="271" t="s">
        <v>113</v>
      </c>
    </row>
    <row r="96" spans="1:11" x14ac:dyDescent="0.2">
      <c r="B96" s="215"/>
      <c r="D96" s="214"/>
      <c r="G96" s="227"/>
      <c r="H96" s="227"/>
      <c r="J96" s="271"/>
    </row>
    <row r="97" spans="1:11" x14ac:dyDescent="0.2">
      <c r="A97" s="625" t="s">
        <v>265</v>
      </c>
      <c r="B97" s="215"/>
      <c r="G97" s="227"/>
      <c r="H97" s="227"/>
      <c r="J97" s="214"/>
    </row>
    <row r="98" spans="1:11" x14ac:dyDescent="0.2">
      <c r="A98" s="625"/>
      <c r="B98" s="215"/>
      <c r="G98" s="227"/>
      <c r="H98" s="227"/>
      <c r="J98" s="214"/>
    </row>
    <row r="99" spans="1:11" s="229" customFormat="1" x14ac:dyDescent="0.2">
      <c r="A99" s="230"/>
      <c r="B99" s="230"/>
      <c r="C99" s="392" t="s">
        <v>188</v>
      </c>
      <c r="E99" s="637" t="s">
        <v>160</v>
      </c>
    </row>
    <row r="100" spans="1:11" s="229" customFormat="1" x14ac:dyDescent="0.2">
      <c r="A100" s="231"/>
      <c r="B100" s="230"/>
      <c r="C100" s="232"/>
      <c r="D100" s="237"/>
      <c r="E100" s="233" t="s">
        <v>188</v>
      </c>
      <c r="G100" s="637" t="s">
        <v>160</v>
      </c>
    </row>
    <row r="101" spans="1:11" s="229" customFormat="1" x14ac:dyDescent="0.2">
      <c r="A101" s="230"/>
      <c r="B101" s="230"/>
      <c r="C101" s="404" t="s">
        <v>160</v>
      </c>
      <c r="D101" s="235"/>
      <c r="E101" s="638" t="s">
        <v>160</v>
      </c>
      <c r="F101" s="237"/>
    </row>
    <row r="102" spans="1:11" s="229" customFormat="1" x14ac:dyDescent="0.2">
      <c r="A102" s="231"/>
      <c r="B102" s="230"/>
      <c r="F102" s="239"/>
      <c r="G102" s="229" t="s">
        <v>368</v>
      </c>
      <c r="I102" s="240">
        <v>3</v>
      </c>
    </row>
    <row r="103" spans="1:11" s="229" customFormat="1" x14ac:dyDescent="0.2">
      <c r="A103" s="230"/>
      <c r="B103" s="230"/>
      <c r="C103" s="229" t="s">
        <v>368</v>
      </c>
      <c r="D103" s="241"/>
      <c r="E103" s="244">
        <v>13</v>
      </c>
      <c r="F103" s="239"/>
      <c r="G103" s="232"/>
      <c r="H103" s="237"/>
    </row>
    <row r="104" spans="1:11" s="229" customFormat="1" x14ac:dyDescent="0.2">
      <c r="A104" s="231"/>
      <c r="B104" s="230"/>
      <c r="C104" s="232"/>
      <c r="D104" s="237"/>
      <c r="E104" s="639" t="s">
        <v>368</v>
      </c>
      <c r="F104" s="243"/>
      <c r="G104" s="244">
        <v>13</v>
      </c>
      <c r="H104" s="239"/>
    </row>
    <row r="105" spans="1:11" s="229" customFormat="1" x14ac:dyDescent="0.2">
      <c r="A105" s="230"/>
      <c r="B105" s="230"/>
      <c r="C105" s="404" t="s">
        <v>191</v>
      </c>
      <c r="D105" s="235"/>
      <c r="E105" s="636" t="s">
        <v>160</v>
      </c>
      <c r="G105" s="238"/>
      <c r="H105" s="239"/>
    </row>
    <row r="106" spans="1:11" s="229" customFormat="1" ht="13.5" thickBot="1" x14ac:dyDescent="0.25">
      <c r="A106" s="231"/>
      <c r="B106" s="230"/>
      <c r="G106" s="238"/>
      <c r="H106" s="239"/>
      <c r="J106" s="229" t="s">
        <v>261</v>
      </c>
    </row>
    <row r="107" spans="1:11" s="229" customFormat="1" x14ac:dyDescent="0.2">
      <c r="A107" s="230"/>
      <c r="B107" s="230"/>
      <c r="C107" s="392" t="s">
        <v>160</v>
      </c>
      <c r="E107" s="240"/>
      <c r="G107" s="238"/>
      <c r="H107" s="239"/>
      <c r="I107" s="246"/>
      <c r="J107" s="247" t="s">
        <v>114</v>
      </c>
      <c r="K107" s="248"/>
    </row>
    <row r="108" spans="1:11" s="229" customFormat="1" x14ac:dyDescent="0.2">
      <c r="A108" s="231"/>
      <c r="B108" s="230"/>
      <c r="C108" s="232"/>
      <c r="D108" s="237"/>
      <c r="E108" s="233"/>
      <c r="G108" s="244">
        <v>0</v>
      </c>
      <c r="H108" s="239"/>
    </row>
    <row r="109" spans="1:11" s="229" customFormat="1" ht="13.5" thickBot="1" x14ac:dyDescent="0.25">
      <c r="A109" s="230"/>
      <c r="B109" s="230"/>
      <c r="C109" s="404" t="s">
        <v>160</v>
      </c>
      <c r="D109" s="249"/>
      <c r="E109" s="236"/>
      <c r="F109" s="237"/>
      <c r="G109" s="238"/>
      <c r="H109" s="239"/>
      <c r="J109" s="250" t="s">
        <v>368</v>
      </c>
      <c r="K109" s="250"/>
    </row>
    <row r="110" spans="1:11" s="229" customFormat="1" x14ac:dyDescent="0.2">
      <c r="A110" s="231"/>
      <c r="B110" s="230"/>
      <c r="F110" s="239"/>
      <c r="G110" s="234" t="s">
        <v>261</v>
      </c>
      <c r="H110" s="243"/>
      <c r="I110" s="240">
        <v>13</v>
      </c>
      <c r="J110" s="247" t="s">
        <v>115</v>
      </c>
    </row>
    <row r="111" spans="1:11" s="229" customFormat="1" x14ac:dyDescent="0.2">
      <c r="A111" s="230"/>
      <c r="B111" s="230"/>
      <c r="C111" s="392" t="s">
        <v>160</v>
      </c>
      <c r="E111" s="635">
        <v>0</v>
      </c>
      <c r="F111" s="239"/>
    </row>
    <row r="112" spans="1:11" s="229" customFormat="1" x14ac:dyDescent="0.2">
      <c r="A112" s="231"/>
      <c r="B112" s="230"/>
      <c r="C112" s="232"/>
      <c r="D112" s="237"/>
      <c r="E112" s="242" t="s">
        <v>261</v>
      </c>
      <c r="F112" s="243"/>
      <c r="G112" s="240">
        <v>13</v>
      </c>
    </row>
    <row r="113" spans="1:11" s="229" customFormat="1" x14ac:dyDescent="0.2">
      <c r="A113" s="230"/>
      <c r="B113" s="230"/>
      <c r="C113" s="404" t="s">
        <v>261</v>
      </c>
      <c r="D113" s="243"/>
      <c r="E113" s="245">
        <v>13</v>
      </c>
    </row>
    <row r="114" spans="1:11" s="229" customFormat="1" x14ac:dyDescent="0.2">
      <c r="G114" s="392" t="s">
        <v>188</v>
      </c>
      <c r="I114" s="244"/>
      <c r="J114" s="238"/>
      <c r="K114" s="238"/>
    </row>
    <row r="115" spans="1:11" s="229" customFormat="1" ht="13.5" thickBot="1" x14ac:dyDescent="0.25">
      <c r="G115" s="232"/>
      <c r="H115" s="237"/>
      <c r="I115" s="250"/>
      <c r="J115" s="250" t="s">
        <v>188</v>
      </c>
      <c r="K115" s="250"/>
    </row>
    <row r="116" spans="1:11" s="229" customFormat="1" x14ac:dyDescent="0.2">
      <c r="G116" s="234" t="s">
        <v>191</v>
      </c>
      <c r="H116" s="243"/>
      <c r="I116" s="240"/>
      <c r="J116" s="251" t="s">
        <v>309</v>
      </c>
      <c r="K116" s="238"/>
    </row>
    <row r="117" spans="1:11" s="229" customFormat="1" x14ac:dyDescent="0.2">
      <c r="J117" s="238"/>
      <c r="K117" s="238"/>
    </row>
    <row r="118" spans="1:11" s="229" customFormat="1" ht="13.5" thickBot="1" x14ac:dyDescent="0.25">
      <c r="H118" s="238"/>
      <c r="J118" s="250" t="s">
        <v>191</v>
      </c>
      <c r="K118" s="250"/>
    </row>
    <row r="119" spans="1:11" s="229" customFormat="1" x14ac:dyDescent="0.2">
      <c r="G119" s="240"/>
      <c r="J119" s="251" t="s">
        <v>309</v>
      </c>
    </row>
    <row r="120" spans="1:11" x14ac:dyDescent="0.2">
      <c r="A120" s="625"/>
      <c r="B120" s="215"/>
      <c r="G120" s="227"/>
      <c r="H120" s="227"/>
      <c r="J120" s="214"/>
    </row>
    <row r="121" spans="1:11" s="229" customFormat="1" x14ac:dyDescent="0.2">
      <c r="A121" s="228" t="s">
        <v>302</v>
      </c>
    </row>
    <row r="122" spans="1:11" s="229" customFormat="1" x14ac:dyDescent="0.2">
      <c r="A122" s="228"/>
    </row>
    <row r="123" spans="1:11" s="229" customFormat="1" x14ac:dyDescent="0.2">
      <c r="A123" s="230"/>
      <c r="B123" s="230" t="s">
        <v>220</v>
      </c>
      <c r="C123" s="392" t="s">
        <v>202</v>
      </c>
      <c r="E123" s="240">
        <v>9</v>
      </c>
    </row>
    <row r="124" spans="1:11" s="229" customFormat="1" x14ac:dyDescent="0.2">
      <c r="A124" s="231"/>
      <c r="B124" s="230"/>
      <c r="C124" s="232"/>
      <c r="D124" s="237"/>
      <c r="E124" s="233" t="s">
        <v>189</v>
      </c>
      <c r="G124" s="240">
        <v>13</v>
      </c>
    </row>
    <row r="125" spans="1:11" s="229" customFormat="1" x14ac:dyDescent="0.2">
      <c r="A125" s="230"/>
      <c r="B125" s="230" t="s">
        <v>312</v>
      </c>
      <c r="C125" s="234" t="s">
        <v>189</v>
      </c>
      <c r="D125" s="235"/>
      <c r="E125" s="236">
        <v>13</v>
      </c>
      <c r="F125" s="237"/>
    </row>
    <row r="126" spans="1:11" s="229" customFormat="1" x14ac:dyDescent="0.2">
      <c r="A126" s="231"/>
      <c r="B126" s="230"/>
      <c r="F126" s="239"/>
      <c r="G126" s="229" t="s">
        <v>189</v>
      </c>
      <c r="I126" s="240">
        <v>13</v>
      </c>
    </row>
    <row r="127" spans="1:11" s="229" customFormat="1" x14ac:dyDescent="0.2">
      <c r="A127" s="230"/>
      <c r="B127" s="230"/>
      <c r="C127" s="392" t="s">
        <v>160</v>
      </c>
      <c r="D127" s="241"/>
      <c r="E127" s="244">
        <v>0</v>
      </c>
      <c r="F127" s="239"/>
      <c r="G127" s="232"/>
      <c r="H127" s="237"/>
    </row>
    <row r="128" spans="1:11" s="229" customFormat="1" x14ac:dyDescent="0.2">
      <c r="A128" s="231"/>
      <c r="B128" s="230"/>
      <c r="C128" s="232"/>
      <c r="D128" s="237"/>
      <c r="E128" s="242" t="s">
        <v>311</v>
      </c>
      <c r="F128" s="243"/>
      <c r="G128" s="244">
        <v>10</v>
      </c>
      <c r="H128" s="239"/>
    </row>
    <row r="129" spans="1:11" s="229" customFormat="1" x14ac:dyDescent="0.2">
      <c r="A129" s="230"/>
      <c r="B129" s="230" t="s">
        <v>264</v>
      </c>
      <c r="C129" s="234" t="s">
        <v>311</v>
      </c>
      <c r="D129" s="235"/>
      <c r="E129" s="245">
        <v>13</v>
      </c>
      <c r="G129" s="238"/>
      <c r="H129" s="239"/>
    </row>
    <row r="130" spans="1:11" s="229" customFormat="1" ht="13.5" thickBot="1" x14ac:dyDescent="0.25">
      <c r="A130" s="231"/>
      <c r="B130" s="230"/>
      <c r="G130" s="238"/>
      <c r="H130" s="239"/>
      <c r="J130" s="229" t="s">
        <v>189</v>
      </c>
    </row>
    <row r="131" spans="1:11" s="229" customFormat="1" x14ac:dyDescent="0.2">
      <c r="A131" s="230"/>
      <c r="B131" s="230" t="s">
        <v>263</v>
      </c>
      <c r="C131" s="229" t="s">
        <v>199</v>
      </c>
      <c r="E131" s="637" t="s">
        <v>160</v>
      </c>
      <c r="G131" s="238"/>
      <c r="H131" s="239"/>
      <c r="I131" s="246"/>
      <c r="J131" s="247" t="s">
        <v>118</v>
      </c>
      <c r="K131" s="248"/>
    </row>
    <row r="132" spans="1:11" s="229" customFormat="1" x14ac:dyDescent="0.2">
      <c r="A132" s="231"/>
      <c r="B132" s="230"/>
      <c r="C132" s="232"/>
      <c r="D132" s="237"/>
      <c r="E132" s="233" t="s">
        <v>198</v>
      </c>
      <c r="G132" s="244">
        <v>10</v>
      </c>
      <c r="H132" s="239"/>
    </row>
    <row r="133" spans="1:11" s="229" customFormat="1" ht="13.5" thickBot="1" x14ac:dyDescent="0.25">
      <c r="A133" s="230"/>
      <c r="B133" s="230" t="s">
        <v>317</v>
      </c>
      <c r="C133" s="234" t="s">
        <v>198</v>
      </c>
      <c r="D133" s="249"/>
      <c r="E133" s="236">
        <v>13</v>
      </c>
      <c r="F133" s="237"/>
      <c r="G133" s="238"/>
      <c r="H133" s="239"/>
      <c r="J133" s="250" t="s">
        <v>187</v>
      </c>
      <c r="K133" s="250"/>
    </row>
    <row r="134" spans="1:11" s="229" customFormat="1" x14ac:dyDescent="0.2">
      <c r="A134" s="231"/>
      <c r="B134" s="230"/>
      <c r="F134" s="239"/>
      <c r="G134" s="234" t="s">
        <v>187</v>
      </c>
      <c r="H134" s="243"/>
      <c r="I134" s="240">
        <v>7</v>
      </c>
      <c r="J134" s="247" t="s">
        <v>119</v>
      </c>
    </row>
    <row r="135" spans="1:11" s="229" customFormat="1" x14ac:dyDescent="0.2">
      <c r="A135" s="230"/>
      <c r="B135" s="230"/>
      <c r="C135" s="392" t="s">
        <v>160</v>
      </c>
      <c r="E135" s="244">
        <v>0</v>
      </c>
      <c r="F135" s="239"/>
    </row>
    <row r="136" spans="1:11" s="229" customFormat="1" x14ac:dyDescent="0.2">
      <c r="A136" s="231"/>
      <c r="B136" s="230"/>
      <c r="C136" s="232"/>
      <c r="D136" s="237"/>
      <c r="E136" s="242" t="s">
        <v>187</v>
      </c>
      <c r="F136" s="243"/>
      <c r="G136" s="240">
        <v>13</v>
      </c>
    </row>
    <row r="137" spans="1:11" s="229" customFormat="1" x14ac:dyDescent="0.2">
      <c r="A137" s="230"/>
      <c r="B137" s="230" t="s">
        <v>222</v>
      </c>
      <c r="C137" s="404" t="s">
        <v>187</v>
      </c>
      <c r="D137" s="243"/>
      <c r="E137" s="245">
        <v>13</v>
      </c>
    </row>
    <row r="138" spans="1:11" s="229" customFormat="1" x14ac:dyDescent="0.2">
      <c r="G138" s="229" t="s">
        <v>311</v>
      </c>
      <c r="I138" s="244">
        <v>10</v>
      </c>
      <c r="J138" s="238"/>
      <c r="K138" s="238"/>
    </row>
    <row r="139" spans="1:11" s="229" customFormat="1" ht="13.5" thickBot="1" x14ac:dyDescent="0.25">
      <c r="G139" s="232"/>
      <c r="H139" s="237"/>
      <c r="I139" s="250"/>
      <c r="J139" s="250" t="s">
        <v>198</v>
      </c>
      <c r="K139" s="250"/>
    </row>
    <row r="140" spans="1:11" s="229" customFormat="1" x14ac:dyDescent="0.2">
      <c r="G140" s="234" t="s">
        <v>198</v>
      </c>
      <c r="H140" s="243"/>
      <c r="I140" s="240">
        <v>13</v>
      </c>
      <c r="J140" s="251" t="s">
        <v>120</v>
      </c>
      <c r="K140" s="238"/>
    </row>
    <row r="141" spans="1:11" s="229" customFormat="1" x14ac:dyDescent="0.2">
      <c r="J141" s="238"/>
      <c r="K141" s="238"/>
    </row>
    <row r="142" spans="1:11" s="229" customFormat="1" ht="13.5" thickBot="1" x14ac:dyDescent="0.25">
      <c r="H142" s="238"/>
      <c r="J142" s="250" t="s">
        <v>311</v>
      </c>
      <c r="K142" s="250"/>
    </row>
    <row r="143" spans="1:11" s="229" customFormat="1" x14ac:dyDescent="0.2">
      <c r="E143" s="229" t="s">
        <v>202</v>
      </c>
      <c r="G143" s="240">
        <v>13</v>
      </c>
      <c r="J143" s="252" t="s">
        <v>121</v>
      </c>
    </row>
    <row r="144" spans="1:11" s="229" customFormat="1" x14ac:dyDescent="0.2">
      <c r="E144" s="232"/>
      <c r="F144" s="237"/>
      <c r="G144" s="233" t="s">
        <v>202</v>
      </c>
      <c r="H144" s="234"/>
      <c r="I144" s="240">
        <v>13</v>
      </c>
    </row>
    <row r="145" spans="1:11" s="229" customFormat="1" x14ac:dyDescent="0.2">
      <c r="E145" s="404" t="s">
        <v>160</v>
      </c>
      <c r="F145" s="243"/>
      <c r="G145" s="236">
        <v>0</v>
      </c>
      <c r="H145" s="239"/>
    </row>
    <row r="146" spans="1:11" s="229" customFormat="1" ht="13.5" thickBot="1" x14ac:dyDescent="0.25">
      <c r="G146" s="238"/>
      <c r="H146" s="239"/>
      <c r="J146" s="229" t="s">
        <v>202</v>
      </c>
    </row>
    <row r="147" spans="1:11" s="229" customFormat="1" x14ac:dyDescent="0.2">
      <c r="E147" s="229" t="s">
        <v>199</v>
      </c>
      <c r="G147" s="635" t="s">
        <v>160</v>
      </c>
      <c r="H147" s="239"/>
      <c r="I147" s="246"/>
      <c r="J147" s="247" t="s">
        <v>300</v>
      </c>
      <c r="K147" s="248"/>
    </row>
    <row r="148" spans="1:11" s="229" customFormat="1" x14ac:dyDescent="0.2">
      <c r="E148" s="232"/>
      <c r="F148" s="237"/>
      <c r="G148" s="242" t="s">
        <v>199</v>
      </c>
      <c r="H148" s="243"/>
      <c r="I148" s="635" t="s">
        <v>160</v>
      </c>
    </row>
    <row r="149" spans="1:11" s="229" customFormat="1" ht="13.5" thickBot="1" x14ac:dyDescent="0.25">
      <c r="E149" s="404" t="s">
        <v>160</v>
      </c>
      <c r="F149" s="243"/>
      <c r="G149" s="636" t="s">
        <v>160</v>
      </c>
      <c r="I149" s="238"/>
      <c r="J149" s="238" t="s">
        <v>199</v>
      </c>
      <c r="K149" s="250"/>
    </row>
    <row r="150" spans="1:11" s="229" customFormat="1" x14ac:dyDescent="0.2">
      <c r="I150" s="238"/>
      <c r="J150" s="247" t="s">
        <v>301</v>
      </c>
      <c r="K150" s="238"/>
    </row>
    <row r="151" spans="1:11" s="229" customFormat="1" x14ac:dyDescent="0.2"/>
    <row r="152" spans="1:11" s="229" customFormat="1" x14ac:dyDescent="0.2">
      <c r="A152" s="228" t="s">
        <v>303</v>
      </c>
    </row>
    <row r="153" spans="1:11" s="229" customFormat="1" x14ac:dyDescent="0.2">
      <c r="A153" s="228"/>
    </row>
    <row r="154" spans="1:11" s="229" customFormat="1" x14ac:dyDescent="0.2">
      <c r="A154" s="230"/>
      <c r="B154" s="230"/>
      <c r="C154" s="392" t="s">
        <v>160</v>
      </c>
      <c r="E154" s="240">
        <v>0</v>
      </c>
    </row>
    <row r="155" spans="1:11" s="229" customFormat="1" x14ac:dyDescent="0.2">
      <c r="A155" s="231"/>
      <c r="B155" s="230"/>
      <c r="C155" s="232"/>
      <c r="D155" s="237"/>
      <c r="E155" s="233" t="s">
        <v>171</v>
      </c>
      <c r="G155" s="240">
        <v>13</v>
      </c>
    </row>
    <row r="156" spans="1:11" s="229" customFormat="1" x14ac:dyDescent="0.2">
      <c r="A156" s="230"/>
      <c r="B156" s="230" t="s">
        <v>313</v>
      </c>
      <c r="C156" s="234" t="s">
        <v>171</v>
      </c>
      <c r="D156" s="235"/>
      <c r="E156" s="236">
        <v>13</v>
      </c>
      <c r="F156" s="237"/>
    </row>
    <row r="157" spans="1:11" s="229" customFormat="1" x14ac:dyDescent="0.2">
      <c r="A157" s="231"/>
      <c r="B157" s="230"/>
      <c r="F157" s="239"/>
      <c r="G157" s="229" t="s">
        <v>171</v>
      </c>
      <c r="I157" s="240">
        <v>13</v>
      </c>
    </row>
    <row r="158" spans="1:11" s="229" customFormat="1" x14ac:dyDescent="0.2">
      <c r="A158" s="230"/>
      <c r="B158" s="230"/>
      <c r="C158" s="229" t="s">
        <v>257</v>
      </c>
      <c r="D158" s="241"/>
      <c r="E158" s="244">
        <v>13</v>
      </c>
      <c r="F158" s="239"/>
      <c r="G158" s="232"/>
      <c r="H158" s="237"/>
    </row>
    <row r="159" spans="1:11" s="229" customFormat="1" x14ac:dyDescent="0.2">
      <c r="A159" s="231"/>
      <c r="B159" s="230"/>
      <c r="C159" s="232"/>
      <c r="D159" s="237"/>
      <c r="E159" s="242" t="s">
        <v>257</v>
      </c>
      <c r="F159" s="243"/>
      <c r="G159" s="645">
        <v>0</v>
      </c>
      <c r="H159" s="239"/>
    </row>
    <row r="160" spans="1:11" s="229" customFormat="1" x14ac:dyDescent="0.2">
      <c r="A160" s="230"/>
      <c r="B160" s="230"/>
      <c r="C160" s="404" t="s">
        <v>160</v>
      </c>
      <c r="D160" s="235"/>
      <c r="E160" s="245">
        <v>0</v>
      </c>
      <c r="G160" s="238"/>
      <c r="H160" s="239"/>
    </row>
    <row r="161" spans="1:11" s="229" customFormat="1" ht="13.5" thickBot="1" x14ac:dyDescent="0.25">
      <c r="A161" s="231"/>
      <c r="B161" s="230"/>
      <c r="G161" s="238"/>
      <c r="H161" s="239"/>
      <c r="J161" s="229" t="s">
        <v>171</v>
      </c>
    </row>
    <row r="162" spans="1:11" s="229" customFormat="1" x14ac:dyDescent="0.2">
      <c r="A162" s="230"/>
      <c r="B162" s="230" t="s">
        <v>310</v>
      </c>
      <c r="C162" s="229" t="s">
        <v>197</v>
      </c>
      <c r="E162" s="240">
        <v>13</v>
      </c>
      <c r="G162" s="238"/>
      <c r="H162" s="239"/>
      <c r="I162" s="246"/>
      <c r="J162" s="247" t="s">
        <v>304</v>
      </c>
      <c r="K162" s="248"/>
    </row>
    <row r="163" spans="1:11" s="229" customFormat="1" x14ac:dyDescent="0.2">
      <c r="A163" s="231"/>
      <c r="B163" s="230"/>
      <c r="C163" s="232"/>
      <c r="D163" s="237"/>
      <c r="E163" s="233" t="s">
        <v>197</v>
      </c>
      <c r="G163" s="244">
        <v>7</v>
      </c>
      <c r="H163" s="239"/>
    </row>
    <row r="164" spans="1:11" s="229" customFormat="1" ht="13.5" thickBot="1" x14ac:dyDescent="0.25">
      <c r="A164" s="230"/>
      <c r="B164" s="230"/>
      <c r="C164" s="404" t="s">
        <v>160</v>
      </c>
      <c r="D164" s="249"/>
      <c r="E164" s="236">
        <v>0</v>
      </c>
      <c r="F164" s="237"/>
      <c r="G164" s="238"/>
      <c r="H164" s="239"/>
      <c r="J164" s="250" t="s">
        <v>203</v>
      </c>
      <c r="K164" s="250"/>
    </row>
    <row r="165" spans="1:11" s="229" customFormat="1" x14ac:dyDescent="0.2">
      <c r="A165" s="231"/>
      <c r="B165" s="230"/>
      <c r="F165" s="239"/>
      <c r="G165" s="234" t="s">
        <v>203</v>
      </c>
      <c r="H165" s="243"/>
      <c r="I165" s="240">
        <v>3</v>
      </c>
      <c r="J165" s="247" t="s">
        <v>305</v>
      </c>
    </row>
    <row r="166" spans="1:11" s="229" customFormat="1" x14ac:dyDescent="0.2">
      <c r="A166" s="230"/>
      <c r="B166" s="230" t="s">
        <v>221</v>
      </c>
      <c r="C166" s="229" t="s">
        <v>203</v>
      </c>
      <c r="E166" s="244">
        <v>13</v>
      </c>
      <c r="F166" s="239"/>
    </row>
    <row r="167" spans="1:11" s="229" customFormat="1" x14ac:dyDescent="0.2">
      <c r="A167" s="231"/>
      <c r="B167" s="230"/>
      <c r="C167" s="232"/>
      <c r="D167" s="237"/>
      <c r="E167" s="242" t="s">
        <v>203</v>
      </c>
      <c r="F167" s="243"/>
      <c r="G167" s="240">
        <v>13</v>
      </c>
    </row>
    <row r="168" spans="1:11" s="229" customFormat="1" x14ac:dyDescent="0.2">
      <c r="A168" s="230"/>
      <c r="B168" s="230" t="s">
        <v>316</v>
      </c>
      <c r="C168" s="234" t="s">
        <v>185</v>
      </c>
      <c r="D168" s="243"/>
      <c r="E168" s="245">
        <v>5</v>
      </c>
    </row>
    <row r="169" spans="1:11" s="229" customFormat="1" x14ac:dyDescent="0.2">
      <c r="G169" s="229" t="s">
        <v>257</v>
      </c>
      <c r="I169" s="244">
        <v>11</v>
      </c>
      <c r="J169" s="238"/>
      <c r="K169" s="238"/>
    </row>
    <row r="170" spans="1:11" s="229" customFormat="1" ht="13.5" thickBot="1" x14ac:dyDescent="0.25">
      <c r="G170" s="232"/>
      <c r="H170" s="237"/>
      <c r="I170" s="250"/>
      <c r="J170" s="250" t="s">
        <v>197</v>
      </c>
      <c r="K170" s="250"/>
    </row>
    <row r="171" spans="1:11" s="229" customFormat="1" x14ac:dyDescent="0.2">
      <c r="G171" s="234" t="s">
        <v>197</v>
      </c>
      <c r="H171" s="243"/>
      <c r="I171" s="240">
        <v>13</v>
      </c>
      <c r="J171" s="251" t="s">
        <v>306</v>
      </c>
      <c r="K171" s="238"/>
    </row>
    <row r="172" spans="1:11" s="229" customFormat="1" x14ac:dyDescent="0.2">
      <c r="J172" s="238"/>
      <c r="K172" s="238"/>
    </row>
    <row r="173" spans="1:11" s="229" customFormat="1" ht="13.5" thickBot="1" x14ac:dyDescent="0.25">
      <c r="H173" s="238"/>
      <c r="J173" s="250" t="s">
        <v>257</v>
      </c>
      <c r="K173" s="250"/>
    </row>
    <row r="174" spans="1:11" s="229" customFormat="1" x14ac:dyDescent="0.2">
      <c r="E174" s="392" t="s">
        <v>160</v>
      </c>
      <c r="G174" s="637" t="s">
        <v>160</v>
      </c>
      <c r="J174" s="252" t="s">
        <v>307</v>
      </c>
    </row>
    <row r="175" spans="1:11" s="229" customFormat="1" x14ac:dyDescent="0.2">
      <c r="E175" s="232"/>
      <c r="F175" s="237"/>
      <c r="G175" s="233"/>
      <c r="H175" s="234"/>
      <c r="I175" s="240">
        <v>0</v>
      </c>
    </row>
    <row r="176" spans="1:11" s="229" customFormat="1" x14ac:dyDescent="0.2">
      <c r="E176" s="404" t="s">
        <v>160</v>
      </c>
      <c r="F176" s="243"/>
      <c r="G176" s="638" t="s">
        <v>160</v>
      </c>
      <c r="H176" s="239"/>
    </row>
    <row r="177" spans="1:13" s="229" customFormat="1" ht="13.5" thickBot="1" x14ac:dyDescent="0.25">
      <c r="G177" s="238"/>
      <c r="H177" s="239"/>
      <c r="J177" s="229" t="s">
        <v>185</v>
      </c>
    </row>
    <row r="178" spans="1:13" s="229" customFormat="1" x14ac:dyDescent="0.2">
      <c r="E178" s="392" t="s">
        <v>160</v>
      </c>
      <c r="G178" s="244">
        <v>0</v>
      </c>
      <c r="H178" s="239"/>
      <c r="I178" s="246"/>
      <c r="J178" s="247" t="s">
        <v>308</v>
      </c>
      <c r="K178" s="248"/>
    </row>
    <row r="179" spans="1:13" s="229" customFormat="1" x14ac:dyDescent="0.2">
      <c r="E179" s="232"/>
      <c r="F179" s="237"/>
      <c r="G179" s="242" t="s">
        <v>185</v>
      </c>
      <c r="H179" s="243"/>
      <c r="I179" s="244">
        <v>13</v>
      </c>
    </row>
    <row r="180" spans="1:13" s="229" customFormat="1" ht="13.5" thickBot="1" x14ac:dyDescent="0.25">
      <c r="E180" s="234" t="s">
        <v>185</v>
      </c>
      <c r="F180" s="243"/>
      <c r="G180" s="245">
        <v>13</v>
      </c>
      <c r="I180" s="238"/>
      <c r="J180" s="238"/>
      <c r="K180" s="250"/>
    </row>
    <row r="181" spans="1:13" s="229" customFormat="1" x14ac:dyDescent="0.2">
      <c r="I181" s="238"/>
      <c r="J181" s="247"/>
      <c r="K181" s="238"/>
    </row>
    <row r="182" spans="1:13" s="229" customFormat="1" x14ac:dyDescent="0.2">
      <c r="H182" s="219"/>
      <c r="I182" s="219"/>
      <c r="J182" s="219"/>
      <c r="K182" s="219"/>
      <c r="L182" s="219"/>
      <c r="M182" s="219"/>
    </row>
    <row r="183" spans="1:13" s="219" customFormat="1" x14ac:dyDescent="0.2">
      <c r="A183" s="534">
        <v>1</v>
      </c>
      <c r="B183" s="534" t="s">
        <v>192</v>
      </c>
    </row>
    <row r="184" spans="1:13" s="219" customFormat="1" x14ac:dyDescent="0.2">
      <c r="A184" s="534">
        <v>2</v>
      </c>
      <c r="B184" s="253" t="s">
        <v>184</v>
      </c>
    </row>
    <row r="185" spans="1:13" s="219" customFormat="1" x14ac:dyDescent="0.2">
      <c r="A185" s="534">
        <v>3</v>
      </c>
      <c r="B185" s="253" t="s">
        <v>315</v>
      </c>
    </row>
    <row r="186" spans="1:13" s="219" customFormat="1" x14ac:dyDescent="0.2">
      <c r="A186" s="534">
        <v>4</v>
      </c>
      <c r="B186" s="253" t="s">
        <v>262</v>
      </c>
    </row>
    <row r="187" spans="1:13" s="219" customFormat="1" x14ac:dyDescent="0.2">
      <c r="A187" s="534">
        <v>5</v>
      </c>
      <c r="B187" s="253" t="s">
        <v>190</v>
      </c>
    </row>
    <row r="188" spans="1:13" s="219" customFormat="1" x14ac:dyDescent="0.2">
      <c r="A188" s="534">
        <v>6</v>
      </c>
      <c r="B188" s="253" t="s">
        <v>183</v>
      </c>
    </row>
    <row r="189" spans="1:13" s="219" customFormat="1" x14ac:dyDescent="0.2">
      <c r="A189" s="534">
        <v>7</v>
      </c>
      <c r="B189" s="253" t="s">
        <v>194</v>
      </c>
    </row>
    <row r="190" spans="1:13" s="219" customFormat="1" x14ac:dyDescent="0.2">
      <c r="A190" s="534">
        <v>8</v>
      </c>
      <c r="B190" s="253" t="s">
        <v>162</v>
      </c>
    </row>
    <row r="191" spans="1:13" s="219" customFormat="1" x14ac:dyDescent="0.2">
      <c r="A191" s="534">
        <v>9</v>
      </c>
      <c r="B191" s="253" t="s">
        <v>261</v>
      </c>
    </row>
    <row r="192" spans="1:13" s="219" customFormat="1" x14ac:dyDescent="0.2">
      <c r="A192" s="534">
        <v>10</v>
      </c>
      <c r="B192" s="253" t="s">
        <v>368</v>
      </c>
    </row>
    <row r="193" spans="1:2" s="219" customFormat="1" x14ac:dyDescent="0.2">
      <c r="A193" s="646" t="s">
        <v>320</v>
      </c>
      <c r="B193" s="253" t="s">
        <v>188</v>
      </c>
    </row>
    <row r="194" spans="1:2" x14ac:dyDescent="0.2">
      <c r="A194" s="646" t="s">
        <v>320</v>
      </c>
      <c r="B194" s="254" t="s">
        <v>191</v>
      </c>
    </row>
    <row r="195" spans="1:2" x14ac:dyDescent="0.2">
      <c r="A195" s="534">
        <v>13</v>
      </c>
      <c r="B195" s="254" t="s">
        <v>189</v>
      </c>
    </row>
    <row r="196" spans="1:2" x14ac:dyDescent="0.2">
      <c r="A196" s="534">
        <v>14</v>
      </c>
      <c r="B196" s="254" t="s">
        <v>187</v>
      </c>
    </row>
    <row r="197" spans="1:2" x14ac:dyDescent="0.2">
      <c r="A197" s="534">
        <v>15</v>
      </c>
      <c r="B197" s="254" t="s">
        <v>198</v>
      </c>
    </row>
    <row r="198" spans="1:2" x14ac:dyDescent="0.2">
      <c r="A198" s="534">
        <v>16</v>
      </c>
      <c r="B198" s="254" t="s">
        <v>311</v>
      </c>
    </row>
    <row r="199" spans="1:2" x14ac:dyDescent="0.2">
      <c r="A199" s="534">
        <v>17</v>
      </c>
      <c r="B199" s="253" t="s">
        <v>202</v>
      </c>
    </row>
    <row r="200" spans="1:2" x14ac:dyDescent="0.2">
      <c r="A200" s="534">
        <v>18</v>
      </c>
      <c r="B200" s="253" t="s">
        <v>199</v>
      </c>
    </row>
    <row r="201" spans="1:2" x14ac:dyDescent="0.2">
      <c r="A201" s="534">
        <v>19</v>
      </c>
      <c r="B201" s="253" t="s">
        <v>171</v>
      </c>
    </row>
    <row r="202" spans="1:2" x14ac:dyDescent="0.2">
      <c r="A202" s="534">
        <v>20</v>
      </c>
      <c r="B202" s="253" t="s">
        <v>203</v>
      </c>
    </row>
    <row r="203" spans="1:2" x14ac:dyDescent="0.2">
      <c r="A203" s="534">
        <v>21</v>
      </c>
      <c r="B203" s="253" t="s">
        <v>197</v>
      </c>
    </row>
    <row r="204" spans="1:2" x14ac:dyDescent="0.2">
      <c r="A204" s="534">
        <v>22</v>
      </c>
      <c r="B204" s="253" t="s">
        <v>257</v>
      </c>
    </row>
    <row r="205" spans="1:2" x14ac:dyDescent="0.2">
      <c r="A205" s="534">
        <v>23</v>
      </c>
      <c r="B205" s="536" t="s">
        <v>185</v>
      </c>
    </row>
  </sheetData>
  <conditionalFormatting sqref="E123:E150 H154:I181 D151:E153 C7:I28 C121:G122 F123:I153">
    <cfRule type="cellIs" dxfId="67" priority="8" stopIfTrue="1" operator="equal">
      <formula>13</formula>
    </cfRule>
  </conditionalFormatting>
  <conditionalFormatting sqref="C29:I40">
    <cfRule type="cellIs" dxfId="66" priority="7" stopIfTrue="1" operator="equal">
      <formula>13</formula>
    </cfRule>
  </conditionalFormatting>
  <conditionalFormatting sqref="F41:I41 C42:M44 C45:L45 C79:L80 C46:K78 C81:K92 D120:K120 C97:K98">
    <cfRule type="cellIs" dxfId="65" priority="6" operator="equal">
      <formula>13</formula>
    </cfRule>
  </conditionalFormatting>
  <conditionalFormatting sqref="C120">
    <cfRule type="cellIs" dxfId="64" priority="4" operator="equal">
      <formula>13</formula>
    </cfRule>
  </conditionalFormatting>
  <conditionalFormatting sqref="E154:G181">
    <cfRule type="cellIs" dxfId="63" priority="3" stopIfTrue="1" operator="equal">
      <formula>13</formula>
    </cfRule>
  </conditionalFormatting>
  <conditionalFormatting sqref="H99:I119">
    <cfRule type="cellIs" dxfId="62" priority="2" stopIfTrue="1" operator="equal">
      <formula>13</formula>
    </cfRule>
  </conditionalFormatting>
  <conditionalFormatting sqref="E99:G119">
    <cfRule type="cellIs" dxfId="61" priority="1" stopIfTrue="1" operator="equal">
      <formula>13</formula>
    </cfRule>
  </conditionalFormatting>
  <pageMargins left="0.78740157480314965" right="0.39370078740157483" top="0.59055118110236227" bottom="0.31496062992125984" header="0.39370078740157483" footer="0"/>
  <pageSetup paperSize="9" fitToHeight="0" orientation="portrait" verticalDpi="1200" r:id="rId1"/>
  <headerFooter alignWithMargins="0">
    <oddHeader>&amp;R&amp;9Page &amp;P of &amp;N</oddHeader>
  </headerFooter>
  <rowBreaks count="3" manualBreakCount="3">
    <brk id="40" max="16383" man="1"/>
    <brk id="95" max="16383" man="1"/>
    <brk id="1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37"/>
  <sheetViews>
    <sheetView showGridLines="0" showRowColHeaders="0" zoomScaleNormal="100" workbookViewId="0">
      <pane ySplit="7" topLeftCell="A8" activePane="bottomLeft" state="frozen"/>
      <selection pane="bottomLeft" activeCell="H1" sqref="H1"/>
    </sheetView>
  </sheetViews>
  <sheetFormatPr defaultRowHeight="12.75" x14ac:dyDescent="0.2"/>
  <cols>
    <col min="1" max="1" width="10.7109375" style="345" customWidth="1"/>
    <col min="2" max="2" width="29.42578125" style="345" customWidth="1"/>
    <col min="3" max="3" width="6" style="345" customWidth="1"/>
    <col min="4" max="5" width="3.42578125" style="345" customWidth="1"/>
    <col min="6" max="6" width="6" style="345" customWidth="1"/>
    <col min="7" max="7" width="30.5703125" style="345" customWidth="1"/>
    <col min="8" max="16384" width="9.140625" style="345"/>
  </cols>
  <sheetData>
    <row r="1" spans="1:12" s="215" customFormat="1" x14ac:dyDescent="0.2">
      <c r="A1" s="213" t="str">
        <f>UPPER((Kalend!D20)&amp;" - "&amp;(Kalend!C20))</f>
        <v>SÕ - 9. SHK-MAESTRO SÕPRUSKOHTUMINE</v>
      </c>
      <c r="B1" s="214"/>
      <c r="E1" s="133" t="str">
        <f>HYPERLINK("#'Kalend'!I1","Kalender")</f>
        <v>Kalender</v>
      </c>
      <c r="G1" s="345" t="s">
        <v>133</v>
      </c>
      <c r="H1" s="533"/>
      <c r="K1" s="346"/>
      <c r="L1" s="346"/>
    </row>
    <row r="2" spans="1:12" s="533" customFormat="1" x14ac:dyDescent="0.2">
      <c r="A2" s="533" t="str">
        <f>"Toimumisaeg: "&amp;(Kalend!A20)&amp;" kell "&amp;(Kalend!B20)</f>
        <v>Toimumisaeg: L, 11.02.2017 kell 10:00</v>
      </c>
      <c r="F2" s="347"/>
      <c r="G2" s="345" t="s">
        <v>134</v>
      </c>
    </row>
    <row r="3" spans="1:12" s="533" customFormat="1" x14ac:dyDescent="0.2">
      <c r="A3" s="533" t="str">
        <f>"Toimumiskoht: "&amp;(Kalend!F20)</f>
        <v>Toimumiskoht: Tallinn, Algi 38</v>
      </c>
      <c r="F3" s="347"/>
      <c r="G3" s="345" t="s">
        <v>135</v>
      </c>
    </row>
    <row r="4" spans="1:12" s="533" customFormat="1" x14ac:dyDescent="0.2">
      <c r="A4" s="533" t="str">
        <f>"Korraldaja: "&amp;(Kalend!G20)</f>
        <v>Korraldaja: SK Maestro</v>
      </c>
      <c r="F4" s="347"/>
      <c r="G4" s="345" t="s">
        <v>136</v>
      </c>
    </row>
    <row r="6" spans="1:12" x14ac:dyDescent="0.2">
      <c r="A6" s="348"/>
      <c r="B6" s="970" t="s">
        <v>137</v>
      </c>
      <c r="C6" s="971"/>
      <c r="D6" s="972"/>
      <c r="E6" s="973" t="s">
        <v>138</v>
      </c>
      <c r="F6" s="974"/>
      <c r="G6" s="975"/>
    </row>
    <row r="7" spans="1:12" x14ac:dyDescent="0.2">
      <c r="A7" s="349" t="s">
        <v>139</v>
      </c>
      <c r="B7" s="350" t="s">
        <v>140</v>
      </c>
      <c r="C7" s="351" t="s">
        <v>141</v>
      </c>
      <c r="D7" s="352" t="s">
        <v>402</v>
      </c>
      <c r="E7" s="353" t="s">
        <v>402</v>
      </c>
      <c r="F7" s="354" t="s">
        <v>141</v>
      </c>
      <c r="G7" s="354" t="s">
        <v>140</v>
      </c>
      <c r="H7" s="355"/>
    </row>
    <row r="8" spans="1:12" s="359" customFormat="1" x14ac:dyDescent="0.2">
      <c r="A8" s="360" t="s">
        <v>148</v>
      </c>
      <c r="B8" s="649" t="s">
        <v>185</v>
      </c>
      <c r="C8" s="356">
        <v>7</v>
      </c>
      <c r="D8" s="357">
        <v>0</v>
      </c>
      <c r="E8" s="358">
        <v>1</v>
      </c>
      <c r="F8" s="379">
        <v>13</v>
      </c>
      <c r="G8" s="650" t="s">
        <v>322</v>
      </c>
    </row>
    <row r="9" spans="1:12" s="359" customFormat="1" x14ac:dyDescent="0.2">
      <c r="A9" s="360" t="s">
        <v>148</v>
      </c>
      <c r="B9" s="649" t="s">
        <v>321</v>
      </c>
      <c r="C9" s="356">
        <v>1</v>
      </c>
      <c r="D9" s="357">
        <v>0</v>
      </c>
      <c r="E9" s="358">
        <v>1</v>
      </c>
      <c r="F9" s="379">
        <v>13</v>
      </c>
      <c r="G9" s="650" t="s">
        <v>323</v>
      </c>
    </row>
    <row r="10" spans="1:12" s="359" customFormat="1" x14ac:dyDescent="0.2">
      <c r="A10" s="360" t="s">
        <v>8</v>
      </c>
      <c r="B10" s="647" t="s">
        <v>186</v>
      </c>
      <c r="C10" s="356">
        <v>5</v>
      </c>
      <c r="D10" s="357">
        <v>0</v>
      </c>
      <c r="E10" s="358">
        <v>1</v>
      </c>
      <c r="F10" s="379">
        <v>13</v>
      </c>
      <c r="G10" s="651" t="s">
        <v>324</v>
      </c>
    </row>
    <row r="11" spans="1:12" s="359" customFormat="1" x14ac:dyDescent="0.2">
      <c r="A11" s="360" t="s">
        <v>8</v>
      </c>
      <c r="B11" s="647" t="s">
        <v>261</v>
      </c>
      <c r="C11" s="356">
        <v>13</v>
      </c>
      <c r="D11" s="357">
        <v>1</v>
      </c>
      <c r="E11" s="358">
        <v>0</v>
      </c>
      <c r="F11" s="379">
        <v>11</v>
      </c>
      <c r="G11" s="651" t="s">
        <v>325</v>
      </c>
    </row>
    <row r="12" spans="1:12" s="359" customFormat="1" x14ac:dyDescent="0.2">
      <c r="A12" s="360" t="s">
        <v>8</v>
      </c>
      <c r="B12" s="647" t="s">
        <v>191</v>
      </c>
      <c r="C12" s="356">
        <v>11</v>
      </c>
      <c r="D12" s="357">
        <v>0</v>
      </c>
      <c r="E12" s="358">
        <v>1</v>
      </c>
      <c r="F12" s="379">
        <v>13</v>
      </c>
      <c r="G12" s="651" t="s">
        <v>326</v>
      </c>
    </row>
    <row r="13" spans="1:12" s="359" customFormat="1" x14ac:dyDescent="0.2">
      <c r="A13" s="360" t="s">
        <v>8</v>
      </c>
      <c r="B13" s="647" t="s">
        <v>184</v>
      </c>
      <c r="C13" s="356">
        <v>8</v>
      </c>
      <c r="D13" s="357">
        <v>0</v>
      </c>
      <c r="E13" s="358">
        <v>1</v>
      </c>
      <c r="F13" s="379">
        <v>13</v>
      </c>
      <c r="G13" s="651" t="s">
        <v>349</v>
      </c>
    </row>
    <row r="14" spans="1:12" s="359" customFormat="1" x14ac:dyDescent="0.2">
      <c r="A14" s="360" t="s">
        <v>8</v>
      </c>
      <c r="B14" s="648" t="s">
        <v>187</v>
      </c>
      <c r="C14" s="375">
        <v>10</v>
      </c>
      <c r="D14" s="361">
        <v>0</v>
      </c>
      <c r="E14" s="362">
        <v>1</v>
      </c>
      <c r="F14" s="363">
        <v>13</v>
      </c>
      <c r="G14" s="652" t="s">
        <v>327</v>
      </c>
    </row>
    <row r="15" spans="1:12" s="359" customFormat="1" x14ac:dyDescent="0.2">
      <c r="A15" s="360" t="s">
        <v>8</v>
      </c>
      <c r="B15" s="648" t="s">
        <v>190</v>
      </c>
      <c r="C15" s="375">
        <v>2</v>
      </c>
      <c r="D15" s="361">
        <v>0</v>
      </c>
      <c r="E15" s="362">
        <v>1</v>
      </c>
      <c r="F15" s="363">
        <v>13</v>
      </c>
      <c r="G15" s="652" t="s">
        <v>328</v>
      </c>
    </row>
    <row r="16" spans="1:12" x14ac:dyDescent="0.2">
      <c r="A16" s="365" t="s">
        <v>142</v>
      </c>
      <c r="B16" s="366"/>
      <c r="C16" s="367"/>
      <c r="D16" s="368">
        <f>SUM(D8:D15)</f>
        <v>1</v>
      </c>
      <c r="E16" s="369">
        <f>SUM(E8:E15)</f>
        <v>7</v>
      </c>
      <c r="F16" s="370"/>
      <c r="G16" s="371"/>
    </row>
    <row r="17" spans="1:7" x14ac:dyDescent="0.2">
      <c r="B17" s="372"/>
      <c r="C17" s="373"/>
      <c r="D17" s="374"/>
      <c r="E17" s="374"/>
      <c r="F17" s="373"/>
      <c r="G17" s="372"/>
    </row>
    <row r="18" spans="1:7" x14ac:dyDescent="0.2">
      <c r="A18" s="360" t="s">
        <v>10</v>
      </c>
      <c r="B18" s="648" t="s">
        <v>340</v>
      </c>
      <c r="C18" s="375">
        <v>13</v>
      </c>
      <c r="D18" s="361">
        <v>3</v>
      </c>
      <c r="E18" s="362">
        <v>0</v>
      </c>
      <c r="F18" s="363">
        <v>11</v>
      </c>
      <c r="G18" s="652" t="s">
        <v>345</v>
      </c>
    </row>
    <row r="19" spans="1:7" x14ac:dyDescent="0.2">
      <c r="A19" s="360" t="s">
        <v>12</v>
      </c>
      <c r="B19" s="648" t="s">
        <v>347</v>
      </c>
      <c r="C19" s="375">
        <v>7</v>
      </c>
      <c r="D19" s="361">
        <v>0</v>
      </c>
      <c r="E19" s="362">
        <v>3</v>
      </c>
      <c r="F19" s="363">
        <v>13</v>
      </c>
      <c r="G19" s="652" t="s">
        <v>346</v>
      </c>
    </row>
    <row r="20" spans="1:7" x14ac:dyDescent="0.2">
      <c r="A20" s="360" t="s">
        <v>11</v>
      </c>
      <c r="B20" s="648" t="s">
        <v>348</v>
      </c>
      <c r="C20" s="375">
        <v>13</v>
      </c>
      <c r="D20" s="361">
        <v>2</v>
      </c>
      <c r="E20" s="362">
        <v>0</v>
      </c>
      <c r="F20" s="363">
        <v>8</v>
      </c>
      <c r="G20" s="652" t="s">
        <v>350</v>
      </c>
    </row>
    <row r="21" spans="1:7" x14ac:dyDescent="0.2">
      <c r="A21" s="365" t="s">
        <v>144</v>
      </c>
      <c r="B21" s="366"/>
      <c r="C21" s="367"/>
      <c r="D21" s="368">
        <f>SUM(D16:D20)</f>
        <v>6</v>
      </c>
      <c r="E21" s="369">
        <f>SUM(E16:E20)</f>
        <v>10</v>
      </c>
      <c r="F21" s="370"/>
      <c r="G21" s="377"/>
    </row>
    <row r="22" spans="1:7" x14ac:dyDescent="0.2">
      <c r="B22" s="372"/>
      <c r="C22" s="373"/>
      <c r="D22" s="374"/>
      <c r="E22" s="374"/>
      <c r="F22" s="373"/>
      <c r="G22" s="378"/>
    </row>
    <row r="23" spans="1:7" x14ac:dyDescent="0.2">
      <c r="A23" s="360" t="s">
        <v>143</v>
      </c>
      <c r="B23" s="654" t="s">
        <v>333</v>
      </c>
      <c r="C23" s="375">
        <v>0</v>
      </c>
      <c r="D23" s="361">
        <v>0</v>
      </c>
      <c r="E23" s="362">
        <v>2</v>
      </c>
      <c r="F23" s="363">
        <v>13</v>
      </c>
      <c r="G23" s="653" t="s">
        <v>329</v>
      </c>
    </row>
    <row r="24" spans="1:7" x14ac:dyDescent="0.2">
      <c r="A24" s="360" t="s">
        <v>9</v>
      </c>
      <c r="B24" s="648" t="s">
        <v>334</v>
      </c>
      <c r="C24" s="375">
        <v>2</v>
      </c>
      <c r="D24" s="361">
        <v>0</v>
      </c>
      <c r="E24" s="362">
        <v>2</v>
      </c>
      <c r="F24" s="363">
        <v>13</v>
      </c>
      <c r="G24" s="364" t="s">
        <v>330</v>
      </c>
    </row>
    <row r="25" spans="1:7" x14ac:dyDescent="0.2">
      <c r="A25" s="360" t="s">
        <v>9</v>
      </c>
      <c r="B25" s="648" t="s">
        <v>335</v>
      </c>
      <c r="C25" s="375">
        <v>13</v>
      </c>
      <c r="D25" s="361">
        <v>2</v>
      </c>
      <c r="E25" s="362">
        <v>0</v>
      </c>
      <c r="F25" s="363">
        <v>10</v>
      </c>
      <c r="G25" s="652" t="s">
        <v>331</v>
      </c>
    </row>
    <row r="26" spans="1:7" x14ac:dyDescent="0.2">
      <c r="A26" s="360" t="s">
        <v>9</v>
      </c>
      <c r="B26" s="648" t="s">
        <v>336</v>
      </c>
      <c r="C26" s="375">
        <v>12</v>
      </c>
      <c r="D26" s="361">
        <v>0</v>
      </c>
      <c r="E26" s="362">
        <v>2</v>
      </c>
      <c r="F26" s="363">
        <v>13</v>
      </c>
      <c r="G26" s="652" t="s">
        <v>332</v>
      </c>
    </row>
    <row r="27" spans="1:7" x14ac:dyDescent="0.2">
      <c r="A27" s="365" t="s">
        <v>146</v>
      </c>
      <c r="B27" s="366"/>
      <c r="C27" s="367"/>
      <c r="D27" s="368">
        <f>SUM(D21:D26)</f>
        <v>8</v>
      </c>
      <c r="E27" s="369">
        <f>SUM(E21:E26)</f>
        <v>16</v>
      </c>
      <c r="F27" s="370"/>
      <c r="G27" s="377"/>
    </row>
    <row r="28" spans="1:7" x14ac:dyDescent="0.2">
      <c r="B28" s="372"/>
      <c r="C28" s="373"/>
      <c r="D28" s="374"/>
      <c r="E28" s="374"/>
      <c r="F28" s="380"/>
      <c r="G28" s="378"/>
    </row>
    <row r="29" spans="1:7" x14ac:dyDescent="0.2">
      <c r="A29" s="360" t="s">
        <v>145</v>
      </c>
      <c r="B29" s="654" t="s">
        <v>353</v>
      </c>
      <c r="C29" s="375">
        <v>3</v>
      </c>
      <c r="D29" s="361">
        <v>0</v>
      </c>
      <c r="E29" s="362">
        <v>3</v>
      </c>
      <c r="F29" s="363">
        <v>13</v>
      </c>
      <c r="G29" s="653" t="s">
        <v>337</v>
      </c>
    </row>
    <row r="30" spans="1:7" x14ac:dyDescent="0.2">
      <c r="A30" s="360" t="s">
        <v>10</v>
      </c>
      <c r="B30" s="648" t="s">
        <v>340</v>
      </c>
      <c r="C30" s="375">
        <v>12</v>
      </c>
      <c r="D30" s="361">
        <v>0</v>
      </c>
      <c r="E30" s="362">
        <v>3</v>
      </c>
      <c r="F30" s="363">
        <v>13</v>
      </c>
      <c r="G30" s="652" t="s">
        <v>338</v>
      </c>
    </row>
    <row r="31" spans="1:7" x14ac:dyDescent="0.2">
      <c r="A31" s="360" t="s">
        <v>9</v>
      </c>
      <c r="B31" s="648" t="s">
        <v>341</v>
      </c>
      <c r="C31" s="375">
        <v>7</v>
      </c>
      <c r="D31" s="361">
        <v>0</v>
      </c>
      <c r="E31" s="362">
        <v>2</v>
      </c>
      <c r="F31" s="363">
        <v>13</v>
      </c>
      <c r="G31" s="652" t="s">
        <v>339</v>
      </c>
    </row>
    <row r="32" spans="1:7" x14ac:dyDescent="0.2">
      <c r="A32" s="365" t="s">
        <v>147</v>
      </c>
      <c r="B32" s="366"/>
      <c r="C32" s="367"/>
      <c r="D32" s="368">
        <f>SUM(D27:D31)</f>
        <v>8</v>
      </c>
      <c r="E32" s="369">
        <f>SUM(E27:E31)</f>
        <v>24</v>
      </c>
      <c r="F32" s="370"/>
      <c r="G32" s="377"/>
    </row>
    <row r="33" spans="1:7" x14ac:dyDescent="0.2">
      <c r="B33" s="372"/>
      <c r="C33" s="373"/>
      <c r="D33" s="374"/>
      <c r="E33" s="374"/>
      <c r="F33" s="373"/>
      <c r="G33" s="378"/>
    </row>
    <row r="34" spans="1:7" x14ac:dyDescent="0.2">
      <c r="A34" s="360" t="s">
        <v>12</v>
      </c>
      <c r="B34" s="648" t="s">
        <v>344</v>
      </c>
      <c r="C34" s="375">
        <v>13</v>
      </c>
      <c r="D34" s="361">
        <v>3</v>
      </c>
      <c r="E34" s="362">
        <v>0</v>
      </c>
      <c r="F34" s="363">
        <v>12</v>
      </c>
      <c r="G34" s="652" t="s">
        <v>343</v>
      </c>
    </row>
    <row r="35" spans="1:7" x14ac:dyDescent="0.2">
      <c r="A35" s="360" t="s">
        <v>12</v>
      </c>
      <c r="B35" s="648" t="s">
        <v>354</v>
      </c>
      <c r="C35" s="375">
        <v>12</v>
      </c>
      <c r="D35" s="361">
        <v>0</v>
      </c>
      <c r="E35" s="362">
        <v>3</v>
      </c>
      <c r="F35" s="363">
        <v>13</v>
      </c>
      <c r="G35" s="652" t="s">
        <v>342</v>
      </c>
    </row>
    <row r="36" spans="1:7" x14ac:dyDescent="0.2">
      <c r="A36" s="360" t="s">
        <v>9</v>
      </c>
      <c r="B36" s="648" t="s">
        <v>341</v>
      </c>
      <c r="C36" s="375">
        <v>13</v>
      </c>
      <c r="D36" s="361">
        <v>2</v>
      </c>
      <c r="E36" s="362">
        <v>0</v>
      </c>
      <c r="F36" s="363">
        <v>7</v>
      </c>
      <c r="G36" s="652" t="s">
        <v>339</v>
      </c>
    </row>
    <row r="37" spans="1:7" x14ac:dyDescent="0.2">
      <c r="A37" s="365" t="s">
        <v>149</v>
      </c>
      <c r="B37" s="367"/>
      <c r="C37" s="367"/>
      <c r="D37" s="368">
        <f>SUM(D32:D36)</f>
        <v>13</v>
      </c>
      <c r="E37" s="920">
        <f>SUM(E32:E36)</f>
        <v>27</v>
      </c>
      <c r="F37" s="376"/>
      <c r="G37" s="376"/>
    </row>
  </sheetData>
  <mergeCells count="2">
    <mergeCell ref="B6:D6"/>
    <mergeCell ref="E6:G6"/>
  </mergeCells>
  <conditionalFormatting sqref="F8:F17 C8:C17 F21:F22 C21:C22 C32:C33 F32:F33 C27:C28 F27:F28">
    <cfRule type="cellIs" dxfId="60" priority="8" stopIfTrue="1" operator="equal">
      <formula>13</formula>
    </cfRule>
  </conditionalFormatting>
  <conditionalFormatting sqref="F34:F36 C34:C36">
    <cfRule type="cellIs" dxfId="59" priority="7" stopIfTrue="1" operator="equal">
      <formula>13</formula>
    </cfRule>
  </conditionalFormatting>
  <conditionalFormatting sqref="F18:F20 C18:C20">
    <cfRule type="cellIs" dxfId="58" priority="4" stopIfTrue="1" operator="equal">
      <formula>13</formula>
    </cfRule>
  </conditionalFormatting>
  <conditionalFormatting sqref="F29:F31 C29:C31">
    <cfRule type="cellIs" dxfId="57" priority="2" stopIfTrue="1" operator="equal">
      <formula>13</formula>
    </cfRule>
  </conditionalFormatting>
  <conditionalFormatting sqref="F23:F26 C23:C26">
    <cfRule type="cellIs" dxfId="56" priority="1" stopIfTrue="1" operator="equal">
      <formula>13</formula>
    </cfRule>
  </conditionalFormatting>
  <pageMargins left="0.98425196850393704" right="0.39370078740157483" top="0.78740157480314965" bottom="0.39370078740157483" header="0.59055118110236227" footer="0"/>
  <pageSetup paperSize="9" fitToHeight="0" orientation="portrait" r:id="rId1"/>
  <headerFooter alignWithMargins="0">
    <oddHeader>&amp;R&amp;9Page &amp;P of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59"/>
  <sheetViews>
    <sheetView showGridLines="0" showRowColHeaders="0" zoomScaleNormal="100" workbookViewId="0">
      <pane ySplit="2" topLeftCell="A3" activePane="bottomLeft" state="frozen"/>
      <selection activeCell="M1" sqref="M1"/>
      <selection pane="bottomLeft" activeCell="I1" sqref="I1"/>
    </sheetView>
  </sheetViews>
  <sheetFormatPr defaultRowHeight="12.75" x14ac:dyDescent="0.2"/>
  <cols>
    <col min="1" max="1" width="3.28515625" style="215" customWidth="1"/>
    <col min="2" max="2" width="47.42578125" style="214" bestFit="1" customWidth="1"/>
    <col min="3" max="3" width="7.28515625" style="215" bestFit="1" customWidth="1"/>
    <col min="4" max="4" width="7.42578125" style="215" bestFit="1" customWidth="1"/>
    <col min="5" max="5" width="9.140625" style="215" bestFit="1" customWidth="1"/>
    <col min="6" max="6" width="6.7109375" style="215" bestFit="1" customWidth="1"/>
    <col min="7" max="7" width="5.140625" style="215" bestFit="1" customWidth="1"/>
    <col min="8" max="9" width="9.140625" style="215" customWidth="1"/>
    <col min="10" max="16384" width="9.140625" style="215"/>
  </cols>
  <sheetData>
    <row r="1" spans="1:13" x14ac:dyDescent="0.2">
      <c r="A1" s="213" t="str">
        <f>UPPER((Kalend!D21)&amp;" - "&amp;(Kalend!C21)&amp;" - "&amp;(Kalend!E21))</f>
        <v>5 - SHK KV 5. ETAPP - TRIO</v>
      </c>
      <c r="E1" s="133" t="str">
        <f>HYPERLINK("#'Kalend'!I1","Kalender")</f>
        <v>Kalender</v>
      </c>
      <c r="F1" s="216"/>
      <c r="G1" s="133" t="str">
        <f>HYPERLINK("#'Reit'!J1","Reiting")</f>
        <v>Reiting</v>
      </c>
      <c r="H1" s="216"/>
    </row>
    <row r="2" spans="1:13" s="216" customFormat="1" x14ac:dyDescent="0.2">
      <c r="A2" s="216" t="str">
        <f>"Toimumisaeg: "&amp;(Kalend!A21)&amp;" kell "&amp;(Kalend!B21)</f>
        <v>Toimumisaeg: P, 12.02.2017 kell 11:00</v>
      </c>
    </row>
    <row r="3" spans="1:13" s="216" customFormat="1" x14ac:dyDescent="0.2">
      <c r="A3" s="216" t="str">
        <f>"Toimumiskoht: "&amp;(Kalend!F21)</f>
        <v>Toimumiskoht: K-Järve petangihall</v>
      </c>
    </row>
    <row r="4" spans="1:13" s="216" customFormat="1" x14ac:dyDescent="0.2">
      <c r="A4" s="216" t="str">
        <f>"Korraldaja: "&amp;(Kalend!G21)</f>
        <v>Korraldaja: K-Järve SHK, Ivar Viljaste</v>
      </c>
    </row>
    <row r="6" spans="1:13" s="219" customFormat="1" x14ac:dyDescent="0.2">
      <c r="A6" s="521" t="s">
        <v>96</v>
      </c>
      <c r="B6" s="522"/>
      <c r="C6" s="218" t="s">
        <v>97</v>
      </c>
      <c r="D6" s="218" t="s">
        <v>98</v>
      </c>
      <c r="E6" s="218" t="s">
        <v>99</v>
      </c>
      <c r="F6" s="218" t="s">
        <v>100</v>
      </c>
      <c r="G6" s="218" t="s">
        <v>101</v>
      </c>
    </row>
    <row r="7" spans="1:13" s="219" customFormat="1" x14ac:dyDescent="0.2">
      <c r="A7" s="217">
        <v>1</v>
      </c>
      <c r="B7" s="411" t="s">
        <v>357</v>
      </c>
      <c r="C7" s="220">
        <v>13</v>
      </c>
      <c r="D7" s="220">
        <v>13</v>
      </c>
      <c r="E7" s="220"/>
      <c r="F7" s="220"/>
      <c r="G7" s="419" t="s">
        <v>180</v>
      </c>
      <c r="M7" s="222"/>
    </row>
    <row r="8" spans="1:13" s="219" customFormat="1" x14ac:dyDescent="0.2">
      <c r="A8" s="217">
        <v>2</v>
      </c>
      <c r="B8" s="483" t="s">
        <v>243</v>
      </c>
      <c r="C8" s="220">
        <v>13</v>
      </c>
      <c r="D8" s="220">
        <v>12</v>
      </c>
      <c r="E8" s="220"/>
      <c r="F8" s="220">
        <v>13</v>
      </c>
      <c r="G8" s="419" t="s">
        <v>181</v>
      </c>
      <c r="M8" s="222"/>
    </row>
    <row r="9" spans="1:13" s="219" customFormat="1" x14ac:dyDescent="0.2">
      <c r="A9" s="217">
        <v>3</v>
      </c>
      <c r="B9" s="536" t="s">
        <v>369</v>
      </c>
      <c r="C9" s="220">
        <v>11</v>
      </c>
      <c r="D9" s="220"/>
      <c r="E9" s="220">
        <v>13</v>
      </c>
      <c r="F9" s="220">
        <v>1</v>
      </c>
      <c r="G9" s="419" t="s">
        <v>182</v>
      </c>
      <c r="M9" s="222"/>
    </row>
    <row r="10" spans="1:13" s="219" customFormat="1" x14ac:dyDescent="0.2">
      <c r="A10" s="217">
        <v>4</v>
      </c>
      <c r="B10" s="411" t="s">
        <v>358</v>
      </c>
      <c r="C10" s="220">
        <v>7</v>
      </c>
      <c r="D10" s="220"/>
      <c r="E10" s="220">
        <v>4</v>
      </c>
      <c r="F10" s="220"/>
      <c r="G10" s="419" t="s">
        <v>245</v>
      </c>
      <c r="M10" s="222"/>
    </row>
    <row r="11" spans="1:13" s="219" customFormat="1" x14ac:dyDescent="0.2">
      <c r="A11" s="223"/>
      <c r="B11" s="222"/>
      <c r="C11" s="224"/>
      <c r="D11" s="224"/>
      <c r="E11" s="224"/>
      <c r="F11" s="225"/>
      <c r="G11" s="226"/>
      <c r="M11" s="222"/>
    </row>
    <row r="12" spans="1:13" s="219" customFormat="1" x14ac:dyDescent="0.2">
      <c r="A12" s="521" t="s">
        <v>102</v>
      </c>
      <c r="B12" s="522"/>
      <c r="C12" s="218" t="s">
        <v>97</v>
      </c>
      <c r="D12" s="218" t="s">
        <v>98</v>
      </c>
      <c r="E12" s="218" t="s">
        <v>99</v>
      </c>
      <c r="F12" s="218" t="s">
        <v>100</v>
      </c>
      <c r="G12" s="218" t="s">
        <v>101</v>
      </c>
      <c r="M12" s="222"/>
    </row>
    <row r="13" spans="1:13" s="219" customFormat="1" x14ac:dyDescent="0.2">
      <c r="A13" s="217">
        <v>1</v>
      </c>
      <c r="B13" s="411" t="s">
        <v>177</v>
      </c>
      <c r="C13" s="220">
        <v>11</v>
      </c>
      <c r="D13" s="220"/>
      <c r="E13" s="655">
        <v>13</v>
      </c>
      <c r="F13" s="220">
        <v>4</v>
      </c>
      <c r="G13" s="419" t="s">
        <v>182</v>
      </c>
      <c r="M13" s="222"/>
    </row>
    <row r="14" spans="1:13" s="219" customFormat="1" x14ac:dyDescent="0.2">
      <c r="A14" s="217">
        <v>2</v>
      </c>
      <c r="B14" s="411" t="s">
        <v>176</v>
      </c>
      <c r="C14" s="220">
        <v>13</v>
      </c>
      <c r="D14" s="220">
        <v>13</v>
      </c>
      <c r="E14" s="220"/>
      <c r="F14" s="220"/>
      <c r="G14" s="419" t="s">
        <v>180</v>
      </c>
      <c r="M14" s="222"/>
    </row>
    <row r="15" spans="1:13" s="219" customFormat="1" x14ac:dyDescent="0.2">
      <c r="A15" s="217">
        <v>3</v>
      </c>
      <c r="B15" s="411" t="s">
        <v>359</v>
      </c>
      <c r="C15" s="220">
        <v>7</v>
      </c>
      <c r="D15" s="220"/>
      <c r="E15" s="655" t="s">
        <v>268</v>
      </c>
      <c r="F15" s="655"/>
      <c r="G15" s="419" t="s">
        <v>245</v>
      </c>
      <c r="M15" s="222"/>
    </row>
    <row r="16" spans="1:13" s="219" customFormat="1" x14ac:dyDescent="0.2">
      <c r="A16" s="217">
        <v>4</v>
      </c>
      <c r="B16" s="411" t="s">
        <v>178</v>
      </c>
      <c r="C16" s="220">
        <v>13</v>
      </c>
      <c r="D16" s="220">
        <v>3</v>
      </c>
      <c r="E16" s="220"/>
      <c r="F16" s="220">
        <v>13</v>
      </c>
      <c r="G16" s="419" t="s">
        <v>181</v>
      </c>
      <c r="M16" s="222"/>
    </row>
    <row r="17" spans="1:8" s="219" customFormat="1" x14ac:dyDescent="0.2"/>
    <row r="18" spans="1:8" s="229" customFormat="1" x14ac:dyDescent="0.2">
      <c r="A18" s="228" t="s">
        <v>122</v>
      </c>
    </row>
    <row r="19" spans="1:8" s="229" customFormat="1" x14ac:dyDescent="0.2">
      <c r="A19" s="228"/>
    </row>
    <row r="20" spans="1:8" x14ac:dyDescent="0.2">
      <c r="A20" s="255" t="s">
        <v>207</v>
      </c>
      <c r="B20" s="215" t="s">
        <v>357</v>
      </c>
      <c r="C20" s="270">
        <v>13</v>
      </c>
    </row>
    <row r="21" spans="1:8" x14ac:dyDescent="0.2">
      <c r="A21" s="256"/>
      <c r="B21" s="257"/>
      <c r="C21" s="258" t="s">
        <v>357</v>
      </c>
      <c r="D21" s="259"/>
      <c r="F21" s="270">
        <v>8</v>
      </c>
    </row>
    <row r="22" spans="1:8" x14ac:dyDescent="0.2">
      <c r="A22" s="256" t="s">
        <v>161</v>
      </c>
      <c r="B22" s="259" t="s">
        <v>178</v>
      </c>
      <c r="C22" s="260">
        <v>5</v>
      </c>
      <c r="E22" s="261"/>
    </row>
    <row r="23" spans="1:8" ht="13.5" thickBot="1" x14ac:dyDescent="0.25">
      <c r="A23" s="256"/>
      <c r="B23" s="215"/>
      <c r="D23" s="227"/>
      <c r="E23" s="262"/>
      <c r="G23" s="215" t="s">
        <v>176</v>
      </c>
    </row>
    <row r="24" spans="1:8" x14ac:dyDescent="0.2">
      <c r="A24" s="256" t="s">
        <v>170</v>
      </c>
      <c r="B24" s="215" t="s">
        <v>243</v>
      </c>
      <c r="C24" s="263">
        <v>10</v>
      </c>
      <c r="E24" s="262"/>
      <c r="F24" s="264"/>
      <c r="G24" s="265" t="s">
        <v>106</v>
      </c>
      <c r="H24" s="266"/>
    </row>
    <row r="25" spans="1:8" x14ac:dyDescent="0.2">
      <c r="A25" s="256"/>
      <c r="B25" s="257"/>
      <c r="C25" s="267" t="s">
        <v>176</v>
      </c>
      <c r="E25" s="268"/>
      <c r="F25" s="263">
        <v>13</v>
      </c>
    </row>
    <row r="26" spans="1:8" ht="13.5" thickBot="1" x14ac:dyDescent="0.25">
      <c r="A26" s="256" t="s">
        <v>209</v>
      </c>
      <c r="B26" s="259" t="s">
        <v>176</v>
      </c>
      <c r="C26" s="272">
        <v>13</v>
      </c>
      <c r="D26" s="257"/>
      <c r="F26" s="227"/>
      <c r="G26" s="624" t="s">
        <v>357</v>
      </c>
      <c r="H26" s="269"/>
    </row>
    <row r="27" spans="1:8" x14ac:dyDescent="0.2">
      <c r="A27" s="214"/>
      <c r="B27" s="215"/>
      <c r="F27" s="227"/>
      <c r="G27" s="265" t="s">
        <v>107</v>
      </c>
      <c r="H27" s="227"/>
    </row>
    <row r="28" spans="1:8" x14ac:dyDescent="0.2">
      <c r="A28" s="214"/>
      <c r="B28" s="215"/>
      <c r="C28" s="215" t="s">
        <v>178</v>
      </c>
      <c r="F28" s="263">
        <v>0</v>
      </c>
      <c r="G28" s="227"/>
      <c r="H28" s="227"/>
    </row>
    <row r="29" spans="1:8" ht="13.5" thickBot="1" x14ac:dyDescent="0.25">
      <c r="A29" s="214"/>
      <c r="B29" s="215"/>
      <c r="C29" s="257"/>
      <c r="D29" s="257"/>
      <c r="E29" s="261"/>
      <c r="F29" s="269"/>
      <c r="G29" s="526" t="s">
        <v>243</v>
      </c>
      <c r="H29" s="269"/>
    </row>
    <row r="30" spans="1:8" x14ac:dyDescent="0.2">
      <c r="A30" s="214"/>
      <c r="B30" s="215"/>
      <c r="C30" s="259" t="s">
        <v>243</v>
      </c>
      <c r="D30" s="259"/>
      <c r="E30" s="268"/>
      <c r="F30" s="270">
        <v>13</v>
      </c>
      <c r="G30" s="271" t="s">
        <v>108</v>
      </c>
      <c r="H30" s="227"/>
    </row>
    <row r="31" spans="1:8" x14ac:dyDescent="0.2">
      <c r="A31" s="214"/>
      <c r="B31" s="215"/>
      <c r="G31" s="227"/>
      <c r="H31" s="227"/>
    </row>
    <row r="32" spans="1:8" ht="13.5" thickBot="1" x14ac:dyDescent="0.25">
      <c r="A32" s="214"/>
      <c r="B32" s="215"/>
      <c r="D32" s="227"/>
      <c r="E32" s="227"/>
      <c r="G32" s="269" t="s">
        <v>178</v>
      </c>
      <c r="H32" s="269"/>
    </row>
    <row r="33" spans="1:8" x14ac:dyDescent="0.2">
      <c r="A33" s="214"/>
      <c r="B33" s="215"/>
      <c r="D33" s="227"/>
      <c r="E33" s="227"/>
      <c r="G33" s="214" t="s">
        <v>109</v>
      </c>
    </row>
    <row r="34" spans="1:8" s="229" customFormat="1" x14ac:dyDescent="0.2"/>
    <row r="35" spans="1:8" s="229" customFormat="1" x14ac:dyDescent="0.2">
      <c r="A35" s="228" t="s">
        <v>123</v>
      </c>
    </row>
    <row r="36" spans="1:8" s="229" customFormat="1" x14ac:dyDescent="0.2"/>
    <row r="37" spans="1:8" x14ac:dyDescent="0.2">
      <c r="A37" s="255" t="s">
        <v>220</v>
      </c>
      <c r="B37" s="215" t="s">
        <v>369</v>
      </c>
      <c r="C37" s="270">
        <v>13</v>
      </c>
    </row>
    <row r="38" spans="1:8" x14ac:dyDescent="0.2">
      <c r="A38" s="256"/>
      <c r="B38" s="257"/>
      <c r="C38" s="258" t="s">
        <v>369</v>
      </c>
      <c r="D38" s="259"/>
      <c r="E38" s="259"/>
      <c r="F38" s="270">
        <v>2</v>
      </c>
    </row>
    <row r="39" spans="1:8" x14ac:dyDescent="0.2">
      <c r="A39" s="256" t="s">
        <v>221</v>
      </c>
      <c r="B39" s="259" t="s">
        <v>359</v>
      </c>
      <c r="C39" s="260">
        <v>3</v>
      </c>
      <c r="E39" s="262"/>
    </row>
    <row r="40" spans="1:8" ht="13.5" thickBot="1" x14ac:dyDescent="0.25">
      <c r="A40" s="256"/>
      <c r="B40" s="215"/>
      <c r="C40" s="227"/>
      <c r="E40" s="262"/>
      <c r="G40" s="215" t="s">
        <v>177</v>
      </c>
    </row>
    <row r="41" spans="1:8" x14ac:dyDescent="0.2">
      <c r="A41" s="256" t="s">
        <v>223</v>
      </c>
      <c r="B41" s="215" t="s">
        <v>358</v>
      </c>
      <c r="C41" s="263">
        <v>4</v>
      </c>
      <c r="E41" s="262"/>
      <c r="F41" s="264"/>
      <c r="G41" s="265" t="s">
        <v>110</v>
      </c>
      <c r="H41" s="266"/>
    </row>
    <row r="42" spans="1:8" x14ac:dyDescent="0.2">
      <c r="A42" s="256"/>
      <c r="B42" s="257"/>
      <c r="C42" s="267" t="s">
        <v>177</v>
      </c>
      <c r="E42" s="268"/>
      <c r="F42" s="263">
        <v>13</v>
      </c>
    </row>
    <row r="43" spans="1:8" ht="13.5" thickBot="1" x14ac:dyDescent="0.25">
      <c r="A43" s="256" t="s">
        <v>222</v>
      </c>
      <c r="B43" s="259" t="s">
        <v>177</v>
      </c>
      <c r="C43" s="272">
        <v>13</v>
      </c>
      <c r="D43" s="257"/>
      <c r="F43" s="227"/>
      <c r="G43" s="227" t="s">
        <v>369</v>
      </c>
      <c r="H43" s="269"/>
    </row>
    <row r="44" spans="1:8" x14ac:dyDescent="0.2">
      <c r="B44" s="215"/>
      <c r="F44" s="227"/>
      <c r="G44" s="265" t="s">
        <v>111</v>
      </c>
      <c r="H44" s="227"/>
    </row>
    <row r="45" spans="1:8" x14ac:dyDescent="0.2">
      <c r="B45" s="215"/>
      <c r="C45" s="215" t="s">
        <v>359</v>
      </c>
      <c r="F45" s="263">
        <v>13</v>
      </c>
      <c r="G45" s="227"/>
      <c r="H45" s="227"/>
    </row>
    <row r="46" spans="1:8" ht="13.5" thickBot="1" x14ac:dyDescent="0.25">
      <c r="B46" s="215"/>
      <c r="C46" s="257"/>
      <c r="D46" s="257"/>
      <c r="E46" s="261"/>
      <c r="F46" s="269"/>
      <c r="G46" s="269" t="s">
        <v>359</v>
      </c>
      <c r="H46" s="269"/>
    </row>
    <row r="47" spans="1:8" x14ac:dyDescent="0.2">
      <c r="B47" s="215"/>
      <c r="C47" s="259" t="s">
        <v>358</v>
      </c>
      <c r="D47" s="259"/>
      <c r="E47" s="268"/>
      <c r="F47" s="270">
        <v>8</v>
      </c>
      <c r="G47" s="271" t="s">
        <v>112</v>
      </c>
      <c r="H47" s="227"/>
    </row>
    <row r="48" spans="1:8" x14ac:dyDescent="0.2">
      <c r="B48" s="215"/>
      <c r="G48" s="227"/>
      <c r="H48" s="227"/>
    </row>
    <row r="49" spans="1:11" ht="13.5" thickBot="1" x14ac:dyDescent="0.25">
      <c r="B49" s="215"/>
      <c r="D49" s="227"/>
      <c r="E49" s="227"/>
      <c r="G49" s="269" t="s">
        <v>358</v>
      </c>
      <c r="H49" s="269"/>
    </row>
    <row r="50" spans="1:11" x14ac:dyDescent="0.2">
      <c r="B50" s="215"/>
      <c r="D50" s="227"/>
      <c r="E50" s="227"/>
      <c r="G50" s="214" t="s">
        <v>113</v>
      </c>
    </row>
    <row r="51" spans="1:11" s="229" customFormat="1" x14ac:dyDescent="0.2">
      <c r="F51" s="219"/>
      <c r="G51" s="219"/>
      <c r="H51" s="219"/>
      <c r="I51" s="219"/>
      <c r="J51" s="219"/>
      <c r="K51" s="219"/>
    </row>
    <row r="52" spans="1:11" s="219" customFormat="1" x14ac:dyDescent="0.2">
      <c r="A52" s="217">
        <v>1</v>
      </c>
      <c r="B52" s="217" t="s">
        <v>176</v>
      </c>
    </row>
    <row r="53" spans="1:11" s="219" customFormat="1" x14ac:dyDescent="0.2">
      <c r="A53" s="217">
        <v>2</v>
      </c>
      <c r="B53" s="253" t="s">
        <v>357</v>
      </c>
    </row>
    <row r="54" spans="1:11" s="219" customFormat="1" x14ac:dyDescent="0.2">
      <c r="A54" s="217">
        <v>3</v>
      </c>
      <c r="B54" s="253" t="s">
        <v>243</v>
      </c>
    </row>
    <row r="55" spans="1:11" s="219" customFormat="1" x14ac:dyDescent="0.2">
      <c r="A55" s="217">
        <v>4</v>
      </c>
      <c r="B55" s="253" t="s">
        <v>178</v>
      </c>
    </row>
    <row r="56" spans="1:11" s="219" customFormat="1" x14ac:dyDescent="0.2">
      <c r="A56" s="217">
        <v>5</v>
      </c>
      <c r="B56" s="253" t="s">
        <v>177</v>
      </c>
    </row>
    <row r="57" spans="1:11" s="219" customFormat="1" x14ac:dyDescent="0.2">
      <c r="A57" s="217">
        <v>6</v>
      </c>
      <c r="B57" s="253" t="s">
        <v>369</v>
      </c>
    </row>
    <row r="58" spans="1:11" s="219" customFormat="1" x14ac:dyDescent="0.2">
      <c r="A58" s="217">
        <v>7</v>
      </c>
      <c r="B58" s="253" t="s">
        <v>359</v>
      </c>
    </row>
    <row r="59" spans="1:11" s="219" customFormat="1" x14ac:dyDescent="0.2">
      <c r="A59" s="217">
        <v>8</v>
      </c>
      <c r="B59" s="253" t="s">
        <v>358</v>
      </c>
    </row>
  </sheetData>
  <conditionalFormatting sqref="C7:I17">
    <cfRule type="cellIs" dxfId="55" priority="3" stopIfTrue="1" operator="equal">
      <formula>13</formula>
    </cfRule>
  </conditionalFormatting>
  <conditionalFormatting sqref="C35:I35 C18:I19">
    <cfRule type="cellIs" dxfId="54" priority="2" stopIfTrue="1" operator="equal">
      <formula>13</formula>
    </cfRule>
  </conditionalFormatting>
  <conditionalFormatting sqref="C20:I34 C36:I50">
    <cfRule type="cellIs" dxfId="53" priority="1" stopIfTrue="1" operator="equal">
      <formula>13</formula>
    </cfRule>
  </conditionalFormatting>
  <pageMargins left="0.78740157480314965" right="0.39370078740157483" top="0.78740157480314965" bottom="0.39370078740157483" header="0.59055118110236227" footer="0"/>
  <pageSetup paperSize="9" fitToHeight="0" orientation="landscape" verticalDpi="1200" r:id="rId1"/>
  <headerFooter alignWithMargins="0">
    <oddHeader>&amp;R&amp;"Arial,Regular"&amp;9Page &amp;P of &amp;N</oddHeader>
  </headerFooter>
  <rowBreaks count="1" manualBreakCount="1">
    <brk id="3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76"/>
  <sheetViews>
    <sheetView showGridLines="0" showRowColHeaders="0" zoomScaleNormal="100" workbookViewId="0">
      <pane ySplit="2" topLeftCell="A3" activePane="bottomLeft" state="frozen"/>
      <selection activeCell="M1" sqref="M1"/>
      <selection pane="bottomLeft" activeCell="L1" sqref="L1"/>
    </sheetView>
  </sheetViews>
  <sheetFormatPr defaultRowHeight="12.75" x14ac:dyDescent="0.2"/>
  <cols>
    <col min="1" max="1" width="5.5703125" style="215" customWidth="1"/>
    <col min="2" max="2" width="18.7109375" style="214" bestFit="1" customWidth="1"/>
    <col min="3" max="3" width="7.28515625" style="215" bestFit="1" customWidth="1"/>
    <col min="4" max="4" width="7.42578125" style="215" bestFit="1" customWidth="1"/>
    <col min="5" max="5" width="9.140625" style="215" bestFit="1" customWidth="1"/>
    <col min="6" max="6" width="6.7109375" style="215" bestFit="1" customWidth="1"/>
    <col min="7" max="7" width="5.140625" style="215" bestFit="1" customWidth="1"/>
    <col min="8" max="8" width="10.28515625" style="215" customWidth="1"/>
    <col min="9" max="9" width="3.7109375" style="215" customWidth="1"/>
    <col min="10" max="10" width="9.140625" style="215"/>
    <col min="11" max="11" width="8.7109375" style="215" customWidth="1"/>
    <col min="12" max="16384" width="9.140625" style="215"/>
  </cols>
  <sheetData>
    <row r="1" spans="1:13" x14ac:dyDescent="0.2">
      <c r="A1" s="213" t="str">
        <f>UPPER((Kalend!D23)&amp;" - "&amp;(Kalend!C23)&amp;" - "&amp;(Kalend!E23))</f>
        <v>6 - SHK KV 6. ETAPP - ÜKSIK</v>
      </c>
      <c r="H1" s="133" t="str">
        <f>HYPERLINK("#'Kalend'!I1","Kalender")</f>
        <v>Kalender</v>
      </c>
      <c r="I1" s="533"/>
      <c r="J1" s="133" t="str">
        <f>HYPERLINK("#'Reit'!J1","Reiting")</f>
        <v>Reiting</v>
      </c>
      <c r="K1" s="533"/>
    </row>
    <row r="2" spans="1:13" s="533" customFormat="1" x14ac:dyDescent="0.2">
      <c r="A2" s="533" t="str">
        <f>"Toimumisaeg: "&amp;(Kalend!A23)&amp;" kell "&amp;(Kalend!B23)</f>
        <v>Toimumisaeg: P, 26.02.2017 kell 11:00</v>
      </c>
    </row>
    <row r="3" spans="1:13" s="533" customFormat="1" x14ac:dyDescent="0.2">
      <c r="A3" s="533" t="str">
        <f>"Toimumiskoht: "&amp;(Kalend!F23)</f>
        <v>Toimumiskoht: K-Järve petangihall</v>
      </c>
    </row>
    <row r="4" spans="1:13" s="533" customFormat="1" x14ac:dyDescent="0.2">
      <c r="A4" s="533" t="str">
        <f>"Korraldaja: "&amp;(Kalend!G23)</f>
        <v>Korraldaja: K-Järve SHK, Ivar Viljaste</v>
      </c>
    </row>
    <row r="6" spans="1:13" s="535" customFormat="1" x14ac:dyDescent="0.2">
      <c r="A6" s="521" t="s">
        <v>96</v>
      </c>
      <c r="B6" s="522"/>
      <c r="C6" s="218" t="s">
        <v>97</v>
      </c>
      <c r="D6" s="218" t="s">
        <v>98</v>
      </c>
      <c r="E6" s="218" t="s">
        <v>99</v>
      </c>
      <c r="F6" s="218" t="s">
        <v>100</v>
      </c>
      <c r="G6" s="218" t="s">
        <v>101</v>
      </c>
    </row>
    <row r="7" spans="1:13" s="535" customFormat="1" x14ac:dyDescent="0.2">
      <c r="A7" s="534">
        <v>1</v>
      </c>
      <c r="B7" s="411" t="s">
        <v>189</v>
      </c>
      <c r="C7" s="220">
        <v>4</v>
      </c>
      <c r="D7" s="220"/>
      <c r="E7" s="220">
        <v>13</v>
      </c>
      <c r="F7" s="220">
        <v>4</v>
      </c>
      <c r="G7" s="419" t="s">
        <v>182</v>
      </c>
      <c r="I7" s="227"/>
      <c r="J7" s="227"/>
      <c r="M7" s="222"/>
    </row>
    <row r="8" spans="1:13" s="535" customFormat="1" x14ac:dyDescent="0.2">
      <c r="A8" s="534">
        <v>2</v>
      </c>
      <c r="B8" s="411" t="s">
        <v>171</v>
      </c>
      <c r="C8" s="220">
        <v>13</v>
      </c>
      <c r="D8" s="220">
        <v>13</v>
      </c>
      <c r="E8" s="220"/>
      <c r="F8" s="655"/>
      <c r="G8" s="419" t="s">
        <v>180</v>
      </c>
      <c r="I8" s="227"/>
      <c r="J8" s="227"/>
      <c r="M8" s="222"/>
    </row>
    <row r="9" spans="1:13" s="535" customFormat="1" x14ac:dyDescent="0.2">
      <c r="A9" s="534">
        <v>3</v>
      </c>
      <c r="B9" s="411" t="s">
        <v>202</v>
      </c>
      <c r="C9" s="220">
        <v>8</v>
      </c>
      <c r="D9" s="220"/>
      <c r="E9" s="220">
        <v>7</v>
      </c>
      <c r="F9" s="220"/>
      <c r="G9" s="419" t="s">
        <v>245</v>
      </c>
      <c r="I9" s="227"/>
      <c r="J9" s="227"/>
      <c r="M9" s="222"/>
    </row>
    <row r="10" spans="1:13" s="535" customFormat="1" x14ac:dyDescent="0.2">
      <c r="A10" s="534">
        <v>4</v>
      </c>
      <c r="B10" s="697" t="s">
        <v>262</v>
      </c>
      <c r="C10" s="220">
        <v>13</v>
      </c>
      <c r="D10" s="220">
        <v>9</v>
      </c>
      <c r="E10" s="220"/>
      <c r="F10" s="220">
        <v>13</v>
      </c>
      <c r="G10" s="419" t="s">
        <v>181</v>
      </c>
      <c r="I10" s="227"/>
      <c r="J10" s="227"/>
      <c r="M10" s="222"/>
    </row>
    <row r="11" spans="1:13" s="535" customFormat="1" x14ac:dyDescent="0.2">
      <c r="A11" s="223"/>
      <c r="B11" s="222"/>
      <c r="C11" s="224"/>
      <c r="D11" s="224"/>
      <c r="E11" s="224"/>
      <c r="F11" s="225"/>
      <c r="G11" s="226"/>
      <c r="I11" s="227"/>
      <c r="J11" s="227"/>
      <c r="M11" s="222"/>
    </row>
    <row r="12" spans="1:13" s="535" customFormat="1" x14ac:dyDescent="0.2">
      <c r="A12" s="521" t="s">
        <v>102</v>
      </c>
      <c r="B12" s="522"/>
      <c r="C12" s="218" t="s">
        <v>97</v>
      </c>
      <c r="D12" s="218" t="s">
        <v>98</v>
      </c>
      <c r="E12" s="218" t="s">
        <v>99</v>
      </c>
      <c r="F12" s="218" t="s">
        <v>100</v>
      </c>
      <c r="G12" s="218" t="s">
        <v>101</v>
      </c>
      <c r="I12" s="227"/>
      <c r="J12" s="227"/>
      <c r="M12" s="222"/>
    </row>
    <row r="13" spans="1:13" s="535" customFormat="1" x14ac:dyDescent="0.2">
      <c r="A13" s="534">
        <v>1</v>
      </c>
      <c r="B13" s="411" t="s">
        <v>190</v>
      </c>
      <c r="C13" s="220">
        <v>8</v>
      </c>
      <c r="D13" s="220"/>
      <c r="E13" s="220">
        <v>13</v>
      </c>
      <c r="F13" s="220">
        <v>13</v>
      </c>
      <c r="G13" s="419" t="s">
        <v>181</v>
      </c>
      <c r="I13" s="227"/>
      <c r="J13" s="227"/>
      <c r="M13" s="222"/>
    </row>
    <row r="14" spans="1:13" s="535" customFormat="1" x14ac:dyDescent="0.2">
      <c r="A14" s="534">
        <v>2</v>
      </c>
      <c r="B14" s="411" t="s">
        <v>191</v>
      </c>
      <c r="C14" s="220">
        <v>13</v>
      </c>
      <c r="D14" s="220">
        <v>13</v>
      </c>
      <c r="E14" s="220"/>
      <c r="F14" s="220"/>
      <c r="G14" s="419" t="s">
        <v>180</v>
      </c>
      <c r="I14" s="227"/>
      <c r="J14" s="227"/>
      <c r="M14" s="222"/>
    </row>
    <row r="15" spans="1:13" s="535" customFormat="1" x14ac:dyDescent="0.2">
      <c r="A15" s="534">
        <v>3</v>
      </c>
      <c r="B15" s="697" t="s">
        <v>257</v>
      </c>
      <c r="C15" s="220">
        <v>6</v>
      </c>
      <c r="D15" s="220"/>
      <c r="E15" s="220">
        <v>8</v>
      </c>
      <c r="F15" s="220"/>
      <c r="G15" s="419" t="s">
        <v>245</v>
      </c>
      <c r="I15" s="227"/>
      <c r="J15" s="227"/>
      <c r="M15" s="222"/>
    </row>
    <row r="16" spans="1:13" s="535" customFormat="1" x14ac:dyDescent="0.2">
      <c r="A16" s="534">
        <v>4</v>
      </c>
      <c r="B16" s="697" t="s">
        <v>360</v>
      </c>
      <c r="C16" s="220">
        <v>13</v>
      </c>
      <c r="D16" s="220">
        <v>9</v>
      </c>
      <c r="E16" s="220"/>
      <c r="F16" s="220">
        <v>4</v>
      </c>
      <c r="G16" s="419" t="s">
        <v>182</v>
      </c>
      <c r="I16" s="227"/>
      <c r="J16" s="227"/>
      <c r="M16" s="222"/>
    </row>
    <row r="17" spans="1:13" s="535" customFormat="1" x14ac:dyDescent="0.2">
      <c r="A17" s="223"/>
      <c r="B17" s="222"/>
      <c r="C17" s="224"/>
      <c r="D17" s="224"/>
      <c r="E17" s="224"/>
      <c r="F17" s="225"/>
      <c r="G17" s="226"/>
      <c r="I17" s="227"/>
      <c r="J17" s="227"/>
      <c r="M17" s="222"/>
    </row>
    <row r="18" spans="1:13" s="535" customFormat="1" x14ac:dyDescent="0.2">
      <c r="A18" s="521" t="s">
        <v>103</v>
      </c>
      <c r="B18" s="522"/>
      <c r="C18" s="218" t="s">
        <v>97</v>
      </c>
      <c r="D18" s="218" t="s">
        <v>98</v>
      </c>
      <c r="E18" s="218" t="s">
        <v>99</v>
      </c>
      <c r="F18" s="218" t="s">
        <v>100</v>
      </c>
      <c r="G18" s="218" t="s">
        <v>101</v>
      </c>
      <c r="I18" s="227"/>
      <c r="J18" s="227"/>
      <c r="M18" s="227"/>
    </row>
    <row r="19" spans="1:13" s="535" customFormat="1" x14ac:dyDescent="0.2">
      <c r="A19" s="534">
        <v>1</v>
      </c>
      <c r="B19" s="411" t="s">
        <v>183</v>
      </c>
      <c r="C19" s="220">
        <v>13</v>
      </c>
      <c r="D19" s="220">
        <v>8</v>
      </c>
      <c r="E19" s="220"/>
      <c r="F19" s="220">
        <v>13</v>
      </c>
      <c r="G19" s="419" t="s">
        <v>181</v>
      </c>
      <c r="I19" s="227"/>
      <c r="J19" s="227"/>
      <c r="M19" s="227"/>
    </row>
    <row r="20" spans="1:13" s="535" customFormat="1" x14ac:dyDescent="0.2">
      <c r="A20" s="534">
        <v>2</v>
      </c>
      <c r="B20" s="411" t="s">
        <v>201</v>
      </c>
      <c r="C20" s="220">
        <v>13</v>
      </c>
      <c r="D20" s="220">
        <v>13</v>
      </c>
      <c r="E20" s="220"/>
      <c r="F20" s="220"/>
      <c r="G20" s="419" t="s">
        <v>180</v>
      </c>
      <c r="I20" s="227"/>
      <c r="J20" s="227"/>
      <c r="M20" s="227"/>
    </row>
    <row r="21" spans="1:13" s="535" customFormat="1" x14ac:dyDescent="0.2">
      <c r="A21" s="534">
        <v>3</v>
      </c>
      <c r="B21" s="411" t="s">
        <v>203</v>
      </c>
      <c r="C21" s="220">
        <v>8</v>
      </c>
      <c r="D21" s="220"/>
      <c r="E21" s="220">
        <v>13</v>
      </c>
      <c r="F21" s="220">
        <v>4</v>
      </c>
      <c r="G21" s="419" t="s">
        <v>182</v>
      </c>
      <c r="I21" s="227"/>
      <c r="J21" s="227"/>
      <c r="M21" s="227"/>
    </row>
    <row r="22" spans="1:13" s="535" customFormat="1" x14ac:dyDescent="0.2">
      <c r="A22" s="534">
        <v>4</v>
      </c>
      <c r="B22" s="411"/>
      <c r="C22" s="220">
        <v>0</v>
      </c>
      <c r="D22" s="220"/>
      <c r="E22" s="220">
        <v>0</v>
      </c>
      <c r="F22" s="220"/>
      <c r="G22" s="419"/>
      <c r="I22" s="227"/>
      <c r="J22" s="227"/>
    </row>
    <row r="23" spans="1:13" s="535" customFormat="1" x14ac:dyDescent="0.2">
      <c r="I23" s="227"/>
      <c r="J23" s="227"/>
    </row>
    <row r="24" spans="1:13" s="535" customFormat="1" x14ac:dyDescent="0.2">
      <c r="A24" s="521" t="s">
        <v>104</v>
      </c>
      <c r="B24" s="522"/>
      <c r="C24" s="218" t="s">
        <v>97</v>
      </c>
      <c r="D24" s="218" t="s">
        <v>98</v>
      </c>
      <c r="E24" s="218" t="s">
        <v>99</v>
      </c>
      <c r="F24" s="218" t="s">
        <v>100</v>
      </c>
      <c r="G24" s="218" t="s">
        <v>101</v>
      </c>
      <c r="I24" s="227"/>
      <c r="J24" s="227"/>
    </row>
    <row r="25" spans="1:13" s="535" customFormat="1" x14ac:dyDescent="0.2">
      <c r="A25" s="534">
        <v>1</v>
      </c>
      <c r="B25" s="411" t="s">
        <v>184</v>
      </c>
      <c r="C25" s="220">
        <v>13</v>
      </c>
      <c r="D25" s="220">
        <v>13</v>
      </c>
      <c r="E25" s="220"/>
      <c r="F25" s="220"/>
      <c r="G25" s="419" t="s">
        <v>180</v>
      </c>
      <c r="I25" s="227"/>
      <c r="J25" s="227"/>
    </row>
    <row r="26" spans="1:13" s="535" customFormat="1" x14ac:dyDescent="0.2">
      <c r="A26" s="534">
        <v>2</v>
      </c>
      <c r="B26" s="411" t="s">
        <v>187</v>
      </c>
      <c r="C26" s="220">
        <v>13</v>
      </c>
      <c r="D26" s="220">
        <v>10</v>
      </c>
      <c r="E26" s="220"/>
      <c r="F26" s="220">
        <v>13</v>
      </c>
      <c r="G26" s="419" t="s">
        <v>181</v>
      </c>
      <c r="I26" s="227"/>
      <c r="J26" s="227"/>
    </row>
    <row r="27" spans="1:13" s="535" customFormat="1" x14ac:dyDescent="0.2">
      <c r="A27" s="534">
        <v>3</v>
      </c>
      <c r="B27" s="411" t="s">
        <v>200</v>
      </c>
      <c r="C27" s="220">
        <v>6</v>
      </c>
      <c r="D27" s="220"/>
      <c r="E27" s="220">
        <v>13</v>
      </c>
      <c r="F27" s="220">
        <v>8</v>
      </c>
      <c r="G27" s="419" t="s">
        <v>182</v>
      </c>
      <c r="I27" s="227"/>
      <c r="J27" s="227"/>
    </row>
    <row r="28" spans="1:13" s="535" customFormat="1" x14ac:dyDescent="0.2">
      <c r="A28" s="534">
        <v>4</v>
      </c>
      <c r="B28" s="148"/>
      <c r="C28" s="220">
        <v>0</v>
      </c>
      <c r="D28" s="220"/>
      <c r="E28" s="220">
        <v>0</v>
      </c>
      <c r="F28" s="220"/>
      <c r="G28" s="419"/>
      <c r="I28" s="227"/>
      <c r="J28" s="227"/>
    </row>
    <row r="29" spans="1:13" s="535" customFormat="1" x14ac:dyDescent="0.2">
      <c r="A29" s="223"/>
      <c r="B29" s="222"/>
      <c r="C29" s="224"/>
      <c r="D29" s="224"/>
      <c r="E29" s="224"/>
      <c r="F29" s="225"/>
      <c r="G29" s="226"/>
      <c r="I29" s="227"/>
      <c r="J29" s="227"/>
      <c r="M29" s="222"/>
    </row>
    <row r="30" spans="1:13" s="535" customFormat="1" x14ac:dyDescent="0.2">
      <c r="A30" s="521" t="s">
        <v>295</v>
      </c>
      <c r="B30" s="522"/>
      <c r="C30" s="218" t="s">
        <v>97</v>
      </c>
      <c r="D30" s="218" t="s">
        <v>98</v>
      </c>
      <c r="E30" s="218" t="s">
        <v>99</v>
      </c>
      <c r="F30" s="218" t="s">
        <v>100</v>
      </c>
      <c r="G30" s="218" t="s">
        <v>101</v>
      </c>
      <c r="I30" s="227"/>
      <c r="J30" s="227"/>
      <c r="M30" s="227"/>
    </row>
    <row r="31" spans="1:13" s="535" customFormat="1" x14ac:dyDescent="0.2">
      <c r="A31" s="534">
        <v>1</v>
      </c>
      <c r="B31" s="411" t="s">
        <v>188</v>
      </c>
      <c r="C31" s="220">
        <v>13</v>
      </c>
      <c r="D31" s="220">
        <v>4</v>
      </c>
      <c r="E31" s="220"/>
      <c r="F31" s="220">
        <v>3</v>
      </c>
      <c r="G31" s="419" t="s">
        <v>182</v>
      </c>
      <c r="I31" s="227"/>
      <c r="J31" s="227"/>
      <c r="M31" s="227"/>
    </row>
    <row r="32" spans="1:13" s="535" customFormat="1" x14ac:dyDescent="0.2">
      <c r="A32" s="534">
        <v>2</v>
      </c>
      <c r="B32" s="411" t="s">
        <v>199</v>
      </c>
      <c r="C32" s="220">
        <v>12</v>
      </c>
      <c r="D32" s="220"/>
      <c r="E32" s="220">
        <v>13</v>
      </c>
      <c r="F32" s="220">
        <v>13</v>
      </c>
      <c r="G32" s="419" t="s">
        <v>181</v>
      </c>
      <c r="I32" s="227"/>
      <c r="J32" s="227"/>
      <c r="M32" s="227"/>
    </row>
    <row r="33" spans="1:13" s="535" customFormat="1" x14ac:dyDescent="0.2">
      <c r="A33" s="534">
        <v>3</v>
      </c>
      <c r="B33" s="411" t="s">
        <v>261</v>
      </c>
      <c r="C33" s="220">
        <v>13</v>
      </c>
      <c r="D33" s="220">
        <v>13</v>
      </c>
      <c r="E33" s="220"/>
      <c r="F33" s="220"/>
      <c r="G33" s="419" t="s">
        <v>180</v>
      </c>
      <c r="I33" s="227"/>
      <c r="J33" s="227"/>
      <c r="M33" s="227"/>
    </row>
    <row r="34" spans="1:13" s="535" customFormat="1" x14ac:dyDescent="0.2">
      <c r="A34" s="534">
        <v>4</v>
      </c>
      <c r="B34" s="149"/>
      <c r="C34" s="220">
        <v>0</v>
      </c>
      <c r="D34" s="220"/>
      <c r="E34" s="220">
        <v>0</v>
      </c>
      <c r="F34" s="220"/>
      <c r="G34" s="419"/>
      <c r="I34" s="227"/>
      <c r="J34" s="227"/>
    </row>
    <row r="35" spans="1:13" s="535" customFormat="1" x14ac:dyDescent="0.2">
      <c r="I35" s="227"/>
      <c r="J35" s="227"/>
    </row>
    <row r="36" spans="1:13" s="535" customFormat="1" x14ac:dyDescent="0.2">
      <c r="A36" s="521" t="s">
        <v>296</v>
      </c>
      <c r="B36" s="522"/>
      <c r="C36" s="218" t="s">
        <v>97</v>
      </c>
      <c r="D36" s="218" t="s">
        <v>98</v>
      </c>
      <c r="E36" s="218" t="s">
        <v>99</v>
      </c>
      <c r="F36" s="218" t="s">
        <v>100</v>
      </c>
      <c r="G36" s="218" t="s">
        <v>101</v>
      </c>
      <c r="I36" s="227"/>
      <c r="J36" s="227"/>
    </row>
    <row r="37" spans="1:13" s="535" customFormat="1" x14ac:dyDescent="0.2">
      <c r="A37" s="534">
        <v>1</v>
      </c>
      <c r="B37" s="411" t="s">
        <v>192</v>
      </c>
      <c r="C37" s="220">
        <v>13</v>
      </c>
      <c r="D37" s="220">
        <v>13</v>
      </c>
      <c r="E37" s="220"/>
      <c r="F37" s="220"/>
      <c r="G37" s="419" t="s">
        <v>180</v>
      </c>
      <c r="I37" s="227"/>
      <c r="J37" s="227"/>
    </row>
    <row r="38" spans="1:13" s="535" customFormat="1" x14ac:dyDescent="0.2">
      <c r="A38" s="534">
        <v>2</v>
      </c>
      <c r="B38" s="411" t="s">
        <v>368</v>
      </c>
      <c r="C38" s="220">
        <v>8</v>
      </c>
      <c r="D38" s="220"/>
      <c r="E38" s="220">
        <v>13</v>
      </c>
      <c r="F38" s="220">
        <v>6</v>
      </c>
      <c r="G38" s="419" t="s">
        <v>182</v>
      </c>
      <c r="I38" s="227"/>
      <c r="J38" s="227"/>
    </row>
    <row r="39" spans="1:13" s="535" customFormat="1" x14ac:dyDescent="0.2">
      <c r="A39" s="534">
        <v>3</v>
      </c>
      <c r="B39" s="411" t="s">
        <v>315</v>
      </c>
      <c r="C39" s="220">
        <v>13</v>
      </c>
      <c r="D39" s="220">
        <v>12</v>
      </c>
      <c r="E39" s="220"/>
      <c r="F39" s="220">
        <v>13</v>
      </c>
      <c r="G39" s="419" t="s">
        <v>181</v>
      </c>
      <c r="I39" s="227"/>
      <c r="J39" s="227"/>
    </row>
    <row r="40" spans="1:13" s="535" customFormat="1" x14ac:dyDescent="0.2">
      <c r="A40" s="534">
        <v>4</v>
      </c>
      <c r="B40" s="148"/>
      <c r="C40" s="220"/>
      <c r="D40" s="220"/>
      <c r="E40" s="220">
        <v>0</v>
      </c>
      <c r="F40" s="220"/>
      <c r="G40" s="419"/>
      <c r="I40" s="227"/>
      <c r="J40" s="227"/>
    </row>
    <row r="41" spans="1:13" s="535" customFormat="1" x14ac:dyDescent="0.2">
      <c r="I41" s="227"/>
      <c r="J41" s="227"/>
    </row>
    <row r="42" spans="1:13" x14ac:dyDescent="0.2">
      <c r="A42" s="256"/>
      <c r="B42" s="215"/>
      <c r="F42" s="227"/>
      <c r="G42" s="227"/>
      <c r="H42" s="227"/>
      <c r="I42" s="617"/>
    </row>
    <row r="43" spans="1:13" x14ac:dyDescent="0.2">
      <c r="A43" s="618" t="s">
        <v>122</v>
      </c>
      <c r="B43" s="227"/>
      <c r="C43" s="224"/>
      <c r="D43" s="224"/>
      <c r="E43" s="224"/>
      <c r="F43" s="225"/>
      <c r="G43" s="226"/>
    </row>
    <row r="44" spans="1:13" x14ac:dyDescent="0.2">
      <c r="B44" s="215"/>
    </row>
    <row r="45" spans="1:13" x14ac:dyDescent="0.2">
      <c r="A45" s="255" t="s">
        <v>209</v>
      </c>
      <c r="B45" s="619" t="s">
        <v>191</v>
      </c>
      <c r="C45" s="270">
        <v>13</v>
      </c>
    </row>
    <row r="46" spans="1:13" x14ac:dyDescent="0.2">
      <c r="A46" s="256"/>
      <c r="B46" s="257"/>
      <c r="C46" s="258" t="s">
        <v>191</v>
      </c>
      <c r="E46" s="270">
        <v>10</v>
      </c>
    </row>
    <row r="47" spans="1:13" x14ac:dyDescent="0.2">
      <c r="A47" s="256"/>
      <c r="B47" s="621" t="s">
        <v>160</v>
      </c>
      <c r="C47" s="260">
        <v>0</v>
      </c>
      <c r="D47" s="261"/>
    </row>
    <row r="48" spans="1:13" x14ac:dyDescent="0.2">
      <c r="A48" s="256"/>
      <c r="B48" s="215"/>
      <c r="D48" s="262"/>
      <c r="E48" s="267" t="s">
        <v>199</v>
      </c>
      <c r="G48" s="270">
        <v>9</v>
      </c>
    </row>
    <row r="49" spans="1:11" x14ac:dyDescent="0.2">
      <c r="A49" s="256" t="s">
        <v>314</v>
      </c>
      <c r="B49" s="215" t="s">
        <v>199</v>
      </c>
      <c r="C49" s="263">
        <v>13</v>
      </c>
      <c r="D49" s="262"/>
      <c r="E49" s="620"/>
      <c r="F49" s="261"/>
    </row>
    <row r="50" spans="1:11" x14ac:dyDescent="0.2">
      <c r="A50" s="256"/>
      <c r="B50" s="257"/>
      <c r="C50" s="641" t="s">
        <v>199</v>
      </c>
      <c r="D50" s="268"/>
      <c r="E50" s="263">
        <v>13</v>
      </c>
      <c r="F50" s="262"/>
    </row>
    <row r="51" spans="1:11" x14ac:dyDescent="0.2">
      <c r="A51" s="256" t="s">
        <v>297</v>
      </c>
      <c r="B51" s="621" t="s">
        <v>315</v>
      </c>
      <c r="C51" s="622">
        <v>5</v>
      </c>
      <c r="E51" s="227"/>
      <c r="F51" s="262"/>
    </row>
    <row r="52" spans="1:11" x14ac:dyDescent="0.2">
      <c r="A52" s="214"/>
      <c r="B52" s="215"/>
      <c r="E52" s="227"/>
      <c r="F52" s="262"/>
      <c r="G52" s="267" t="s">
        <v>201</v>
      </c>
      <c r="I52" s="270">
        <v>7</v>
      </c>
    </row>
    <row r="53" spans="1:11" x14ac:dyDescent="0.2">
      <c r="A53" s="255" t="s">
        <v>267</v>
      </c>
      <c r="B53" s="215" t="s">
        <v>184</v>
      </c>
      <c r="C53" s="270">
        <v>13</v>
      </c>
      <c r="E53" s="227"/>
      <c r="F53" s="262"/>
      <c r="G53" s="257"/>
      <c r="H53" s="261"/>
    </row>
    <row r="54" spans="1:11" x14ac:dyDescent="0.2">
      <c r="A54" s="256"/>
      <c r="B54" s="257"/>
      <c r="C54" s="258" t="s">
        <v>184</v>
      </c>
      <c r="E54" s="263">
        <v>12</v>
      </c>
      <c r="F54" s="262"/>
      <c r="G54" s="227"/>
      <c r="H54" s="262"/>
    </row>
    <row r="55" spans="1:11" x14ac:dyDescent="0.2">
      <c r="A55" s="256" t="s">
        <v>170</v>
      </c>
      <c r="B55" s="621" t="s">
        <v>262</v>
      </c>
      <c r="C55" s="260">
        <v>9</v>
      </c>
      <c r="D55" s="261"/>
      <c r="E55" s="227"/>
      <c r="F55" s="262"/>
      <c r="G55" s="227"/>
      <c r="H55" s="262"/>
    </row>
    <row r="56" spans="1:11" x14ac:dyDescent="0.2">
      <c r="A56" s="256"/>
      <c r="B56" s="215"/>
      <c r="D56" s="262"/>
      <c r="E56" s="259" t="s">
        <v>201</v>
      </c>
      <c r="F56" s="268"/>
      <c r="G56" s="263">
        <v>13</v>
      </c>
      <c r="H56" s="262"/>
    </row>
    <row r="57" spans="1:11" x14ac:dyDescent="0.2">
      <c r="A57" s="256" t="s">
        <v>208</v>
      </c>
      <c r="B57" s="619" t="s">
        <v>201</v>
      </c>
      <c r="C57" s="263">
        <v>13</v>
      </c>
      <c r="D57" s="262"/>
      <c r="E57" s="267"/>
      <c r="F57" s="227"/>
      <c r="G57" s="227"/>
      <c r="H57" s="262"/>
    </row>
    <row r="58" spans="1:11" x14ac:dyDescent="0.2">
      <c r="A58" s="256"/>
      <c r="B58" s="257"/>
      <c r="C58" s="267" t="s">
        <v>201</v>
      </c>
      <c r="D58" s="268"/>
      <c r="E58" s="263">
        <v>13</v>
      </c>
      <c r="G58" s="227"/>
      <c r="H58" s="262"/>
    </row>
    <row r="59" spans="1:11" x14ac:dyDescent="0.2">
      <c r="A59" s="256"/>
      <c r="B59" s="621" t="s">
        <v>160</v>
      </c>
      <c r="C59" s="272">
        <v>0</v>
      </c>
      <c r="E59" s="227"/>
      <c r="F59" s="227"/>
      <c r="G59" s="227"/>
      <c r="H59" s="262"/>
    </row>
    <row r="60" spans="1:11" ht="13.5" thickBot="1" x14ac:dyDescent="0.25">
      <c r="B60" s="215"/>
      <c r="G60" s="227"/>
      <c r="H60" s="262"/>
      <c r="J60" s="215" t="s">
        <v>187</v>
      </c>
    </row>
    <row r="61" spans="1:11" x14ac:dyDescent="0.2">
      <c r="A61" s="255" t="s">
        <v>299</v>
      </c>
      <c r="B61" s="215" t="s">
        <v>192</v>
      </c>
      <c r="C61" s="270">
        <v>13</v>
      </c>
      <c r="G61" s="227"/>
      <c r="H61" s="262"/>
      <c r="I61" s="264"/>
      <c r="J61" s="265" t="s">
        <v>106</v>
      </c>
      <c r="K61" s="266"/>
    </row>
    <row r="62" spans="1:11" x14ac:dyDescent="0.2">
      <c r="A62" s="256"/>
      <c r="B62" s="257"/>
      <c r="C62" s="258" t="s">
        <v>192</v>
      </c>
      <c r="E62" s="270">
        <v>4</v>
      </c>
      <c r="G62" s="227"/>
      <c r="H62" s="262"/>
    </row>
    <row r="63" spans="1:11" x14ac:dyDescent="0.2">
      <c r="A63" s="256"/>
      <c r="B63" s="621" t="s">
        <v>160</v>
      </c>
      <c r="C63" s="260">
        <v>0</v>
      </c>
      <c r="D63" s="261"/>
      <c r="G63" s="227"/>
      <c r="H63" s="262"/>
    </row>
    <row r="64" spans="1:11" x14ac:dyDescent="0.2">
      <c r="A64" s="256"/>
      <c r="B64" s="215"/>
      <c r="D64" s="262"/>
      <c r="E64" s="215" t="s">
        <v>183</v>
      </c>
      <c r="G64" s="263">
        <v>8</v>
      </c>
      <c r="H64" s="262"/>
    </row>
    <row r="65" spans="1:11" x14ac:dyDescent="0.2">
      <c r="A65" s="256" t="s">
        <v>161</v>
      </c>
      <c r="B65" s="215" t="s">
        <v>190</v>
      </c>
      <c r="C65" s="263">
        <v>8</v>
      </c>
      <c r="D65" s="262"/>
      <c r="E65" s="620"/>
      <c r="F65" s="261"/>
      <c r="G65" s="227"/>
      <c r="H65" s="262"/>
    </row>
    <row r="66" spans="1:11" x14ac:dyDescent="0.2">
      <c r="A66" s="256"/>
      <c r="B66" s="257"/>
      <c r="C66" s="267" t="s">
        <v>183</v>
      </c>
      <c r="D66" s="268"/>
      <c r="E66" s="263">
        <v>13</v>
      </c>
      <c r="F66" s="262"/>
      <c r="G66" s="227"/>
      <c r="H66" s="262"/>
    </row>
    <row r="67" spans="1:11" x14ac:dyDescent="0.2">
      <c r="A67" s="256" t="s">
        <v>166</v>
      </c>
      <c r="B67" s="623" t="s">
        <v>183</v>
      </c>
      <c r="C67" s="272">
        <v>13</v>
      </c>
      <c r="E67" s="227"/>
      <c r="F67" s="262"/>
      <c r="G67" s="227"/>
      <c r="H67" s="262"/>
    </row>
    <row r="68" spans="1:11" x14ac:dyDescent="0.2">
      <c r="B68" s="215"/>
      <c r="E68" s="227"/>
      <c r="F68" s="262"/>
      <c r="G68" s="259" t="s">
        <v>187</v>
      </c>
      <c r="H68" s="268"/>
      <c r="I68" s="270">
        <v>13</v>
      </c>
    </row>
    <row r="69" spans="1:11" ht="13.5" thickBot="1" x14ac:dyDescent="0.25">
      <c r="A69" s="255" t="s">
        <v>298</v>
      </c>
      <c r="B69" s="215" t="s">
        <v>261</v>
      </c>
      <c r="C69" s="270">
        <v>11</v>
      </c>
      <c r="E69" s="227"/>
      <c r="F69" s="262"/>
      <c r="J69" s="624" t="s">
        <v>201</v>
      </c>
      <c r="K69" s="269"/>
    </row>
    <row r="70" spans="1:11" x14ac:dyDescent="0.2">
      <c r="A70" s="256"/>
      <c r="B70" s="257"/>
      <c r="C70" s="258" t="s">
        <v>187</v>
      </c>
      <c r="E70" s="263">
        <v>13</v>
      </c>
      <c r="F70" s="262"/>
      <c r="J70" s="265" t="s">
        <v>107</v>
      </c>
      <c r="K70" s="227"/>
    </row>
    <row r="71" spans="1:11" x14ac:dyDescent="0.2">
      <c r="A71" s="256" t="s">
        <v>266</v>
      </c>
      <c r="B71" s="621" t="s">
        <v>187</v>
      </c>
      <c r="C71" s="260">
        <v>13</v>
      </c>
      <c r="D71" s="261"/>
      <c r="E71" s="227"/>
      <c r="F71" s="262"/>
    </row>
    <row r="72" spans="1:11" x14ac:dyDescent="0.2">
      <c r="A72" s="256"/>
      <c r="B72" s="215"/>
      <c r="D72" s="262"/>
      <c r="E72" s="259" t="s">
        <v>187</v>
      </c>
      <c r="F72" s="268"/>
      <c r="G72" s="270">
        <v>13</v>
      </c>
    </row>
    <row r="73" spans="1:11" x14ac:dyDescent="0.2">
      <c r="A73" s="256" t="s">
        <v>207</v>
      </c>
      <c r="B73" s="215" t="s">
        <v>171</v>
      </c>
      <c r="C73" s="263">
        <v>13</v>
      </c>
      <c r="D73" s="262"/>
      <c r="E73" s="267"/>
      <c r="F73" s="227"/>
    </row>
    <row r="74" spans="1:11" x14ac:dyDescent="0.2">
      <c r="A74" s="256"/>
      <c r="B74" s="257"/>
      <c r="C74" s="267" t="s">
        <v>171</v>
      </c>
      <c r="D74" s="268"/>
      <c r="E74" s="263">
        <v>4</v>
      </c>
      <c r="G74" s="215" t="s">
        <v>199</v>
      </c>
      <c r="I74" s="263">
        <v>13</v>
      </c>
    </row>
    <row r="75" spans="1:11" ht="13.5" thickBot="1" x14ac:dyDescent="0.25">
      <c r="A75" s="256"/>
      <c r="B75" s="621" t="s">
        <v>160</v>
      </c>
      <c r="C75" s="272">
        <v>0</v>
      </c>
      <c r="E75" s="227"/>
      <c r="F75" s="227"/>
      <c r="G75" s="257"/>
      <c r="H75" s="261"/>
      <c r="I75" s="269"/>
      <c r="J75" s="526" t="s">
        <v>199</v>
      </c>
      <c r="K75" s="269"/>
    </row>
    <row r="76" spans="1:11" x14ac:dyDescent="0.2">
      <c r="B76" s="215"/>
      <c r="F76" s="227"/>
      <c r="G76" s="259" t="s">
        <v>183</v>
      </c>
      <c r="H76" s="268"/>
      <c r="I76" s="270">
        <v>2</v>
      </c>
      <c r="J76" s="271" t="s">
        <v>108</v>
      </c>
      <c r="K76" s="227"/>
    </row>
    <row r="77" spans="1:11" x14ac:dyDescent="0.2">
      <c r="B77" s="215"/>
      <c r="F77" s="227"/>
      <c r="J77" s="227"/>
      <c r="K77" s="227"/>
    </row>
    <row r="78" spans="1:11" ht="13.5" thickBot="1" x14ac:dyDescent="0.25">
      <c r="B78" s="215"/>
      <c r="F78" s="227"/>
      <c r="G78" s="227"/>
      <c r="H78" s="227"/>
      <c r="J78" s="269" t="s">
        <v>183</v>
      </c>
      <c r="K78" s="269"/>
    </row>
    <row r="79" spans="1:11" x14ac:dyDescent="0.2">
      <c r="B79" s="215"/>
      <c r="G79" s="227"/>
      <c r="H79" s="227"/>
      <c r="J79" s="214" t="s">
        <v>109</v>
      </c>
    </row>
    <row r="80" spans="1:11" x14ac:dyDescent="0.2">
      <c r="B80" s="215"/>
      <c r="H80" s="227"/>
      <c r="I80" s="227"/>
      <c r="K80" s="214"/>
    </row>
    <row r="81" spans="1:11" x14ac:dyDescent="0.2">
      <c r="A81" s="625" t="s">
        <v>123</v>
      </c>
      <c r="B81" s="215"/>
      <c r="H81" s="227"/>
      <c r="I81" s="227"/>
      <c r="K81" s="214"/>
    </row>
    <row r="82" spans="1:11" x14ac:dyDescent="0.2">
      <c r="A82" s="625"/>
      <c r="B82" s="215"/>
      <c r="G82" s="227"/>
      <c r="H82" s="227"/>
      <c r="J82" s="214"/>
    </row>
    <row r="83" spans="1:11" x14ac:dyDescent="0.2">
      <c r="B83" s="215"/>
      <c r="D83" s="626" t="s">
        <v>191</v>
      </c>
      <c r="E83" s="270"/>
      <c r="F83" s="270"/>
      <c r="G83" s="634">
        <v>8</v>
      </c>
      <c r="H83" s="270"/>
      <c r="I83" s="270"/>
    </row>
    <row r="84" spans="1:11" x14ac:dyDescent="0.2">
      <c r="B84" s="215"/>
      <c r="D84" s="627"/>
      <c r="E84" s="627"/>
      <c r="F84" s="628"/>
      <c r="G84" s="263" t="s">
        <v>184</v>
      </c>
      <c r="H84" s="270"/>
      <c r="I84" s="270">
        <v>13</v>
      </c>
    </row>
    <row r="85" spans="1:11" x14ac:dyDescent="0.2">
      <c r="B85" s="215"/>
      <c r="D85" s="629" t="s">
        <v>184</v>
      </c>
      <c r="E85" s="629"/>
      <c r="F85" s="630"/>
      <c r="G85" s="627">
        <v>13</v>
      </c>
      <c r="H85" s="628"/>
      <c r="I85" s="270"/>
    </row>
    <row r="86" spans="1:11" ht="13.5" thickBot="1" x14ac:dyDescent="0.25">
      <c r="B86" s="215"/>
      <c r="D86" s="270"/>
      <c r="E86" s="270"/>
      <c r="F86" s="270"/>
      <c r="G86" s="263"/>
      <c r="H86" s="631"/>
      <c r="I86" s="270"/>
      <c r="J86" s="619" t="s">
        <v>184</v>
      </c>
    </row>
    <row r="87" spans="1:11" x14ac:dyDescent="0.2">
      <c r="B87" s="215"/>
      <c r="D87" s="270" t="s">
        <v>192</v>
      </c>
      <c r="E87" s="270"/>
      <c r="F87" s="270"/>
      <c r="G87" s="263">
        <v>13</v>
      </c>
      <c r="H87" s="631"/>
      <c r="I87" s="632"/>
      <c r="J87" s="265" t="s">
        <v>110</v>
      </c>
      <c r="K87" s="266"/>
    </row>
    <row r="88" spans="1:11" x14ac:dyDescent="0.2">
      <c r="B88" s="215"/>
      <c r="D88" s="627"/>
      <c r="E88" s="627"/>
      <c r="F88" s="628"/>
      <c r="G88" s="629" t="s">
        <v>192</v>
      </c>
      <c r="H88" s="630"/>
      <c r="I88" s="263">
        <v>4</v>
      </c>
    </row>
    <row r="89" spans="1:11" ht="13.5" thickBot="1" x14ac:dyDescent="0.25">
      <c r="B89" s="215"/>
      <c r="D89" s="629" t="s">
        <v>171</v>
      </c>
      <c r="E89" s="629"/>
      <c r="F89" s="630"/>
      <c r="G89" s="263">
        <v>7</v>
      </c>
      <c r="H89" s="270"/>
      <c r="I89" s="263"/>
      <c r="J89" s="227" t="s">
        <v>192</v>
      </c>
      <c r="K89" s="269"/>
    </row>
    <row r="90" spans="1:11" x14ac:dyDescent="0.2">
      <c r="B90" s="215"/>
      <c r="D90" s="270"/>
      <c r="E90" s="270"/>
      <c r="F90" s="270"/>
      <c r="G90" s="270"/>
      <c r="H90" s="270"/>
      <c r="I90" s="263"/>
      <c r="J90" s="265" t="s">
        <v>111</v>
      </c>
      <c r="K90" s="227"/>
    </row>
    <row r="91" spans="1:11" x14ac:dyDescent="0.2">
      <c r="B91" s="215"/>
      <c r="D91" s="270"/>
      <c r="E91" s="270"/>
      <c r="F91" s="263"/>
      <c r="G91" s="270" t="s">
        <v>191</v>
      </c>
      <c r="H91" s="270"/>
      <c r="I91" s="640">
        <v>13</v>
      </c>
      <c r="J91" s="227"/>
      <c r="K91" s="227"/>
    </row>
    <row r="92" spans="1:11" ht="13.5" thickBot="1" x14ac:dyDescent="0.25">
      <c r="B92" s="215"/>
      <c r="D92" s="270"/>
      <c r="E92" s="270"/>
      <c r="F92" s="263"/>
      <c r="G92" s="627"/>
      <c r="H92" s="628"/>
      <c r="I92" s="633"/>
      <c r="J92" s="269" t="s">
        <v>191</v>
      </c>
      <c r="K92" s="269"/>
    </row>
    <row r="93" spans="1:11" x14ac:dyDescent="0.2">
      <c r="B93" s="215"/>
      <c r="D93" s="270"/>
      <c r="E93" s="270"/>
      <c r="F93" s="263"/>
      <c r="G93" s="629" t="s">
        <v>171</v>
      </c>
      <c r="H93" s="630"/>
      <c r="I93" s="270">
        <v>4</v>
      </c>
      <c r="J93" s="271" t="s">
        <v>112</v>
      </c>
      <c r="K93" s="227"/>
    </row>
    <row r="94" spans="1:11" x14ac:dyDescent="0.2">
      <c r="B94" s="215"/>
      <c r="F94" s="227"/>
      <c r="J94" s="227"/>
      <c r="K94" s="227"/>
    </row>
    <row r="95" spans="1:11" ht="13.5" thickBot="1" x14ac:dyDescent="0.25">
      <c r="B95" s="215"/>
      <c r="D95" s="214"/>
      <c r="G95" s="227"/>
      <c r="H95" s="227"/>
      <c r="J95" s="526" t="s">
        <v>171</v>
      </c>
      <c r="K95" s="269"/>
    </row>
    <row r="96" spans="1:11" x14ac:dyDescent="0.2">
      <c r="B96" s="215"/>
      <c r="D96" s="214"/>
      <c r="G96" s="227"/>
      <c r="H96" s="227"/>
      <c r="J96" s="271" t="s">
        <v>113</v>
      </c>
    </row>
    <row r="97" spans="1:11" x14ac:dyDescent="0.2">
      <c r="A97" s="625" t="s">
        <v>265</v>
      </c>
      <c r="B97" s="215"/>
      <c r="G97" s="227"/>
      <c r="H97" s="227"/>
      <c r="J97" s="214"/>
    </row>
    <row r="98" spans="1:11" hidden="1" x14ac:dyDescent="0.2">
      <c r="A98" s="625"/>
      <c r="B98" s="215"/>
      <c r="G98" s="227"/>
      <c r="H98" s="227"/>
      <c r="J98" s="214"/>
    </row>
    <row r="99" spans="1:11" s="229" customFormat="1" x14ac:dyDescent="0.2">
      <c r="A99" s="230"/>
      <c r="B99" s="230"/>
      <c r="C99" s="392" t="s">
        <v>160</v>
      </c>
      <c r="E99" s="637">
        <v>0</v>
      </c>
    </row>
    <row r="100" spans="1:11" s="229" customFormat="1" x14ac:dyDescent="0.2">
      <c r="A100" s="231"/>
      <c r="B100" s="230"/>
      <c r="C100" s="232"/>
      <c r="D100" s="237"/>
      <c r="E100" s="698" t="s">
        <v>315</v>
      </c>
      <c r="G100" s="637">
        <v>13</v>
      </c>
    </row>
    <row r="101" spans="1:11" s="229" customFormat="1" x14ac:dyDescent="0.2">
      <c r="A101" s="230"/>
      <c r="B101" s="230"/>
      <c r="C101" s="404" t="s">
        <v>315</v>
      </c>
      <c r="D101" s="235"/>
      <c r="E101" s="638">
        <v>13</v>
      </c>
      <c r="F101" s="237"/>
    </row>
    <row r="102" spans="1:11" s="229" customFormat="1" x14ac:dyDescent="0.2">
      <c r="A102" s="231"/>
      <c r="B102" s="230"/>
      <c r="F102" s="239"/>
      <c r="G102" s="229" t="s">
        <v>315</v>
      </c>
      <c r="I102" s="240">
        <v>7</v>
      </c>
    </row>
    <row r="103" spans="1:11" s="229" customFormat="1" x14ac:dyDescent="0.2">
      <c r="A103" s="230"/>
      <c r="B103" s="230"/>
      <c r="C103" s="229" t="s">
        <v>262</v>
      </c>
      <c r="D103" s="241"/>
      <c r="E103" s="244">
        <v>13</v>
      </c>
      <c r="F103" s="239"/>
      <c r="G103" s="232"/>
      <c r="H103" s="237"/>
    </row>
    <row r="104" spans="1:11" s="229" customFormat="1" x14ac:dyDescent="0.2">
      <c r="A104" s="231"/>
      <c r="B104" s="230"/>
      <c r="C104" s="232"/>
      <c r="D104" s="237"/>
      <c r="E104" s="639" t="s">
        <v>262</v>
      </c>
      <c r="F104" s="243"/>
      <c r="G104" s="244">
        <v>9</v>
      </c>
      <c r="H104" s="239"/>
    </row>
    <row r="105" spans="1:11" s="229" customFormat="1" x14ac:dyDescent="0.2">
      <c r="A105" s="230"/>
      <c r="B105" s="230"/>
      <c r="C105" s="404" t="s">
        <v>160</v>
      </c>
      <c r="D105" s="235"/>
      <c r="E105" s="636">
        <v>0</v>
      </c>
      <c r="G105" s="238"/>
      <c r="H105" s="239"/>
    </row>
    <row r="106" spans="1:11" s="229" customFormat="1" ht="13.5" thickBot="1" x14ac:dyDescent="0.25">
      <c r="A106" s="231"/>
      <c r="B106" s="230"/>
      <c r="G106" s="238"/>
      <c r="H106" s="239"/>
      <c r="J106" s="229" t="s">
        <v>261</v>
      </c>
    </row>
    <row r="107" spans="1:11" s="229" customFormat="1" x14ac:dyDescent="0.2">
      <c r="A107" s="230"/>
      <c r="B107" s="230"/>
      <c r="C107" s="392" t="s">
        <v>160</v>
      </c>
      <c r="E107" s="240">
        <v>0</v>
      </c>
      <c r="G107" s="238"/>
      <c r="H107" s="239"/>
      <c r="I107" s="246"/>
      <c r="J107" s="247" t="s">
        <v>114</v>
      </c>
      <c r="K107" s="248"/>
    </row>
    <row r="108" spans="1:11" s="229" customFormat="1" x14ac:dyDescent="0.2">
      <c r="A108" s="231"/>
      <c r="B108" s="230"/>
      <c r="C108" s="232"/>
      <c r="D108" s="237"/>
      <c r="E108" s="233" t="s">
        <v>190</v>
      </c>
      <c r="G108" s="244">
        <v>9</v>
      </c>
      <c r="H108" s="239"/>
    </row>
    <row r="109" spans="1:11" s="229" customFormat="1" ht="13.5" thickBot="1" x14ac:dyDescent="0.25">
      <c r="A109" s="230"/>
      <c r="B109" s="230"/>
      <c r="C109" s="404" t="s">
        <v>190</v>
      </c>
      <c r="D109" s="249"/>
      <c r="E109" s="236">
        <v>13</v>
      </c>
      <c r="F109" s="237"/>
      <c r="G109" s="238"/>
      <c r="H109" s="239"/>
      <c r="J109" s="250" t="s">
        <v>315</v>
      </c>
      <c r="K109" s="250"/>
    </row>
    <row r="110" spans="1:11" s="229" customFormat="1" x14ac:dyDescent="0.2">
      <c r="A110" s="231"/>
      <c r="B110" s="230"/>
      <c r="F110" s="239"/>
      <c r="G110" s="234" t="s">
        <v>261</v>
      </c>
      <c r="H110" s="243"/>
      <c r="I110" s="240">
        <v>13</v>
      </c>
      <c r="J110" s="247" t="s">
        <v>115</v>
      </c>
    </row>
    <row r="111" spans="1:11" s="229" customFormat="1" x14ac:dyDescent="0.2">
      <c r="A111" s="230"/>
      <c r="B111" s="230"/>
      <c r="C111" s="392" t="s">
        <v>261</v>
      </c>
      <c r="E111" s="635">
        <v>13</v>
      </c>
      <c r="F111" s="239"/>
    </row>
    <row r="112" spans="1:11" s="229" customFormat="1" x14ac:dyDescent="0.2">
      <c r="A112" s="231"/>
      <c r="B112" s="230"/>
      <c r="C112" s="232"/>
      <c r="D112" s="237"/>
      <c r="E112" s="242" t="s">
        <v>261</v>
      </c>
      <c r="F112" s="243"/>
      <c r="G112" s="240">
        <v>13</v>
      </c>
    </row>
    <row r="113" spans="1:11" s="229" customFormat="1" x14ac:dyDescent="0.2">
      <c r="A113" s="230"/>
      <c r="B113" s="230"/>
      <c r="C113" s="404" t="s">
        <v>160</v>
      </c>
      <c r="D113" s="243"/>
      <c r="E113" s="245">
        <v>0</v>
      </c>
    </row>
    <row r="114" spans="1:11" s="229" customFormat="1" x14ac:dyDescent="0.2">
      <c r="G114" s="392" t="s">
        <v>262</v>
      </c>
      <c r="I114" s="244">
        <v>11</v>
      </c>
      <c r="J114" s="238"/>
      <c r="K114" s="238"/>
    </row>
    <row r="115" spans="1:11" s="229" customFormat="1" ht="13.5" thickBot="1" x14ac:dyDescent="0.25">
      <c r="G115" s="232"/>
      <c r="H115" s="237"/>
      <c r="I115" s="250"/>
      <c r="J115" s="250" t="s">
        <v>190</v>
      </c>
      <c r="K115" s="250"/>
    </row>
    <row r="116" spans="1:11" s="229" customFormat="1" x14ac:dyDescent="0.2">
      <c r="G116" s="234" t="s">
        <v>190</v>
      </c>
      <c r="H116" s="243"/>
      <c r="I116" s="240">
        <v>13</v>
      </c>
      <c r="J116" s="251" t="s">
        <v>116</v>
      </c>
      <c r="K116" s="238"/>
    </row>
    <row r="117" spans="1:11" s="229" customFormat="1" x14ac:dyDescent="0.2">
      <c r="J117" s="238"/>
      <c r="K117" s="238"/>
    </row>
    <row r="118" spans="1:11" s="229" customFormat="1" ht="13.5" thickBot="1" x14ac:dyDescent="0.25">
      <c r="H118" s="238"/>
      <c r="J118" s="250" t="s">
        <v>262</v>
      </c>
      <c r="K118" s="250"/>
    </row>
    <row r="119" spans="1:11" s="229" customFormat="1" x14ac:dyDescent="0.2">
      <c r="G119" s="240"/>
      <c r="J119" s="251" t="s">
        <v>117</v>
      </c>
    </row>
    <row r="120" spans="1:11" s="229" customFormat="1" x14ac:dyDescent="0.2">
      <c r="A120" s="228" t="s">
        <v>403</v>
      </c>
    </row>
    <row r="121" spans="1:11" s="229" customFormat="1" x14ac:dyDescent="0.2">
      <c r="A121" s="228"/>
    </row>
    <row r="122" spans="1:11" s="229" customFormat="1" x14ac:dyDescent="0.2">
      <c r="A122" s="230"/>
      <c r="B122" s="230" t="s">
        <v>220</v>
      </c>
      <c r="C122" s="392" t="s">
        <v>189</v>
      </c>
      <c r="E122" s="240">
        <v>13</v>
      </c>
    </row>
    <row r="123" spans="1:11" s="229" customFormat="1" x14ac:dyDescent="0.2">
      <c r="A123" s="231"/>
      <c r="B123" s="230"/>
      <c r="C123" s="232"/>
      <c r="D123" s="237"/>
      <c r="E123" s="233" t="s">
        <v>189</v>
      </c>
      <c r="G123" s="240">
        <v>0</v>
      </c>
    </row>
    <row r="124" spans="1:11" s="229" customFormat="1" x14ac:dyDescent="0.2">
      <c r="A124" s="230"/>
      <c r="B124" s="230" t="s">
        <v>221</v>
      </c>
      <c r="C124" s="234" t="s">
        <v>257</v>
      </c>
      <c r="D124" s="235"/>
      <c r="E124" s="236">
        <v>3</v>
      </c>
      <c r="F124" s="237"/>
    </row>
    <row r="125" spans="1:11" s="229" customFormat="1" x14ac:dyDescent="0.2">
      <c r="A125" s="231"/>
      <c r="B125" s="230"/>
      <c r="F125" s="239"/>
      <c r="G125" s="229" t="s">
        <v>200</v>
      </c>
      <c r="I125" s="240">
        <v>13</v>
      </c>
    </row>
    <row r="126" spans="1:11" s="229" customFormat="1" x14ac:dyDescent="0.2">
      <c r="A126" s="230"/>
      <c r="B126" s="230" t="s">
        <v>263</v>
      </c>
      <c r="C126" s="392" t="s">
        <v>200</v>
      </c>
      <c r="D126" s="241"/>
      <c r="E126" s="244">
        <v>13</v>
      </c>
      <c r="F126" s="239"/>
      <c r="G126" s="232"/>
      <c r="H126" s="237"/>
    </row>
    <row r="127" spans="1:11" s="229" customFormat="1" x14ac:dyDescent="0.2">
      <c r="A127" s="231"/>
      <c r="B127" s="230"/>
      <c r="C127" s="232"/>
      <c r="D127" s="237"/>
      <c r="E127" s="242" t="s">
        <v>200</v>
      </c>
      <c r="F127" s="243"/>
      <c r="G127" s="244">
        <v>13</v>
      </c>
      <c r="H127" s="239"/>
    </row>
    <row r="128" spans="1:11" s="229" customFormat="1" x14ac:dyDescent="0.2">
      <c r="A128" s="230"/>
      <c r="B128" s="230" t="s">
        <v>317</v>
      </c>
      <c r="C128" s="234" t="s">
        <v>368</v>
      </c>
      <c r="D128" s="235"/>
      <c r="E128" s="245">
        <v>4</v>
      </c>
      <c r="G128" s="238"/>
      <c r="H128" s="239"/>
    </row>
    <row r="129" spans="1:11" s="229" customFormat="1" ht="13.5" thickBot="1" x14ac:dyDescent="0.25">
      <c r="A129" s="231"/>
      <c r="B129" s="230"/>
      <c r="G129" s="238"/>
      <c r="H129" s="239"/>
      <c r="J129" s="229" t="s">
        <v>200</v>
      </c>
    </row>
    <row r="130" spans="1:11" s="229" customFormat="1" x14ac:dyDescent="0.2">
      <c r="A130" s="230"/>
      <c r="B130" s="230" t="s">
        <v>264</v>
      </c>
      <c r="C130" s="229" t="s">
        <v>203</v>
      </c>
      <c r="E130" s="637">
        <v>13</v>
      </c>
      <c r="G130" s="238"/>
      <c r="H130" s="239"/>
      <c r="I130" s="246"/>
      <c r="J130" s="247" t="s">
        <v>118</v>
      </c>
      <c r="K130" s="248"/>
    </row>
    <row r="131" spans="1:11" s="229" customFormat="1" x14ac:dyDescent="0.2">
      <c r="A131" s="231"/>
      <c r="B131" s="230"/>
      <c r="C131" s="232"/>
      <c r="D131" s="237"/>
      <c r="E131" s="698" t="s">
        <v>203</v>
      </c>
      <c r="G131" s="244">
        <v>13</v>
      </c>
      <c r="H131" s="239"/>
    </row>
    <row r="132" spans="1:11" s="229" customFormat="1" ht="13.5" thickBot="1" x14ac:dyDescent="0.25">
      <c r="A132" s="230"/>
      <c r="B132" s="230" t="s">
        <v>312</v>
      </c>
      <c r="C132" s="234" t="s">
        <v>188</v>
      </c>
      <c r="D132" s="249"/>
      <c r="E132" s="236">
        <v>0</v>
      </c>
      <c r="F132" s="237"/>
      <c r="G132" s="238"/>
      <c r="H132" s="239"/>
      <c r="J132" s="250" t="s">
        <v>203</v>
      </c>
      <c r="K132" s="250"/>
    </row>
    <row r="133" spans="1:11" s="229" customFormat="1" x14ac:dyDescent="0.2">
      <c r="A133" s="231"/>
      <c r="B133" s="230"/>
      <c r="F133" s="239"/>
      <c r="G133" s="234" t="s">
        <v>203</v>
      </c>
      <c r="H133" s="243"/>
      <c r="I133" s="240">
        <v>7</v>
      </c>
      <c r="J133" s="247" t="s">
        <v>119</v>
      </c>
    </row>
    <row r="134" spans="1:11" s="229" customFormat="1" x14ac:dyDescent="0.2">
      <c r="A134" s="230"/>
      <c r="B134" s="230" t="s">
        <v>222</v>
      </c>
      <c r="C134" s="392" t="s">
        <v>360</v>
      </c>
      <c r="E134" s="244">
        <v>8</v>
      </c>
      <c r="F134" s="239"/>
    </row>
    <row r="135" spans="1:11" s="229" customFormat="1" x14ac:dyDescent="0.2">
      <c r="A135" s="231"/>
      <c r="B135" s="230"/>
      <c r="C135" s="232"/>
      <c r="D135" s="237"/>
      <c r="E135" s="242" t="s">
        <v>202</v>
      </c>
      <c r="F135" s="243"/>
      <c r="G135" s="240">
        <v>9</v>
      </c>
    </row>
    <row r="136" spans="1:11" s="229" customFormat="1" x14ac:dyDescent="0.2">
      <c r="A136" s="230"/>
      <c r="B136" s="230" t="s">
        <v>223</v>
      </c>
      <c r="C136" s="404" t="s">
        <v>202</v>
      </c>
      <c r="D136" s="243"/>
      <c r="E136" s="245">
        <v>13</v>
      </c>
    </row>
    <row r="137" spans="1:11" s="229" customFormat="1" x14ac:dyDescent="0.2">
      <c r="G137" s="229" t="s">
        <v>189</v>
      </c>
      <c r="I137" s="244">
        <v>13</v>
      </c>
      <c r="J137" s="238"/>
      <c r="K137" s="238"/>
    </row>
    <row r="138" spans="1:11" s="229" customFormat="1" ht="13.5" thickBot="1" x14ac:dyDescent="0.25">
      <c r="G138" s="232"/>
      <c r="H138" s="237"/>
      <c r="I138" s="250"/>
      <c r="J138" s="250" t="s">
        <v>189</v>
      </c>
      <c r="K138" s="250"/>
    </row>
    <row r="139" spans="1:11" s="229" customFormat="1" x14ac:dyDescent="0.2">
      <c r="G139" s="234" t="s">
        <v>202</v>
      </c>
      <c r="H139" s="243"/>
      <c r="I139" s="240">
        <v>6</v>
      </c>
      <c r="J139" s="251" t="s">
        <v>120</v>
      </c>
      <c r="K139" s="238"/>
    </row>
    <row r="140" spans="1:11" s="229" customFormat="1" x14ac:dyDescent="0.2">
      <c r="J140" s="238"/>
      <c r="K140" s="238"/>
    </row>
    <row r="141" spans="1:11" s="229" customFormat="1" ht="13.5" thickBot="1" x14ac:dyDescent="0.25">
      <c r="H141" s="238"/>
      <c r="J141" s="250" t="s">
        <v>202</v>
      </c>
      <c r="K141" s="250"/>
    </row>
    <row r="142" spans="1:11" s="229" customFormat="1" x14ac:dyDescent="0.2">
      <c r="E142" s="229" t="s">
        <v>257</v>
      </c>
      <c r="G142" s="240">
        <v>13</v>
      </c>
      <c r="J142" s="252" t="s">
        <v>121</v>
      </c>
    </row>
    <row r="143" spans="1:11" s="229" customFormat="1" x14ac:dyDescent="0.2">
      <c r="E143" s="232"/>
      <c r="F143" s="237"/>
      <c r="G143" s="233" t="s">
        <v>257</v>
      </c>
      <c r="H143" s="234"/>
      <c r="I143" s="240">
        <v>13</v>
      </c>
    </row>
    <row r="144" spans="1:11" s="229" customFormat="1" x14ac:dyDescent="0.2">
      <c r="E144" s="404" t="s">
        <v>368</v>
      </c>
      <c r="F144" s="243"/>
      <c r="G144" s="236">
        <v>11</v>
      </c>
      <c r="H144" s="239"/>
    </row>
    <row r="145" spans="1:11" s="229" customFormat="1" ht="13.5" thickBot="1" x14ac:dyDescent="0.25">
      <c r="G145" s="238"/>
      <c r="H145" s="239"/>
      <c r="J145" s="229" t="s">
        <v>257</v>
      </c>
    </row>
    <row r="146" spans="1:11" s="229" customFormat="1" x14ac:dyDescent="0.2">
      <c r="E146" s="229" t="s">
        <v>188</v>
      </c>
      <c r="G146" s="635">
        <v>0</v>
      </c>
      <c r="H146" s="239"/>
      <c r="I146" s="246"/>
      <c r="J146" s="247" t="s">
        <v>300</v>
      </c>
      <c r="K146" s="248"/>
    </row>
    <row r="147" spans="1:11" s="229" customFormat="1" x14ac:dyDescent="0.2">
      <c r="E147" s="232"/>
      <c r="F147" s="237"/>
      <c r="G147" s="242" t="s">
        <v>360</v>
      </c>
      <c r="H147" s="243"/>
      <c r="I147" s="635">
        <v>5</v>
      </c>
    </row>
    <row r="148" spans="1:11" s="229" customFormat="1" ht="13.5" thickBot="1" x14ac:dyDescent="0.25">
      <c r="E148" s="404" t="s">
        <v>360</v>
      </c>
      <c r="F148" s="243"/>
      <c r="G148" s="636">
        <v>13</v>
      </c>
      <c r="I148" s="238"/>
      <c r="J148" s="238" t="s">
        <v>360</v>
      </c>
      <c r="K148" s="250"/>
    </row>
    <row r="149" spans="1:11" s="229" customFormat="1" x14ac:dyDescent="0.2">
      <c r="I149" s="238"/>
      <c r="J149" s="247" t="s">
        <v>301</v>
      </c>
      <c r="K149" s="238"/>
    </row>
    <row r="150" spans="1:11" s="229" customFormat="1" x14ac:dyDescent="0.2">
      <c r="G150" s="229" t="s">
        <v>368</v>
      </c>
      <c r="I150" s="244">
        <v>13</v>
      </c>
      <c r="J150" s="238"/>
      <c r="K150" s="238"/>
    </row>
    <row r="151" spans="1:11" s="229" customFormat="1" ht="13.5" thickBot="1" x14ac:dyDescent="0.25">
      <c r="G151" s="232"/>
      <c r="H151" s="237"/>
      <c r="I151" s="250"/>
      <c r="J151" s="250" t="s">
        <v>368</v>
      </c>
      <c r="K151" s="250"/>
    </row>
    <row r="152" spans="1:11" s="229" customFormat="1" x14ac:dyDescent="0.2">
      <c r="G152" s="234" t="s">
        <v>188</v>
      </c>
      <c r="H152" s="243"/>
      <c r="I152" s="240">
        <v>0</v>
      </c>
      <c r="J152" s="251" t="s">
        <v>304</v>
      </c>
      <c r="K152" s="238"/>
    </row>
    <row r="153" spans="1:11" s="229" customFormat="1" x14ac:dyDescent="0.2">
      <c r="J153" s="238"/>
      <c r="K153" s="238"/>
    </row>
    <row r="154" spans="1:11" s="229" customFormat="1" ht="13.5" thickBot="1" x14ac:dyDescent="0.25">
      <c r="H154" s="238"/>
      <c r="J154" s="250" t="s">
        <v>188</v>
      </c>
      <c r="K154" s="250"/>
    </row>
    <row r="155" spans="1:11" s="229" customFormat="1" x14ac:dyDescent="0.2">
      <c r="G155" s="637"/>
      <c r="J155" s="252" t="s">
        <v>305</v>
      </c>
    </row>
    <row r="156" spans="1:11" s="229" customFormat="1" x14ac:dyDescent="0.2">
      <c r="A156" s="228"/>
    </row>
    <row r="157" spans="1:11" s="535" customFormat="1" x14ac:dyDescent="0.2">
      <c r="A157" s="534">
        <v>1</v>
      </c>
      <c r="B157" s="534" t="s">
        <v>187</v>
      </c>
    </row>
    <row r="158" spans="1:11" s="535" customFormat="1" x14ac:dyDescent="0.2">
      <c r="A158" s="534">
        <v>2</v>
      </c>
      <c r="B158" s="253" t="s">
        <v>201</v>
      </c>
    </row>
    <row r="159" spans="1:11" s="535" customFormat="1" x14ac:dyDescent="0.2">
      <c r="A159" s="534">
        <v>3</v>
      </c>
      <c r="B159" s="253" t="s">
        <v>199</v>
      </c>
    </row>
    <row r="160" spans="1:11" s="535" customFormat="1" x14ac:dyDescent="0.2">
      <c r="A160" s="534">
        <v>4</v>
      </c>
      <c r="B160" s="253" t="s">
        <v>183</v>
      </c>
    </row>
    <row r="161" spans="1:2" s="535" customFormat="1" x14ac:dyDescent="0.2">
      <c r="A161" s="534">
        <v>5</v>
      </c>
      <c r="B161" s="253" t="s">
        <v>184</v>
      </c>
    </row>
    <row r="162" spans="1:2" s="535" customFormat="1" x14ac:dyDescent="0.2">
      <c r="A162" s="534">
        <v>6</v>
      </c>
      <c r="B162" s="253" t="s">
        <v>192</v>
      </c>
    </row>
    <row r="163" spans="1:2" s="535" customFormat="1" x14ac:dyDescent="0.2">
      <c r="A163" s="534">
        <v>7</v>
      </c>
      <c r="B163" s="253" t="s">
        <v>191</v>
      </c>
    </row>
    <row r="164" spans="1:2" s="535" customFormat="1" x14ac:dyDescent="0.2">
      <c r="A164" s="534">
        <v>8</v>
      </c>
      <c r="B164" s="253" t="s">
        <v>171</v>
      </c>
    </row>
    <row r="165" spans="1:2" s="535" customFormat="1" x14ac:dyDescent="0.2">
      <c r="A165" s="534">
        <v>9</v>
      </c>
      <c r="B165" s="253" t="s">
        <v>261</v>
      </c>
    </row>
    <row r="166" spans="1:2" s="535" customFormat="1" x14ac:dyDescent="0.2">
      <c r="A166" s="534">
        <v>10</v>
      </c>
      <c r="B166" s="253" t="s">
        <v>315</v>
      </c>
    </row>
    <row r="167" spans="1:2" s="535" customFormat="1" x14ac:dyDescent="0.2">
      <c r="A167" s="534">
        <v>11</v>
      </c>
      <c r="B167" s="253" t="s">
        <v>190</v>
      </c>
    </row>
    <row r="168" spans="1:2" x14ac:dyDescent="0.2">
      <c r="A168" s="534">
        <v>12</v>
      </c>
      <c r="B168" s="254" t="s">
        <v>262</v>
      </c>
    </row>
    <row r="169" spans="1:2" x14ac:dyDescent="0.2">
      <c r="A169" s="534">
        <v>13</v>
      </c>
      <c r="B169" s="254" t="s">
        <v>200</v>
      </c>
    </row>
    <row r="170" spans="1:2" x14ac:dyDescent="0.2">
      <c r="A170" s="534">
        <v>14</v>
      </c>
      <c r="B170" s="254" t="s">
        <v>203</v>
      </c>
    </row>
    <row r="171" spans="1:2" x14ac:dyDescent="0.2">
      <c r="A171" s="534">
        <v>15</v>
      </c>
      <c r="B171" s="254" t="s">
        <v>189</v>
      </c>
    </row>
    <row r="172" spans="1:2" x14ac:dyDescent="0.2">
      <c r="A172" s="534">
        <v>16</v>
      </c>
      <c r="B172" s="254" t="s">
        <v>202</v>
      </c>
    </row>
    <row r="173" spans="1:2" x14ac:dyDescent="0.2">
      <c r="A173" s="534">
        <v>17</v>
      </c>
      <c r="B173" s="253" t="s">
        <v>257</v>
      </c>
    </row>
    <row r="174" spans="1:2" x14ac:dyDescent="0.2">
      <c r="A174" s="534">
        <v>18</v>
      </c>
      <c r="B174" s="253" t="s">
        <v>360</v>
      </c>
    </row>
    <row r="175" spans="1:2" x14ac:dyDescent="0.2">
      <c r="A175" s="534">
        <v>19</v>
      </c>
      <c r="B175" s="253" t="s">
        <v>368</v>
      </c>
    </row>
    <row r="176" spans="1:2" x14ac:dyDescent="0.2">
      <c r="A176" s="534">
        <v>20</v>
      </c>
      <c r="B176" s="253" t="s">
        <v>188</v>
      </c>
    </row>
  </sheetData>
  <conditionalFormatting sqref="C41:H41 E122:E154 D155:E156 C7:H28 C120:G121 F122:I149 F150:F156">
    <cfRule type="cellIs" dxfId="52" priority="9" stopIfTrue="1" operator="equal">
      <formula>13</formula>
    </cfRule>
  </conditionalFormatting>
  <conditionalFormatting sqref="C29:H40">
    <cfRule type="cellIs" dxfId="51" priority="8" stopIfTrue="1" operator="equal">
      <formula>13</formula>
    </cfRule>
  </conditionalFormatting>
  <conditionalFormatting sqref="F42:I42 C43:M45 C46:L46 C80:L81 C47:K79 C82:K93 C97:K98">
    <cfRule type="cellIs" dxfId="50" priority="7" operator="equal">
      <formula>13</formula>
    </cfRule>
  </conditionalFormatting>
  <conditionalFormatting sqref="H99:I119">
    <cfRule type="cellIs" dxfId="49" priority="4" stopIfTrue="1" operator="equal">
      <formula>13</formula>
    </cfRule>
  </conditionalFormatting>
  <conditionalFormatting sqref="E99:G119">
    <cfRule type="cellIs" dxfId="48" priority="3" stopIfTrue="1" operator="equal">
      <formula>13</formula>
    </cfRule>
  </conditionalFormatting>
  <conditionalFormatting sqref="H150:I155">
    <cfRule type="cellIs" dxfId="47" priority="2" stopIfTrue="1" operator="equal">
      <formula>13</formula>
    </cfRule>
  </conditionalFormatting>
  <conditionalFormatting sqref="G150:G155">
    <cfRule type="cellIs" dxfId="46" priority="1" stopIfTrue="1" operator="equal">
      <formula>13</formula>
    </cfRule>
  </conditionalFormatting>
  <pageMargins left="0.78740157480314965" right="0.39370078740157483" top="0.59055118110236227" bottom="0.31496062992125984" header="0.39370078740157483" footer="0"/>
  <pageSetup paperSize="9" fitToHeight="0" orientation="portrait" verticalDpi="1200" r:id="rId1"/>
  <headerFooter alignWithMargins="0">
    <oddHeader>&amp;R&amp;9Page &amp;P of &amp;N</oddHeader>
  </headerFooter>
  <rowBreaks count="3" manualBreakCount="3">
    <brk id="40" max="16383" man="1"/>
    <brk id="96" max="16383" man="1"/>
    <brk id="15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95"/>
  <sheetViews>
    <sheetView showGridLines="0" showRowColHeaders="0" zoomScaleNormal="100" workbookViewId="0">
      <pane ySplit="2" topLeftCell="A3" activePane="bottomLeft" state="frozen"/>
      <selection activeCell="M1" sqref="M1"/>
      <selection pane="bottomLeft" activeCell="J1" sqref="J1"/>
    </sheetView>
  </sheetViews>
  <sheetFormatPr defaultRowHeight="12.75" x14ac:dyDescent="0.2"/>
  <cols>
    <col min="1" max="1" width="3.28515625" style="215" customWidth="1"/>
    <col min="2" max="2" width="31.140625" style="214" customWidth="1"/>
    <col min="3" max="3" width="7.28515625" style="215" bestFit="1" customWidth="1"/>
    <col min="4" max="4" width="7.42578125" style="215" bestFit="1" customWidth="1"/>
    <col min="5" max="5" width="9.140625" style="215" bestFit="1" customWidth="1"/>
    <col min="6" max="6" width="6.7109375" style="215" bestFit="1" customWidth="1"/>
    <col min="7" max="7" width="5.140625" style="215" bestFit="1" customWidth="1"/>
    <col min="8" max="9" width="5.85546875" style="215" customWidth="1"/>
    <col min="10" max="16384" width="9.140625" style="215"/>
  </cols>
  <sheetData>
    <row r="1" spans="1:13" x14ac:dyDescent="0.2">
      <c r="A1" s="213" t="str">
        <f>UPPER((Kalend!D25)&amp;" - "&amp;(Kalend!C25)&amp;" - "&amp;(Kalend!E25))</f>
        <v>7 - SHK KV 7. ETAPP - DUO</v>
      </c>
      <c r="F1" s="133" t="str">
        <f>HYPERLINK("#'Kalend'!I1","Kalender")</f>
        <v>Kalender</v>
      </c>
      <c r="G1" s="216"/>
      <c r="H1" s="133" t="str">
        <f>HYPERLINK("#'Reit'!J1","Reiting")</f>
        <v>Reiting</v>
      </c>
      <c r="I1" s="216"/>
    </row>
    <row r="2" spans="1:13" s="216" customFormat="1" x14ac:dyDescent="0.2">
      <c r="A2" s="216" t="str">
        <f>"Toimumisaeg: "&amp;(Kalend!A25)&amp;" kell "&amp;(Kalend!B25)</f>
        <v>Toimumisaeg: P, 05.03.2017 kell 11:00</v>
      </c>
    </row>
    <row r="3" spans="1:13" s="216" customFormat="1" x14ac:dyDescent="0.2">
      <c r="A3" s="216" t="str">
        <f>"Toimumiskoht: "&amp;(Kalend!F25)</f>
        <v>Toimumiskoht: K-Järve petangihall</v>
      </c>
    </row>
    <row r="4" spans="1:13" s="216" customFormat="1" x14ac:dyDescent="0.2">
      <c r="A4" s="216" t="str">
        <f>"Korraldaja: "&amp;(Kalend!G25)</f>
        <v>Korraldaja: K-Järve SHK, Ivar Viljaste</v>
      </c>
    </row>
    <row r="6" spans="1:13" s="219" customFormat="1" x14ac:dyDescent="0.2">
      <c r="A6" s="521" t="s">
        <v>96</v>
      </c>
      <c r="B6" s="522"/>
      <c r="C6" s="218" t="s">
        <v>97</v>
      </c>
      <c r="D6" s="218" t="s">
        <v>98</v>
      </c>
      <c r="E6" s="218" t="s">
        <v>99</v>
      </c>
      <c r="F6" s="218" t="s">
        <v>100</v>
      </c>
      <c r="G6" s="218" t="s">
        <v>101</v>
      </c>
    </row>
    <row r="7" spans="1:13" s="219" customFormat="1" x14ac:dyDescent="0.2">
      <c r="A7" s="217">
        <v>1</v>
      </c>
      <c r="B7" s="411" t="s">
        <v>289</v>
      </c>
      <c r="C7" s="220">
        <v>13</v>
      </c>
      <c r="D7" s="220">
        <v>13</v>
      </c>
      <c r="E7" s="220"/>
      <c r="F7" s="220"/>
      <c r="G7" s="419" t="s">
        <v>180</v>
      </c>
      <c r="M7" s="222"/>
    </row>
    <row r="8" spans="1:13" s="219" customFormat="1" x14ac:dyDescent="0.2">
      <c r="A8" s="217">
        <v>2</v>
      </c>
      <c r="B8" s="411" t="s">
        <v>254</v>
      </c>
      <c r="C8" s="220">
        <v>13</v>
      </c>
      <c r="D8" s="220">
        <v>12</v>
      </c>
      <c r="E8" s="220"/>
      <c r="F8" s="220">
        <v>3</v>
      </c>
      <c r="G8" s="419" t="s">
        <v>182</v>
      </c>
      <c r="M8" s="222"/>
    </row>
    <row r="9" spans="1:13" s="219" customFormat="1" x14ac:dyDescent="0.2">
      <c r="A9" s="217">
        <v>3</v>
      </c>
      <c r="B9" s="411" t="s">
        <v>260</v>
      </c>
      <c r="C9" s="220">
        <v>10</v>
      </c>
      <c r="D9" s="220"/>
      <c r="E9" s="220">
        <v>13</v>
      </c>
      <c r="F9" s="220">
        <v>13</v>
      </c>
      <c r="G9" s="419" t="s">
        <v>181</v>
      </c>
      <c r="M9" s="222"/>
    </row>
    <row r="10" spans="1:13" s="219" customFormat="1" x14ac:dyDescent="0.2">
      <c r="A10" s="217">
        <v>4</v>
      </c>
      <c r="B10" s="148"/>
      <c r="C10" s="220">
        <v>0</v>
      </c>
      <c r="D10" s="220"/>
      <c r="E10" s="220">
        <v>0</v>
      </c>
      <c r="F10" s="220"/>
      <c r="G10" s="221"/>
      <c r="M10" s="222"/>
    </row>
    <row r="11" spans="1:13" s="219" customFormat="1" x14ac:dyDescent="0.2">
      <c r="A11" s="223"/>
      <c r="B11" s="222"/>
      <c r="C11" s="224"/>
      <c r="D11" s="224"/>
      <c r="E11" s="224"/>
      <c r="F11" s="225"/>
      <c r="G11" s="226"/>
      <c r="M11" s="222"/>
    </row>
    <row r="12" spans="1:13" s="219" customFormat="1" x14ac:dyDescent="0.2">
      <c r="A12" s="521" t="s">
        <v>102</v>
      </c>
      <c r="B12" s="522"/>
      <c r="C12" s="218" t="s">
        <v>97</v>
      </c>
      <c r="D12" s="218" t="s">
        <v>98</v>
      </c>
      <c r="E12" s="218" t="s">
        <v>99</v>
      </c>
      <c r="F12" s="218" t="s">
        <v>100</v>
      </c>
      <c r="G12" s="218" t="s">
        <v>101</v>
      </c>
      <c r="M12" s="222"/>
    </row>
    <row r="13" spans="1:13" s="219" customFormat="1" x14ac:dyDescent="0.2">
      <c r="A13" s="217">
        <v>1</v>
      </c>
      <c r="B13" s="411" t="s">
        <v>256</v>
      </c>
      <c r="C13" s="220">
        <v>13</v>
      </c>
      <c r="D13" s="220">
        <v>12</v>
      </c>
      <c r="E13" s="220"/>
      <c r="F13" s="220">
        <v>13</v>
      </c>
      <c r="G13" s="419" t="s">
        <v>181</v>
      </c>
      <c r="M13" s="222"/>
    </row>
    <row r="14" spans="1:13" s="219" customFormat="1" x14ac:dyDescent="0.2">
      <c r="A14" s="217">
        <v>2</v>
      </c>
      <c r="B14" s="411" t="s">
        <v>373</v>
      </c>
      <c r="C14" s="220">
        <v>13</v>
      </c>
      <c r="D14" s="220">
        <v>13</v>
      </c>
      <c r="E14" s="220"/>
      <c r="F14" s="220"/>
      <c r="G14" s="419" t="s">
        <v>180</v>
      </c>
      <c r="M14" s="222"/>
    </row>
    <row r="15" spans="1:13" s="219" customFormat="1" x14ac:dyDescent="0.2">
      <c r="A15" s="217">
        <v>3</v>
      </c>
      <c r="B15" s="411" t="s">
        <v>374</v>
      </c>
      <c r="C15" s="220">
        <v>5</v>
      </c>
      <c r="D15" s="220"/>
      <c r="E15" s="220">
        <v>13</v>
      </c>
      <c r="F15" s="220">
        <v>0</v>
      </c>
      <c r="G15" s="419" t="s">
        <v>182</v>
      </c>
      <c r="M15" s="222"/>
    </row>
    <row r="16" spans="1:13" s="219" customFormat="1" x14ac:dyDescent="0.2">
      <c r="A16" s="217">
        <v>4</v>
      </c>
      <c r="B16" s="148"/>
      <c r="C16" s="220">
        <v>0</v>
      </c>
      <c r="D16" s="220"/>
      <c r="E16" s="220">
        <v>0</v>
      </c>
      <c r="F16" s="220"/>
      <c r="G16" s="221"/>
      <c r="M16" s="222"/>
    </row>
    <row r="17" spans="1:13" s="219" customFormat="1" x14ac:dyDescent="0.2">
      <c r="A17" s="223"/>
      <c r="B17" s="222"/>
      <c r="C17" s="224"/>
      <c r="D17" s="224"/>
      <c r="E17" s="224"/>
      <c r="F17" s="225"/>
      <c r="G17" s="226"/>
      <c r="M17" s="222"/>
    </row>
    <row r="18" spans="1:13" s="219" customFormat="1" x14ac:dyDescent="0.2">
      <c r="A18" s="521" t="s">
        <v>103</v>
      </c>
      <c r="B18" s="522"/>
      <c r="C18" s="218" t="s">
        <v>97</v>
      </c>
      <c r="D18" s="218" t="s">
        <v>98</v>
      </c>
      <c r="E18" s="218" t="s">
        <v>99</v>
      </c>
      <c r="F18" s="218" t="s">
        <v>100</v>
      </c>
      <c r="G18" s="218" t="s">
        <v>101</v>
      </c>
      <c r="M18" s="227"/>
    </row>
    <row r="19" spans="1:13" s="219" customFormat="1" x14ac:dyDescent="0.2">
      <c r="A19" s="217">
        <v>1</v>
      </c>
      <c r="B19" s="411" t="s">
        <v>253</v>
      </c>
      <c r="C19" s="220">
        <v>13</v>
      </c>
      <c r="D19" s="220">
        <v>13</v>
      </c>
      <c r="E19" s="220"/>
      <c r="F19" s="220"/>
      <c r="G19" s="419" t="s">
        <v>180</v>
      </c>
      <c r="M19" s="227"/>
    </row>
    <row r="20" spans="1:13" s="219" customFormat="1" x14ac:dyDescent="0.2">
      <c r="A20" s="217">
        <v>2</v>
      </c>
      <c r="B20" s="411" t="s">
        <v>252</v>
      </c>
      <c r="C20" s="220">
        <v>13</v>
      </c>
      <c r="D20" s="220">
        <v>3</v>
      </c>
      <c r="E20" s="220"/>
      <c r="F20" s="220">
        <v>13</v>
      </c>
      <c r="G20" s="419" t="s">
        <v>181</v>
      </c>
      <c r="M20" s="227"/>
    </row>
    <row r="21" spans="1:13" s="219" customFormat="1" x14ac:dyDescent="0.2">
      <c r="A21" s="217">
        <v>3</v>
      </c>
      <c r="B21" s="411" t="s">
        <v>250</v>
      </c>
      <c r="C21" s="220">
        <v>11</v>
      </c>
      <c r="D21" s="220"/>
      <c r="E21" s="220">
        <v>13</v>
      </c>
      <c r="F21" s="220">
        <v>8</v>
      </c>
      <c r="G21" s="419" t="s">
        <v>182</v>
      </c>
      <c r="M21" s="227"/>
    </row>
    <row r="22" spans="1:13" s="219" customFormat="1" x14ac:dyDescent="0.2">
      <c r="A22" s="217">
        <v>4</v>
      </c>
      <c r="B22" s="411" t="s">
        <v>375</v>
      </c>
      <c r="C22" s="220">
        <v>9</v>
      </c>
      <c r="D22" s="220"/>
      <c r="E22" s="220">
        <v>12</v>
      </c>
      <c r="F22" s="220"/>
      <c r="G22" s="419" t="s">
        <v>245</v>
      </c>
    </row>
    <row r="23" spans="1:13" s="219" customFormat="1" x14ac:dyDescent="0.2"/>
    <row r="24" spans="1:13" s="229" customFormat="1" x14ac:dyDescent="0.2">
      <c r="A24" s="228" t="s">
        <v>163</v>
      </c>
    </row>
    <row r="25" spans="1:13" s="229" customFormat="1" x14ac:dyDescent="0.2">
      <c r="A25" s="228"/>
    </row>
    <row r="26" spans="1:13" s="229" customFormat="1" x14ac:dyDescent="0.2">
      <c r="A26" s="230" t="s">
        <v>207</v>
      </c>
      <c r="B26" s="392" t="s">
        <v>289</v>
      </c>
      <c r="C26" s="240">
        <v>13</v>
      </c>
    </row>
    <row r="27" spans="1:13" s="229" customFormat="1" x14ac:dyDescent="0.2">
      <c r="A27" s="231"/>
      <c r="B27" s="232"/>
      <c r="C27" s="233" t="s">
        <v>289</v>
      </c>
      <c r="D27" s="234"/>
      <c r="F27" s="637">
        <v>4</v>
      </c>
    </row>
    <row r="28" spans="1:13" s="229" customFormat="1" x14ac:dyDescent="0.2">
      <c r="A28" s="230"/>
      <c r="B28" s="393" t="s">
        <v>160</v>
      </c>
      <c r="C28" s="236">
        <v>0</v>
      </c>
      <c r="E28" s="237"/>
    </row>
    <row r="29" spans="1:13" s="229" customFormat="1" x14ac:dyDescent="0.2">
      <c r="A29" s="231"/>
      <c r="D29" s="238"/>
      <c r="E29" s="239"/>
      <c r="F29" s="229" t="s">
        <v>373</v>
      </c>
      <c r="I29" s="637">
        <v>13</v>
      </c>
    </row>
    <row r="30" spans="1:13" s="229" customFormat="1" x14ac:dyDescent="0.2">
      <c r="A30" s="230" t="s">
        <v>209</v>
      </c>
      <c r="B30" s="395" t="s">
        <v>373</v>
      </c>
      <c r="C30" s="244">
        <v>13</v>
      </c>
      <c r="E30" s="239"/>
      <c r="F30" s="232"/>
      <c r="G30" s="232"/>
      <c r="H30" s="237"/>
    </row>
    <row r="31" spans="1:13" s="229" customFormat="1" x14ac:dyDescent="0.2">
      <c r="A31" s="231"/>
      <c r="B31" s="232"/>
      <c r="C31" s="242" t="s">
        <v>373</v>
      </c>
      <c r="E31" s="243"/>
      <c r="F31" s="635">
        <v>13</v>
      </c>
      <c r="G31" s="238"/>
      <c r="H31" s="239"/>
    </row>
    <row r="32" spans="1:13" s="229" customFormat="1" x14ac:dyDescent="0.2">
      <c r="A32" s="230" t="s">
        <v>166</v>
      </c>
      <c r="B32" s="235" t="s">
        <v>252</v>
      </c>
      <c r="C32" s="245">
        <v>12</v>
      </c>
      <c r="D32" s="232"/>
      <c r="F32" s="238"/>
      <c r="G32" s="238"/>
      <c r="H32" s="239"/>
    </row>
    <row r="33" spans="1:11" s="229" customFormat="1" ht="13.5" thickBot="1" x14ac:dyDescent="0.25">
      <c r="A33" s="231"/>
      <c r="F33" s="238"/>
      <c r="G33" s="238"/>
      <c r="H33" s="239"/>
      <c r="J33" s="229" t="s">
        <v>373</v>
      </c>
    </row>
    <row r="34" spans="1:11" s="229" customFormat="1" x14ac:dyDescent="0.2">
      <c r="A34" s="230" t="s">
        <v>161</v>
      </c>
      <c r="B34" s="392" t="s">
        <v>256</v>
      </c>
      <c r="C34" s="240">
        <v>13</v>
      </c>
      <c r="F34" s="238"/>
      <c r="G34" s="238"/>
      <c r="H34" s="239"/>
      <c r="I34" s="246"/>
      <c r="J34" s="247" t="s">
        <v>106</v>
      </c>
      <c r="K34" s="248"/>
    </row>
    <row r="35" spans="1:11" s="229" customFormat="1" x14ac:dyDescent="0.2">
      <c r="A35" s="231"/>
      <c r="B35" s="232"/>
      <c r="C35" s="233" t="s">
        <v>256</v>
      </c>
      <c r="D35" s="234"/>
      <c r="F35" s="635">
        <v>13</v>
      </c>
      <c r="G35" s="238"/>
      <c r="H35" s="239"/>
    </row>
    <row r="36" spans="1:11" s="229" customFormat="1" ht="13.5" thickBot="1" x14ac:dyDescent="0.25">
      <c r="A36" s="230" t="s">
        <v>170</v>
      </c>
      <c r="B36" s="403" t="s">
        <v>260</v>
      </c>
      <c r="C36" s="236">
        <v>10</v>
      </c>
      <c r="E36" s="237"/>
      <c r="F36" s="238"/>
      <c r="G36" s="238"/>
      <c r="H36" s="239"/>
      <c r="J36" s="250" t="s">
        <v>256</v>
      </c>
      <c r="K36" s="250"/>
    </row>
    <row r="37" spans="1:11" s="229" customFormat="1" x14ac:dyDescent="0.2">
      <c r="A37" s="231"/>
      <c r="D37" s="238"/>
      <c r="E37" s="239"/>
      <c r="F37" s="234" t="s">
        <v>256</v>
      </c>
      <c r="G37" s="234"/>
      <c r="H37" s="243"/>
      <c r="I37" s="637">
        <v>6</v>
      </c>
      <c r="J37" s="247" t="s">
        <v>107</v>
      </c>
    </row>
    <row r="38" spans="1:11" s="229" customFormat="1" x14ac:dyDescent="0.2">
      <c r="A38" s="230" t="s">
        <v>208</v>
      </c>
      <c r="B38" s="392" t="s">
        <v>253</v>
      </c>
      <c r="C38" s="244">
        <v>13</v>
      </c>
      <c r="E38" s="239"/>
    </row>
    <row r="39" spans="1:11" s="229" customFormat="1" x14ac:dyDescent="0.2">
      <c r="A39" s="231"/>
      <c r="B39" s="232"/>
      <c r="C39" s="242" t="s">
        <v>253</v>
      </c>
      <c r="E39" s="243"/>
      <c r="F39" s="637">
        <v>12</v>
      </c>
    </row>
    <row r="40" spans="1:11" s="229" customFormat="1" x14ac:dyDescent="0.2">
      <c r="A40" s="230"/>
      <c r="B40" s="404" t="s">
        <v>160</v>
      </c>
      <c r="C40" s="245">
        <v>0</v>
      </c>
      <c r="D40" s="232"/>
    </row>
    <row r="41" spans="1:11" s="229" customFormat="1" x14ac:dyDescent="0.2">
      <c r="I41" s="635">
        <v>9</v>
      </c>
      <c r="J41" s="238"/>
      <c r="K41" s="238"/>
    </row>
    <row r="42" spans="1:11" s="229" customFormat="1" ht="13.5" thickBot="1" x14ac:dyDescent="0.25">
      <c r="F42" s="232"/>
      <c r="G42" s="232"/>
      <c r="H42" s="237"/>
      <c r="I42" s="250"/>
      <c r="J42" s="250" t="s">
        <v>253</v>
      </c>
      <c r="K42" s="250"/>
    </row>
    <row r="43" spans="1:11" s="229" customFormat="1" x14ac:dyDescent="0.2">
      <c r="F43" s="234" t="s">
        <v>253</v>
      </c>
      <c r="G43" s="234"/>
      <c r="H43" s="243"/>
      <c r="I43" s="637">
        <v>13</v>
      </c>
      <c r="J43" s="251" t="s">
        <v>108</v>
      </c>
      <c r="K43" s="238"/>
    </row>
    <row r="44" spans="1:11" s="229" customFormat="1" x14ac:dyDescent="0.2">
      <c r="J44" s="238"/>
      <c r="K44" s="238"/>
    </row>
    <row r="45" spans="1:11" s="229" customFormat="1" ht="13.5" thickBot="1" x14ac:dyDescent="0.25">
      <c r="G45" s="238"/>
      <c r="H45" s="238"/>
      <c r="J45" s="250" t="s">
        <v>289</v>
      </c>
      <c r="K45" s="250"/>
    </row>
    <row r="46" spans="1:11" s="229" customFormat="1" x14ac:dyDescent="0.2">
      <c r="C46" s="392" t="s">
        <v>160</v>
      </c>
      <c r="F46" s="240">
        <v>0</v>
      </c>
      <c r="J46" s="252" t="s">
        <v>109</v>
      </c>
    </row>
    <row r="47" spans="1:11" s="229" customFormat="1" x14ac:dyDescent="0.2">
      <c r="C47" s="232"/>
      <c r="D47" s="232"/>
      <c r="E47" s="237"/>
      <c r="F47" s="233" t="s">
        <v>252</v>
      </c>
      <c r="G47" s="234"/>
      <c r="H47" s="234"/>
      <c r="I47" s="637">
        <v>13</v>
      </c>
    </row>
    <row r="48" spans="1:11" s="229" customFormat="1" x14ac:dyDescent="0.2">
      <c r="C48" s="234" t="s">
        <v>252</v>
      </c>
      <c r="D48" s="234"/>
      <c r="E48" s="243"/>
      <c r="F48" s="236">
        <v>13</v>
      </c>
      <c r="H48" s="239"/>
    </row>
    <row r="49" spans="1:11" s="229" customFormat="1" ht="13.5" thickBot="1" x14ac:dyDescent="0.25">
      <c r="F49" s="238"/>
      <c r="H49" s="239"/>
      <c r="J49" s="229" t="s">
        <v>252</v>
      </c>
    </row>
    <row r="50" spans="1:11" s="229" customFormat="1" x14ac:dyDescent="0.2">
      <c r="C50" s="229" t="s">
        <v>260</v>
      </c>
      <c r="F50" s="244">
        <v>13</v>
      </c>
      <c r="H50" s="239"/>
      <c r="I50" s="246"/>
      <c r="J50" s="247" t="s">
        <v>110</v>
      </c>
      <c r="K50" s="248"/>
    </row>
    <row r="51" spans="1:11" s="229" customFormat="1" x14ac:dyDescent="0.2">
      <c r="C51" s="232"/>
      <c r="D51" s="232"/>
      <c r="E51" s="237"/>
      <c r="F51" s="242" t="s">
        <v>260</v>
      </c>
      <c r="H51" s="243"/>
      <c r="I51" s="635">
        <v>11</v>
      </c>
    </row>
    <row r="52" spans="1:11" s="229" customFormat="1" ht="13.5" thickBot="1" x14ac:dyDescent="0.25">
      <c r="C52" s="404" t="s">
        <v>160</v>
      </c>
      <c r="D52" s="234"/>
      <c r="E52" s="243"/>
      <c r="F52" s="245">
        <v>0</v>
      </c>
      <c r="G52" s="232"/>
      <c r="I52" s="238"/>
      <c r="J52" s="238" t="s">
        <v>260</v>
      </c>
      <c r="K52" s="250"/>
    </row>
    <row r="53" spans="1:11" s="229" customFormat="1" x14ac:dyDescent="0.2">
      <c r="I53" s="238"/>
      <c r="J53" s="247" t="s">
        <v>111</v>
      </c>
      <c r="K53" s="238"/>
    </row>
    <row r="54" spans="1:11" s="229" customFormat="1" x14ac:dyDescent="0.2">
      <c r="I54" s="238"/>
      <c r="J54" s="251"/>
      <c r="K54" s="238"/>
    </row>
    <row r="55" spans="1:11" s="229" customFormat="1" x14ac:dyDescent="0.2">
      <c r="A55" s="228" t="s">
        <v>376</v>
      </c>
    </row>
    <row r="56" spans="1:11" s="229" customFormat="1" x14ac:dyDescent="0.2">
      <c r="A56" s="228"/>
    </row>
    <row r="57" spans="1:11" s="229" customFormat="1" x14ac:dyDescent="0.2">
      <c r="A57" s="228"/>
      <c r="B57" s="525" t="s">
        <v>264</v>
      </c>
      <c r="C57" s="227" t="s">
        <v>250</v>
      </c>
      <c r="D57" s="215"/>
      <c r="E57" s="215"/>
      <c r="F57" s="270">
        <v>13</v>
      </c>
      <c r="H57" s="215"/>
      <c r="I57" s="215"/>
      <c r="J57" s="215"/>
      <c r="K57" s="215"/>
    </row>
    <row r="58" spans="1:11" s="229" customFormat="1" x14ac:dyDescent="0.2">
      <c r="A58" s="228"/>
      <c r="B58" s="281"/>
      <c r="C58" s="257"/>
      <c r="D58" s="257"/>
      <c r="E58" s="261"/>
      <c r="F58" s="267" t="s">
        <v>250</v>
      </c>
      <c r="H58" s="215"/>
      <c r="I58" s="270">
        <v>0</v>
      </c>
      <c r="J58" s="215"/>
      <c r="K58" s="215"/>
    </row>
    <row r="59" spans="1:11" s="229" customFormat="1" x14ac:dyDescent="0.2">
      <c r="A59" s="228"/>
      <c r="B59" s="525" t="s">
        <v>220</v>
      </c>
      <c r="C59" s="259" t="s">
        <v>254</v>
      </c>
      <c r="D59" s="259"/>
      <c r="E59" s="268"/>
      <c r="F59" s="272">
        <v>8</v>
      </c>
      <c r="G59" s="232"/>
      <c r="H59" s="261"/>
      <c r="I59" s="215"/>
      <c r="J59" s="215"/>
      <c r="K59" s="215"/>
    </row>
    <row r="60" spans="1:11" s="229" customFormat="1" ht="13.5" thickBot="1" x14ac:dyDescent="0.25">
      <c r="A60" s="228"/>
      <c r="B60" s="281"/>
      <c r="C60" s="270"/>
      <c r="D60" s="215"/>
      <c r="E60" s="215"/>
      <c r="F60" s="227"/>
      <c r="G60" s="238"/>
      <c r="H60" s="262"/>
      <c r="I60" s="215"/>
      <c r="J60" s="215" t="s">
        <v>375</v>
      </c>
      <c r="K60" s="215"/>
    </row>
    <row r="61" spans="1:11" s="229" customFormat="1" x14ac:dyDescent="0.2">
      <c r="A61" s="228"/>
      <c r="B61" s="525" t="s">
        <v>310</v>
      </c>
      <c r="C61" s="227" t="s">
        <v>375</v>
      </c>
      <c r="D61" s="215"/>
      <c r="E61" s="215"/>
      <c r="F61" s="263">
        <v>13</v>
      </c>
      <c r="G61" s="238"/>
      <c r="H61" s="262"/>
      <c r="I61" s="266"/>
      <c r="J61" s="265" t="s">
        <v>112</v>
      </c>
      <c r="K61" s="266"/>
    </row>
    <row r="62" spans="1:11" s="229" customFormat="1" x14ac:dyDescent="0.2">
      <c r="A62" s="228"/>
      <c r="B62" s="281"/>
      <c r="C62" s="257"/>
      <c r="D62" s="257"/>
      <c r="E62" s="261"/>
      <c r="F62" s="258" t="s">
        <v>375</v>
      </c>
      <c r="G62" s="234"/>
      <c r="H62" s="268"/>
      <c r="I62" s="270">
        <v>13</v>
      </c>
      <c r="J62" s="215"/>
      <c r="K62" s="215"/>
    </row>
    <row r="63" spans="1:11" s="229" customFormat="1" ht="13.5" thickBot="1" x14ac:dyDescent="0.25">
      <c r="A63" s="228"/>
      <c r="B63" s="525" t="s">
        <v>222</v>
      </c>
      <c r="C63" s="259" t="s">
        <v>374</v>
      </c>
      <c r="D63" s="259"/>
      <c r="E63" s="268"/>
      <c r="F63" s="260">
        <v>12</v>
      </c>
      <c r="H63" s="227"/>
      <c r="I63" s="215"/>
      <c r="J63" s="227" t="s">
        <v>250</v>
      </c>
      <c r="K63" s="269"/>
    </row>
    <row r="64" spans="1:11" s="229" customFormat="1" x14ac:dyDescent="0.2">
      <c r="A64" s="228"/>
      <c r="B64" s="281"/>
      <c r="C64" s="281"/>
      <c r="D64" s="263"/>
      <c r="E64" s="215"/>
      <c r="F64" s="215"/>
      <c r="G64" s="227"/>
      <c r="H64" s="227"/>
      <c r="I64" s="215"/>
      <c r="J64" s="265" t="s">
        <v>113</v>
      </c>
      <c r="K64" s="215"/>
    </row>
    <row r="65" spans="1:11" s="229" customFormat="1" x14ac:dyDescent="0.2">
      <c r="A65" s="228"/>
      <c r="B65" s="281"/>
      <c r="C65" s="281"/>
      <c r="D65" s="227"/>
      <c r="E65" s="227"/>
      <c r="F65" s="215" t="s">
        <v>254</v>
      </c>
      <c r="H65" s="215"/>
      <c r="I65" s="263">
        <v>0</v>
      </c>
      <c r="J65" s="215"/>
      <c r="K65" s="215"/>
    </row>
    <row r="66" spans="1:11" s="229" customFormat="1" ht="13.5" thickBot="1" x14ac:dyDescent="0.25">
      <c r="A66" s="228"/>
      <c r="B66" s="281"/>
      <c r="C66" s="281"/>
      <c r="D66" s="227"/>
      <c r="E66" s="227"/>
      <c r="F66" s="257"/>
      <c r="G66" s="232"/>
      <c r="H66" s="261"/>
      <c r="I66" s="269"/>
      <c r="J66" s="269" t="s">
        <v>374</v>
      </c>
      <c r="K66" s="269"/>
    </row>
    <row r="67" spans="1:11" s="229" customFormat="1" x14ac:dyDescent="0.2">
      <c r="A67" s="228"/>
      <c r="B67" s="281"/>
      <c r="C67" s="281"/>
      <c r="D67" s="227"/>
      <c r="E67" s="227"/>
      <c r="F67" s="259" t="s">
        <v>374</v>
      </c>
      <c r="G67" s="234"/>
      <c r="H67" s="268"/>
      <c r="I67" s="270">
        <v>13</v>
      </c>
      <c r="J67" s="271" t="s">
        <v>114</v>
      </c>
      <c r="K67" s="227"/>
    </row>
    <row r="68" spans="1:11" s="229" customFormat="1" x14ac:dyDescent="0.2">
      <c r="A68" s="228"/>
      <c r="B68" s="281"/>
      <c r="C68" s="281"/>
      <c r="D68" s="263"/>
      <c r="E68" s="227"/>
      <c r="F68" s="227"/>
      <c r="G68" s="215"/>
      <c r="H68" s="215"/>
      <c r="I68" s="215"/>
      <c r="J68" s="227"/>
      <c r="K68" s="227"/>
    </row>
    <row r="69" spans="1:11" s="229" customFormat="1" ht="13.5" thickBot="1" x14ac:dyDescent="0.25">
      <c r="A69" s="228"/>
      <c r="B69" s="281"/>
      <c r="C69" s="281"/>
      <c r="D69" s="227"/>
      <c r="E69" s="227"/>
      <c r="F69" s="227"/>
      <c r="G69" s="227"/>
      <c r="H69" s="227"/>
      <c r="I69" s="215"/>
      <c r="J69" s="526" t="s">
        <v>254</v>
      </c>
      <c r="K69" s="269"/>
    </row>
    <row r="70" spans="1:11" s="229" customFormat="1" x14ac:dyDescent="0.2">
      <c r="A70" s="228"/>
      <c r="B70" s="281"/>
      <c r="C70" s="281"/>
      <c r="D70" s="227"/>
      <c r="E70" s="227"/>
      <c r="F70" s="227"/>
      <c r="G70" s="227"/>
      <c r="H70" s="227"/>
      <c r="I70" s="215"/>
      <c r="J70" s="214" t="s">
        <v>115</v>
      </c>
      <c r="K70" s="215"/>
    </row>
    <row r="71" spans="1:11" s="229" customFormat="1" x14ac:dyDescent="0.2">
      <c r="A71" s="228"/>
    </row>
    <row r="72" spans="1:11" s="229" customFormat="1" x14ac:dyDescent="0.2">
      <c r="A72" s="217">
        <v>1</v>
      </c>
      <c r="B72" s="217" t="s">
        <v>373</v>
      </c>
    </row>
    <row r="73" spans="1:11" s="229" customFormat="1" x14ac:dyDescent="0.2">
      <c r="A73" s="217">
        <v>2</v>
      </c>
      <c r="B73" s="536" t="s">
        <v>256</v>
      </c>
    </row>
    <row r="74" spans="1:11" s="229" customFormat="1" x14ac:dyDescent="0.2">
      <c r="A74" s="217">
        <v>3</v>
      </c>
      <c r="B74" s="536" t="s">
        <v>253</v>
      </c>
    </row>
    <row r="75" spans="1:11" s="229" customFormat="1" x14ac:dyDescent="0.2">
      <c r="A75" s="217">
        <v>4</v>
      </c>
      <c r="B75" s="253" t="s">
        <v>289</v>
      </c>
    </row>
    <row r="76" spans="1:11" s="229" customFormat="1" x14ac:dyDescent="0.2">
      <c r="A76" s="217">
        <v>5</v>
      </c>
      <c r="B76" s="253" t="s">
        <v>252</v>
      </c>
    </row>
    <row r="77" spans="1:11" s="229" customFormat="1" x14ac:dyDescent="0.2">
      <c r="A77" s="217">
        <v>6</v>
      </c>
      <c r="B77" s="253" t="s">
        <v>260</v>
      </c>
    </row>
    <row r="78" spans="1:11" s="229" customFormat="1" x14ac:dyDescent="0.2">
      <c r="A78" s="217">
        <v>7</v>
      </c>
      <c r="B78" s="253" t="s">
        <v>375</v>
      </c>
    </row>
    <row r="79" spans="1:11" s="229" customFormat="1" x14ac:dyDescent="0.2">
      <c r="A79" s="217">
        <v>8</v>
      </c>
      <c r="B79" s="253" t="s">
        <v>250</v>
      </c>
    </row>
    <row r="80" spans="1:11" s="229" customFormat="1" x14ac:dyDescent="0.2">
      <c r="A80" s="217">
        <v>9</v>
      </c>
      <c r="B80" s="253" t="s">
        <v>374</v>
      </c>
    </row>
    <row r="81" spans="1:11" s="229" customFormat="1" x14ac:dyDescent="0.2">
      <c r="A81" s="217">
        <v>10</v>
      </c>
      <c r="B81" s="253" t="s">
        <v>254</v>
      </c>
    </row>
    <row r="82" spans="1:11" s="229" customFormat="1" x14ac:dyDescent="0.2">
      <c r="A82" s="228"/>
    </row>
    <row r="83" spans="1:11" s="229" customFormat="1" x14ac:dyDescent="0.2">
      <c r="A83" s="228"/>
    </row>
    <row r="84" spans="1:11" s="229" customFormat="1" x14ac:dyDescent="0.2">
      <c r="A84" s="228"/>
    </row>
    <row r="85" spans="1:11" s="229" customFormat="1" x14ac:dyDescent="0.2">
      <c r="F85" s="219"/>
      <c r="G85" s="219"/>
      <c r="H85" s="219"/>
      <c r="I85" s="219"/>
      <c r="J85" s="219"/>
      <c r="K85" s="219"/>
    </row>
    <row r="86" spans="1:11" s="219" customFormat="1" x14ac:dyDescent="0.2"/>
    <row r="87" spans="1:11" s="219" customFormat="1" x14ac:dyDescent="0.2"/>
    <row r="88" spans="1:11" s="219" customFormat="1" x14ac:dyDescent="0.2"/>
    <row r="89" spans="1:11" s="219" customFormat="1" x14ac:dyDescent="0.2"/>
    <row r="90" spans="1:11" s="219" customFormat="1" x14ac:dyDescent="0.2"/>
    <row r="91" spans="1:11" s="219" customFormat="1" x14ac:dyDescent="0.2"/>
    <row r="92" spans="1:11" s="219" customFormat="1" x14ac:dyDescent="0.2"/>
    <row r="93" spans="1:11" s="219" customFormat="1" x14ac:dyDescent="0.2"/>
    <row r="94" spans="1:11" s="219" customFormat="1" x14ac:dyDescent="0.2"/>
    <row r="95" spans="1:11" s="219" customFormat="1" x14ac:dyDescent="0.2"/>
  </sheetData>
  <conditionalFormatting sqref="C7:I56 C71:I84">
    <cfRule type="cellIs" dxfId="45" priority="2" stopIfTrue="1" operator="equal">
      <formula>13</formula>
    </cfRule>
  </conditionalFormatting>
  <conditionalFormatting sqref="C64:I64 H57:I63 B57:F63 H65:I67 C65:F67">
    <cfRule type="cellIs" dxfId="44" priority="1" stopIfTrue="1" operator="equal">
      <formula>13</formula>
    </cfRule>
  </conditionalFormatting>
  <pageMargins left="0.78740157480314965" right="0.39370078740157483" top="0.78740157480314965" bottom="0.39370078740157483" header="0.59055118110236227" footer="0"/>
  <pageSetup paperSize="9" fitToHeight="0" orientation="landscape" verticalDpi="1200" r:id="rId1"/>
  <headerFooter alignWithMargins="0">
    <oddHeader>&amp;R&amp;"Arial,Regular"&amp;9Page &amp;P of &amp;N</oddHeader>
  </headerFooter>
  <rowBreaks count="3" manualBreakCount="3">
    <brk id="22" max="16383" man="1"/>
    <brk id="53" max="16383" man="1"/>
    <brk id="8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8"/>
  <sheetViews>
    <sheetView showGridLines="0" showRowColHeaders="0" zoomScaleNormal="100" workbookViewId="0">
      <pane ySplit="2" topLeftCell="A3" activePane="bottomLeft" state="frozen"/>
      <selection activeCell="M1" sqref="M1"/>
      <selection pane="bottomLeft" activeCell="I1" sqref="I1"/>
    </sheetView>
  </sheetViews>
  <sheetFormatPr defaultRowHeight="12.75" x14ac:dyDescent="0.2"/>
  <cols>
    <col min="1" max="1" width="3.28515625" style="215" customWidth="1"/>
    <col min="2" max="2" width="43.140625" style="214" customWidth="1"/>
    <col min="3" max="10" width="5.7109375" style="215" customWidth="1"/>
    <col min="11" max="16384" width="9.140625" style="215"/>
  </cols>
  <sheetData>
    <row r="1" spans="1:11" x14ac:dyDescent="0.2">
      <c r="A1" s="213" t="str">
        <f>UPPER((Kalend!D30)&amp;" - "&amp;(Kalend!C30)&amp;" - "&amp;(Kalend!E30))</f>
        <v>8 - SHK KV 8. ETAPP - TRIO</v>
      </c>
      <c r="E1" s="133" t="str">
        <f>HYPERLINK("#'Kalend'!I1","Kalender")</f>
        <v>Kalender</v>
      </c>
      <c r="F1" s="216"/>
      <c r="G1" s="133" t="str">
        <f>HYPERLINK("#'Reit'!J1","Reiting")</f>
        <v>Reiting</v>
      </c>
      <c r="H1" s="216"/>
    </row>
    <row r="2" spans="1:11" s="216" customFormat="1" x14ac:dyDescent="0.2">
      <c r="A2" s="216" t="str">
        <f>"Toimumisaeg: "&amp;(Kalend!A30)&amp;" kell "&amp;(Kalend!B30)</f>
        <v>Toimumisaeg: P, 02.04.2017 kell 11:00</v>
      </c>
    </row>
    <row r="3" spans="1:11" s="216" customFormat="1" x14ac:dyDescent="0.2">
      <c r="A3" s="216" t="str">
        <f>"Toimumiskoht: "&amp;(Kalend!F30)</f>
        <v>Toimumiskoht: K-Järve petangihall</v>
      </c>
    </row>
    <row r="4" spans="1:11" s="216" customFormat="1" x14ac:dyDescent="0.2">
      <c r="A4" s="216" t="str">
        <f>"Korraldaja: "&amp;(Kalend!G30)</f>
        <v>Korraldaja: K-Järve SHK, Ivar Viljaste</v>
      </c>
    </row>
    <row r="5" spans="1:11" s="533" customFormat="1" x14ac:dyDescent="0.2"/>
    <row r="6" spans="1:11" s="533" customFormat="1" x14ac:dyDescent="0.2">
      <c r="A6" s="805"/>
      <c r="B6" s="805"/>
      <c r="C6" s="396">
        <v>1</v>
      </c>
      <c r="D6" s="396">
        <v>2</v>
      </c>
      <c r="E6" s="396">
        <v>3</v>
      </c>
      <c r="F6" s="396">
        <v>4</v>
      </c>
      <c r="G6" s="396">
        <v>5</v>
      </c>
      <c r="H6" s="396">
        <v>6</v>
      </c>
      <c r="I6" s="396" t="s">
        <v>164</v>
      </c>
      <c r="J6" s="396" t="s">
        <v>45</v>
      </c>
    </row>
    <row r="7" spans="1:11" s="533" customFormat="1" x14ac:dyDescent="0.2">
      <c r="A7" s="805">
        <v>1</v>
      </c>
      <c r="B7" s="411" t="s">
        <v>385</v>
      </c>
      <c r="C7" s="543"/>
      <c r="D7" s="806">
        <v>13</v>
      </c>
      <c r="E7" s="806">
        <v>13</v>
      </c>
      <c r="F7" s="806">
        <v>13</v>
      </c>
      <c r="G7" s="806">
        <v>13</v>
      </c>
      <c r="H7" s="806">
        <v>13</v>
      </c>
      <c r="I7" s="807" t="s">
        <v>388</v>
      </c>
      <c r="J7" s="806" t="s">
        <v>180</v>
      </c>
    </row>
    <row r="8" spans="1:11" s="533" customFormat="1" x14ac:dyDescent="0.2">
      <c r="A8" s="805">
        <v>2</v>
      </c>
      <c r="B8" s="149" t="s">
        <v>176</v>
      </c>
      <c r="C8" s="806">
        <v>3</v>
      </c>
      <c r="D8" s="813"/>
      <c r="E8" s="814">
        <v>13</v>
      </c>
      <c r="F8" s="814">
        <v>13</v>
      </c>
      <c r="G8" s="814">
        <v>10</v>
      </c>
      <c r="H8" s="814">
        <v>9</v>
      </c>
      <c r="I8" s="815" t="s">
        <v>228</v>
      </c>
      <c r="J8" s="806" t="s">
        <v>182</v>
      </c>
      <c r="K8" s="817" t="s">
        <v>389</v>
      </c>
    </row>
    <row r="9" spans="1:11" s="533" customFormat="1" x14ac:dyDescent="0.2">
      <c r="A9" s="805">
        <v>3</v>
      </c>
      <c r="B9" s="483" t="s">
        <v>243</v>
      </c>
      <c r="C9" s="806">
        <v>0</v>
      </c>
      <c r="D9" s="814">
        <v>10</v>
      </c>
      <c r="E9" s="813"/>
      <c r="F9" s="814">
        <v>13</v>
      </c>
      <c r="G9" s="814">
        <v>13</v>
      </c>
      <c r="H9" s="814">
        <v>6</v>
      </c>
      <c r="I9" s="815" t="s">
        <v>228</v>
      </c>
      <c r="J9" s="806" t="s">
        <v>245</v>
      </c>
      <c r="K9" s="817" t="s">
        <v>389</v>
      </c>
    </row>
    <row r="10" spans="1:11" s="533" customFormat="1" x14ac:dyDescent="0.2">
      <c r="A10" s="805">
        <v>4</v>
      </c>
      <c r="B10" s="411" t="s">
        <v>178</v>
      </c>
      <c r="C10" s="806">
        <v>0</v>
      </c>
      <c r="D10" s="814">
        <v>7</v>
      </c>
      <c r="E10" s="814">
        <v>6</v>
      </c>
      <c r="F10" s="813"/>
      <c r="G10" s="814">
        <v>13</v>
      </c>
      <c r="H10" s="814">
        <v>13</v>
      </c>
      <c r="I10" s="815" t="s">
        <v>228</v>
      </c>
      <c r="J10" s="806" t="s">
        <v>393</v>
      </c>
      <c r="K10" s="817" t="s">
        <v>390</v>
      </c>
    </row>
    <row r="11" spans="1:11" s="533" customFormat="1" x14ac:dyDescent="0.2">
      <c r="A11" s="805">
        <v>5</v>
      </c>
      <c r="B11" s="411" t="s">
        <v>386</v>
      </c>
      <c r="C11" s="806">
        <v>11</v>
      </c>
      <c r="D11" s="814">
        <v>13</v>
      </c>
      <c r="E11" s="814">
        <v>8</v>
      </c>
      <c r="F11" s="816">
        <v>5</v>
      </c>
      <c r="G11" s="813"/>
      <c r="H11" s="814">
        <v>13</v>
      </c>
      <c r="I11" s="815" t="s">
        <v>228</v>
      </c>
      <c r="J11" s="806" t="s">
        <v>394</v>
      </c>
      <c r="K11" s="817" t="s">
        <v>391</v>
      </c>
    </row>
    <row r="12" spans="1:11" s="533" customFormat="1" x14ac:dyDescent="0.2">
      <c r="A12" s="805">
        <v>6</v>
      </c>
      <c r="B12" s="536" t="s">
        <v>387</v>
      </c>
      <c r="C12" s="806">
        <v>9</v>
      </c>
      <c r="D12" s="814">
        <v>13</v>
      </c>
      <c r="E12" s="814">
        <v>13</v>
      </c>
      <c r="F12" s="814">
        <v>10</v>
      </c>
      <c r="G12" s="816">
        <v>9</v>
      </c>
      <c r="H12" s="813"/>
      <c r="I12" s="815" t="s">
        <v>228</v>
      </c>
      <c r="J12" s="806" t="s">
        <v>181</v>
      </c>
      <c r="K12" s="817" t="s">
        <v>392</v>
      </c>
    </row>
    <row r="13" spans="1:11" s="533" customFormat="1" x14ac:dyDescent="0.2">
      <c r="A13" s="808"/>
      <c r="B13" s="809"/>
      <c r="C13" s="810"/>
      <c r="D13" s="810"/>
      <c r="E13" s="810"/>
      <c r="F13" s="810"/>
      <c r="G13" s="810"/>
      <c r="H13" s="810"/>
      <c r="I13" s="811"/>
      <c r="J13" s="810"/>
    </row>
    <row r="14" spans="1:11" s="533" customFormat="1" x14ac:dyDescent="0.2">
      <c r="A14" s="223"/>
      <c r="B14" s="617" t="s">
        <v>226</v>
      </c>
      <c r="C14" s="226" t="s">
        <v>381</v>
      </c>
      <c r="D14" s="226" t="s">
        <v>236</v>
      </c>
      <c r="E14" s="226" t="s">
        <v>233</v>
      </c>
      <c r="F14" s="224"/>
      <c r="G14" s="225"/>
      <c r="H14" s="225"/>
      <c r="I14" s="226"/>
      <c r="J14" s="224"/>
    </row>
    <row r="15" spans="1:11" s="533" customFormat="1" x14ac:dyDescent="0.2">
      <c r="A15" s="223"/>
      <c r="B15" s="617" t="s">
        <v>229</v>
      </c>
      <c r="C15" s="226" t="s">
        <v>234</v>
      </c>
      <c r="D15" s="226" t="s">
        <v>231</v>
      </c>
      <c r="E15" s="226" t="s">
        <v>382</v>
      </c>
      <c r="F15" s="535"/>
      <c r="G15" s="535"/>
      <c r="H15" s="535"/>
      <c r="I15" s="226"/>
      <c r="J15" s="224"/>
    </row>
    <row r="16" spans="1:11" s="533" customFormat="1" x14ac:dyDescent="0.2">
      <c r="A16" s="223"/>
      <c r="B16" s="617" t="s">
        <v>232</v>
      </c>
      <c r="C16" s="226" t="s">
        <v>227</v>
      </c>
      <c r="D16" s="226" t="s">
        <v>228</v>
      </c>
      <c r="E16" s="226" t="s">
        <v>365</v>
      </c>
      <c r="F16" s="535"/>
      <c r="G16" s="535"/>
      <c r="H16" s="535"/>
      <c r="I16" s="226"/>
      <c r="J16" s="812"/>
    </row>
    <row r="17" spans="1:10" s="533" customFormat="1" x14ac:dyDescent="0.2">
      <c r="A17" s="223"/>
      <c r="B17" s="617" t="s">
        <v>237</v>
      </c>
      <c r="C17" s="226" t="s">
        <v>230</v>
      </c>
      <c r="D17" s="226" t="s">
        <v>383</v>
      </c>
      <c r="E17" s="226" t="s">
        <v>235</v>
      </c>
      <c r="F17" s="535"/>
      <c r="G17" s="225"/>
      <c r="H17" s="225"/>
      <c r="I17" s="226"/>
      <c r="J17" s="224"/>
    </row>
    <row r="18" spans="1:10" s="533" customFormat="1" x14ac:dyDescent="0.2">
      <c r="A18" s="223"/>
      <c r="B18" s="617" t="s">
        <v>239</v>
      </c>
      <c r="C18" s="226" t="s">
        <v>219</v>
      </c>
      <c r="D18" s="226" t="s">
        <v>238</v>
      </c>
      <c r="E18" s="226" t="s">
        <v>384</v>
      </c>
      <c r="F18" s="535"/>
      <c r="G18" s="535"/>
      <c r="H18" s="535"/>
      <c r="I18" s="226"/>
      <c r="J18" s="224"/>
    </row>
    <row r="19" spans="1:10" s="533" customFormat="1" x14ac:dyDescent="0.2"/>
    <row r="20" spans="1:10" s="533" customFormat="1" x14ac:dyDescent="0.2">
      <c r="A20" s="805">
        <v>1</v>
      </c>
      <c r="B20" s="818" t="s">
        <v>385</v>
      </c>
    </row>
    <row r="21" spans="1:10" s="533" customFormat="1" x14ac:dyDescent="0.2">
      <c r="A21" s="805">
        <v>2</v>
      </c>
      <c r="B21" s="536" t="s">
        <v>387</v>
      </c>
    </row>
    <row r="22" spans="1:10" s="533" customFormat="1" x14ac:dyDescent="0.2">
      <c r="A22" s="805">
        <v>3</v>
      </c>
      <c r="B22" s="149" t="s">
        <v>176</v>
      </c>
    </row>
    <row r="23" spans="1:10" s="533" customFormat="1" x14ac:dyDescent="0.2">
      <c r="A23" s="805">
        <v>4</v>
      </c>
      <c r="B23" s="483" t="s">
        <v>243</v>
      </c>
    </row>
    <row r="24" spans="1:10" s="533" customFormat="1" x14ac:dyDescent="0.2">
      <c r="A24" s="805">
        <v>5</v>
      </c>
      <c r="B24" s="411" t="s">
        <v>178</v>
      </c>
    </row>
    <row r="25" spans="1:10" s="533" customFormat="1" x14ac:dyDescent="0.2">
      <c r="A25" s="805">
        <v>6</v>
      </c>
      <c r="B25" s="411" t="s">
        <v>386</v>
      </c>
    </row>
    <row r="26" spans="1:10" s="533" customFormat="1" x14ac:dyDescent="0.2"/>
    <row r="27" spans="1:10" s="533" customFormat="1" x14ac:dyDescent="0.2"/>
    <row r="28" spans="1:10" s="533" customFormat="1" x14ac:dyDescent="0.2"/>
    <row r="29" spans="1:10" s="533" customFormat="1" x14ac:dyDescent="0.2"/>
    <row r="30" spans="1:10" s="533" customFormat="1" x14ac:dyDescent="0.2"/>
    <row r="31" spans="1:10" s="533" customFormat="1" x14ac:dyDescent="0.2"/>
    <row r="32" spans="1:10" s="533" customFormat="1" x14ac:dyDescent="0.2"/>
    <row r="33" spans="1:11" s="533" customFormat="1" x14ac:dyDescent="0.2"/>
    <row r="34" spans="1:11" s="533" customFormat="1" x14ac:dyDescent="0.2"/>
    <row r="35" spans="1:11" s="533" customFormat="1" x14ac:dyDescent="0.2"/>
    <row r="36" spans="1:11" s="533" customFormat="1" x14ac:dyDescent="0.2"/>
    <row r="37" spans="1:11" s="533" customFormat="1" x14ac:dyDescent="0.2"/>
    <row r="38" spans="1:11" s="533" customFormat="1" x14ac:dyDescent="0.2"/>
    <row r="39" spans="1:11" s="533" customFormat="1" x14ac:dyDescent="0.2"/>
    <row r="40" spans="1:11" s="533" customFormat="1" x14ac:dyDescent="0.2"/>
    <row r="41" spans="1:11" s="533" customFormat="1" x14ac:dyDescent="0.2"/>
    <row r="42" spans="1:11" s="533" customFormat="1" x14ac:dyDescent="0.2"/>
    <row r="43" spans="1:11" s="533" customFormat="1" x14ac:dyDescent="0.2"/>
    <row r="44" spans="1:11" s="229" customFormat="1" x14ac:dyDescent="0.2">
      <c r="A44" s="535"/>
      <c r="B44" s="535"/>
      <c r="C44" s="535"/>
      <c r="D44" s="535"/>
      <c r="E44" s="535"/>
      <c r="F44" s="535"/>
      <c r="G44" s="535"/>
      <c r="H44" s="535"/>
      <c r="I44" s="535"/>
      <c r="J44" s="535"/>
      <c r="K44" s="219"/>
    </row>
    <row r="45" spans="1:11" s="219" customFormat="1" x14ac:dyDescent="0.2">
      <c r="A45" s="535"/>
      <c r="B45" s="535"/>
      <c r="C45" s="535"/>
      <c r="D45" s="535"/>
      <c r="E45" s="535"/>
      <c r="F45" s="535"/>
      <c r="G45" s="535"/>
      <c r="H45" s="535"/>
      <c r="I45" s="535"/>
      <c r="J45" s="535"/>
    </row>
    <row r="46" spans="1:11" s="219" customFormat="1" x14ac:dyDescent="0.2">
      <c r="A46" s="535"/>
      <c r="B46" s="535"/>
      <c r="C46" s="535"/>
      <c r="D46" s="535"/>
      <c r="E46" s="535"/>
      <c r="F46" s="535"/>
      <c r="G46" s="535"/>
      <c r="H46" s="535"/>
      <c r="I46" s="535"/>
      <c r="J46" s="535"/>
    </row>
    <row r="47" spans="1:11" s="219" customFormat="1" x14ac:dyDescent="0.2">
      <c r="A47" s="535"/>
      <c r="B47" s="535"/>
      <c r="C47" s="535"/>
      <c r="D47" s="535"/>
      <c r="E47" s="535"/>
      <c r="F47" s="535"/>
      <c r="G47" s="535"/>
      <c r="H47" s="535"/>
      <c r="I47" s="535"/>
      <c r="J47" s="535"/>
    </row>
    <row r="48" spans="1:11" s="219" customFormat="1" x14ac:dyDescent="0.2">
      <c r="A48" s="535"/>
      <c r="B48" s="535"/>
      <c r="C48" s="535"/>
      <c r="D48" s="535"/>
      <c r="E48" s="535"/>
      <c r="F48" s="535"/>
      <c r="G48" s="535"/>
      <c r="H48" s="535"/>
      <c r="I48" s="535"/>
      <c r="J48" s="535"/>
    </row>
    <row r="49" spans="1:10" s="219" customFormat="1" x14ac:dyDescent="0.2">
      <c r="A49" s="535"/>
      <c r="B49" s="535"/>
      <c r="C49" s="535"/>
      <c r="D49" s="535"/>
      <c r="E49" s="535"/>
      <c r="F49" s="535"/>
      <c r="G49" s="535"/>
      <c r="H49" s="535"/>
      <c r="I49" s="535"/>
      <c r="J49" s="535"/>
    </row>
    <row r="50" spans="1:10" s="219" customFormat="1" x14ac:dyDescent="0.2">
      <c r="A50" s="535"/>
      <c r="B50" s="535"/>
      <c r="C50" s="535"/>
      <c r="D50" s="535"/>
      <c r="E50" s="535"/>
      <c r="F50" s="535"/>
      <c r="G50" s="535"/>
      <c r="H50" s="535"/>
      <c r="I50" s="535"/>
      <c r="J50" s="535"/>
    </row>
    <row r="51" spans="1:10" s="219" customFormat="1" x14ac:dyDescent="0.2">
      <c r="A51" s="535"/>
      <c r="B51" s="535"/>
      <c r="C51" s="535"/>
      <c r="D51" s="535"/>
      <c r="E51" s="535"/>
      <c r="F51" s="535"/>
      <c r="G51" s="535"/>
      <c r="H51" s="535"/>
      <c r="I51" s="535"/>
      <c r="J51" s="535"/>
    </row>
    <row r="52" spans="1:10" s="219" customFormat="1" x14ac:dyDescent="0.2">
      <c r="A52" s="535"/>
      <c r="B52" s="535"/>
      <c r="C52" s="535"/>
      <c r="D52" s="535"/>
      <c r="E52" s="535"/>
      <c r="F52" s="535"/>
      <c r="G52" s="535"/>
      <c r="H52" s="535"/>
      <c r="I52" s="535"/>
      <c r="J52" s="535"/>
    </row>
    <row r="53" spans="1:10" x14ac:dyDescent="0.2">
      <c r="A53" s="535"/>
      <c r="B53" s="535"/>
      <c r="C53" s="535"/>
      <c r="D53" s="535"/>
      <c r="E53" s="535"/>
      <c r="F53" s="535"/>
      <c r="G53" s="535"/>
      <c r="H53" s="535"/>
      <c r="I53" s="535"/>
      <c r="J53" s="535"/>
    </row>
    <row r="54" spans="1:10" x14ac:dyDescent="0.2">
      <c r="A54" s="535"/>
      <c r="B54" s="535"/>
      <c r="C54" s="535"/>
      <c r="D54" s="535"/>
      <c r="E54" s="535"/>
      <c r="F54" s="535"/>
      <c r="G54" s="535"/>
      <c r="H54" s="535"/>
      <c r="I54" s="535"/>
      <c r="J54" s="535"/>
    </row>
    <row r="55" spans="1:10" x14ac:dyDescent="0.2">
      <c r="A55" s="535"/>
      <c r="B55" s="535"/>
      <c r="C55" s="535"/>
      <c r="D55" s="535"/>
      <c r="E55" s="535"/>
      <c r="F55" s="535"/>
      <c r="G55" s="535"/>
      <c r="H55" s="535"/>
      <c r="I55" s="535"/>
      <c r="J55" s="535"/>
    </row>
    <row r="56" spans="1:10" x14ac:dyDescent="0.2">
      <c r="A56" s="535"/>
      <c r="B56" s="535"/>
      <c r="C56" s="535"/>
      <c r="D56" s="535"/>
      <c r="E56" s="535"/>
      <c r="F56" s="535"/>
      <c r="G56" s="535"/>
      <c r="H56" s="535"/>
      <c r="I56" s="535"/>
      <c r="J56" s="535"/>
    </row>
    <row r="57" spans="1:10" x14ac:dyDescent="0.2">
      <c r="A57" s="535"/>
      <c r="B57" s="535"/>
      <c r="C57" s="535"/>
      <c r="D57" s="535"/>
      <c r="E57" s="535"/>
      <c r="F57" s="535"/>
      <c r="G57" s="535"/>
      <c r="H57" s="535"/>
      <c r="I57" s="535"/>
      <c r="J57" s="535"/>
    </row>
    <row r="58" spans="1:10" x14ac:dyDescent="0.2">
      <c r="A58" s="535"/>
      <c r="B58" s="535"/>
      <c r="C58" s="535"/>
      <c r="D58" s="535"/>
      <c r="E58" s="535"/>
      <c r="F58" s="535"/>
      <c r="G58" s="535"/>
      <c r="H58" s="535"/>
      <c r="I58" s="535"/>
      <c r="J58" s="535"/>
    </row>
  </sheetData>
  <conditionalFormatting sqref="C7:H12">
    <cfRule type="cellIs" dxfId="43" priority="1" operator="equal">
      <formula>13</formula>
    </cfRule>
  </conditionalFormatting>
  <pageMargins left="0.78740157480314965" right="0.39370078740157483" top="0.78740157480314965" bottom="0.39370078740157483" header="0.59055118110236227" footer="0"/>
  <pageSetup paperSize="9" fitToHeight="0" orientation="landscape" verticalDpi="1200" r:id="rId1"/>
  <headerFooter alignWithMargins="0">
    <oddHeader>&amp;R&amp;"Arial,Regular"&amp;9Page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19"/>
  <sheetViews>
    <sheetView showGridLines="0" showRowColHeaders="0" zoomScaleNormal="100" workbookViewId="0">
      <pane ySplit="2" topLeftCell="A3" activePane="bottomLeft" state="frozen"/>
      <selection activeCell="M1" sqref="M1"/>
      <selection pane="bottomLeft" activeCell="L1" sqref="L1"/>
    </sheetView>
  </sheetViews>
  <sheetFormatPr defaultRowHeight="12.75" x14ac:dyDescent="0.2"/>
  <cols>
    <col min="1" max="1" width="5.5703125" style="215" customWidth="1"/>
    <col min="2" max="2" width="18.7109375" style="214" bestFit="1" customWidth="1"/>
    <col min="3" max="3" width="7.28515625" style="215" bestFit="1" customWidth="1"/>
    <col min="4" max="4" width="7.42578125" style="215" bestFit="1" customWidth="1"/>
    <col min="5" max="5" width="9.140625" style="215" bestFit="1" customWidth="1"/>
    <col min="6" max="6" width="6.7109375" style="215" bestFit="1" customWidth="1"/>
    <col min="7" max="7" width="5.140625" style="215" bestFit="1" customWidth="1"/>
    <col min="8" max="8" width="9.140625" style="215" customWidth="1"/>
    <col min="9" max="9" width="4.7109375" style="215" customWidth="1"/>
    <col min="10" max="16384" width="9.140625" style="215"/>
  </cols>
  <sheetData>
    <row r="1" spans="1:13" x14ac:dyDescent="0.2">
      <c r="A1" s="213" t="str">
        <f>UPPER((Kalend!D32)&amp;" -"&amp;(Kalend!C32)&amp;" - "&amp;(Kalend!E32))</f>
        <v>9 -SHK KV 9. ETAPP - ÜKSIK</v>
      </c>
      <c r="H1" s="133" t="str">
        <f>HYPERLINK("#'Kalend'!I1","Kalender")</f>
        <v>Kalender</v>
      </c>
      <c r="I1" s="216"/>
      <c r="J1" s="133" t="str">
        <f>HYPERLINK("#'Reit'!J1","Reiting")</f>
        <v>Reiting</v>
      </c>
      <c r="K1" s="216"/>
    </row>
    <row r="2" spans="1:13" s="216" customFormat="1" x14ac:dyDescent="0.2">
      <c r="A2" s="216" t="str">
        <f>"Toimumisaeg: "&amp;(Kalend!A32)&amp;" kell "&amp;(Kalend!B32)</f>
        <v>Toimumisaeg: P, 16.04.2017 kell 11:00</v>
      </c>
    </row>
    <row r="3" spans="1:13" s="216" customFormat="1" x14ac:dyDescent="0.2">
      <c r="A3" s="216" t="str">
        <f>"Toimumiskoht: "&amp;(Kalend!F32)</f>
        <v>Toimumiskoht: K-Järve petangihall</v>
      </c>
    </row>
    <row r="4" spans="1:13" s="216" customFormat="1" x14ac:dyDescent="0.2">
      <c r="A4" s="216" t="str">
        <f>"Korraldaja: "&amp;(Kalend!G32)</f>
        <v>Korraldaja: K-Järve SHK, Ivar Viljaste</v>
      </c>
    </row>
    <row r="6" spans="1:13" s="219" customFormat="1" x14ac:dyDescent="0.2">
      <c r="A6" s="521" t="s">
        <v>96</v>
      </c>
      <c r="B6" s="522"/>
      <c r="C6" s="218" t="s">
        <v>97</v>
      </c>
      <c r="D6" s="218" t="s">
        <v>98</v>
      </c>
      <c r="E6" s="218" t="s">
        <v>99</v>
      </c>
      <c r="F6" s="218" t="s">
        <v>100</v>
      </c>
      <c r="G6" s="218" t="s">
        <v>101</v>
      </c>
    </row>
    <row r="7" spans="1:13" s="219" customFormat="1" x14ac:dyDescent="0.2">
      <c r="A7" s="217">
        <v>1</v>
      </c>
      <c r="B7" s="149" t="s">
        <v>183</v>
      </c>
      <c r="C7" s="220">
        <v>8</v>
      </c>
      <c r="D7" s="220"/>
      <c r="E7" s="220">
        <v>13</v>
      </c>
      <c r="F7" s="220">
        <v>11</v>
      </c>
      <c r="G7" s="419" t="s">
        <v>182</v>
      </c>
      <c r="M7" s="222"/>
    </row>
    <row r="8" spans="1:13" s="219" customFormat="1" x14ac:dyDescent="0.2">
      <c r="A8" s="217">
        <v>2</v>
      </c>
      <c r="B8" s="149" t="s">
        <v>188</v>
      </c>
      <c r="C8" s="220">
        <v>13</v>
      </c>
      <c r="D8" s="220">
        <v>13</v>
      </c>
      <c r="E8" s="220"/>
      <c r="F8" s="220"/>
      <c r="G8" s="419" t="s">
        <v>180</v>
      </c>
      <c r="M8" s="222"/>
    </row>
    <row r="9" spans="1:13" s="219" customFormat="1" x14ac:dyDescent="0.2">
      <c r="A9" s="217">
        <v>3</v>
      </c>
      <c r="B9" s="149" t="s">
        <v>162</v>
      </c>
      <c r="C9" s="220">
        <v>5</v>
      </c>
      <c r="D9" s="220"/>
      <c r="E9" s="220">
        <v>9</v>
      </c>
      <c r="F9" s="220"/>
      <c r="G9" s="419" t="s">
        <v>245</v>
      </c>
      <c r="M9" s="222"/>
    </row>
    <row r="10" spans="1:13" s="219" customFormat="1" x14ac:dyDescent="0.2">
      <c r="A10" s="217">
        <v>4</v>
      </c>
      <c r="B10" s="148" t="s">
        <v>261</v>
      </c>
      <c r="C10" s="220">
        <v>13</v>
      </c>
      <c r="D10" s="220">
        <v>8</v>
      </c>
      <c r="E10" s="220"/>
      <c r="F10" s="220">
        <v>13</v>
      </c>
      <c r="G10" s="419" t="s">
        <v>181</v>
      </c>
      <c r="M10" s="222"/>
    </row>
    <row r="11" spans="1:13" s="219" customFormat="1" x14ac:dyDescent="0.2">
      <c r="A11" s="223"/>
      <c r="B11" s="222"/>
      <c r="C11" s="224"/>
      <c r="D11" s="224"/>
      <c r="E11" s="224"/>
      <c r="F11" s="225"/>
      <c r="G11" s="226"/>
      <c r="M11" s="222"/>
    </row>
    <row r="12" spans="1:13" s="219" customFormat="1" x14ac:dyDescent="0.2">
      <c r="A12" s="521" t="s">
        <v>102</v>
      </c>
      <c r="B12" s="522"/>
      <c r="C12" s="218" t="s">
        <v>97</v>
      </c>
      <c r="D12" s="218" t="s">
        <v>98</v>
      </c>
      <c r="E12" s="218" t="s">
        <v>99</v>
      </c>
      <c r="F12" s="218" t="s">
        <v>100</v>
      </c>
      <c r="G12" s="218" t="s">
        <v>101</v>
      </c>
      <c r="M12" s="222"/>
    </row>
    <row r="13" spans="1:13" s="219" customFormat="1" x14ac:dyDescent="0.2">
      <c r="A13" s="217">
        <v>1</v>
      </c>
      <c r="B13" s="149" t="s">
        <v>191</v>
      </c>
      <c r="C13" s="220">
        <v>13</v>
      </c>
      <c r="D13" s="220">
        <v>13</v>
      </c>
      <c r="E13" s="220"/>
      <c r="F13" s="220"/>
      <c r="G13" s="419" t="s">
        <v>180</v>
      </c>
      <c r="M13" s="222"/>
    </row>
    <row r="14" spans="1:13" s="219" customFormat="1" x14ac:dyDescent="0.2">
      <c r="A14" s="217">
        <v>2</v>
      </c>
      <c r="B14" s="149" t="s">
        <v>189</v>
      </c>
      <c r="C14" s="220">
        <v>13</v>
      </c>
      <c r="D14" s="220">
        <v>8</v>
      </c>
      <c r="E14" s="220"/>
      <c r="F14" s="220">
        <v>10</v>
      </c>
      <c r="G14" s="419" t="s">
        <v>182</v>
      </c>
      <c r="M14" s="222"/>
    </row>
    <row r="15" spans="1:13" s="219" customFormat="1" x14ac:dyDescent="0.2">
      <c r="A15" s="217">
        <v>3</v>
      </c>
      <c r="B15" s="149" t="s">
        <v>368</v>
      </c>
      <c r="C15" s="655">
        <v>10</v>
      </c>
      <c r="D15" s="220"/>
      <c r="E15" s="220">
        <v>7</v>
      </c>
      <c r="F15" s="220"/>
      <c r="G15" s="419" t="s">
        <v>245</v>
      </c>
      <c r="M15" s="222"/>
    </row>
    <row r="16" spans="1:13" s="219" customFormat="1" x14ac:dyDescent="0.2">
      <c r="A16" s="217">
        <v>4</v>
      </c>
      <c r="B16" s="148" t="s">
        <v>311</v>
      </c>
      <c r="C16" s="220">
        <v>2</v>
      </c>
      <c r="D16" s="220"/>
      <c r="E16" s="220">
        <v>13</v>
      </c>
      <c r="F16" s="220">
        <v>13</v>
      </c>
      <c r="G16" s="419" t="s">
        <v>181</v>
      </c>
      <c r="M16" s="222"/>
    </row>
    <row r="17" spans="1:13" s="219" customFormat="1" x14ac:dyDescent="0.2">
      <c r="A17" s="223"/>
      <c r="B17" s="222"/>
      <c r="C17" s="224"/>
      <c r="D17" s="224"/>
      <c r="E17" s="224"/>
      <c r="F17" s="225"/>
      <c r="G17" s="226"/>
      <c r="M17" s="222"/>
    </row>
    <row r="18" spans="1:13" s="219" customFormat="1" x14ac:dyDescent="0.2">
      <c r="A18" s="521" t="s">
        <v>103</v>
      </c>
      <c r="B18" s="522"/>
      <c r="C18" s="218" t="s">
        <v>97</v>
      </c>
      <c r="D18" s="218" t="s">
        <v>98</v>
      </c>
      <c r="E18" s="218" t="s">
        <v>99</v>
      </c>
      <c r="F18" s="218" t="s">
        <v>100</v>
      </c>
      <c r="G18" s="218" t="s">
        <v>101</v>
      </c>
      <c r="M18" s="227"/>
    </row>
    <row r="19" spans="1:13" s="219" customFormat="1" x14ac:dyDescent="0.2">
      <c r="A19" s="217">
        <v>1</v>
      </c>
      <c r="B19" s="411" t="s">
        <v>187</v>
      </c>
      <c r="C19" s="220">
        <v>13</v>
      </c>
      <c r="D19" s="220">
        <v>13</v>
      </c>
      <c r="E19" s="220"/>
      <c r="F19" s="220"/>
      <c r="G19" s="419" t="s">
        <v>180</v>
      </c>
      <c r="M19" s="227"/>
    </row>
    <row r="20" spans="1:13" s="219" customFormat="1" x14ac:dyDescent="0.2">
      <c r="A20" s="217">
        <v>2</v>
      </c>
      <c r="B20" s="149" t="s">
        <v>186</v>
      </c>
      <c r="C20" s="220">
        <v>3</v>
      </c>
      <c r="D20" s="220"/>
      <c r="E20" s="220">
        <v>13</v>
      </c>
      <c r="F20" s="220">
        <v>7</v>
      </c>
      <c r="G20" s="419" t="s">
        <v>182</v>
      </c>
      <c r="M20" s="227"/>
    </row>
    <row r="21" spans="1:13" s="219" customFormat="1" x14ac:dyDescent="0.2">
      <c r="A21" s="217">
        <v>3</v>
      </c>
      <c r="B21" s="411" t="s">
        <v>203</v>
      </c>
      <c r="C21" s="220">
        <v>13</v>
      </c>
      <c r="D21" s="220">
        <v>10</v>
      </c>
      <c r="E21" s="220"/>
      <c r="F21" s="220">
        <v>13</v>
      </c>
      <c r="G21" s="419" t="s">
        <v>181</v>
      </c>
      <c r="M21" s="227"/>
    </row>
    <row r="22" spans="1:13" s="219" customFormat="1" x14ac:dyDescent="0.2">
      <c r="A22" s="217">
        <v>4</v>
      </c>
      <c r="B22" s="149"/>
      <c r="C22" s="220">
        <v>0</v>
      </c>
      <c r="D22" s="220"/>
      <c r="E22" s="220">
        <v>0</v>
      </c>
      <c r="F22" s="220"/>
      <c r="G22" s="221"/>
    </row>
    <row r="23" spans="1:13" s="219" customFormat="1" x14ac:dyDescent="0.2"/>
    <row r="24" spans="1:13" s="219" customFormat="1" x14ac:dyDescent="0.2">
      <c r="A24" s="521" t="s">
        <v>104</v>
      </c>
      <c r="B24" s="522"/>
      <c r="C24" s="218" t="s">
        <v>97</v>
      </c>
      <c r="D24" s="218" t="s">
        <v>98</v>
      </c>
      <c r="E24" s="218" t="s">
        <v>99</v>
      </c>
      <c r="F24" s="218" t="s">
        <v>100</v>
      </c>
      <c r="G24" s="218" t="s">
        <v>101</v>
      </c>
    </row>
    <row r="25" spans="1:13" s="219" customFormat="1" x14ac:dyDescent="0.2">
      <c r="A25" s="217">
        <v>1</v>
      </c>
      <c r="B25" s="149" t="s">
        <v>184</v>
      </c>
      <c r="C25" s="220">
        <v>13</v>
      </c>
      <c r="D25" s="220">
        <v>13</v>
      </c>
      <c r="E25" s="220"/>
      <c r="F25" s="220"/>
      <c r="G25" s="419" t="s">
        <v>180</v>
      </c>
    </row>
    <row r="26" spans="1:13" s="219" customFormat="1" x14ac:dyDescent="0.2">
      <c r="A26" s="217">
        <v>2</v>
      </c>
      <c r="B26" s="149" t="s">
        <v>199</v>
      </c>
      <c r="C26" s="220">
        <v>8</v>
      </c>
      <c r="D26" s="220"/>
      <c r="E26" s="220">
        <v>13</v>
      </c>
      <c r="F26" s="220">
        <v>12</v>
      </c>
      <c r="G26" s="419" t="s">
        <v>182</v>
      </c>
    </row>
    <row r="27" spans="1:13" s="219" customFormat="1" x14ac:dyDescent="0.2">
      <c r="A27" s="217">
        <v>3</v>
      </c>
      <c r="B27" s="149" t="s">
        <v>200</v>
      </c>
      <c r="C27" s="220">
        <v>13</v>
      </c>
      <c r="D27" s="220">
        <v>12</v>
      </c>
      <c r="E27" s="220"/>
      <c r="F27" s="220">
        <v>13</v>
      </c>
      <c r="G27" s="419" t="s">
        <v>181</v>
      </c>
    </row>
    <row r="28" spans="1:13" s="219" customFormat="1" x14ac:dyDescent="0.2">
      <c r="A28" s="217">
        <v>4</v>
      </c>
      <c r="B28" s="148" t="s">
        <v>257</v>
      </c>
      <c r="C28" s="220">
        <v>7</v>
      </c>
      <c r="D28" s="220"/>
      <c r="E28" s="220">
        <v>10</v>
      </c>
      <c r="F28" s="220"/>
      <c r="G28" s="419" t="s">
        <v>245</v>
      </c>
    </row>
    <row r="29" spans="1:13" s="219" customFormat="1" x14ac:dyDescent="0.2"/>
    <row r="30" spans="1:13" s="535" customFormat="1" x14ac:dyDescent="0.2">
      <c r="A30" s="521" t="s">
        <v>295</v>
      </c>
      <c r="B30" s="522"/>
      <c r="C30" s="218" t="s">
        <v>97</v>
      </c>
      <c r="D30" s="218" t="s">
        <v>98</v>
      </c>
      <c r="E30" s="218" t="s">
        <v>99</v>
      </c>
      <c r="F30" s="218" t="s">
        <v>100</v>
      </c>
      <c r="G30" s="218" t="s">
        <v>101</v>
      </c>
      <c r="M30" s="227"/>
    </row>
    <row r="31" spans="1:13" s="535" customFormat="1" x14ac:dyDescent="0.2">
      <c r="A31" s="534">
        <v>1</v>
      </c>
      <c r="B31" s="149" t="s">
        <v>192</v>
      </c>
      <c r="C31" s="220">
        <v>13</v>
      </c>
      <c r="D31" s="220">
        <v>13</v>
      </c>
      <c r="E31" s="220"/>
      <c r="F31" s="220"/>
      <c r="G31" s="419" t="s">
        <v>180</v>
      </c>
      <c r="M31" s="227"/>
    </row>
    <row r="32" spans="1:13" s="535" customFormat="1" x14ac:dyDescent="0.2">
      <c r="A32" s="534">
        <v>2</v>
      </c>
      <c r="B32" s="149" t="s">
        <v>171</v>
      </c>
      <c r="C32" s="220">
        <v>9</v>
      </c>
      <c r="D32" s="220"/>
      <c r="E32" s="220">
        <v>13</v>
      </c>
      <c r="F32" s="220">
        <v>13</v>
      </c>
      <c r="G32" s="419" t="s">
        <v>181</v>
      </c>
      <c r="M32" s="227"/>
    </row>
    <row r="33" spans="1:13" s="535" customFormat="1" x14ac:dyDescent="0.2">
      <c r="A33" s="534">
        <v>3</v>
      </c>
      <c r="B33" s="149" t="s">
        <v>202</v>
      </c>
      <c r="C33" s="220">
        <v>13</v>
      </c>
      <c r="D33" s="220">
        <v>6</v>
      </c>
      <c r="E33" s="220"/>
      <c r="F33" s="220">
        <v>8</v>
      </c>
      <c r="G33" s="419" t="s">
        <v>182</v>
      </c>
      <c r="M33" s="227"/>
    </row>
    <row r="34" spans="1:13" s="535" customFormat="1" x14ac:dyDescent="0.2">
      <c r="A34" s="534">
        <v>4</v>
      </c>
      <c r="B34" s="149" t="s">
        <v>407</v>
      </c>
      <c r="C34" s="220">
        <v>7</v>
      </c>
      <c r="D34" s="220"/>
      <c r="E34" s="220">
        <v>6</v>
      </c>
      <c r="F34" s="220"/>
      <c r="G34" s="419" t="s">
        <v>245</v>
      </c>
    </row>
    <row r="35" spans="1:13" s="535" customFormat="1" x14ac:dyDescent="0.2"/>
    <row r="36" spans="1:13" s="535" customFormat="1" x14ac:dyDescent="0.2">
      <c r="A36" s="521" t="s">
        <v>296</v>
      </c>
      <c r="B36" s="522"/>
      <c r="C36" s="218" t="s">
        <v>97</v>
      </c>
      <c r="D36" s="218" t="s">
        <v>98</v>
      </c>
      <c r="E36" s="218" t="s">
        <v>99</v>
      </c>
      <c r="F36" s="218" t="s">
        <v>100</v>
      </c>
      <c r="G36" s="218" t="s">
        <v>101</v>
      </c>
    </row>
    <row r="37" spans="1:13" s="535" customFormat="1" x14ac:dyDescent="0.2">
      <c r="A37" s="534">
        <v>1</v>
      </c>
      <c r="B37" s="411" t="s">
        <v>190</v>
      </c>
      <c r="C37" s="220">
        <v>13</v>
      </c>
      <c r="D37" s="220">
        <v>8</v>
      </c>
      <c r="E37" s="220"/>
      <c r="F37" s="220">
        <v>13</v>
      </c>
      <c r="G37" s="419" t="s">
        <v>181</v>
      </c>
    </row>
    <row r="38" spans="1:13" s="535" customFormat="1" x14ac:dyDescent="0.2">
      <c r="A38" s="534">
        <v>2</v>
      </c>
      <c r="B38" s="149" t="s">
        <v>315</v>
      </c>
      <c r="C38" s="220">
        <v>4</v>
      </c>
      <c r="D38" s="220"/>
      <c r="E38" s="220">
        <v>12</v>
      </c>
      <c r="F38" s="220"/>
      <c r="G38" s="419" t="s">
        <v>245</v>
      </c>
    </row>
    <row r="39" spans="1:13" s="535" customFormat="1" x14ac:dyDescent="0.2">
      <c r="A39" s="534">
        <v>3</v>
      </c>
      <c r="B39" s="149" t="s">
        <v>262</v>
      </c>
      <c r="C39" s="220">
        <v>13</v>
      </c>
      <c r="D39" s="220">
        <v>13</v>
      </c>
      <c r="E39" s="220"/>
      <c r="F39" s="220"/>
      <c r="G39" s="419" t="s">
        <v>180</v>
      </c>
    </row>
    <row r="40" spans="1:13" s="535" customFormat="1" x14ac:dyDescent="0.2">
      <c r="A40" s="534">
        <v>4</v>
      </c>
      <c r="B40" s="148" t="s">
        <v>197</v>
      </c>
      <c r="C40" s="220">
        <v>11</v>
      </c>
      <c r="D40" s="220"/>
      <c r="E40" s="220">
        <v>13</v>
      </c>
      <c r="F40" s="220">
        <v>5</v>
      </c>
      <c r="G40" s="419" t="s">
        <v>182</v>
      </c>
    </row>
    <row r="41" spans="1:13" s="535" customFormat="1" x14ac:dyDescent="0.2">
      <c r="A41" s="223"/>
      <c r="B41" s="837"/>
      <c r="C41" s="225"/>
      <c r="D41" s="225"/>
      <c r="E41" s="225"/>
      <c r="F41" s="225"/>
      <c r="G41" s="838"/>
    </row>
    <row r="42" spans="1:13" x14ac:dyDescent="0.2">
      <c r="A42" s="618" t="s">
        <v>122</v>
      </c>
      <c r="B42" s="227"/>
      <c r="C42" s="224"/>
      <c r="D42" s="224"/>
      <c r="E42" s="224"/>
      <c r="F42" s="225"/>
      <c r="G42" s="226"/>
    </row>
    <row r="43" spans="1:13" x14ac:dyDescent="0.2">
      <c r="B43" s="215"/>
    </row>
    <row r="44" spans="1:13" x14ac:dyDescent="0.2">
      <c r="A44" s="255" t="s">
        <v>298</v>
      </c>
      <c r="B44" s="619" t="s">
        <v>192</v>
      </c>
      <c r="C44" s="270">
        <v>13</v>
      </c>
    </row>
    <row r="45" spans="1:13" x14ac:dyDescent="0.2">
      <c r="A45" s="256"/>
      <c r="B45" s="257"/>
      <c r="C45" s="258" t="s">
        <v>192</v>
      </c>
      <c r="E45" s="270">
        <v>2</v>
      </c>
    </row>
    <row r="46" spans="1:13" x14ac:dyDescent="0.2">
      <c r="A46" s="256" t="s">
        <v>166</v>
      </c>
      <c r="B46" s="259" t="s">
        <v>203</v>
      </c>
      <c r="C46" s="260">
        <v>6</v>
      </c>
      <c r="D46" s="261"/>
    </row>
    <row r="47" spans="1:13" x14ac:dyDescent="0.2">
      <c r="A47" s="256"/>
      <c r="B47" s="215"/>
      <c r="D47" s="262"/>
      <c r="E47" s="267" t="s">
        <v>188</v>
      </c>
      <c r="G47" s="270">
        <v>8</v>
      </c>
    </row>
    <row r="48" spans="1:13" x14ac:dyDescent="0.2">
      <c r="A48" s="256" t="s">
        <v>207</v>
      </c>
      <c r="B48" s="215" t="s">
        <v>188</v>
      </c>
      <c r="C48" s="263">
        <v>13</v>
      </c>
      <c r="D48" s="262"/>
      <c r="E48" s="620"/>
      <c r="F48" s="261"/>
    </row>
    <row r="49" spans="1:11" x14ac:dyDescent="0.2">
      <c r="A49" s="256"/>
      <c r="B49" s="257"/>
      <c r="C49" s="641" t="s">
        <v>188</v>
      </c>
      <c r="D49" s="268"/>
      <c r="E49" s="263">
        <v>13</v>
      </c>
      <c r="F49" s="262"/>
    </row>
    <row r="50" spans="1:11" x14ac:dyDescent="0.2">
      <c r="A50" s="256"/>
      <c r="B50" s="621" t="s">
        <v>160</v>
      </c>
      <c r="C50" s="622">
        <v>0</v>
      </c>
      <c r="E50" s="227"/>
      <c r="F50" s="262"/>
    </row>
    <row r="51" spans="1:11" x14ac:dyDescent="0.2">
      <c r="A51" s="214"/>
      <c r="B51" s="215"/>
      <c r="E51" s="227"/>
      <c r="F51" s="262"/>
      <c r="G51" s="267" t="s">
        <v>184</v>
      </c>
      <c r="I51" s="270">
        <v>12</v>
      </c>
    </row>
    <row r="52" spans="1:11" x14ac:dyDescent="0.2">
      <c r="A52" s="255" t="s">
        <v>267</v>
      </c>
      <c r="B52" s="215" t="s">
        <v>184</v>
      </c>
      <c r="C52" s="270">
        <v>13</v>
      </c>
      <c r="E52" s="227"/>
      <c r="F52" s="262"/>
      <c r="G52" s="257"/>
      <c r="H52" s="261"/>
    </row>
    <row r="53" spans="1:11" x14ac:dyDescent="0.2">
      <c r="A53" s="256"/>
      <c r="B53" s="257"/>
      <c r="C53" s="258" t="s">
        <v>184</v>
      </c>
      <c r="E53" s="263">
        <v>13</v>
      </c>
      <c r="F53" s="262"/>
      <c r="G53" s="227"/>
      <c r="H53" s="262"/>
    </row>
    <row r="54" spans="1:11" x14ac:dyDescent="0.2">
      <c r="A54" s="256"/>
      <c r="B54" s="621" t="s">
        <v>160</v>
      </c>
      <c r="C54" s="260">
        <v>0</v>
      </c>
      <c r="D54" s="261"/>
      <c r="E54" s="227"/>
      <c r="F54" s="262"/>
      <c r="G54" s="227"/>
      <c r="H54" s="262"/>
    </row>
    <row r="55" spans="1:11" x14ac:dyDescent="0.2">
      <c r="A55" s="256"/>
      <c r="B55" s="215"/>
      <c r="D55" s="262"/>
      <c r="E55" s="259" t="s">
        <v>184</v>
      </c>
      <c r="F55" s="268"/>
      <c r="G55" s="263">
        <v>13</v>
      </c>
      <c r="H55" s="262"/>
    </row>
    <row r="56" spans="1:11" x14ac:dyDescent="0.2">
      <c r="A56" s="256" t="s">
        <v>161</v>
      </c>
      <c r="B56" s="619" t="s">
        <v>311</v>
      </c>
      <c r="C56" s="263">
        <v>4</v>
      </c>
      <c r="D56" s="262"/>
      <c r="E56" s="267"/>
      <c r="F56" s="227"/>
      <c r="G56" s="227"/>
      <c r="H56" s="262"/>
    </row>
    <row r="57" spans="1:11" x14ac:dyDescent="0.2">
      <c r="A57" s="256"/>
      <c r="B57" s="257"/>
      <c r="C57" s="267" t="s">
        <v>190</v>
      </c>
      <c r="D57" s="268"/>
      <c r="E57" s="263">
        <v>1</v>
      </c>
      <c r="G57" s="227"/>
      <c r="H57" s="262"/>
    </row>
    <row r="58" spans="1:11" x14ac:dyDescent="0.2">
      <c r="A58" s="256" t="s">
        <v>297</v>
      </c>
      <c r="B58" s="259" t="s">
        <v>190</v>
      </c>
      <c r="C58" s="272">
        <v>13</v>
      </c>
      <c r="E58" s="227"/>
      <c r="F58" s="227"/>
      <c r="G58" s="227"/>
      <c r="H58" s="262"/>
    </row>
    <row r="59" spans="1:11" ht="13.5" thickBot="1" x14ac:dyDescent="0.25">
      <c r="B59" s="215"/>
      <c r="G59" s="227"/>
      <c r="H59" s="262"/>
      <c r="J59" s="215" t="s">
        <v>187</v>
      </c>
    </row>
    <row r="60" spans="1:11" x14ac:dyDescent="0.2">
      <c r="A60" s="255" t="s">
        <v>299</v>
      </c>
      <c r="B60" s="215" t="s">
        <v>262</v>
      </c>
      <c r="C60" s="270">
        <v>13</v>
      </c>
      <c r="G60" s="227"/>
      <c r="H60" s="262"/>
      <c r="I60" s="264"/>
      <c r="J60" s="265" t="s">
        <v>106</v>
      </c>
      <c r="K60" s="266"/>
    </row>
    <row r="61" spans="1:11" x14ac:dyDescent="0.2">
      <c r="A61" s="256"/>
      <c r="B61" s="257"/>
      <c r="C61" s="258" t="s">
        <v>262</v>
      </c>
      <c r="E61" s="270">
        <v>13</v>
      </c>
      <c r="G61" s="227"/>
      <c r="H61" s="262"/>
    </row>
    <row r="62" spans="1:11" x14ac:dyDescent="0.2">
      <c r="A62" s="256"/>
      <c r="B62" s="621" t="s">
        <v>160</v>
      </c>
      <c r="C62" s="260">
        <v>0</v>
      </c>
      <c r="D62" s="261"/>
      <c r="G62" s="227"/>
      <c r="H62" s="262"/>
    </row>
    <row r="63" spans="1:11" x14ac:dyDescent="0.2">
      <c r="A63" s="256"/>
      <c r="B63" s="215"/>
      <c r="D63" s="262"/>
      <c r="E63" s="215" t="s">
        <v>262</v>
      </c>
      <c r="G63" s="263">
        <v>2</v>
      </c>
      <c r="H63" s="262"/>
    </row>
    <row r="64" spans="1:11" x14ac:dyDescent="0.2">
      <c r="A64" s="256" t="s">
        <v>170</v>
      </c>
      <c r="B64" s="215" t="s">
        <v>261</v>
      </c>
      <c r="C64" s="263">
        <v>13</v>
      </c>
      <c r="D64" s="262"/>
      <c r="E64" s="620"/>
      <c r="F64" s="261"/>
      <c r="G64" s="227"/>
      <c r="H64" s="262"/>
    </row>
    <row r="65" spans="1:11" x14ac:dyDescent="0.2">
      <c r="A65" s="256"/>
      <c r="B65" s="257"/>
      <c r="C65" s="267" t="s">
        <v>261</v>
      </c>
      <c r="D65" s="268"/>
      <c r="E65" s="263">
        <v>7</v>
      </c>
      <c r="F65" s="262"/>
      <c r="G65" s="227"/>
      <c r="H65" s="262"/>
    </row>
    <row r="66" spans="1:11" x14ac:dyDescent="0.2">
      <c r="A66" s="256" t="s">
        <v>314</v>
      </c>
      <c r="B66" s="623" t="s">
        <v>171</v>
      </c>
      <c r="C66" s="272">
        <v>2</v>
      </c>
      <c r="E66" s="227"/>
      <c r="F66" s="262"/>
      <c r="G66" s="227"/>
      <c r="H66" s="262"/>
    </row>
    <row r="67" spans="1:11" x14ac:dyDescent="0.2">
      <c r="B67" s="215"/>
      <c r="E67" s="227"/>
      <c r="F67" s="262"/>
      <c r="G67" s="259" t="s">
        <v>187</v>
      </c>
      <c r="H67" s="268"/>
      <c r="I67" s="270">
        <v>13</v>
      </c>
    </row>
    <row r="68" spans="1:11" ht="13.5" thickBot="1" x14ac:dyDescent="0.25">
      <c r="A68" s="255" t="s">
        <v>209</v>
      </c>
      <c r="B68" s="215" t="s">
        <v>191</v>
      </c>
      <c r="C68" s="270">
        <v>13</v>
      </c>
      <c r="E68" s="227"/>
      <c r="F68" s="262"/>
      <c r="J68" s="624" t="s">
        <v>184</v>
      </c>
      <c r="K68" s="269"/>
    </row>
    <row r="69" spans="1:11" x14ac:dyDescent="0.2">
      <c r="A69" s="256"/>
      <c r="B69" s="257"/>
      <c r="C69" s="258" t="s">
        <v>191</v>
      </c>
      <c r="E69" s="263">
        <v>11</v>
      </c>
      <c r="F69" s="262"/>
      <c r="J69" s="265" t="s">
        <v>107</v>
      </c>
      <c r="K69" s="227"/>
    </row>
    <row r="70" spans="1:11" x14ac:dyDescent="0.2">
      <c r="A70" s="256"/>
      <c r="B70" s="621" t="s">
        <v>160</v>
      </c>
      <c r="C70" s="260">
        <v>0</v>
      </c>
      <c r="D70" s="261"/>
      <c r="E70" s="227"/>
      <c r="F70" s="262"/>
    </row>
    <row r="71" spans="1:11" x14ac:dyDescent="0.2">
      <c r="A71" s="256"/>
      <c r="B71" s="215"/>
      <c r="D71" s="262"/>
      <c r="E71" s="259" t="s">
        <v>187</v>
      </c>
      <c r="F71" s="268"/>
      <c r="G71" s="270">
        <v>13</v>
      </c>
    </row>
    <row r="72" spans="1:11" x14ac:dyDescent="0.2">
      <c r="A72" s="256" t="s">
        <v>208</v>
      </c>
      <c r="B72" s="215" t="s">
        <v>187</v>
      </c>
      <c r="C72" s="263">
        <v>13</v>
      </c>
      <c r="D72" s="262"/>
      <c r="E72" s="267"/>
      <c r="F72" s="227"/>
    </row>
    <row r="73" spans="1:11" x14ac:dyDescent="0.2">
      <c r="A73" s="256"/>
      <c r="B73" s="257"/>
      <c r="C73" s="267" t="s">
        <v>187</v>
      </c>
      <c r="D73" s="268"/>
      <c r="E73" s="263">
        <v>13</v>
      </c>
      <c r="G73" s="215" t="s">
        <v>188</v>
      </c>
      <c r="I73" s="263">
        <v>13</v>
      </c>
    </row>
    <row r="74" spans="1:11" ht="13.5" thickBot="1" x14ac:dyDescent="0.25">
      <c r="A74" s="256" t="s">
        <v>266</v>
      </c>
      <c r="B74" s="621" t="s">
        <v>200</v>
      </c>
      <c r="C74" s="272">
        <v>9</v>
      </c>
      <c r="E74" s="227"/>
      <c r="F74" s="227"/>
      <c r="G74" s="257"/>
      <c r="H74" s="261"/>
      <c r="I74" s="269"/>
      <c r="J74" s="526" t="s">
        <v>188</v>
      </c>
      <c r="K74" s="269"/>
    </row>
    <row r="75" spans="1:11" x14ac:dyDescent="0.2">
      <c r="B75" s="215"/>
      <c r="F75" s="227"/>
      <c r="G75" s="259" t="s">
        <v>262</v>
      </c>
      <c r="H75" s="268"/>
      <c r="I75" s="270">
        <v>4</v>
      </c>
      <c r="J75" s="271" t="s">
        <v>108</v>
      </c>
      <c r="K75" s="227"/>
    </row>
    <row r="76" spans="1:11" x14ac:dyDescent="0.2">
      <c r="B76" s="215"/>
      <c r="F76" s="227"/>
      <c r="J76" s="227"/>
      <c r="K76" s="227"/>
    </row>
    <row r="77" spans="1:11" ht="13.5" thickBot="1" x14ac:dyDescent="0.25">
      <c r="B77" s="215"/>
      <c r="F77" s="227"/>
      <c r="G77" s="227"/>
      <c r="H77" s="227"/>
      <c r="J77" s="269" t="s">
        <v>262</v>
      </c>
      <c r="K77" s="269"/>
    </row>
    <row r="78" spans="1:11" x14ac:dyDescent="0.2">
      <c r="B78" s="215"/>
      <c r="G78" s="227"/>
      <c r="H78" s="227"/>
      <c r="J78" s="214" t="s">
        <v>109</v>
      </c>
    </row>
    <row r="79" spans="1:11" x14ac:dyDescent="0.2">
      <c r="B79" s="215"/>
      <c r="H79" s="227"/>
      <c r="I79" s="227"/>
      <c r="K79" s="214"/>
    </row>
    <row r="80" spans="1:11" x14ac:dyDescent="0.2">
      <c r="A80" s="625" t="s">
        <v>123</v>
      </c>
      <c r="B80" s="215"/>
      <c r="H80" s="227"/>
      <c r="I80" s="227"/>
      <c r="K80" s="214"/>
    </row>
    <row r="81" spans="1:11" x14ac:dyDescent="0.2">
      <c r="A81" s="625"/>
      <c r="B81" s="215"/>
      <c r="G81" s="227"/>
      <c r="H81" s="227"/>
      <c r="J81" s="214"/>
    </row>
    <row r="82" spans="1:11" x14ac:dyDescent="0.2">
      <c r="B82" s="215"/>
      <c r="D82" s="626" t="s">
        <v>192</v>
      </c>
      <c r="E82" s="270"/>
      <c r="F82" s="270"/>
      <c r="G82" s="634">
        <v>8</v>
      </c>
      <c r="H82" s="270"/>
      <c r="I82" s="270"/>
    </row>
    <row r="83" spans="1:11" x14ac:dyDescent="0.2">
      <c r="B83" s="215"/>
      <c r="D83" s="627"/>
      <c r="E83" s="627"/>
      <c r="F83" s="628"/>
      <c r="G83" s="263" t="s">
        <v>190</v>
      </c>
      <c r="H83" s="270"/>
      <c r="I83" s="634" t="s">
        <v>160</v>
      </c>
    </row>
    <row r="84" spans="1:11" x14ac:dyDescent="0.2">
      <c r="B84" s="215"/>
      <c r="D84" s="629" t="s">
        <v>190</v>
      </c>
      <c r="E84" s="629"/>
      <c r="F84" s="630"/>
      <c r="G84" s="627">
        <v>13</v>
      </c>
      <c r="H84" s="628"/>
      <c r="I84" s="270"/>
    </row>
    <row r="85" spans="1:11" ht="13.5" thickBot="1" x14ac:dyDescent="0.25">
      <c r="B85" s="215"/>
      <c r="D85" s="270"/>
      <c r="E85" s="270"/>
      <c r="F85" s="270"/>
      <c r="G85" s="263"/>
      <c r="H85" s="631"/>
      <c r="I85" s="270"/>
      <c r="J85" s="215" t="s">
        <v>191</v>
      </c>
    </row>
    <row r="86" spans="1:11" x14ac:dyDescent="0.2">
      <c r="B86" s="215"/>
      <c r="D86" s="270" t="s">
        <v>261</v>
      </c>
      <c r="E86" s="270"/>
      <c r="F86" s="270"/>
      <c r="G86" s="263">
        <v>10</v>
      </c>
      <c r="H86" s="631"/>
      <c r="I86" s="632"/>
      <c r="J86" s="265" t="s">
        <v>364</v>
      </c>
      <c r="K86" s="266"/>
    </row>
    <row r="87" spans="1:11" x14ac:dyDescent="0.2">
      <c r="B87" s="215"/>
      <c r="D87" s="627"/>
      <c r="E87" s="627"/>
      <c r="F87" s="628"/>
      <c r="G87" s="629" t="s">
        <v>191</v>
      </c>
      <c r="H87" s="630"/>
      <c r="I87" s="640" t="s">
        <v>160</v>
      </c>
    </row>
    <row r="88" spans="1:11" ht="13.5" thickBot="1" x14ac:dyDescent="0.25">
      <c r="B88" s="215"/>
      <c r="D88" s="629" t="s">
        <v>191</v>
      </c>
      <c r="E88" s="629"/>
      <c r="F88" s="630"/>
      <c r="G88" s="263">
        <v>13</v>
      </c>
      <c r="H88" s="270"/>
      <c r="I88" s="263"/>
      <c r="J88" s="227" t="s">
        <v>190</v>
      </c>
      <c r="K88" s="269"/>
    </row>
    <row r="89" spans="1:11" x14ac:dyDescent="0.2">
      <c r="B89" s="215"/>
      <c r="D89" s="270"/>
      <c r="E89" s="270"/>
      <c r="F89" s="270"/>
      <c r="G89" s="270"/>
      <c r="H89" s="270"/>
      <c r="I89" s="263"/>
      <c r="J89" s="265" t="s">
        <v>364</v>
      </c>
      <c r="K89" s="227"/>
    </row>
    <row r="90" spans="1:11" x14ac:dyDescent="0.2">
      <c r="B90" s="215"/>
      <c r="D90" s="270"/>
      <c r="E90" s="270"/>
      <c r="F90" s="263"/>
      <c r="G90" s="270" t="s">
        <v>192</v>
      </c>
      <c r="H90" s="270"/>
      <c r="I90" s="640">
        <v>0</v>
      </c>
      <c r="J90" s="227"/>
      <c r="K90" s="227"/>
    </row>
    <row r="91" spans="1:11" ht="13.5" thickBot="1" x14ac:dyDescent="0.25">
      <c r="B91" s="215"/>
      <c r="D91" s="270"/>
      <c r="E91" s="270"/>
      <c r="F91" s="263"/>
      <c r="G91" s="627"/>
      <c r="H91" s="628"/>
      <c r="I91" s="633"/>
      <c r="J91" s="269" t="s">
        <v>261</v>
      </c>
      <c r="K91" s="269"/>
    </row>
    <row r="92" spans="1:11" x14ac:dyDescent="0.2">
      <c r="B92" s="215"/>
      <c r="D92" s="270"/>
      <c r="E92" s="270"/>
      <c r="F92" s="263"/>
      <c r="G92" s="629" t="s">
        <v>261</v>
      </c>
      <c r="H92" s="630"/>
      <c r="I92" s="270">
        <v>13</v>
      </c>
      <c r="J92" s="271" t="s">
        <v>112</v>
      </c>
      <c r="K92" s="227"/>
    </row>
    <row r="93" spans="1:11" x14ac:dyDescent="0.2">
      <c r="B93" s="215"/>
      <c r="F93" s="227"/>
      <c r="J93" s="227"/>
      <c r="K93" s="227"/>
    </row>
    <row r="94" spans="1:11" ht="13.5" thickBot="1" x14ac:dyDescent="0.25">
      <c r="B94" s="215"/>
      <c r="D94" s="214"/>
      <c r="G94" s="227"/>
      <c r="H94" s="227"/>
      <c r="J94" s="269" t="s">
        <v>192</v>
      </c>
      <c r="K94" s="269"/>
    </row>
    <row r="95" spans="1:11" x14ac:dyDescent="0.2">
      <c r="B95" s="215"/>
      <c r="D95" s="214"/>
      <c r="G95" s="227"/>
      <c r="H95" s="227"/>
      <c r="J95" s="271" t="s">
        <v>113</v>
      </c>
    </row>
    <row r="96" spans="1:11" s="229" customFormat="1" x14ac:dyDescent="0.2">
      <c r="F96" s="219"/>
      <c r="G96" s="219"/>
      <c r="H96" s="219"/>
      <c r="I96" s="219"/>
      <c r="J96" s="219"/>
      <c r="K96" s="219"/>
    </row>
    <row r="97" spans="1:2" s="219" customFormat="1" x14ac:dyDescent="0.2">
      <c r="A97" s="217">
        <v>1</v>
      </c>
      <c r="B97" s="217" t="s">
        <v>187</v>
      </c>
    </row>
    <row r="98" spans="1:2" s="219" customFormat="1" x14ac:dyDescent="0.2">
      <c r="A98" s="217">
        <v>2</v>
      </c>
      <c r="B98" s="253" t="s">
        <v>184</v>
      </c>
    </row>
    <row r="99" spans="1:2" s="219" customFormat="1" x14ac:dyDescent="0.2">
      <c r="A99" s="217">
        <v>3</v>
      </c>
      <c r="B99" s="253" t="s">
        <v>188</v>
      </c>
    </row>
    <row r="100" spans="1:2" s="219" customFormat="1" x14ac:dyDescent="0.2">
      <c r="A100" s="217">
        <v>4</v>
      </c>
      <c r="B100" s="253" t="s">
        <v>262</v>
      </c>
    </row>
    <row r="101" spans="1:2" s="219" customFormat="1" x14ac:dyDescent="0.2">
      <c r="A101" s="840" t="s">
        <v>365</v>
      </c>
      <c r="B101" s="253" t="s">
        <v>191</v>
      </c>
    </row>
    <row r="102" spans="1:2" s="219" customFormat="1" x14ac:dyDescent="0.2">
      <c r="A102" s="840" t="s">
        <v>365</v>
      </c>
      <c r="B102" s="253" t="s">
        <v>190</v>
      </c>
    </row>
    <row r="103" spans="1:2" s="219" customFormat="1" x14ac:dyDescent="0.2">
      <c r="A103" s="217">
        <v>7</v>
      </c>
      <c r="B103" s="253" t="s">
        <v>261</v>
      </c>
    </row>
    <row r="104" spans="1:2" s="219" customFormat="1" x14ac:dyDescent="0.2">
      <c r="A104" s="217">
        <v>8</v>
      </c>
      <c r="B104" s="253" t="s">
        <v>192</v>
      </c>
    </row>
    <row r="105" spans="1:2" s="219" customFormat="1" x14ac:dyDescent="0.2">
      <c r="A105" s="840" t="s">
        <v>404</v>
      </c>
      <c r="B105" s="253" t="s">
        <v>203</v>
      </c>
    </row>
    <row r="106" spans="1:2" s="219" customFormat="1" x14ac:dyDescent="0.2">
      <c r="A106" s="840" t="s">
        <v>404</v>
      </c>
      <c r="B106" s="253" t="s">
        <v>311</v>
      </c>
    </row>
    <row r="107" spans="1:2" s="219" customFormat="1" x14ac:dyDescent="0.2">
      <c r="A107" s="840" t="s">
        <v>404</v>
      </c>
      <c r="B107" s="253" t="s">
        <v>171</v>
      </c>
    </row>
    <row r="108" spans="1:2" x14ac:dyDescent="0.2">
      <c r="A108" s="840" t="s">
        <v>404</v>
      </c>
      <c r="B108" s="254" t="s">
        <v>200</v>
      </c>
    </row>
    <row r="109" spans="1:2" x14ac:dyDescent="0.2">
      <c r="A109" s="839" t="s">
        <v>405</v>
      </c>
      <c r="B109" s="254" t="s">
        <v>183</v>
      </c>
    </row>
    <row r="110" spans="1:2" x14ac:dyDescent="0.2">
      <c r="A110" s="839" t="s">
        <v>405</v>
      </c>
      <c r="B110" s="254" t="s">
        <v>189</v>
      </c>
    </row>
    <row r="111" spans="1:2" x14ac:dyDescent="0.2">
      <c r="A111" s="839" t="s">
        <v>405</v>
      </c>
      <c r="B111" s="254" t="s">
        <v>186</v>
      </c>
    </row>
    <row r="112" spans="1:2" x14ac:dyDescent="0.2">
      <c r="A112" s="839" t="s">
        <v>405</v>
      </c>
      <c r="B112" s="254" t="s">
        <v>199</v>
      </c>
    </row>
    <row r="113" spans="1:2" x14ac:dyDescent="0.2">
      <c r="A113" s="839" t="s">
        <v>405</v>
      </c>
      <c r="B113" s="254" t="s">
        <v>202</v>
      </c>
    </row>
    <row r="114" spans="1:2" x14ac:dyDescent="0.2">
      <c r="A114" s="839" t="s">
        <v>405</v>
      </c>
      <c r="B114" s="254" t="s">
        <v>197</v>
      </c>
    </row>
    <row r="115" spans="1:2" x14ac:dyDescent="0.2">
      <c r="A115" s="839" t="s">
        <v>406</v>
      </c>
      <c r="B115" s="254" t="s">
        <v>162</v>
      </c>
    </row>
    <row r="116" spans="1:2" x14ac:dyDescent="0.2">
      <c r="A116" s="839" t="s">
        <v>406</v>
      </c>
      <c r="B116" s="254" t="s">
        <v>368</v>
      </c>
    </row>
    <row r="117" spans="1:2" x14ac:dyDescent="0.2">
      <c r="A117" s="839" t="s">
        <v>406</v>
      </c>
      <c r="B117" s="254" t="s">
        <v>257</v>
      </c>
    </row>
    <row r="118" spans="1:2" x14ac:dyDescent="0.2">
      <c r="A118" s="839" t="s">
        <v>406</v>
      </c>
      <c r="B118" s="254" t="s">
        <v>407</v>
      </c>
    </row>
    <row r="119" spans="1:2" x14ac:dyDescent="0.2">
      <c r="A119" s="839" t="s">
        <v>406</v>
      </c>
      <c r="B119" s="254" t="s">
        <v>315</v>
      </c>
    </row>
  </sheetData>
  <conditionalFormatting sqref="C7:I41">
    <cfRule type="cellIs" dxfId="42" priority="3" stopIfTrue="1" operator="equal">
      <formula>13</formula>
    </cfRule>
  </conditionalFormatting>
  <conditionalFormatting sqref="C42:M44 C45:L45 C79:L80 C46:K78 C81:K92">
    <cfRule type="cellIs" dxfId="41" priority="1" operator="equal">
      <formula>13</formula>
    </cfRule>
  </conditionalFormatting>
  <pageMargins left="0.78740157480314965" right="0.39370078740157483" top="0.78740157480314965" bottom="0.39370078740157483" header="0.59055118110236227" footer="0"/>
  <pageSetup paperSize="9" scale="99" fitToHeight="0" orientation="portrait" verticalDpi="1200" r:id="rId1"/>
  <headerFooter alignWithMargins="0">
    <oddHeader>&amp;R&amp;"Arial,Regular"&amp;9Page &amp;P of &amp;N</oddHeader>
  </headerFooter>
  <rowBreaks count="2" manualBreakCount="2">
    <brk id="40" max="16383" man="1"/>
    <brk id="7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K66"/>
  <sheetViews>
    <sheetView showGridLines="0" showRowColHeaders="0" zoomScaleNormal="100" workbookViewId="0">
      <pane ySplit="2" topLeftCell="A3" activePane="bottomLeft" state="frozen"/>
      <selection activeCell="J1" sqref="J1"/>
      <selection pane="bottomLeft" activeCell="M1" sqref="M1"/>
    </sheetView>
  </sheetViews>
  <sheetFormatPr defaultRowHeight="12.75" x14ac:dyDescent="0.2"/>
  <cols>
    <col min="1" max="1" width="3.28515625" style="215" customWidth="1"/>
    <col min="2" max="2" width="52.85546875" style="214" customWidth="1"/>
    <col min="3" max="7" width="4.7109375" style="215" customWidth="1"/>
    <col min="8" max="9" width="5.140625" style="215" customWidth="1"/>
    <col min="10" max="10" width="9.140625" style="215"/>
    <col min="11" max="11" width="9.140625" style="215" customWidth="1"/>
    <col min="12" max="14" width="9.140625" style="215"/>
    <col min="15" max="18" width="1.7109375" style="215" customWidth="1"/>
    <col min="19" max="16384" width="9.140625" style="215"/>
  </cols>
  <sheetData>
    <row r="1" spans="1:11" x14ac:dyDescent="0.2">
      <c r="A1" s="213" t="str">
        <f>UPPER((Kalend!D7)&amp;" - "&amp;(Kalend!C7)&amp;" - "&amp;(Kalend!E7))</f>
        <v>REG-1 - REGIOONIDE KARIKA 1. ETAPP - TRIO</v>
      </c>
      <c r="C1" s="488" t="s">
        <v>212</v>
      </c>
      <c r="G1" s="133" t="str">
        <f>HYPERLINK("#'Kalend'!I1","Kalender")</f>
        <v>Kalender</v>
      </c>
      <c r="K1" s="133" t="str">
        <f>HYPERLINK("https://www.petanque.ee/juhendid/regioonide-karikas-2016-2017/","Juhend")</f>
        <v>Juhend</v>
      </c>
    </row>
    <row r="2" spans="1:11" s="216" customFormat="1" x14ac:dyDescent="0.2">
      <c r="A2" s="216" t="str">
        <f>"Toimumisaeg: "&amp;(Kalend!A7)&amp;" kell "&amp;(Kalend!B7)</f>
        <v>Toimumisaeg: P, 27.11.2016 kell 11:00</v>
      </c>
      <c r="F2" s="215"/>
      <c r="G2" s="215"/>
      <c r="H2" s="215"/>
    </row>
    <row r="3" spans="1:11" s="216" customFormat="1" x14ac:dyDescent="0.2">
      <c r="A3" s="216" t="str">
        <f>"Toimumiskoht: "&amp;(Kalend!F7)</f>
        <v>Toimumiskoht: K-Järve petangihall</v>
      </c>
    </row>
    <row r="4" spans="1:11" s="216" customFormat="1" x14ac:dyDescent="0.2">
      <c r="A4" s="216" t="str">
        <f>"Korraldaja: "&amp;(Kalend!G7)</f>
        <v>Korraldaja: K-Järve SHK, Ivar Viljaste</v>
      </c>
    </row>
    <row r="6" spans="1:11" x14ac:dyDescent="0.2">
      <c r="A6" s="382" t="s">
        <v>156</v>
      </c>
      <c r="B6" s="382"/>
      <c r="C6" s="218">
        <v>1</v>
      </c>
      <c r="D6" s="218">
        <v>2</v>
      </c>
      <c r="E6" s="218">
        <v>3</v>
      </c>
      <c r="F6" s="218">
        <v>4</v>
      </c>
      <c r="G6" s="537" t="s">
        <v>164</v>
      </c>
      <c r="H6" s="537" t="s">
        <v>101</v>
      </c>
    </row>
    <row r="7" spans="1:11" x14ac:dyDescent="0.2">
      <c r="A7" s="382">
        <v>1</v>
      </c>
      <c r="B7" s="254" t="s">
        <v>179</v>
      </c>
      <c r="C7" s="383"/>
      <c r="D7" s="384">
        <v>4</v>
      </c>
      <c r="E7" s="384">
        <v>1</v>
      </c>
      <c r="F7" s="384">
        <v>13</v>
      </c>
      <c r="G7" s="428" t="s">
        <v>219</v>
      </c>
      <c r="H7" s="427" t="s">
        <v>182</v>
      </c>
    </row>
    <row r="8" spans="1:11" x14ac:dyDescent="0.2">
      <c r="A8" s="382">
        <v>2</v>
      </c>
      <c r="B8" s="254" t="s">
        <v>244</v>
      </c>
      <c r="C8" s="384">
        <v>13</v>
      </c>
      <c r="D8" s="383"/>
      <c r="E8" s="384">
        <v>10</v>
      </c>
      <c r="F8" s="384">
        <v>13</v>
      </c>
      <c r="G8" s="428" t="s">
        <v>218</v>
      </c>
      <c r="H8" s="427" t="s">
        <v>181</v>
      </c>
    </row>
    <row r="9" spans="1:11" x14ac:dyDescent="0.2">
      <c r="A9" s="382">
        <v>3</v>
      </c>
      <c r="B9" s="254" t="s">
        <v>242</v>
      </c>
      <c r="C9" s="384">
        <v>13</v>
      </c>
      <c r="D9" s="384">
        <v>13</v>
      </c>
      <c r="E9" s="383"/>
      <c r="F9" s="384">
        <v>8</v>
      </c>
      <c r="G9" s="428" t="s">
        <v>218</v>
      </c>
      <c r="H9" s="427" t="s">
        <v>180</v>
      </c>
    </row>
    <row r="10" spans="1:11" x14ac:dyDescent="0.2">
      <c r="A10" s="382">
        <v>4</v>
      </c>
      <c r="B10" s="483" t="s">
        <v>371</v>
      </c>
      <c r="C10" s="384">
        <v>0</v>
      </c>
      <c r="D10" s="384">
        <v>9</v>
      </c>
      <c r="E10" s="384">
        <v>13</v>
      </c>
      <c r="F10" s="383"/>
      <c r="G10" s="428" t="s">
        <v>219</v>
      </c>
      <c r="H10" s="427" t="s">
        <v>245</v>
      </c>
    </row>
    <row r="12" spans="1:11" x14ac:dyDescent="0.2">
      <c r="A12" s="382" t="s">
        <v>217</v>
      </c>
      <c r="B12" s="382"/>
      <c r="C12" s="218">
        <v>1</v>
      </c>
      <c r="D12" s="218">
        <v>2</v>
      </c>
      <c r="E12" s="218">
        <v>3</v>
      </c>
      <c r="F12" s="218">
        <v>4</v>
      </c>
      <c r="G12" s="537" t="s">
        <v>164</v>
      </c>
      <c r="H12" s="537" t="s">
        <v>101</v>
      </c>
    </row>
    <row r="13" spans="1:11" x14ac:dyDescent="0.2">
      <c r="A13" s="382">
        <v>1</v>
      </c>
      <c r="B13" s="254" t="s">
        <v>178</v>
      </c>
      <c r="C13" s="383"/>
      <c r="D13" s="384">
        <v>8</v>
      </c>
      <c r="E13" s="384">
        <v>13</v>
      </c>
      <c r="F13" s="384">
        <v>13</v>
      </c>
      <c r="G13" s="428" t="s">
        <v>218</v>
      </c>
      <c r="H13" s="427" t="s">
        <v>181</v>
      </c>
    </row>
    <row r="14" spans="1:11" x14ac:dyDescent="0.2">
      <c r="A14" s="382">
        <v>2</v>
      </c>
      <c r="B14" s="254" t="s">
        <v>177</v>
      </c>
      <c r="C14" s="384">
        <v>13</v>
      </c>
      <c r="D14" s="383"/>
      <c r="E14" s="384">
        <v>6</v>
      </c>
      <c r="F14" s="384">
        <v>13</v>
      </c>
      <c r="G14" s="428" t="s">
        <v>218</v>
      </c>
      <c r="H14" s="427" t="s">
        <v>180</v>
      </c>
    </row>
    <row r="15" spans="1:11" x14ac:dyDescent="0.2">
      <c r="A15" s="382">
        <v>3</v>
      </c>
      <c r="B15" s="254" t="s">
        <v>243</v>
      </c>
      <c r="C15" s="384">
        <v>9</v>
      </c>
      <c r="D15" s="384">
        <v>13</v>
      </c>
      <c r="E15" s="383"/>
      <c r="F15" s="384">
        <v>10</v>
      </c>
      <c r="G15" s="428" t="s">
        <v>219</v>
      </c>
      <c r="H15" s="427" t="s">
        <v>245</v>
      </c>
    </row>
    <row r="16" spans="1:11" x14ac:dyDescent="0.2">
      <c r="A16" s="382">
        <v>4</v>
      </c>
      <c r="B16" s="254" t="s">
        <v>169</v>
      </c>
      <c r="C16" s="384">
        <v>11</v>
      </c>
      <c r="D16" s="384">
        <v>3</v>
      </c>
      <c r="E16" s="384">
        <v>13</v>
      </c>
      <c r="F16" s="383"/>
      <c r="G16" s="428" t="s">
        <v>219</v>
      </c>
      <c r="H16" s="427" t="s">
        <v>182</v>
      </c>
    </row>
    <row r="17" spans="1:11" x14ac:dyDescent="0.2">
      <c r="A17" s="271"/>
      <c r="B17" s="227"/>
      <c r="C17" s="224"/>
      <c r="D17" s="224"/>
      <c r="E17" s="224"/>
      <c r="F17" s="452"/>
      <c r="G17" s="452"/>
      <c r="H17" s="451"/>
    </row>
    <row r="18" spans="1:11" x14ac:dyDescent="0.2">
      <c r="A18" s="429"/>
      <c r="B18" s="487" t="s">
        <v>226</v>
      </c>
      <c r="C18" s="452" t="s">
        <v>227</v>
      </c>
      <c r="D18" s="452" t="s">
        <v>228</v>
      </c>
      <c r="E18" s="224"/>
      <c r="F18" s="452"/>
      <c r="G18" s="452"/>
      <c r="H18" s="451"/>
    </row>
    <row r="19" spans="1:11" x14ac:dyDescent="0.2">
      <c r="A19" s="429"/>
      <c r="B19" s="487" t="s">
        <v>229</v>
      </c>
      <c r="C19" s="452" t="s">
        <v>230</v>
      </c>
      <c r="D19" s="452" t="s">
        <v>231</v>
      </c>
      <c r="E19" s="224"/>
      <c r="F19" s="452"/>
      <c r="G19" s="452"/>
      <c r="H19" s="451"/>
    </row>
    <row r="20" spans="1:11" x14ac:dyDescent="0.2">
      <c r="A20" s="429"/>
      <c r="B20" s="487" t="s">
        <v>232</v>
      </c>
      <c r="C20" s="452" t="s">
        <v>219</v>
      </c>
      <c r="D20" s="452" t="s">
        <v>233</v>
      </c>
      <c r="E20" s="224"/>
      <c r="F20" s="452"/>
      <c r="G20" s="452"/>
      <c r="H20" s="451"/>
    </row>
    <row r="22" spans="1:11" x14ac:dyDescent="0.2">
      <c r="A22" s="459" t="s">
        <v>105</v>
      </c>
      <c r="B22" s="460"/>
      <c r="C22" s="460"/>
      <c r="D22" s="460"/>
      <c r="E22" s="460"/>
      <c r="F22" s="460"/>
      <c r="G22" s="460"/>
      <c r="H22" s="460"/>
      <c r="I22" s="460"/>
      <c r="J22" s="460"/>
      <c r="K22" s="460"/>
    </row>
    <row r="23" spans="1:11" x14ac:dyDescent="0.2">
      <c r="A23" s="459"/>
      <c r="B23" s="460"/>
      <c r="C23" s="460"/>
      <c r="D23" s="460"/>
      <c r="E23" s="460"/>
      <c r="F23" s="460"/>
      <c r="G23" s="460"/>
      <c r="H23" s="460"/>
      <c r="I23" s="460"/>
      <c r="J23" s="460"/>
      <c r="K23" s="460"/>
    </row>
    <row r="24" spans="1:11" x14ac:dyDescent="0.2">
      <c r="A24" s="485" t="s">
        <v>207</v>
      </c>
      <c r="B24" s="460" t="s">
        <v>242</v>
      </c>
      <c r="C24" s="462">
        <v>13</v>
      </c>
      <c r="D24" s="460"/>
      <c r="E24" s="460"/>
      <c r="F24" s="460"/>
      <c r="G24" s="460"/>
      <c r="H24" s="460"/>
      <c r="I24" s="460"/>
      <c r="J24" s="460"/>
      <c r="K24" s="460"/>
    </row>
    <row r="25" spans="1:11" x14ac:dyDescent="0.2">
      <c r="A25" s="486"/>
      <c r="B25" s="463"/>
      <c r="C25" s="464" t="s">
        <v>242</v>
      </c>
      <c r="D25" s="465"/>
      <c r="E25" s="460"/>
      <c r="F25" s="466">
        <v>13</v>
      </c>
      <c r="G25" s="460"/>
      <c r="H25" s="460"/>
      <c r="I25" s="460"/>
      <c r="J25" s="460"/>
      <c r="K25" s="460"/>
    </row>
    <row r="26" spans="1:11" x14ac:dyDescent="0.2">
      <c r="A26" s="485"/>
      <c r="B26" s="235" t="s">
        <v>160</v>
      </c>
      <c r="C26" s="467">
        <v>0</v>
      </c>
      <c r="D26" s="460"/>
      <c r="E26" s="468"/>
      <c r="F26" s="460"/>
      <c r="G26" s="460"/>
      <c r="H26" s="460"/>
      <c r="I26" s="460"/>
      <c r="J26" s="460"/>
      <c r="K26" s="460"/>
    </row>
    <row r="27" spans="1:11" x14ac:dyDescent="0.2">
      <c r="A27" s="486"/>
      <c r="B27" s="460"/>
      <c r="C27" s="460"/>
      <c r="D27" s="469"/>
      <c r="E27" s="470"/>
      <c r="F27" s="460" t="s">
        <v>242</v>
      </c>
      <c r="G27" s="460"/>
      <c r="H27" s="460"/>
      <c r="I27" s="462">
        <v>13</v>
      </c>
      <c r="J27" s="460"/>
      <c r="K27" s="460"/>
    </row>
    <row r="28" spans="1:11" x14ac:dyDescent="0.2">
      <c r="A28" s="485" t="s">
        <v>170</v>
      </c>
      <c r="B28" s="241" t="s">
        <v>244</v>
      </c>
      <c r="C28" s="471">
        <v>12</v>
      </c>
      <c r="D28" s="460"/>
      <c r="E28" s="470"/>
      <c r="F28" s="463"/>
      <c r="G28" s="463"/>
      <c r="H28" s="468"/>
      <c r="I28" s="460"/>
      <c r="J28" s="460"/>
      <c r="K28" s="460"/>
    </row>
    <row r="29" spans="1:11" x14ac:dyDescent="0.2">
      <c r="A29" s="486"/>
      <c r="B29" s="463"/>
      <c r="C29" s="472" t="s">
        <v>169</v>
      </c>
      <c r="D29" s="460"/>
      <c r="E29" s="473"/>
      <c r="F29" s="471">
        <v>3</v>
      </c>
      <c r="G29" s="469"/>
      <c r="H29" s="470"/>
      <c r="I29" s="460"/>
      <c r="J29" s="460"/>
      <c r="K29" s="460"/>
    </row>
    <row r="30" spans="1:11" x14ac:dyDescent="0.2">
      <c r="A30" s="485" t="s">
        <v>222</v>
      </c>
      <c r="B30" s="235" t="s">
        <v>169</v>
      </c>
      <c r="C30" s="474">
        <v>13</v>
      </c>
      <c r="D30" s="463"/>
      <c r="E30" s="460"/>
      <c r="F30" s="469"/>
      <c r="G30" s="469"/>
      <c r="H30" s="470"/>
      <c r="I30" s="460"/>
      <c r="J30" s="460"/>
      <c r="K30" s="460"/>
    </row>
    <row r="31" spans="1:11" ht="13.5" thickBot="1" x14ac:dyDescent="0.25">
      <c r="A31" s="486"/>
      <c r="B31" s="460"/>
      <c r="C31" s="460"/>
      <c r="D31" s="460"/>
      <c r="E31" s="460"/>
      <c r="F31" s="469"/>
      <c r="G31" s="469"/>
      <c r="H31" s="470"/>
      <c r="I31" s="460"/>
      <c r="J31" s="460" t="s">
        <v>242</v>
      </c>
      <c r="K31" s="460"/>
    </row>
    <row r="32" spans="1:11" x14ac:dyDescent="0.2">
      <c r="A32" s="485" t="s">
        <v>220</v>
      </c>
      <c r="B32" s="460" t="s">
        <v>179</v>
      </c>
      <c r="C32" s="462">
        <v>6</v>
      </c>
      <c r="D32" s="460"/>
      <c r="E32" s="460"/>
      <c r="F32" s="469"/>
      <c r="G32" s="469"/>
      <c r="H32" s="470"/>
      <c r="I32" s="475"/>
      <c r="J32" s="476" t="s">
        <v>106</v>
      </c>
      <c r="K32" s="477"/>
    </row>
    <row r="33" spans="1:11" x14ac:dyDescent="0.2">
      <c r="A33" s="486"/>
      <c r="B33" s="463"/>
      <c r="C33" s="464" t="s">
        <v>178</v>
      </c>
      <c r="D33" s="465"/>
      <c r="E33" s="460"/>
      <c r="F33" s="471">
        <v>2</v>
      </c>
      <c r="G33" s="469"/>
      <c r="H33" s="470"/>
      <c r="I33" s="460"/>
      <c r="J33" s="460"/>
      <c r="K33" s="460"/>
    </row>
    <row r="34" spans="1:11" ht="13.5" thickBot="1" x14ac:dyDescent="0.25">
      <c r="A34" s="485" t="s">
        <v>161</v>
      </c>
      <c r="B34" s="465" t="s">
        <v>178</v>
      </c>
      <c r="C34" s="478">
        <v>13</v>
      </c>
      <c r="D34" s="460"/>
      <c r="E34" s="468"/>
      <c r="F34" s="469"/>
      <c r="G34" s="469"/>
      <c r="H34" s="470"/>
      <c r="I34" s="460"/>
      <c r="J34" s="479" t="s">
        <v>177</v>
      </c>
      <c r="K34" s="479"/>
    </row>
    <row r="35" spans="1:11" x14ac:dyDescent="0.2">
      <c r="A35" s="486"/>
      <c r="B35" s="460"/>
      <c r="C35" s="460"/>
      <c r="D35" s="469"/>
      <c r="E35" s="470"/>
      <c r="F35" s="465" t="s">
        <v>177</v>
      </c>
      <c r="G35" s="465"/>
      <c r="H35" s="473"/>
      <c r="I35" s="462">
        <v>6</v>
      </c>
      <c r="J35" s="476" t="s">
        <v>107</v>
      </c>
      <c r="K35" s="460"/>
    </row>
    <row r="36" spans="1:11" x14ac:dyDescent="0.2">
      <c r="A36" s="485"/>
      <c r="B36" s="460" t="s">
        <v>160</v>
      </c>
      <c r="C36" s="480">
        <v>0</v>
      </c>
      <c r="D36" s="460"/>
      <c r="E36" s="470"/>
      <c r="F36" s="460"/>
      <c r="G36" s="460"/>
      <c r="H36" s="460"/>
      <c r="I36" s="460"/>
      <c r="J36" s="460"/>
      <c r="K36" s="460"/>
    </row>
    <row r="37" spans="1:11" x14ac:dyDescent="0.2">
      <c r="A37" s="486"/>
      <c r="B37" s="463"/>
      <c r="C37" s="472" t="s">
        <v>177</v>
      </c>
      <c r="D37" s="460"/>
      <c r="E37" s="473"/>
      <c r="F37" s="466">
        <v>13</v>
      </c>
      <c r="G37" s="460"/>
      <c r="H37" s="460"/>
      <c r="I37" s="460"/>
      <c r="J37" s="460"/>
      <c r="K37" s="460"/>
    </row>
    <row r="38" spans="1:11" x14ac:dyDescent="0.2">
      <c r="A38" s="485" t="s">
        <v>209</v>
      </c>
      <c r="B38" s="465" t="s">
        <v>177</v>
      </c>
      <c r="C38" s="481">
        <v>13</v>
      </c>
      <c r="D38" s="463"/>
      <c r="E38" s="460"/>
      <c r="F38" s="460"/>
      <c r="G38" s="460"/>
      <c r="H38" s="460"/>
      <c r="I38" s="460"/>
      <c r="J38" s="460"/>
      <c r="K38" s="460"/>
    </row>
    <row r="39" spans="1:11" x14ac:dyDescent="0.2">
      <c r="A39" s="460"/>
      <c r="B39" s="460"/>
      <c r="C39" s="460"/>
      <c r="D39" s="460"/>
      <c r="E39" s="460"/>
      <c r="F39" s="460" t="s">
        <v>169</v>
      </c>
      <c r="G39" s="460"/>
      <c r="H39" s="460"/>
      <c r="I39" s="471">
        <v>10</v>
      </c>
      <c r="J39" s="469"/>
      <c r="K39" s="469"/>
    </row>
    <row r="40" spans="1:11" ht="13.5" thickBot="1" x14ac:dyDescent="0.25">
      <c r="A40" s="460"/>
      <c r="B40" s="460"/>
      <c r="C40" s="460"/>
      <c r="D40" s="460"/>
      <c r="E40" s="460"/>
      <c r="F40" s="463"/>
      <c r="G40" s="463"/>
      <c r="H40" s="468"/>
      <c r="I40" s="479"/>
      <c r="J40" s="479" t="s">
        <v>178</v>
      </c>
      <c r="K40" s="479"/>
    </row>
    <row r="41" spans="1:11" x14ac:dyDescent="0.2">
      <c r="A41" s="460"/>
      <c r="B41" s="460"/>
      <c r="C41" s="460"/>
      <c r="D41" s="460"/>
      <c r="E41" s="460"/>
      <c r="F41" s="465" t="s">
        <v>178</v>
      </c>
      <c r="G41" s="465"/>
      <c r="H41" s="473"/>
      <c r="I41" s="466">
        <v>13</v>
      </c>
      <c r="J41" s="482" t="s">
        <v>108</v>
      </c>
      <c r="K41" s="469"/>
    </row>
    <row r="42" spans="1:11" x14ac:dyDescent="0.2">
      <c r="A42" s="460"/>
      <c r="B42" s="460"/>
      <c r="C42" s="460"/>
      <c r="D42" s="460"/>
      <c r="E42" s="460"/>
      <c r="F42" s="460"/>
      <c r="G42" s="460"/>
      <c r="H42" s="460"/>
      <c r="I42" s="460"/>
      <c r="J42" s="469"/>
      <c r="K42" s="469"/>
    </row>
    <row r="43" spans="1:11" ht="13.5" thickBot="1" x14ac:dyDescent="0.25">
      <c r="A43" s="460"/>
      <c r="B43" s="460"/>
      <c r="C43" s="460"/>
      <c r="D43" s="460"/>
      <c r="E43" s="460"/>
      <c r="F43" s="460"/>
      <c r="G43" s="469"/>
      <c r="H43" s="469"/>
      <c r="I43" s="460"/>
      <c r="J43" s="479" t="s">
        <v>169</v>
      </c>
      <c r="K43" s="479"/>
    </row>
    <row r="44" spans="1:11" x14ac:dyDescent="0.2">
      <c r="A44" s="460"/>
      <c r="B44" s="460"/>
      <c r="C44" s="460" t="s">
        <v>160</v>
      </c>
      <c r="D44" s="460"/>
      <c r="E44" s="460"/>
      <c r="F44" s="462">
        <v>0</v>
      </c>
      <c r="G44" s="460"/>
      <c r="H44" s="460"/>
      <c r="I44" s="460"/>
      <c r="J44" s="461" t="s">
        <v>109</v>
      </c>
      <c r="K44" s="460"/>
    </row>
    <row r="45" spans="1:11" x14ac:dyDescent="0.2">
      <c r="A45" s="460"/>
      <c r="B45" s="460"/>
      <c r="C45" s="463"/>
      <c r="D45" s="463"/>
      <c r="E45" s="468"/>
      <c r="F45" s="464" t="s">
        <v>244</v>
      </c>
      <c r="G45" s="465"/>
      <c r="H45" s="465"/>
      <c r="I45" s="462">
        <v>13</v>
      </c>
      <c r="J45" s="460"/>
      <c r="K45" s="460"/>
    </row>
    <row r="46" spans="1:11" x14ac:dyDescent="0.2">
      <c r="A46" s="460"/>
      <c r="B46" s="460"/>
      <c r="C46" s="465" t="s">
        <v>244</v>
      </c>
      <c r="D46" s="465"/>
      <c r="E46" s="473"/>
      <c r="F46" s="478">
        <v>13</v>
      </c>
      <c r="G46" s="460"/>
      <c r="H46" s="470"/>
      <c r="I46" s="460"/>
      <c r="J46" s="460"/>
      <c r="K46" s="460"/>
    </row>
    <row r="47" spans="1:11" ht="13.5" thickBot="1" x14ac:dyDescent="0.25">
      <c r="A47" s="460"/>
      <c r="B47" s="460"/>
      <c r="C47" s="460"/>
      <c r="D47" s="460"/>
      <c r="E47" s="460"/>
      <c r="F47" s="469"/>
      <c r="G47" s="460"/>
      <c r="H47" s="470"/>
      <c r="I47" s="460"/>
      <c r="J47" s="460" t="s">
        <v>244</v>
      </c>
      <c r="K47" s="460"/>
    </row>
    <row r="48" spans="1:11" x14ac:dyDescent="0.2">
      <c r="A48" s="460"/>
      <c r="B48" s="460"/>
      <c r="C48" s="460" t="s">
        <v>179</v>
      </c>
      <c r="D48" s="460"/>
      <c r="E48" s="460"/>
      <c r="F48" s="471">
        <v>13</v>
      </c>
      <c r="G48" s="460"/>
      <c r="H48" s="470"/>
      <c r="I48" s="475"/>
      <c r="J48" s="476" t="s">
        <v>110</v>
      </c>
      <c r="K48" s="477"/>
    </row>
    <row r="49" spans="1:11" x14ac:dyDescent="0.2">
      <c r="A49" s="460"/>
      <c r="B49" s="460"/>
      <c r="C49" s="463"/>
      <c r="D49" s="463"/>
      <c r="E49" s="468"/>
      <c r="F49" s="472" t="s">
        <v>179</v>
      </c>
      <c r="G49" s="460"/>
      <c r="H49" s="473"/>
      <c r="I49" s="480">
        <v>5</v>
      </c>
      <c r="J49" s="460"/>
      <c r="K49" s="460"/>
    </row>
    <row r="50" spans="1:11" ht="13.5" thickBot="1" x14ac:dyDescent="0.25">
      <c r="A50" s="460"/>
      <c r="B50" s="460"/>
      <c r="C50" s="465" t="s">
        <v>160</v>
      </c>
      <c r="D50" s="465"/>
      <c r="E50" s="473"/>
      <c r="F50" s="481">
        <v>0</v>
      </c>
      <c r="G50" s="463"/>
      <c r="H50" s="460"/>
      <c r="I50" s="469"/>
      <c r="J50" s="469" t="s">
        <v>179</v>
      </c>
      <c r="K50" s="479"/>
    </row>
    <row r="51" spans="1:11" x14ac:dyDescent="0.2">
      <c r="A51" s="460"/>
      <c r="B51" s="460"/>
      <c r="C51" s="460"/>
      <c r="D51" s="460"/>
      <c r="E51" s="460"/>
      <c r="F51" s="460"/>
      <c r="G51" s="460"/>
      <c r="H51" s="460"/>
      <c r="I51" s="469"/>
      <c r="J51" s="476" t="s">
        <v>111</v>
      </c>
      <c r="K51" s="469"/>
    </row>
    <row r="52" spans="1:11" x14ac:dyDescent="0.2">
      <c r="A52" s="460"/>
      <c r="B52" s="460"/>
      <c r="C52" s="460"/>
      <c r="D52" s="460"/>
      <c r="E52" s="485" t="s">
        <v>223</v>
      </c>
      <c r="F52" s="460" t="s">
        <v>371</v>
      </c>
      <c r="G52" s="460"/>
      <c r="H52" s="460"/>
      <c r="I52" s="480">
        <v>8</v>
      </c>
      <c r="J52" s="469"/>
      <c r="K52" s="469"/>
    </row>
    <row r="53" spans="1:11" ht="13.5" thickBot="1" x14ac:dyDescent="0.25">
      <c r="A53" s="460"/>
      <c r="B53" s="460"/>
      <c r="C53" s="460"/>
      <c r="D53" s="460"/>
      <c r="E53" s="460"/>
      <c r="F53" s="463"/>
      <c r="G53" s="463"/>
      <c r="H53" s="468"/>
      <c r="I53" s="479"/>
      <c r="J53" s="479" t="s">
        <v>243</v>
      </c>
      <c r="K53" s="479"/>
    </row>
    <row r="54" spans="1:11" x14ac:dyDescent="0.2">
      <c r="A54" s="460"/>
      <c r="B54" s="460"/>
      <c r="C54" s="460"/>
      <c r="D54" s="460"/>
      <c r="E54" s="485" t="s">
        <v>221</v>
      </c>
      <c r="F54" s="465" t="s">
        <v>243</v>
      </c>
      <c r="G54" s="465"/>
      <c r="H54" s="473"/>
      <c r="I54" s="462">
        <v>13</v>
      </c>
      <c r="J54" s="482" t="s">
        <v>112</v>
      </c>
      <c r="K54" s="469"/>
    </row>
    <row r="55" spans="1:11" x14ac:dyDescent="0.2">
      <c r="A55" s="460"/>
      <c r="B55" s="460"/>
      <c r="C55" s="460"/>
      <c r="D55" s="460"/>
      <c r="E55" s="460"/>
      <c r="F55" s="460"/>
      <c r="G55" s="460"/>
      <c r="H55" s="460"/>
      <c r="I55" s="460"/>
      <c r="J55" s="469"/>
      <c r="K55" s="469"/>
    </row>
    <row r="56" spans="1:11" ht="13.5" thickBot="1" x14ac:dyDescent="0.25">
      <c r="A56" s="460"/>
      <c r="B56" s="460"/>
      <c r="C56" s="460"/>
      <c r="D56" s="460"/>
      <c r="E56" s="460"/>
      <c r="F56" s="460"/>
      <c r="G56" s="469"/>
      <c r="H56" s="469"/>
      <c r="I56" s="460"/>
      <c r="J56" s="479" t="s">
        <v>371</v>
      </c>
      <c r="K56" s="479"/>
    </row>
    <row r="57" spans="1:11" x14ac:dyDescent="0.2">
      <c r="A57" s="460"/>
      <c r="B57" s="460"/>
      <c r="C57" s="460"/>
      <c r="D57" s="460"/>
      <c r="E57" s="460"/>
      <c r="F57" s="460"/>
      <c r="G57" s="469"/>
      <c r="H57" s="469"/>
      <c r="I57" s="460"/>
      <c r="J57" s="461" t="s">
        <v>113</v>
      </c>
      <c r="K57" s="460"/>
    </row>
    <row r="59" spans="1:11" x14ac:dyDescent="0.2">
      <c r="A59" s="534">
        <v>1</v>
      </c>
      <c r="B59" s="534" t="s">
        <v>242</v>
      </c>
    </row>
    <row r="60" spans="1:11" x14ac:dyDescent="0.2">
      <c r="A60" s="534">
        <v>2</v>
      </c>
      <c r="B60" s="253" t="s">
        <v>177</v>
      </c>
    </row>
    <row r="61" spans="1:11" x14ac:dyDescent="0.2">
      <c r="A61" s="534">
        <v>3</v>
      </c>
      <c r="B61" s="253" t="s">
        <v>178</v>
      </c>
    </row>
    <row r="62" spans="1:11" x14ac:dyDescent="0.2">
      <c r="A62" s="534">
        <v>4</v>
      </c>
      <c r="B62" s="253" t="s">
        <v>169</v>
      </c>
    </row>
    <row r="63" spans="1:11" x14ac:dyDescent="0.2">
      <c r="A63" s="534">
        <v>5</v>
      </c>
      <c r="B63" s="253" t="s">
        <v>244</v>
      </c>
    </row>
    <row r="64" spans="1:11" x14ac:dyDescent="0.2">
      <c r="A64" s="534">
        <v>6</v>
      </c>
      <c r="B64" s="253" t="s">
        <v>179</v>
      </c>
    </row>
    <row r="65" spans="1:2" x14ac:dyDescent="0.2">
      <c r="A65" s="534">
        <v>7</v>
      </c>
      <c r="B65" s="253" t="s">
        <v>243</v>
      </c>
    </row>
    <row r="66" spans="1:2" x14ac:dyDescent="0.2">
      <c r="A66" s="534">
        <v>8</v>
      </c>
      <c r="B66" s="253" t="s">
        <v>371</v>
      </c>
    </row>
  </sheetData>
  <conditionalFormatting sqref="C7:F10">
    <cfRule type="cellIs" dxfId="40" priority="25" stopIfTrue="1" operator="equal">
      <formula>13</formula>
    </cfRule>
  </conditionalFormatting>
  <conditionalFormatting sqref="C13:F16">
    <cfRule type="cellIs" dxfId="39" priority="24" stopIfTrue="1" operator="equal">
      <formula>13</formula>
    </cfRule>
  </conditionalFormatting>
  <conditionalFormatting sqref="H13:H20">
    <cfRule type="cellIs" dxfId="38" priority="18" stopIfTrue="1" operator="equal">
      <formula>13</formula>
    </cfRule>
  </conditionalFormatting>
  <conditionalFormatting sqref="F17:F20">
    <cfRule type="cellIs" dxfId="37" priority="17" stopIfTrue="1" operator="equal">
      <formula>13</formula>
    </cfRule>
  </conditionalFormatting>
  <conditionalFormatting sqref="G7:G10">
    <cfRule type="cellIs" dxfId="36" priority="22" stopIfTrue="1" operator="equal">
      <formula>13</formula>
    </cfRule>
  </conditionalFormatting>
  <conditionalFormatting sqref="G13:G20">
    <cfRule type="cellIs" dxfId="35" priority="21" stopIfTrue="1" operator="equal">
      <formula>13</formula>
    </cfRule>
  </conditionalFormatting>
  <conditionalFormatting sqref="H7:H10">
    <cfRule type="cellIs" dxfId="34" priority="19" stopIfTrue="1" operator="equal">
      <formula>13</formula>
    </cfRule>
  </conditionalFormatting>
  <conditionalFormatting sqref="C18:D20">
    <cfRule type="cellIs" dxfId="33" priority="16" stopIfTrue="1" operator="equal">
      <formula>13</formula>
    </cfRule>
  </conditionalFormatting>
  <conditionalFormatting sqref="C24:I54">
    <cfRule type="cellIs" dxfId="32" priority="1" operator="equal">
      <formula>13</formula>
    </cfRule>
  </conditionalFormatting>
  <pageMargins left="0.39370078740157483" right="0.39370078740157483" top="0.78740157480314965" bottom="0.39370078740157483" header="0.59055118110236227" footer="0"/>
  <pageSetup paperSize="9" fitToHeight="0" orientation="landscape" verticalDpi="1200" r:id="rId1"/>
  <headerFooter alignWithMargins="0">
    <oddHeader>&amp;R&amp;"Arial,Regular"&amp;9Page &amp;P of &amp;N</oddHeader>
  </headerFooter>
  <rowBreaks count="2" manualBreakCount="2">
    <brk id="20" max="16383" man="1"/>
    <brk id="57" max="163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K120"/>
  <sheetViews>
    <sheetView showGridLines="0" showRowColHeaders="0" zoomScaleNormal="100" workbookViewId="0">
      <pane ySplit="2" topLeftCell="A3" activePane="bottomLeft" state="frozen"/>
      <selection activeCell="J1" sqref="J1"/>
      <selection pane="bottomLeft" activeCell="L1" sqref="L1"/>
    </sheetView>
  </sheetViews>
  <sheetFormatPr defaultRowHeight="12.75" x14ac:dyDescent="0.2"/>
  <cols>
    <col min="1" max="1" width="3.5703125" style="215" customWidth="1"/>
    <col min="2" max="2" width="54.140625" style="214" bestFit="1" customWidth="1"/>
    <col min="3" max="8" width="5.140625" style="215" customWidth="1"/>
    <col min="9" max="9" width="5.140625" style="215" bestFit="1" customWidth="1"/>
    <col min="10" max="16384" width="9.140625" style="215"/>
  </cols>
  <sheetData>
    <row r="1" spans="1:11" x14ac:dyDescent="0.2">
      <c r="A1" s="213" t="str">
        <f>UPPER((Kalend!D22)&amp;" - "&amp;(Kalend!C22)&amp;" - "&amp;(Kalend!E22))</f>
        <v>REG-2 - REGIOONIDE KARIKA 2. ETAPP - TRIO</v>
      </c>
      <c r="C1" s="488" t="s">
        <v>212</v>
      </c>
      <c r="F1" s="133" t="str">
        <f>HYPERLINK("#'Kalend'!I1","Kalender")</f>
        <v>Kalender</v>
      </c>
      <c r="J1" s="133" t="str">
        <f>HYPERLINK("https://www.petanque.ee/juhendid/regioonide-karikas-2016-2017/","Juhend")</f>
        <v>Juhend</v>
      </c>
    </row>
    <row r="2" spans="1:11" s="216" customFormat="1" x14ac:dyDescent="0.2">
      <c r="A2" s="216" t="str">
        <f>"Toimumisaeg: "&amp;(Kalend!A22)&amp;" kell "&amp;(Kalend!B22)</f>
        <v>Toimumisaeg: P, 19.02.2017 kell 11:00</v>
      </c>
      <c r="F2" s="215"/>
      <c r="G2" s="215"/>
      <c r="H2" s="215"/>
    </row>
    <row r="3" spans="1:11" s="216" customFormat="1" x14ac:dyDescent="0.2">
      <c r="A3" s="216" t="str">
        <f>"Toimumiskoht: "&amp;(Kalend!F22)</f>
        <v>Toimumiskoht: K-Järve petangihall</v>
      </c>
    </row>
    <row r="4" spans="1:11" s="216" customFormat="1" x14ac:dyDescent="0.2">
      <c r="A4" s="216" t="str">
        <f>"Korraldaja: "&amp;(Kalend!G22)</f>
        <v>Korraldaja: K-Järve SHK, Ivar Viljaste</v>
      </c>
    </row>
    <row r="5" spans="1:11" hidden="1" x14ac:dyDescent="0.2"/>
    <row r="6" spans="1:11" hidden="1" x14ac:dyDescent="0.2">
      <c r="A6" s="484" t="s">
        <v>240</v>
      </c>
    </row>
    <row r="7" spans="1:11" hidden="1" x14ac:dyDescent="0.2"/>
    <row r="8" spans="1:11" s="219" customFormat="1" hidden="1" x14ac:dyDescent="0.2">
      <c r="A8" s="382" t="s">
        <v>156</v>
      </c>
      <c r="B8" s="382"/>
      <c r="C8" s="218">
        <v>1</v>
      </c>
      <c r="D8" s="218">
        <v>2</v>
      </c>
      <c r="E8" s="218">
        <v>3</v>
      </c>
      <c r="F8" s="218">
        <v>4</v>
      </c>
      <c r="G8" s="425" t="s">
        <v>164</v>
      </c>
      <c r="H8" s="425" t="s">
        <v>101</v>
      </c>
    </row>
    <row r="9" spans="1:11" s="219" customFormat="1" hidden="1" x14ac:dyDescent="0.2">
      <c r="A9" s="976">
        <v>1</v>
      </c>
      <c r="B9" s="986"/>
      <c r="C9" s="980"/>
      <c r="D9" s="494"/>
      <c r="E9" s="494"/>
      <c r="F9" s="494"/>
      <c r="G9" s="987"/>
      <c r="H9" s="988"/>
      <c r="K9" s="222"/>
    </row>
    <row r="10" spans="1:11" s="219" customFormat="1" hidden="1" x14ac:dyDescent="0.2">
      <c r="A10" s="977"/>
      <c r="B10" s="979"/>
      <c r="C10" s="981"/>
      <c r="D10" s="384"/>
      <c r="E10" s="384"/>
      <c r="F10" s="384"/>
      <c r="G10" s="983"/>
      <c r="H10" s="985"/>
      <c r="K10" s="222"/>
    </row>
    <row r="11" spans="1:11" s="219" customFormat="1" hidden="1" x14ac:dyDescent="0.2">
      <c r="A11" s="976">
        <v>2</v>
      </c>
      <c r="B11" s="978"/>
      <c r="C11" s="494"/>
      <c r="D11" s="980"/>
      <c r="E11" s="494"/>
      <c r="F11" s="494"/>
      <c r="G11" s="982"/>
      <c r="H11" s="984"/>
      <c r="K11" s="222"/>
    </row>
    <row r="12" spans="1:11" s="219" customFormat="1" hidden="1" x14ac:dyDescent="0.2">
      <c r="A12" s="977"/>
      <c r="B12" s="979"/>
      <c r="C12" s="384"/>
      <c r="D12" s="981"/>
      <c r="E12" s="384"/>
      <c r="F12" s="384"/>
      <c r="G12" s="983"/>
      <c r="H12" s="985"/>
      <c r="K12" s="222"/>
    </row>
    <row r="13" spans="1:11" s="219" customFormat="1" hidden="1" x14ac:dyDescent="0.2">
      <c r="A13" s="976">
        <v>3</v>
      </c>
      <c r="B13" s="978"/>
      <c r="C13" s="494"/>
      <c r="D13" s="494"/>
      <c r="E13" s="980"/>
      <c r="F13" s="494"/>
      <c r="G13" s="982"/>
      <c r="H13" s="984"/>
      <c r="K13" s="222"/>
    </row>
    <row r="14" spans="1:11" s="219" customFormat="1" hidden="1" x14ac:dyDescent="0.2">
      <c r="A14" s="977"/>
      <c r="B14" s="979"/>
      <c r="C14" s="384"/>
      <c r="D14" s="384"/>
      <c r="E14" s="981"/>
      <c r="F14" s="384"/>
      <c r="G14" s="983"/>
      <c r="H14" s="985"/>
      <c r="K14" s="222"/>
    </row>
    <row r="15" spans="1:11" s="219" customFormat="1" hidden="1" x14ac:dyDescent="0.2">
      <c r="A15" s="976">
        <v>4</v>
      </c>
      <c r="B15" s="978"/>
      <c r="C15" s="494"/>
      <c r="D15" s="494"/>
      <c r="E15" s="494"/>
      <c r="F15" s="980"/>
      <c r="G15" s="982"/>
      <c r="H15" s="984"/>
      <c r="K15" s="222"/>
    </row>
    <row r="16" spans="1:11" s="219" customFormat="1" hidden="1" x14ac:dyDescent="0.2">
      <c r="A16" s="977"/>
      <c r="B16" s="979"/>
      <c r="C16" s="384"/>
      <c r="D16" s="384"/>
      <c r="E16" s="384"/>
      <c r="F16" s="981"/>
      <c r="G16" s="983"/>
      <c r="H16" s="985"/>
      <c r="K16" s="222"/>
    </row>
    <row r="17" spans="1:11" s="219" customFormat="1" hidden="1" x14ac:dyDescent="0.2">
      <c r="A17" s="271"/>
      <c r="B17" s="227"/>
      <c r="C17" s="224"/>
      <c r="D17" s="224"/>
      <c r="E17" s="224"/>
      <c r="F17" s="224"/>
      <c r="G17" s="225"/>
      <c r="K17" s="222"/>
    </row>
    <row r="18" spans="1:11" s="219" customFormat="1" hidden="1" x14ac:dyDescent="0.2">
      <c r="A18" s="450"/>
      <c r="B18" s="487" t="s">
        <v>226</v>
      </c>
      <c r="C18" s="452" t="s">
        <v>227</v>
      </c>
      <c r="D18" s="452" t="s">
        <v>228</v>
      </c>
      <c r="E18" s="224"/>
      <c r="F18" s="224"/>
      <c r="G18" s="225"/>
      <c r="K18" s="222"/>
    </row>
    <row r="19" spans="1:11" s="219" customFormat="1" hidden="1" x14ac:dyDescent="0.2">
      <c r="A19" s="450"/>
      <c r="B19" s="487" t="s">
        <v>229</v>
      </c>
      <c r="C19" s="452" t="s">
        <v>230</v>
      </c>
      <c r="D19" s="452" t="s">
        <v>231</v>
      </c>
      <c r="E19" s="224"/>
      <c r="F19" s="224"/>
      <c r="G19" s="225"/>
      <c r="K19" s="222"/>
    </row>
    <row r="20" spans="1:11" s="219" customFormat="1" hidden="1" x14ac:dyDescent="0.2">
      <c r="A20" s="450"/>
      <c r="B20" s="487" t="s">
        <v>232</v>
      </c>
      <c r="C20" s="452" t="s">
        <v>219</v>
      </c>
      <c r="D20" s="452" t="s">
        <v>233</v>
      </c>
      <c r="E20" s="224"/>
      <c r="F20" s="224"/>
      <c r="G20" s="225"/>
      <c r="K20" s="222"/>
    </row>
    <row r="21" spans="1:11" s="229" customFormat="1" hidden="1" x14ac:dyDescent="0.2">
      <c r="F21" s="219"/>
      <c r="G21" s="219"/>
      <c r="H21" s="219"/>
      <c r="I21" s="219"/>
    </row>
    <row r="22" spans="1:11" s="219" customFormat="1" hidden="1" x14ac:dyDescent="0.2">
      <c r="A22" s="217">
        <v>1</v>
      </c>
      <c r="B22" s="217"/>
    </row>
    <row r="23" spans="1:11" s="219" customFormat="1" hidden="1" x14ac:dyDescent="0.2">
      <c r="A23" s="217">
        <v>2</v>
      </c>
      <c r="B23" s="253"/>
    </row>
    <row r="24" spans="1:11" s="219" customFormat="1" hidden="1" x14ac:dyDescent="0.2">
      <c r="A24" s="217">
        <v>3</v>
      </c>
      <c r="B24" s="253"/>
    </row>
    <row r="25" spans="1:11" s="219" customFormat="1" hidden="1" x14ac:dyDescent="0.2">
      <c r="A25" s="217">
        <v>4</v>
      </c>
      <c r="B25" s="253"/>
    </row>
    <row r="26" spans="1:11" s="229" customFormat="1" hidden="1" x14ac:dyDescent="0.2">
      <c r="F26" s="219"/>
      <c r="G26" s="219"/>
      <c r="H26" s="219"/>
      <c r="I26" s="219"/>
    </row>
    <row r="27" spans="1:11" hidden="1" x14ac:dyDescent="0.2">
      <c r="A27" s="484" t="s">
        <v>225</v>
      </c>
    </row>
    <row r="28" spans="1:11" hidden="1" x14ac:dyDescent="0.2"/>
    <row r="29" spans="1:11" s="219" customFormat="1" hidden="1" x14ac:dyDescent="0.2">
      <c r="A29" s="382" t="s">
        <v>156</v>
      </c>
      <c r="B29" s="382"/>
      <c r="C29" s="218">
        <v>1</v>
      </c>
      <c r="D29" s="218">
        <v>2</v>
      </c>
      <c r="E29" s="218">
        <v>3</v>
      </c>
      <c r="F29" s="218">
        <v>4</v>
      </c>
      <c r="G29" s="218">
        <v>5</v>
      </c>
      <c r="H29" s="425" t="s">
        <v>164</v>
      </c>
      <c r="I29" s="425" t="s">
        <v>101</v>
      </c>
    </row>
    <row r="30" spans="1:11" s="219" customFormat="1" hidden="1" x14ac:dyDescent="0.2">
      <c r="A30" s="382">
        <v>1</v>
      </c>
      <c r="B30" s="254"/>
      <c r="C30" s="383"/>
      <c r="D30" s="384"/>
      <c r="E30" s="384"/>
      <c r="F30" s="384"/>
      <c r="G30" s="384"/>
      <c r="H30" s="428"/>
      <c r="I30" s="427"/>
      <c r="K30" s="222"/>
    </row>
    <row r="31" spans="1:11" s="219" customFormat="1" hidden="1" x14ac:dyDescent="0.2">
      <c r="A31" s="382">
        <v>2</v>
      </c>
      <c r="B31" s="254"/>
      <c r="C31" s="384"/>
      <c r="D31" s="383"/>
      <c r="E31" s="384"/>
      <c r="F31" s="384"/>
      <c r="G31" s="384"/>
      <c r="H31" s="428"/>
      <c r="I31" s="427"/>
      <c r="K31" s="222"/>
    </row>
    <row r="32" spans="1:11" s="219" customFormat="1" hidden="1" x14ac:dyDescent="0.2">
      <c r="A32" s="382">
        <v>3</v>
      </c>
      <c r="B32" s="254"/>
      <c r="C32" s="384"/>
      <c r="D32" s="384"/>
      <c r="E32" s="383"/>
      <c r="F32" s="384"/>
      <c r="G32" s="384"/>
      <c r="H32" s="428"/>
      <c r="I32" s="427"/>
      <c r="K32" s="222"/>
    </row>
    <row r="33" spans="1:11" s="219" customFormat="1" hidden="1" x14ac:dyDescent="0.2">
      <c r="A33" s="382">
        <v>4</v>
      </c>
      <c r="B33" s="254"/>
      <c r="C33" s="384"/>
      <c r="D33" s="384"/>
      <c r="E33" s="384"/>
      <c r="F33" s="383"/>
      <c r="G33" s="384"/>
      <c r="H33" s="428"/>
      <c r="I33" s="427"/>
      <c r="K33" s="222"/>
    </row>
    <row r="34" spans="1:11" s="219" customFormat="1" hidden="1" x14ac:dyDescent="0.2">
      <c r="A34" s="382">
        <v>5</v>
      </c>
      <c r="B34" s="254"/>
      <c r="C34" s="384"/>
      <c r="D34" s="384"/>
      <c r="E34" s="384"/>
      <c r="F34" s="384"/>
      <c r="G34" s="383"/>
      <c r="H34" s="428"/>
      <c r="I34" s="427"/>
      <c r="K34" s="222"/>
    </row>
    <row r="35" spans="1:11" s="219" customFormat="1" hidden="1" x14ac:dyDescent="0.2">
      <c r="A35" s="271"/>
      <c r="B35" s="227"/>
      <c r="C35" s="224"/>
      <c r="D35" s="224"/>
      <c r="E35" s="224"/>
      <c r="F35" s="224"/>
      <c r="G35" s="225"/>
      <c r="K35" s="222"/>
    </row>
    <row r="36" spans="1:11" s="219" customFormat="1" hidden="1" x14ac:dyDescent="0.2">
      <c r="A36" s="450"/>
      <c r="B36" s="487" t="s">
        <v>226</v>
      </c>
      <c r="C36" s="452" t="s">
        <v>234</v>
      </c>
      <c r="D36" s="452" t="s">
        <v>231</v>
      </c>
      <c r="E36" s="224"/>
      <c r="F36" s="224"/>
      <c r="G36" s="225"/>
      <c r="K36" s="222"/>
    </row>
    <row r="37" spans="1:11" s="219" customFormat="1" hidden="1" x14ac:dyDescent="0.2">
      <c r="A37" s="450"/>
      <c r="B37" s="487" t="s">
        <v>229</v>
      </c>
      <c r="C37" s="452" t="s">
        <v>230</v>
      </c>
      <c r="D37" s="452" t="s">
        <v>235</v>
      </c>
      <c r="E37" s="224"/>
      <c r="F37" s="224"/>
      <c r="G37" s="225"/>
      <c r="K37" s="222"/>
    </row>
    <row r="38" spans="1:11" s="219" customFormat="1" hidden="1" x14ac:dyDescent="0.2">
      <c r="A38" s="450"/>
      <c r="B38" s="487" t="s">
        <v>232</v>
      </c>
      <c r="C38" s="452" t="s">
        <v>236</v>
      </c>
      <c r="D38" s="452" t="s">
        <v>233</v>
      </c>
      <c r="E38" s="224"/>
      <c r="F38" s="224"/>
      <c r="G38" s="225"/>
      <c r="K38" s="222"/>
    </row>
    <row r="39" spans="1:11" s="219" customFormat="1" hidden="1" x14ac:dyDescent="0.2">
      <c r="A39" s="450"/>
      <c r="B39" s="487" t="s">
        <v>237</v>
      </c>
      <c r="C39" s="452" t="s">
        <v>218</v>
      </c>
      <c r="D39" s="452" t="s">
        <v>238</v>
      </c>
      <c r="E39" s="224"/>
      <c r="F39" s="224"/>
      <c r="G39" s="225"/>
      <c r="K39" s="222"/>
    </row>
    <row r="40" spans="1:11" s="219" customFormat="1" hidden="1" x14ac:dyDescent="0.2">
      <c r="A40" s="450"/>
      <c r="B40" s="487" t="s">
        <v>239</v>
      </c>
      <c r="C40" s="452" t="s">
        <v>228</v>
      </c>
      <c r="D40" s="452" t="s">
        <v>227</v>
      </c>
      <c r="E40" s="224"/>
      <c r="F40" s="224"/>
      <c r="G40" s="225"/>
      <c r="K40" s="222"/>
    </row>
    <row r="41" spans="1:11" s="229" customFormat="1" hidden="1" x14ac:dyDescent="0.2">
      <c r="F41" s="219"/>
      <c r="G41" s="219"/>
      <c r="H41" s="219"/>
      <c r="I41" s="219"/>
    </row>
    <row r="42" spans="1:11" s="219" customFormat="1" hidden="1" x14ac:dyDescent="0.2">
      <c r="A42" s="217">
        <v>1</v>
      </c>
      <c r="B42" s="217"/>
    </row>
    <row r="43" spans="1:11" s="219" customFormat="1" hidden="1" x14ac:dyDescent="0.2">
      <c r="A43" s="217">
        <v>2</v>
      </c>
      <c r="B43" s="253"/>
    </row>
    <row r="44" spans="1:11" s="219" customFormat="1" hidden="1" x14ac:dyDescent="0.2">
      <c r="A44" s="217">
        <v>3</v>
      </c>
      <c r="B44" s="253"/>
    </row>
    <row r="45" spans="1:11" s="219" customFormat="1" hidden="1" x14ac:dyDescent="0.2">
      <c r="A45" s="217">
        <v>4</v>
      </c>
      <c r="B45" s="253"/>
    </row>
    <row r="46" spans="1:11" s="219" customFormat="1" hidden="1" x14ac:dyDescent="0.2">
      <c r="A46" s="217">
        <v>5</v>
      </c>
      <c r="B46" s="253"/>
    </row>
    <row r="47" spans="1:11" s="535" customFormat="1" hidden="1" x14ac:dyDescent="0.2">
      <c r="D47" s="215"/>
      <c r="E47" s="215"/>
    </row>
    <row r="48" spans="1:11" s="535" customFormat="1" hidden="1" x14ac:dyDescent="0.2">
      <c r="A48" s="223" t="s">
        <v>207</v>
      </c>
      <c r="B48" s="215"/>
      <c r="C48" s="270"/>
      <c r="D48" s="215"/>
      <c r="E48" s="215"/>
    </row>
    <row r="49" spans="1:5" s="535" customFormat="1" ht="13.5" hidden="1" thickBot="1" x14ac:dyDescent="0.25">
      <c r="A49" s="223"/>
      <c r="B49" s="261"/>
      <c r="C49" s="656"/>
      <c r="D49" s="269"/>
      <c r="E49" s="269"/>
    </row>
    <row r="50" spans="1:5" s="535" customFormat="1" hidden="1" x14ac:dyDescent="0.2">
      <c r="A50" s="223"/>
      <c r="B50" s="268"/>
      <c r="C50" s="632"/>
      <c r="D50" s="265" t="s">
        <v>106</v>
      </c>
      <c r="E50" s="266"/>
    </row>
    <row r="51" spans="1:5" s="535" customFormat="1" hidden="1" x14ac:dyDescent="0.2">
      <c r="A51" s="657"/>
      <c r="D51" s="215"/>
      <c r="E51" s="215"/>
    </row>
    <row r="52" spans="1:5" s="535" customFormat="1" ht="13.5" hidden="1" thickBot="1" x14ac:dyDescent="0.25">
      <c r="A52" s="223"/>
      <c r="B52" s="215"/>
      <c r="C52" s="227"/>
      <c r="D52" s="624"/>
      <c r="E52" s="269"/>
    </row>
    <row r="53" spans="1:5" s="535" customFormat="1" hidden="1" x14ac:dyDescent="0.2">
      <c r="A53" s="223"/>
      <c r="B53" s="215"/>
      <c r="C53" s="227"/>
      <c r="D53" s="265" t="s">
        <v>107</v>
      </c>
      <c r="E53" s="227"/>
    </row>
    <row r="54" spans="1:5" s="535" customFormat="1" hidden="1" x14ac:dyDescent="0.2">
      <c r="A54" s="223"/>
      <c r="B54" s="215"/>
      <c r="C54" s="263"/>
      <c r="D54" s="227"/>
      <c r="E54" s="227"/>
    </row>
    <row r="55" spans="1:5" s="535" customFormat="1" ht="13.5" hidden="1" thickBot="1" x14ac:dyDescent="0.25">
      <c r="A55" s="223"/>
      <c r="B55" s="261"/>
      <c r="C55" s="269"/>
      <c r="D55" s="526"/>
      <c r="E55" s="269"/>
    </row>
    <row r="56" spans="1:5" s="535" customFormat="1" hidden="1" x14ac:dyDescent="0.2">
      <c r="A56" s="223"/>
      <c r="B56" s="268"/>
      <c r="C56" s="270"/>
      <c r="D56" s="271" t="s">
        <v>108</v>
      </c>
      <c r="E56" s="227"/>
    </row>
    <row r="57" spans="1:5" s="535" customFormat="1" hidden="1" x14ac:dyDescent="0.2">
      <c r="A57" s="223"/>
      <c r="B57" s="215"/>
      <c r="C57" s="215"/>
      <c r="D57" s="227"/>
      <c r="E57" s="227"/>
    </row>
    <row r="58" spans="1:5" s="535" customFormat="1" ht="13.5" hidden="1" thickBot="1" x14ac:dyDescent="0.25">
      <c r="A58" s="223"/>
      <c r="B58" s="227"/>
      <c r="C58" s="215"/>
      <c r="D58" s="269"/>
      <c r="E58" s="269"/>
    </row>
    <row r="59" spans="1:5" s="535" customFormat="1" hidden="1" x14ac:dyDescent="0.2">
      <c r="A59" s="223"/>
      <c r="B59" s="227"/>
      <c r="C59" s="215"/>
      <c r="D59" s="214" t="s">
        <v>109</v>
      </c>
      <c r="E59" s="215"/>
    </row>
    <row r="60" spans="1:5" s="535" customFormat="1" hidden="1" x14ac:dyDescent="0.2">
      <c r="A60" s="223"/>
      <c r="B60" s="222"/>
    </row>
    <row r="61" spans="1:5" s="535" customFormat="1" ht="13.5" hidden="1" thickBot="1" x14ac:dyDescent="0.25">
      <c r="A61" s="223"/>
      <c r="B61" s="658" t="s">
        <v>361</v>
      </c>
      <c r="D61" s="269"/>
      <c r="E61" s="269"/>
    </row>
    <row r="62" spans="1:5" s="535" customFormat="1" hidden="1" x14ac:dyDescent="0.2">
      <c r="A62" s="223"/>
      <c r="B62" s="222"/>
      <c r="D62" s="214" t="s">
        <v>110</v>
      </c>
      <c r="E62" s="215"/>
    </row>
    <row r="63" spans="1:5" hidden="1" x14ac:dyDescent="0.2"/>
    <row r="64" spans="1:5" hidden="1" x14ac:dyDescent="0.2">
      <c r="A64" s="484" t="s">
        <v>224</v>
      </c>
    </row>
    <row r="66" spans="1:8" x14ac:dyDescent="0.2">
      <c r="A66" s="382" t="s">
        <v>156</v>
      </c>
      <c r="B66" s="382"/>
      <c r="C66" s="218">
        <v>1</v>
      </c>
      <c r="D66" s="218">
        <v>2</v>
      </c>
      <c r="E66" s="218">
        <v>3</v>
      </c>
      <c r="F66" s="218">
        <v>4</v>
      </c>
      <c r="G66" s="537" t="s">
        <v>164</v>
      </c>
      <c r="H66" s="537" t="s">
        <v>101</v>
      </c>
    </row>
    <row r="67" spans="1:8" x14ac:dyDescent="0.2">
      <c r="A67" s="382">
        <v>1</v>
      </c>
      <c r="B67" s="254" t="s">
        <v>242</v>
      </c>
      <c r="C67" s="383"/>
      <c r="D67" s="384">
        <v>13</v>
      </c>
      <c r="E67" s="384">
        <v>13</v>
      </c>
      <c r="F67" s="384" t="s">
        <v>160</v>
      </c>
      <c r="G67" s="428" t="s">
        <v>173</v>
      </c>
      <c r="H67" s="427" t="s">
        <v>180</v>
      </c>
    </row>
    <row r="68" spans="1:8" x14ac:dyDescent="0.2">
      <c r="A68" s="382">
        <v>2</v>
      </c>
      <c r="B68" s="254" t="s">
        <v>244</v>
      </c>
      <c r="C68" s="384">
        <v>5</v>
      </c>
      <c r="D68" s="383"/>
      <c r="E68" s="384">
        <v>13</v>
      </c>
      <c r="F68" s="384" t="s">
        <v>160</v>
      </c>
      <c r="G68" s="428" t="s">
        <v>165</v>
      </c>
      <c r="H68" s="427" t="s">
        <v>181</v>
      </c>
    </row>
    <row r="69" spans="1:8" x14ac:dyDescent="0.2">
      <c r="A69" s="382">
        <v>3</v>
      </c>
      <c r="B69" s="254" t="s">
        <v>179</v>
      </c>
      <c r="C69" s="384">
        <v>5</v>
      </c>
      <c r="D69" s="384">
        <v>7</v>
      </c>
      <c r="E69" s="383"/>
      <c r="F69" s="384" t="s">
        <v>160</v>
      </c>
      <c r="G69" s="428" t="s">
        <v>362</v>
      </c>
      <c r="H69" s="427" t="s">
        <v>182</v>
      </c>
    </row>
    <row r="70" spans="1:8" x14ac:dyDescent="0.2">
      <c r="A70" s="382">
        <v>4</v>
      </c>
      <c r="B70" s="254" t="s">
        <v>160</v>
      </c>
      <c r="C70" s="384" t="s">
        <v>160</v>
      </c>
      <c r="D70" s="384" t="s">
        <v>160</v>
      </c>
      <c r="E70" s="384" t="s">
        <v>160</v>
      </c>
      <c r="F70" s="383"/>
      <c r="G70" s="427"/>
      <c r="H70" s="254"/>
    </row>
    <row r="72" spans="1:8" x14ac:dyDescent="0.2">
      <c r="A72" s="382" t="s">
        <v>217</v>
      </c>
      <c r="B72" s="382"/>
      <c r="C72" s="218">
        <v>1</v>
      </c>
      <c r="D72" s="218">
        <v>2</v>
      </c>
      <c r="E72" s="218">
        <v>3</v>
      </c>
      <c r="F72" s="218">
        <v>4</v>
      </c>
      <c r="G72" s="537" t="s">
        <v>164</v>
      </c>
      <c r="H72" s="537" t="s">
        <v>101</v>
      </c>
    </row>
    <row r="73" spans="1:8" x14ac:dyDescent="0.2">
      <c r="A73" s="382">
        <v>1</v>
      </c>
      <c r="B73" s="254" t="s">
        <v>177</v>
      </c>
      <c r="C73" s="383"/>
      <c r="D73" s="384">
        <v>8</v>
      </c>
      <c r="E73" s="384">
        <v>3</v>
      </c>
      <c r="F73" s="384">
        <v>13</v>
      </c>
      <c r="G73" s="428" t="s">
        <v>219</v>
      </c>
      <c r="H73" s="427" t="s">
        <v>245</v>
      </c>
    </row>
    <row r="74" spans="1:8" x14ac:dyDescent="0.2">
      <c r="A74" s="382">
        <v>2</v>
      </c>
      <c r="B74" s="254" t="s">
        <v>178</v>
      </c>
      <c r="C74" s="384">
        <v>13</v>
      </c>
      <c r="D74" s="383"/>
      <c r="E74" s="384">
        <v>13</v>
      </c>
      <c r="F74" s="384">
        <v>13</v>
      </c>
      <c r="G74" s="428" t="s">
        <v>363</v>
      </c>
      <c r="H74" s="427" t="s">
        <v>180</v>
      </c>
    </row>
    <row r="75" spans="1:8" x14ac:dyDescent="0.2">
      <c r="A75" s="382">
        <v>3</v>
      </c>
      <c r="B75" s="254" t="s">
        <v>243</v>
      </c>
      <c r="C75" s="384">
        <v>13</v>
      </c>
      <c r="D75" s="384">
        <v>11</v>
      </c>
      <c r="E75" s="383"/>
      <c r="F75" s="384">
        <v>8</v>
      </c>
      <c r="G75" s="428" t="s">
        <v>219</v>
      </c>
      <c r="H75" s="427" t="s">
        <v>181</v>
      </c>
    </row>
    <row r="76" spans="1:8" x14ac:dyDescent="0.2">
      <c r="A76" s="382">
        <v>4</v>
      </c>
      <c r="B76" s="254" t="s">
        <v>371</v>
      </c>
      <c r="C76" s="384">
        <v>7</v>
      </c>
      <c r="D76" s="384">
        <v>7</v>
      </c>
      <c r="E76" s="384">
        <v>13</v>
      </c>
      <c r="F76" s="383"/>
      <c r="G76" s="428" t="s">
        <v>219</v>
      </c>
      <c r="H76" s="427" t="s">
        <v>182</v>
      </c>
    </row>
    <row r="77" spans="1:8" x14ac:dyDescent="0.2">
      <c r="A77" s="271"/>
      <c r="B77" s="227"/>
      <c r="C77" s="224"/>
      <c r="D77" s="224"/>
      <c r="E77" s="224"/>
      <c r="F77" s="452"/>
      <c r="G77" s="452"/>
      <c r="H77" s="451"/>
    </row>
    <row r="78" spans="1:8" x14ac:dyDescent="0.2">
      <c r="A78" s="429"/>
      <c r="B78" s="487" t="s">
        <v>226</v>
      </c>
      <c r="C78" s="452" t="s">
        <v>227</v>
      </c>
      <c r="D78" s="452" t="s">
        <v>228</v>
      </c>
      <c r="E78" s="224"/>
      <c r="F78" s="452"/>
      <c r="G78" s="452"/>
      <c r="H78" s="451"/>
    </row>
    <row r="79" spans="1:8" x14ac:dyDescent="0.2">
      <c r="A79" s="429"/>
      <c r="B79" s="487" t="s">
        <v>229</v>
      </c>
      <c r="C79" s="452" t="s">
        <v>230</v>
      </c>
      <c r="D79" s="452" t="s">
        <v>231</v>
      </c>
      <c r="E79" s="224"/>
      <c r="F79" s="452"/>
      <c r="G79" s="452"/>
      <c r="H79" s="451"/>
    </row>
    <row r="80" spans="1:8" x14ac:dyDescent="0.2">
      <c r="A80" s="429"/>
      <c r="B80" s="487" t="s">
        <v>232</v>
      </c>
      <c r="C80" s="452" t="s">
        <v>219</v>
      </c>
      <c r="D80" s="452" t="s">
        <v>233</v>
      </c>
      <c r="E80" s="224"/>
      <c r="F80" s="452"/>
      <c r="G80" s="452"/>
      <c r="H80" s="451"/>
    </row>
    <row r="82" spans="1:11" x14ac:dyDescent="0.2">
      <c r="A82" s="459" t="s">
        <v>366</v>
      </c>
      <c r="B82" s="460"/>
      <c r="C82" s="460"/>
      <c r="D82" s="460"/>
      <c r="E82" s="460"/>
      <c r="F82" s="460"/>
      <c r="G82" s="460"/>
      <c r="H82" s="460"/>
      <c r="I82" s="460"/>
      <c r="J82" s="460"/>
      <c r="K82" s="460"/>
    </row>
    <row r="83" spans="1:11" x14ac:dyDescent="0.2">
      <c r="A83" s="459"/>
      <c r="B83" s="460"/>
      <c r="C83" s="460"/>
      <c r="D83" s="460"/>
      <c r="E83" s="460"/>
      <c r="F83" s="460"/>
      <c r="G83" s="460"/>
      <c r="H83" s="460"/>
      <c r="I83" s="460"/>
      <c r="J83" s="460"/>
      <c r="K83" s="460"/>
    </row>
    <row r="84" spans="1:11" x14ac:dyDescent="0.2">
      <c r="A84" s="485" t="s">
        <v>207</v>
      </c>
      <c r="B84" s="460" t="s">
        <v>242</v>
      </c>
      <c r="C84" s="462">
        <v>13</v>
      </c>
      <c r="D84" s="460"/>
      <c r="E84" s="460"/>
      <c r="F84" s="460"/>
      <c r="G84" s="460"/>
      <c r="H84" s="460"/>
      <c r="I84" s="460"/>
      <c r="J84" s="460"/>
      <c r="K84" s="460"/>
    </row>
    <row r="85" spans="1:11" x14ac:dyDescent="0.2">
      <c r="A85" s="486"/>
      <c r="B85" s="463"/>
      <c r="C85" s="464" t="s">
        <v>242</v>
      </c>
      <c r="D85" s="465"/>
      <c r="E85" s="460"/>
      <c r="F85" s="462">
        <v>13</v>
      </c>
      <c r="G85" s="460"/>
      <c r="H85" s="460"/>
      <c r="I85" s="460"/>
      <c r="J85" s="460"/>
      <c r="K85" s="460"/>
    </row>
    <row r="86" spans="1:11" x14ac:dyDescent="0.2">
      <c r="A86" s="485"/>
      <c r="B86" s="235" t="s">
        <v>160</v>
      </c>
      <c r="C86" s="478">
        <v>0</v>
      </c>
      <c r="D86" s="460"/>
      <c r="E86" s="468"/>
      <c r="F86" s="460"/>
      <c r="G86" s="460"/>
      <c r="H86" s="460"/>
      <c r="I86" s="460"/>
      <c r="J86" s="460"/>
      <c r="K86" s="460"/>
    </row>
    <row r="87" spans="1:11" x14ac:dyDescent="0.2">
      <c r="A87" s="486"/>
      <c r="B87" s="460"/>
      <c r="C87" s="460"/>
      <c r="D87" s="469"/>
      <c r="E87" s="470"/>
      <c r="F87" s="460" t="s">
        <v>242</v>
      </c>
      <c r="G87" s="460"/>
      <c r="H87" s="460"/>
      <c r="I87" s="462">
        <v>13</v>
      </c>
      <c r="J87" s="460"/>
      <c r="K87" s="460"/>
    </row>
    <row r="88" spans="1:11" x14ac:dyDescent="0.2">
      <c r="A88" s="485" t="s">
        <v>161</v>
      </c>
      <c r="B88" s="241" t="s">
        <v>243</v>
      </c>
      <c r="C88" s="471">
        <v>13</v>
      </c>
      <c r="D88" s="460"/>
      <c r="E88" s="470"/>
      <c r="F88" s="463"/>
      <c r="G88" s="463"/>
      <c r="H88" s="468"/>
      <c r="I88" s="460"/>
      <c r="J88" s="460"/>
      <c r="K88" s="460"/>
    </row>
    <row r="89" spans="1:11" x14ac:dyDescent="0.2">
      <c r="A89" s="486"/>
      <c r="B89" s="463"/>
      <c r="C89" s="472" t="s">
        <v>243</v>
      </c>
      <c r="D89" s="460"/>
      <c r="E89" s="473"/>
      <c r="F89" s="471">
        <v>9</v>
      </c>
      <c r="G89" s="469"/>
      <c r="H89" s="470"/>
      <c r="I89" s="460"/>
      <c r="J89" s="460"/>
      <c r="K89" s="460"/>
    </row>
    <row r="90" spans="1:11" x14ac:dyDescent="0.2">
      <c r="A90" s="485" t="s">
        <v>220</v>
      </c>
      <c r="B90" s="235" t="s">
        <v>179</v>
      </c>
      <c r="C90" s="481">
        <v>3</v>
      </c>
      <c r="D90" s="463"/>
      <c r="E90" s="460"/>
      <c r="F90" s="469"/>
      <c r="G90" s="469"/>
      <c r="H90" s="470"/>
      <c r="I90" s="460"/>
      <c r="J90" s="460"/>
      <c r="K90" s="460"/>
    </row>
    <row r="91" spans="1:11" ht="13.5" thickBot="1" x14ac:dyDescent="0.25">
      <c r="A91" s="486"/>
      <c r="B91" s="460"/>
      <c r="C91" s="460"/>
      <c r="D91" s="460"/>
      <c r="E91" s="460"/>
      <c r="F91" s="469"/>
      <c r="G91" s="469"/>
      <c r="H91" s="470"/>
      <c r="I91" s="460"/>
      <c r="J91" s="460" t="s">
        <v>242</v>
      </c>
      <c r="K91" s="460"/>
    </row>
    <row r="92" spans="1:11" x14ac:dyDescent="0.2">
      <c r="A92" s="485" t="s">
        <v>170</v>
      </c>
      <c r="B92" s="460" t="s">
        <v>244</v>
      </c>
      <c r="C92" s="471">
        <v>13</v>
      </c>
      <c r="D92" s="460"/>
      <c r="E92" s="469"/>
      <c r="F92" s="469"/>
      <c r="G92" s="469"/>
      <c r="H92" s="470"/>
      <c r="I92" s="475"/>
      <c r="J92" s="476" t="s">
        <v>106</v>
      </c>
      <c r="K92" s="477"/>
    </row>
    <row r="93" spans="1:11" x14ac:dyDescent="0.2">
      <c r="A93" s="486"/>
      <c r="B93" s="463"/>
      <c r="C93" s="472" t="s">
        <v>244</v>
      </c>
      <c r="D93" s="460"/>
      <c r="E93" s="465"/>
      <c r="F93" s="471">
        <v>2</v>
      </c>
      <c r="G93" s="469"/>
      <c r="H93" s="470"/>
      <c r="I93" s="460"/>
      <c r="J93" s="460"/>
      <c r="K93" s="460"/>
    </row>
    <row r="94" spans="1:11" ht="13.5" thickBot="1" x14ac:dyDescent="0.25">
      <c r="A94" s="485" t="s">
        <v>222</v>
      </c>
      <c r="B94" s="465" t="s">
        <v>371</v>
      </c>
      <c r="C94" s="481">
        <v>9</v>
      </c>
      <c r="D94" s="463"/>
      <c r="E94" s="675"/>
      <c r="F94" s="469"/>
      <c r="G94" s="469"/>
      <c r="H94" s="470"/>
      <c r="I94" s="460"/>
      <c r="J94" s="479" t="s">
        <v>178</v>
      </c>
      <c r="K94" s="479"/>
    </row>
    <row r="95" spans="1:11" x14ac:dyDescent="0.2">
      <c r="A95" s="460"/>
      <c r="B95" s="460"/>
      <c r="C95" s="460"/>
      <c r="D95" s="460"/>
      <c r="E95" s="470"/>
      <c r="F95" s="465" t="s">
        <v>178</v>
      </c>
      <c r="G95" s="465"/>
      <c r="H95" s="473"/>
      <c r="I95" s="462">
        <v>9</v>
      </c>
      <c r="J95" s="476" t="s">
        <v>107</v>
      </c>
      <c r="K95" s="460"/>
    </row>
    <row r="96" spans="1:11" x14ac:dyDescent="0.2">
      <c r="A96" s="485" t="s">
        <v>209</v>
      </c>
      <c r="B96" s="460" t="s">
        <v>160</v>
      </c>
      <c r="C96" s="462">
        <v>0</v>
      </c>
      <c r="D96" s="460"/>
      <c r="E96" s="470"/>
      <c r="F96" s="460"/>
      <c r="G96" s="460"/>
      <c r="H96" s="460"/>
      <c r="I96" s="460"/>
      <c r="J96" s="460"/>
      <c r="K96" s="460"/>
    </row>
    <row r="97" spans="1:11" x14ac:dyDescent="0.2">
      <c r="A97" s="486"/>
      <c r="B97" s="463"/>
      <c r="C97" s="464" t="s">
        <v>178</v>
      </c>
      <c r="D97" s="465"/>
      <c r="E97" s="473"/>
      <c r="F97" s="462">
        <v>13</v>
      </c>
      <c r="G97" s="460"/>
      <c r="H97" s="460"/>
      <c r="I97" s="460"/>
      <c r="J97" s="460"/>
      <c r="K97" s="460"/>
    </row>
    <row r="98" spans="1:11" x14ac:dyDescent="0.2">
      <c r="A98" s="485" t="s">
        <v>209</v>
      </c>
      <c r="B98" s="465" t="s">
        <v>178</v>
      </c>
      <c r="C98" s="478">
        <v>13</v>
      </c>
      <c r="D98" s="460"/>
      <c r="E98" s="674"/>
      <c r="F98" s="460"/>
      <c r="G98" s="460"/>
      <c r="H98" s="460"/>
      <c r="I98" s="460"/>
      <c r="J98" s="460"/>
      <c r="K98" s="460"/>
    </row>
    <row r="99" spans="1:11" x14ac:dyDescent="0.2">
      <c r="A99" s="486"/>
      <c r="B99" s="460"/>
      <c r="C99" s="460"/>
      <c r="D99" s="469"/>
      <c r="E99" s="469"/>
      <c r="F99" s="460" t="s">
        <v>243</v>
      </c>
      <c r="G99" s="460"/>
      <c r="H99" s="460"/>
      <c r="I99" s="471">
        <v>13</v>
      </c>
      <c r="J99" s="469"/>
      <c r="K99" s="469"/>
    </row>
    <row r="100" spans="1:11" ht="13.5" thickBot="1" x14ac:dyDescent="0.25">
      <c r="B100" s="215"/>
      <c r="F100" s="463"/>
      <c r="G100" s="463"/>
      <c r="H100" s="468"/>
      <c r="I100" s="479"/>
      <c r="J100" s="479" t="s">
        <v>243</v>
      </c>
      <c r="K100" s="479"/>
    </row>
    <row r="101" spans="1:11" x14ac:dyDescent="0.2">
      <c r="B101" s="215"/>
      <c r="F101" s="465" t="s">
        <v>244</v>
      </c>
      <c r="G101" s="465"/>
      <c r="H101" s="473"/>
      <c r="I101" s="462">
        <v>10</v>
      </c>
      <c r="J101" s="482" t="s">
        <v>108</v>
      </c>
      <c r="K101" s="469"/>
    </row>
    <row r="102" spans="1:11" x14ac:dyDescent="0.2">
      <c r="B102" s="215"/>
      <c r="F102" s="460"/>
      <c r="G102" s="460"/>
      <c r="H102" s="460"/>
      <c r="I102" s="460"/>
      <c r="J102" s="469"/>
      <c r="K102" s="469"/>
    </row>
    <row r="103" spans="1:11" ht="13.5" thickBot="1" x14ac:dyDescent="0.25">
      <c r="B103" s="215"/>
      <c r="F103" s="460"/>
      <c r="G103" s="469"/>
      <c r="H103" s="469"/>
      <c r="I103" s="460"/>
      <c r="J103" s="479" t="s">
        <v>244</v>
      </c>
      <c r="K103" s="479"/>
    </row>
    <row r="104" spans="1:11" x14ac:dyDescent="0.2">
      <c r="A104" s="460"/>
      <c r="B104" s="460"/>
      <c r="C104" s="460" t="s">
        <v>160</v>
      </c>
      <c r="D104" s="460"/>
      <c r="E104" s="460"/>
      <c r="F104" s="462">
        <v>0</v>
      </c>
      <c r="G104" s="460"/>
      <c r="H104" s="460"/>
      <c r="I104" s="460"/>
      <c r="J104" s="461" t="s">
        <v>109</v>
      </c>
      <c r="K104" s="460"/>
    </row>
    <row r="105" spans="1:11" x14ac:dyDescent="0.2">
      <c r="A105" s="460"/>
      <c r="B105" s="460"/>
      <c r="C105" s="463"/>
      <c r="D105" s="463"/>
      <c r="E105" s="468"/>
      <c r="F105" s="464" t="s">
        <v>179</v>
      </c>
      <c r="G105" s="465"/>
      <c r="H105" s="465"/>
      <c r="I105" s="462" t="s">
        <v>23</v>
      </c>
      <c r="J105" s="460"/>
      <c r="K105" s="460"/>
    </row>
    <row r="106" spans="1:11" x14ac:dyDescent="0.2">
      <c r="A106" s="460"/>
      <c r="B106" s="460"/>
      <c r="C106" s="465" t="s">
        <v>179</v>
      </c>
      <c r="D106" s="465"/>
      <c r="E106" s="473"/>
      <c r="F106" s="478">
        <v>13</v>
      </c>
      <c r="G106" s="460"/>
      <c r="H106" s="470"/>
      <c r="I106" s="460"/>
      <c r="J106" s="460"/>
      <c r="K106" s="460"/>
    </row>
    <row r="107" spans="1:11" ht="13.5" thickBot="1" x14ac:dyDescent="0.25">
      <c r="A107" s="460"/>
      <c r="B107" s="460"/>
      <c r="C107" s="460"/>
      <c r="D107" s="460"/>
      <c r="E107" s="460"/>
      <c r="F107" s="469"/>
      <c r="G107" s="460"/>
      <c r="H107" s="470"/>
      <c r="I107" s="460"/>
      <c r="J107" s="460" t="s">
        <v>179</v>
      </c>
      <c r="K107" s="460"/>
    </row>
    <row r="108" spans="1:11" x14ac:dyDescent="0.2">
      <c r="A108" s="460"/>
      <c r="B108" s="460"/>
      <c r="C108" s="460" t="s">
        <v>160</v>
      </c>
      <c r="D108" s="460"/>
      <c r="E108" s="460"/>
      <c r="F108" s="471">
        <v>0</v>
      </c>
      <c r="G108" s="460"/>
      <c r="H108" s="470"/>
      <c r="I108" s="475"/>
      <c r="J108" s="476" t="s">
        <v>364</v>
      </c>
      <c r="K108" s="477"/>
    </row>
    <row r="109" spans="1:11" x14ac:dyDescent="0.2">
      <c r="A109" s="460"/>
      <c r="B109" s="460"/>
      <c r="C109" s="463"/>
      <c r="D109" s="463"/>
      <c r="E109" s="468"/>
      <c r="F109" s="472" t="s">
        <v>371</v>
      </c>
      <c r="G109" s="460"/>
      <c r="H109" s="473"/>
      <c r="I109" s="471" t="s">
        <v>23</v>
      </c>
      <c r="J109" s="460"/>
      <c r="K109" s="460"/>
    </row>
    <row r="110" spans="1:11" ht="13.5" thickBot="1" x14ac:dyDescent="0.25">
      <c r="A110" s="460"/>
      <c r="B110" s="460"/>
      <c r="C110" s="465" t="s">
        <v>371</v>
      </c>
      <c r="D110" s="465"/>
      <c r="E110" s="473"/>
      <c r="F110" s="481">
        <v>13</v>
      </c>
      <c r="G110" s="463"/>
      <c r="H110" s="460"/>
      <c r="I110" s="469"/>
      <c r="J110" s="469" t="s">
        <v>371</v>
      </c>
      <c r="K110" s="479"/>
    </row>
    <row r="111" spans="1:11" x14ac:dyDescent="0.2">
      <c r="A111" s="460"/>
      <c r="B111" s="460"/>
      <c r="C111" s="460"/>
      <c r="D111" s="460"/>
      <c r="E111" s="460"/>
      <c r="F111" s="460"/>
      <c r="G111" s="460"/>
      <c r="H111" s="460"/>
      <c r="I111" s="469"/>
      <c r="J111" s="476" t="s">
        <v>364</v>
      </c>
      <c r="K111" s="469"/>
    </row>
    <row r="112" spans="1:11" x14ac:dyDescent="0.2">
      <c r="A112" s="460"/>
      <c r="B112" s="460"/>
      <c r="C112" s="460"/>
      <c r="D112" s="460"/>
      <c r="E112" s="256" t="s">
        <v>223</v>
      </c>
      <c r="F112" s="535" t="s">
        <v>160</v>
      </c>
      <c r="I112" s="270">
        <v>0</v>
      </c>
    </row>
    <row r="113" spans="1:11" ht="13.5" thickBot="1" x14ac:dyDescent="0.25">
      <c r="A113" s="460"/>
      <c r="B113" s="460"/>
      <c r="C113" s="460"/>
      <c r="D113" s="460"/>
      <c r="E113" s="485"/>
      <c r="F113" s="668"/>
      <c r="G113" s="668"/>
      <c r="H113" s="669"/>
      <c r="I113" s="656"/>
      <c r="J113" s="479" t="s">
        <v>177</v>
      </c>
      <c r="K113" s="479"/>
    </row>
    <row r="114" spans="1:11" x14ac:dyDescent="0.2">
      <c r="A114" s="534">
        <v>1</v>
      </c>
      <c r="B114" s="534" t="s">
        <v>242</v>
      </c>
      <c r="C114" s="460"/>
      <c r="D114" s="460"/>
      <c r="E114" s="485" t="s">
        <v>221</v>
      </c>
      <c r="F114" s="670" t="s">
        <v>177</v>
      </c>
      <c r="G114" s="670"/>
      <c r="H114" s="671"/>
      <c r="I114" s="673">
        <v>13</v>
      </c>
      <c r="J114" s="672" t="s">
        <v>112</v>
      </c>
      <c r="K114" s="469"/>
    </row>
    <row r="115" spans="1:11" x14ac:dyDescent="0.2">
      <c r="A115" s="534">
        <v>2</v>
      </c>
      <c r="B115" s="253" t="s">
        <v>178</v>
      </c>
      <c r="C115" s="460"/>
      <c r="D115" s="460"/>
    </row>
    <row r="116" spans="1:11" x14ac:dyDescent="0.2">
      <c r="A116" s="534">
        <v>3</v>
      </c>
      <c r="B116" s="253" t="s">
        <v>243</v>
      </c>
    </row>
    <row r="117" spans="1:11" x14ac:dyDescent="0.2">
      <c r="A117" s="534">
        <v>4</v>
      </c>
      <c r="B117" s="253" t="s">
        <v>244</v>
      </c>
    </row>
    <row r="118" spans="1:11" x14ac:dyDescent="0.2">
      <c r="A118" s="663" t="s">
        <v>365</v>
      </c>
      <c r="B118" s="253" t="s">
        <v>179</v>
      </c>
    </row>
    <row r="119" spans="1:11" x14ac:dyDescent="0.2">
      <c r="A119" s="663" t="s">
        <v>365</v>
      </c>
      <c r="B119" s="253" t="s">
        <v>371</v>
      </c>
    </row>
    <row r="120" spans="1:11" x14ac:dyDescent="0.2">
      <c r="A120" s="534">
        <v>7</v>
      </c>
      <c r="B120" s="253" t="s">
        <v>177</v>
      </c>
    </row>
  </sheetData>
  <mergeCells count="20">
    <mergeCell ref="A13:A14"/>
    <mergeCell ref="B13:B14"/>
    <mergeCell ref="E13:E14"/>
    <mergeCell ref="G13:G14"/>
    <mergeCell ref="H13:H14"/>
    <mergeCell ref="A15:A16"/>
    <mergeCell ref="B15:B16"/>
    <mergeCell ref="F15:F16"/>
    <mergeCell ref="G15:G16"/>
    <mergeCell ref="H15:H16"/>
    <mergeCell ref="A9:A10"/>
    <mergeCell ref="B9:B10"/>
    <mergeCell ref="C9:C10"/>
    <mergeCell ref="G9:G10"/>
    <mergeCell ref="H9:H10"/>
    <mergeCell ref="A11:A12"/>
    <mergeCell ref="B11:B12"/>
    <mergeCell ref="D11:D12"/>
    <mergeCell ref="G11:G12"/>
    <mergeCell ref="H11:H12"/>
  </mergeCells>
  <conditionalFormatting sqref="D47:E47 B48:C48 B52:E59 D51:E51 B50:C50 G67:H69 C67:E69 C70:D70 F70:G70">
    <cfRule type="cellIs" dxfId="31" priority="27" stopIfTrue="1" operator="equal">
      <formula>13</formula>
    </cfRule>
  </conditionalFormatting>
  <conditionalFormatting sqref="C73:F76">
    <cfRule type="cellIs" dxfId="30" priority="26" stopIfTrue="1" operator="equal">
      <formula>13</formula>
    </cfRule>
  </conditionalFormatting>
  <conditionalFormatting sqref="H73:H80">
    <cfRule type="cellIs" dxfId="29" priority="20" stopIfTrue="1" operator="equal">
      <formula>13</formula>
    </cfRule>
  </conditionalFormatting>
  <conditionalFormatting sqref="F77:F80">
    <cfRule type="cellIs" dxfId="28" priority="19" stopIfTrue="1" operator="equal">
      <formula>13</formula>
    </cfRule>
  </conditionalFormatting>
  <conditionalFormatting sqref="H30:H34">
    <cfRule type="cellIs" dxfId="27" priority="25" stopIfTrue="1" operator="equal">
      <formula>13</formula>
    </cfRule>
  </conditionalFormatting>
  <conditionalFormatting sqref="G73:G80">
    <cfRule type="cellIs" dxfId="26" priority="23" stopIfTrue="1" operator="equal">
      <formula>13</formula>
    </cfRule>
  </conditionalFormatting>
  <conditionalFormatting sqref="I30:I34">
    <cfRule type="cellIs" dxfId="25" priority="22" stopIfTrue="1" operator="equal">
      <formula>13</formula>
    </cfRule>
  </conditionalFormatting>
  <conditionalFormatting sqref="C78:D80">
    <cfRule type="cellIs" dxfId="24" priority="18" stopIfTrue="1" operator="equal">
      <formula>13</formula>
    </cfRule>
  </conditionalFormatting>
  <conditionalFormatting sqref="C36:D40">
    <cfRule type="cellIs" dxfId="23" priority="17" stopIfTrue="1" operator="equal">
      <formula>13</formula>
    </cfRule>
  </conditionalFormatting>
  <conditionalFormatting sqref="E18:G20">
    <cfRule type="cellIs" dxfId="22" priority="16" stopIfTrue="1" operator="equal">
      <formula>13</formula>
    </cfRule>
  </conditionalFormatting>
  <conditionalFormatting sqref="G9">
    <cfRule type="cellIs" dxfId="21" priority="15" stopIfTrue="1" operator="equal">
      <formula>13</formula>
    </cfRule>
  </conditionalFormatting>
  <conditionalFormatting sqref="H9">
    <cfRule type="cellIs" dxfId="20" priority="14" stopIfTrue="1" operator="equal">
      <formula>13</formula>
    </cfRule>
  </conditionalFormatting>
  <conditionalFormatting sqref="G11">
    <cfRule type="cellIs" dxfId="19" priority="13" stopIfTrue="1" operator="equal">
      <formula>13</formula>
    </cfRule>
  </conditionalFormatting>
  <conditionalFormatting sqref="C18:D20">
    <cfRule type="cellIs" dxfId="18" priority="7" stopIfTrue="1" operator="equal">
      <formula>13</formula>
    </cfRule>
  </conditionalFormatting>
  <conditionalFormatting sqref="G13">
    <cfRule type="cellIs" dxfId="17" priority="12" stopIfTrue="1" operator="equal">
      <formula>13</formula>
    </cfRule>
  </conditionalFormatting>
  <conditionalFormatting sqref="G15">
    <cfRule type="cellIs" dxfId="16" priority="11" stopIfTrue="1" operator="equal">
      <formula>13</formula>
    </cfRule>
  </conditionalFormatting>
  <conditionalFormatting sqref="H11">
    <cfRule type="cellIs" dxfId="15" priority="10" stopIfTrue="1" operator="equal">
      <formula>13</formula>
    </cfRule>
  </conditionalFormatting>
  <conditionalFormatting sqref="H13">
    <cfRule type="cellIs" dxfId="14" priority="9" stopIfTrue="1" operator="equal">
      <formula>13</formula>
    </cfRule>
  </conditionalFormatting>
  <conditionalFormatting sqref="H15">
    <cfRule type="cellIs" dxfId="13" priority="8" stopIfTrue="1" operator="equal">
      <formula>13</formula>
    </cfRule>
  </conditionalFormatting>
  <conditionalFormatting sqref="C9:F16 C114:D114 E113 C84:I99">
    <cfRule type="cellIs" dxfId="12" priority="6" operator="equal">
      <formula>13</formula>
    </cfRule>
  </conditionalFormatting>
  <conditionalFormatting sqref="C30:G34">
    <cfRule type="cellIs" dxfId="11" priority="5" operator="equal">
      <formula>13</formula>
    </cfRule>
  </conditionalFormatting>
  <conditionalFormatting sqref="C112:D113 C104:I111 F100:I103">
    <cfRule type="cellIs" dxfId="10" priority="4" operator="equal">
      <formula>13</formula>
    </cfRule>
  </conditionalFormatting>
  <conditionalFormatting sqref="B49:E49 D48:E48 D50:E50">
    <cfRule type="cellIs" dxfId="9" priority="3" stopIfTrue="1" operator="equal">
      <formula>13</formula>
    </cfRule>
  </conditionalFormatting>
  <conditionalFormatting sqref="D61:E62">
    <cfRule type="cellIs" dxfId="8" priority="2" stopIfTrue="1" operator="equal">
      <formula>13</formula>
    </cfRule>
  </conditionalFormatting>
  <conditionalFormatting sqref="C67:I114">
    <cfRule type="cellIs" dxfId="7" priority="1" operator="equal">
      <formula>13</formula>
    </cfRule>
  </conditionalFormatting>
  <pageMargins left="0.39370078740157483" right="0.39370078740157483" top="0.78740157480314965" bottom="0.39370078740157483" header="0.59055118110236227" footer="0"/>
  <pageSetup paperSize="9" scale="94" fitToHeight="0" orientation="landscape" verticalDpi="1200" r:id="rId1"/>
  <headerFooter alignWithMargins="0">
    <oddHeader>&amp;R&amp;"Arial,Regular"&amp;9Page &amp;P of &amp;N</oddHeader>
  </headerFooter>
  <rowBreaks count="1" manualBreakCount="1">
    <brk id="80" max="1638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L23"/>
  <sheetViews>
    <sheetView showGridLines="0" showRowColHeaders="0" workbookViewId="0">
      <selection activeCell="J1" sqref="J1"/>
    </sheetView>
  </sheetViews>
  <sheetFormatPr defaultRowHeight="12.75" x14ac:dyDescent="0.2"/>
  <cols>
    <col min="1" max="1" width="5.140625" bestFit="1" customWidth="1"/>
    <col min="2" max="2" width="54.140625" bestFit="1" customWidth="1"/>
    <col min="3" max="3" width="6.5703125" customWidth="1"/>
    <col min="4" max="4" width="7" bestFit="1" customWidth="1"/>
    <col min="5" max="5" width="7" customWidth="1"/>
    <col min="6" max="6" width="8.140625" customWidth="1"/>
    <col min="7" max="7" width="9.140625" customWidth="1"/>
    <col min="8" max="8" width="9.140625" style="89" customWidth="1"/>
    <col min="9" max="13" width="9.140625" customWidth="1"/>
  </cols>
  <sheetData>
    <row r="1" spans="1:12" ht="12.75" customHeight="1" x14ac:dyDescent="0.2">
      <c r="A1" s="582" t="s">
        <v>157</v>
      </c>
      <c r="C1" s="422" t="s">
        <v>212</v>
      </c>
      <c r="E1" s="47" t="str">
        <f>HYPERLINK("#'Kalend'!I1","Kalender")</f>
        <v>Kalender</v>
      </c>
      <c r="F1" s="387" t="s">
        <v>246</v>
      </c>
      <c r="G1" s="215"/>
      <c r="H1" s="133" t="str">
        <f>HYPERLINK("https://www.petanque.ee/juhendid/regioonide-karikas-2016-2017/","Juhend")</f>
        <v>Juhend</v>
      </c>
    </row>
    <row r="2" spans="1:12" ht="12.75" customHeight="1" x14ac:dyDescent="0.2">
      <c r="F2" s="89"/>
      <c r="G2" s="533"/>
      <c r="I2" s="89"/>
    </row>
    <row r="3" spans="1:12" ht="25.5" customHeight="1" x14ac:dyDescent="0.2">
      <c r="A3" s="135"/>
      <c r="B3" s="136" t="s">
        <v>23</v>
      </c>
      <c r="C3" s="138" t="s">
        <v>23</v>
      </c>
      <c r="D3" s="385" t="str">
        <f>MID(Kalend!A7,4,5)</f>
        <v>27.11</v>
      </c>
      <c r="E3" s="385" t="str">
        <f>MID(Kalend!A22,4,5)</f>
        <v>19.02</v>
      </c>
      <c r="F3" s="89"/>
      <c r="G3" s="89"/>
      <c r="I3" s="89"/>
      <c r="J3" s="89"/>
      <c r="K3" s="89"/>
      <c r="L3" s="89"/>
    </row>
    <row r="4" spans="1:12" x14ac:dyDescent="0.2">
      <c r="A4" s="135"/>
      <c r="B4" s="136" t="s">
        <v>23</v>
      </c>
      <c r="C4" s="138" t="s">
        <v>23</v>
      </c>
      <c r="D4" s="386" t="str">
        <f>HYPERLINK("#'Reg-1'!L1"," Reg1. ")</f>
        <v xml:space="preserve"> Reg1. </v>
      </c>
      <c r="E4" s="386" t="str">
        <f>HYPERLINK("#'Reg-2'!J1"," Reg2. ")</f>
        <v xml:space="preserve"> Reg2. </v>
      </c>
      <c r="F4" s="89"/>
      <c r="G4" s="89"/>
      <c r="I4" s="89"/>
      <c r="J4" s="89"/>
      <c r="K4" s="89"/>
      <c r="L4" s="89"/>
    </row>
    <row r="5" spans="1:12" ht="12.75" customHeight="1" x14ac:dyDescent="0.2">
      <c r="A5" s="138" t="s">
        <v>101</v>
      </c>
      <c r="B5" s="138" t="s">
        <v>158</v>
      </c>
      <c r="C5" s="138" t="s">
        <v>159</v>
      </c>
      <c r="D5" s="143" t="s">
        <v>50</v>
      </c>
      <c r="E5" s="143" t="s">
        <v>50</v>
      </c>
      <c r="F5" s="89"/>
      <c r="G5" s="89"/>
      <c r="I5" s="89"/>
      <c r="J5" s="89"/>
      <c r="K5" s="89"/>
      <c r="L5" s="89"/>
    </row>
    <row r="6" spans="1:12" x14ac:dyDescent="0.2">
      <c r="A6" s="676">
        <v>1</v>
      </c>
      <c r="B6" s="665" t="s">
        <v>242</v>
      </c>
      <c r="C6" s="503">
        <f>(D6+E6)</f>
        <v>40</v>
      </c>
      <c r="D6" s="146">
        <v>20</v>
      </c>
      <c r="E6" s="146">
        <v>20</v>
      </c>
      <c r="F6" s="666" t="s">
        <v>367</v>
      </c>
      <c r="G6" s="89"/>
      <c r="I6" s="89"/>
      <c r="J6" s="89"/>
      <c r="K6" s="89"/>
      <c r="L6" s="89"/>
    </row>
    <row r="7" spans="1:12" x14ac:dyDescent="0.2">
      <c r="A7" s="676">
        <v>2</v>
      </c>
      <c r="B7" s="664" t="s">
        <v>178</v>
      </c>
      <c r="C7" s="503">
        <f>(D7+E7)</f>
        <v>34</v>
      </c>
      <c r="D7" s="146">
        <v>16</v>
      </c>
      <c r="E7" s="137">
        <v>18</v>
      </c>
      <c r="F7" s="666" t="s">
        <v>367</v>
      </c>
      <c r="G7" s="89"/>
      <c r="I7" s="89"/>
      <c r="J7" s="89"/>
      <c r="K7" s="89"/>
      <c r="L7" s="89"/>
    </row>
    <row r="8" spans="1:12" ht="12.75" customHeight="1" x14ac:dyDescent="0.2">
      <c r="A8" s="676">
        <v>3</v>
      </c>
      <c r="B8" s="253" t="s">
        <v>177</v>
      </c>
      <c r="C8" s="503">
        <f t="shared" ref="C8:C23" si="0">(D8+E8)</f>
        <v>29</v>
      </c>
      <c r="D8" s="146">
        <v>18</v>
      </c>
      <c r="E8" s="137">
        <v>11</v>
      </c>
      <c r="F8" s="89"/>
      <c r="G8" s="89"/>
      <c r="I8" s="89"/>
      <c r="J8" s="89"/>
      <c r="K8" s="89"/>
      <c r="L8" s="89"/>
    </row>
    <row r="9" spans="1:12" x14ac:dyDescent="0.2">
      <c r="A9" s="676">
        <v>4</v>
      </c>
      <c r="B9" s="253" t="s">
        <v>243</v>
      </c>
      <c r="C9" s="503">
        <f>(D9+E9)</f>
        <v>27</v>
      </c>
      <c r="D9" s="146">
        <v>11</v>
      </c>
      <c r="E9" s="137">
        <v>16</v>
      </c>
      <c r="F9" s="89"/>
      <c r="G9" s="89"/>
      <c r="I9" s="89"/>
      <c r="J9" s="89"/>
      <c r="K9" s="89"/>
      <c r="L9" s="89"/>
    </row>
    <row r="10" spans="1:12" x14ac:dyDescent="0.2">
      <c r="A10" s="676">
        <v>5</v>
      </c>
      <c r="B10" s="253" t="s">
        <v>244</v>
      </c>
      <c r="C10" s="503">
        <f>(D10+E10)</f>
        <v>27</v>
      </c>
      <c r="D10" s="146">
        <v>13</v>
      </c>
      <c r="E10" s="137">
        <v>14</v>
      </c>
      <c r="F10" s="89"/>
      <c r="G10" s="89"/>
      <c r="I10" s="89"/>
      <c r="J10" s="89"/>
      <c r="K10" s="89"/>
      <c r="L10" s="89"/>
    </row>
    <row r="11" spans="1:12" x14ac:dyDescent="0.2">
      <c r="A11" s="676">
        <v>6</v>
      </c>
      <c r="B11" s="253" t="s">
        <v>179</v>
      </c>
      <c r="C11" s="667">
        <f>(D11+E11)</f>
        <v>24.5</v>
      </c>
      <c r="D11" s="146">
        <v>12</v>
      </c>
      <c r="E11" s="137">
        <v>12.5</v>
      </c>
      <c r="F11" s="89"/>
      <c r="G11" s="89"/>
      <c r="I11" s="89"/>
      <c r="J11" s="89"/>
      <c r="K11" s="89"/>
      <c r="L11" s="89"/>
    </row>
    <row r="12" spans="1:12" x14ac:dyDescent="0.2">
      <c r="A12" s="676">
        <v>7</v>
      </c>
      <c r="B12" s="253" t="s">
        <v>371</v>
      </c>
      <c r="C12" s="667">
        <f>(D12+E12)</f>
        <v>22.5</v>
      </c>
      <c r="D12" s="146">
        <v>10</v>
      </c>
      <c r="E12" s="137">
        <v>12.5</v>
      </c>
      <c r="F12" s="89"/>
      <c r="G12" s="89"/>
      <c r="I12" s="89"/>
      <c r="J12" s="89"/>
      <c r="K12" s="89"/>
      <c r="L12" s="89"/>
    </row>
    <row r="13" spans="1:12" x14ac:dyDescent="0.2">
      <c r="A13" s="676">
        <v>8</v>
      </c>
      <c r="B13" s="536" t="s">
        <v>169</v>
      </c>
      <c r="C13" s="503">
        <f t="shared" si="0"/>
        <v>14</v>
      </c>
      <c r="D13" s="146">
        <v>14</v>
      </c>
      <c r="E13" s="137"/>
      <c r="F13" s="89"/>
      <c r="G13" s="89"/>
      <c r="I13" s="89"/>
      <c r="J13" s="89"/>
      <c r="K13" s="89"/>
      <c r="L13" s="89"/>
    </row>
    <row r="14" spans="1:12" hidden="1" x14ac:dyDescent="0.2">
      <c r="A14" s="659">
        <v>11</v>
      </c>
      <c r="B14" s="660"/>
      <c r="C14" s="661">
        <f t="shared" si="0"/>
        <v>0</v>
      </c>
      <c r="D14" s="662"/>
      <c r="E14" s="662"/>
    </row>
    <row r="15" spans="1:12" hidden="1" x14ac:dyDescent="0.2">
      <c r="A15" s="144">
        <v>12</v>
      </c>
      <c r="B15" s="147"/>
      <c r="C15" s="145">
        <f t="shared" si="0"/>
        <v>0</v>
      </c>
      <c r="D15" s="146"/>
      <c r="E15" s="137"/>
    </row>
    <row r="16" spans="1:12" hidden="1" x14ac:dyDescent="0.2">
      <c r="A16" s="144">
        <v>13</v>
      </c>
      <c r="B16" s="149"/>
      <c r="C16" s="145">
        <f t="shared" si="0"/>
        <v>0</v>
      </c>
      <c r="D16" s="146"/>
      <c r="E16" s="146"/>
    </row>
    <row r="17" spans="1:5" s="89" customFormat="1" hidden="1" x14ac:dyDescent="0.2">
      <c r="A17" s="144">
        <v>14</v>
      </c>
      <c r="B17" s="149"/>
      <c r="C17" s="145">
        <f t="shared" si="0"/>
        <v>0</v>
      </c>
      <c r="D17" s="146"/>
      <c r="E17" s="146"/>
    </row>
    <row r="18" spans="1:5" hidden="1" x14ac:dyDescent="0.2">
      <c r="A18" s="144">
        <v>15</v>
      </c>
      <c r="B18" s="149"/>
      <c r="C18" s="145">
        <f t="shared" si="0"/>
        <v>0</v>
      </c>
      <c r="D18" s="146"/>
      <c r="E18" s="137"/>
    </row>
    <row r="19" spans="1:5" hidden="1" x14ac:dyDescent="0.2">
      <c r="A19" s="144">
        <v>16</v>
      </c>
      <c r="B19" s="149"/>
      <c r="C19" s="145">
        <f t="shared" si="0"/>
        <v>0</v>
      </c>
      <c r="D19" s="146"/>
      <c r="E19" s="137"/>
    </row>
    <row r="20" spans="1:5" hidden="1" x14ac:dyDescent="0.2">
      <c r="A20" s="144">
        <v>17</v>
      </c>
      <c r="B20" s="147"/>
      <c r="C20" s="145">
        <f t="shared" si="0"/>
        <v>0</v>
      </c>
      <c r="D20" s="146"/>
      <c r="E20" s="146"/>
    </row>
    <row r="21" spans="1:5" hidden="1" x14ac:dyDescent="0.2">
      <c r="A21" s="144">
        <v>18</v>
      </c>
      <c r="B21" s="147"/>
      <c r="C21" s="145">
        <f t="shared" si="0"/>
        <v>0</v>
      </c>
      <c r="D21" s="146"/>
      <c r="E21" s="137"/>
    </row>
    <row r="22" spans="1:5" hidden="1" x14ac:dyDescent="0.2">
      <c r="A22" s="144">
        <v>19</v>
      </c>
      <c r="B22" s="149"/>
      <c r="C22" s="145">
        <f t="shared" si="0"/>
        <v>0</v>
      </c>
      <c r="D22" s="146"/>
      <c r="E22" s="146"/>
    </row>
    <row r="23" spans="1:5" hidden="1" x14ac:dyDescent="0.2">
      <c r="A23" s="144">
        <v>20</v>
      </c>
      <c r="B23" s="149"/>
      <c r="C23" s="145">
        <f t="shared" si="0"/>
        <v>0</v>
      </c>
      <c r="D23" s="146"/>
      <c r="E23" s="146"/>
    </row>
  </sheetData>
  <conditionalFormatting sqref="B14:B23">
    <cfRule type="duplicateValues" dxfId="6" priority="56" stopIfTrue="1"/>
  </conditionalFormatting>
  <conditionalFormatting sqref="D6:D23">
    <cfRule type="top10" dxfId="5" priority="57" stopIfTrue="1" rank="1"/>
  </conditionalFormatting>
  <conditionalFormatting sqref="E6:E23">
    <cfRule type="top10" dxfId="4" priority="59" stopIfTrue="1" rank="1"/>
  </conditionalFormatting>
  <conditionalFormatting sqref="C6:C23">
    <cfRule type="duplicateValues" dxfId="3" priority="61"/>
    <cfRule type="duplicateValues" dxfId="2" priority="62" stopIfTrue="1"/>
  </conditionalFormatting>
  <pageMargins left="0.39370078740157483" right="0.39370078740157483" top="0.78740157480314965" bottom="0.39370078740157483" header="0.59055118110236227" footer="0"/>
  <pageSetup paperSize="9" fitToHeight="0" orientation="landscape" verticalDpi="1200"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59"/>
  <sheetViews>
    <sheetView showGridLines="0" showRowColHeaders="0" zoomScaleNormal="100" workbookViewId="0">
      <pane ySplit="2" topLeftCell="A3" activePane="bottomLeft" state="frozen"/>
      <selection pane="bottomLeft" activeCell="L1" sqref="L1"/>
    </sheetView>
  </sheetViews>
  <sheetFormatPr defaultRowHeight="12.75" x14ac:dyDescent="0.2"/>
  <cols>
    <col min="1" max="1" width="3.28515625" customWidth="1"/>
    <col min="2" max="2" width="60" customWidth="1"/>
    <col min="3" max="8" width="5.140625" customWidth="1"/>
    <col min="14" max="16" width="1.7109375" customWidth="1"/>
  </cols>
  <sheetData>
    <row r="1" spans="1:10" x14ac:dyDescent="0.2">
      <c r="A1" s="213" t="str">
        <f>UPPER((Kalend!D33)&amp;" - "&amp;(Kalend!C33)&amp;" - "&amp;(Kalend!E33))</f>
        <v>REG-FIN - REGIOONIDE KARIKA FINAAL - TRIO</v>
      </c>
      <c r="G1" s="133" t="str">
        <f>HYPERLINK("#'Kalend'!I1","Kalender")</f>
        <v>Kalender</v>
      </c>
      <c r="I1" s="215"/>
      <c r="J1" s="133" t="str">
        <f>HYPERLINK("https://www.petanque.ee/juhendid/regioonide-karikas-2016-2017/","Juhend")</f>
        <v>Juhend</v>
      </c>
    </row>
    <row r="2" spans="1:10" x14ac:dyDescent="0.2">
      <c r="A2" s="216" t="str">
        <f>"Toimumisaeg: "&amp;(Kalend!A33)&amp;" kell "&amp;(Kalend!B33)</f>
        <v>Toimumisaeg: L, 22.04.2017 kell 11:00</v>
      </c>
      <c r="I2" s="533"/>
    </row>
    <row r="3" spans="1:10" x14ac:dyDescent="0.2">
      <c r="A3" s="504" t="str">
        <f>"Toimumiskoht: "&amp;(Kalend!F33)</f>
        <v>Toimumiskoht: Tallinn</v>
      </c>
    </row>
    <row r="4" spans="1:10" x14ac:dyDescent="0.2">
      <c r="A4" s="216" t="str">
        <f>"Korraldaja: "&amp;(Kalend!G33)</f>
        <v>Korraldaja: EPKL</v>
      </c>
    </row>
    <row r="6" spans="1:10" x14ac:dyDescent="0.2">
      <c r="A6" s="424" t="s">
        <v>156</v>
      </c>
      <c r="B6" s="424"/>
      <c r="C6" s="425">
        <v>1</v>
      </c>
      <c r="D6" s="425">
        <v>2</v>
      </c>
      <c r="E6" s="425">
        <v>3</v>
      </c>
      <c r="F6" s="425">
        <v>4</v>
      </c>
      <c r="G6" s="425" t="s">
        <v>164</v>
      </c>
      <c r="H6" s="425" t="s">
        <v>101</v>
      </c>
    </row>
    <row r="7" spans="1:10" x14ac:dyDescent="0.2">
      <c r="A7" s="424">
        <v>1</v>
      </c>
      <c r="B7" s="455" t="s">
        <v>411</v>
      </c>
      <c r="C7" s="426"/>
      <c r="D7" s="427">
        <v>0</v>
      </c>
      <c r="E7" s="427">
        <v>5</v>
      </c>
      <c r="F7" s="427"/>
      <c r="G7" s="914" t="s">
        <v>174</v>
      </c>
      <c r="H7" s="913" t="s">
        <v>182</v>
      </c>
    </row>
    <row r="8" spans="1:10" x14ac:dyDescent="0.2">
      <c r="A8" s="424">
        <v>2</v>
      </c>
      <c r="B8" s="431" t="s">
        <v>410</v>
      </c>
      <c r="C8" s="427">
        <v>13</v>
      </c>
      <c r="D8" s="426"/>
      <c r="E8" s="427">
        <v>5</v>
      </c>
      <c r="F8" s="427"/>
      <c r="G8" s="914" t="s">
        <v>165</v>
      </c>
      <c r="H8" s="913" t="s">
        <v>181</v>
      </c>
    </row>
    <row r="9" spans="1:10" x14ac:dyDescent="0.2">
      <c r="A9" s="424">
        <v>3</v>
      </c>
      <c r="B9" s="431" t="s">
        <v>409</v>
      </c>
      <c r="C9" s="427">
        <v>13</v>
      </c>
      <c r="D9" s="430">
        <v>13</v>
      </c>
      <c r="E9" s="426"/>
      <c r="F9" s="427"/>
      <c r="G9" s="914" t="s">
        <v>173</v>
      </c>
      <c r="H9" s="430" t="s">
        <v>180</v>
      </c>
    </row>
    <row r="10" spans="1:10" x14ac:dyDescent="0.2">
      <c r="A10" s="424">
        <v>4</v>
      </c>
      <c r="B10" s="431" t="s">
        <v>160</v>
      </c>
      <c r="C10" s="427"/>
      <c r="D10" s="427"/>
      <c r="E10" s="427"/>
      <c r="F10" s="426"/>
      <c r="G10" s="428"/>
      <c r="H10" s="427"/>
    </row>
    <row r="11" spans="1:10" x14ac:dyDescent="0.2">
      <c r="A11" s="429"/>
      <c r="B11" s="429"/>
      <c r="C11" s="429"/>
      <c r="D11" s="429"/>
      <c r="E11" s="429"/>
      <c r="F11" s="429"/>
      <c r="G11" s="429"/>
      <c r="H11" s="429"/>
    </row>
    <row r="12" spans="1:10" x14ac:dyDescent="0.2">
      <c r="A12" s="424" t="s">
        <v>217</v>
      </c>
      <c r="B12" s="424"/>
      <c r="C12" s="425">
        <v>1</v>
      </c>
      <c r="D12" s="425">
        <v>2</v>
      </c>
      <c r="E12" s="425">
        <v>3</v>
      </c>
      <c r="F12" s="425">
        <v>4</v>
      </c>
      <c r="G12" s="425" t="s">
        <v>164</v>
      </c>
      <c r="H12" s="425" t="s">
        <v>101</v>
      </c>
    </row>
    <row r="13" spans="1:10" x14ac:dyDescent="0.2">
      <c r="A13" s="424">
        <v>1</v>
      </c>
      <c r="B13" s="917" t="s">
        <v>412</v>
      </c>
      <c r="C13" s="426"/>
      <c r="D13" s="427">
        <v>13</v>
      </c>
      <c r="E13" s="427">
        <v>13</v>
      </c>
      <c r="F13" s="427">
        <v>13</v>
      </c>
      <c r="G13" s="914" t="s">
        <v>363</v>
      </c>
      <c r="H13" s="913" t="s">
        <v>180</v>
      </c>
    </row>
    <row r="14" spans="1:10" x14ac:dyDescent="0.2">
      <c r="A14" s="424">
        <v>2</v>
      </c>
      <c r="B14" s="431" t="s">
        <v>415</v>
      </c>
      <c r="C14" s="427">
        <v>9</v>
      </c>
      <c r="D14" s="426"/>
      <c r="E14" s="427">
        <v>13</v>
      </c>
      <c r="F14" s="427">
        <v>13</v>
      </c>
      <c r="G14" s="914" t="s">
        <v>218</v>
      </c>
      <c r="H14" s="913" t="s">
        <v>181</v>
      </c>
    </row>
    <row r="15" spans="1:10" x14ac:dyDescent="0.2">
      <c r="A15" s="424">
        <v>3</v>
      </c>
      <c r="B15" s="431" t="s">
        <v>413</v>
      </c>
      <c r="C15" s="427">
        <v>0</v>
      </c>
      <c r="D15" s="430">
        <v>9</v>
      </c>
      <c r="E15" s="426"/>
      <c r="F15" s="427">
        <v>13</v>
      </c>
      <c r="G15" s="914" t="s">
        <v>219</v>
      </c>
      <c r="H15" s="430" t="s">
        <v>182</v>
      </c>
    </row>
    <row r="16" spans="1:10" x14ac:dyDescent="0.2">
      <c r="A16" s="424">
        <v>4</v>
      </c>
      <c r="B16" s="431" t="s">
        <v>414</v>
      </c>
      <c r="C16" s="427">
        <v>0</v>
      </c>
      <c r="D16" s="427">
        <v>6</v>
      </c>
      <c r="E16" s="427">
        <v>8</v>
      </c>
      <c r="F16" s="426"/>
      <c r="G16" s="914" t="s">
        <v>276</v>
      </c>
      <c r="H16" s="913" t="s">
        <v>245</v>
      </c>
    </row>
    <row r="18" spans="1:8" x14ac:dyDescent="0.2">
      <c r="A18" s="454" t="s">
        <v>122</v>
      </c>
    </row>
    <row r="20" spans="1:8" x14ac:dyDescent="0.2">
      <c r="A20" s="432" t="s">
        <v>207</v>
      </c>
      <c r="B20" s="915" t="s">
        <v>409</v>
      </c>
      <c r="C20" s="433">
        <v>10</v>
      </c>
      <c r="D20" s="429"/>
      <c r="E20" s="429"/>
      <c r="F20" s="429"/>
      <c r="G20" s="429"/>
      <c r="H20" s="429"/>
    </row>
    <row r="21" spans="1:8" x14ac:dyDescent="0.2">
      <c r="A21" s="434"/>
      <c r="B21" s="435"/>
      <c r="C21" s="436" t="s">
        <v>415</v>
      </c>
      <c r="D21" s="437"/>
      <c r="E21" s="429"/>
      <c r="F21" s="433">
        <v>4</v>
      </c>
      <c r="G21" s="429"/>
      <c r="H21" s="429"/>
    </row>
    <row r="22" spans="1:8" x14ac:dyDescent="0.2">
      <c r="A22" s="434" t="s">
        <v>161</v>
      </c>
      <c r="B22" s="437" t="s">
        <v>415</v>
      </c>
      <c r="C22" s="438">
        <v>13</v>
      </c>
      <c r="D22" s="429"/>
      <c r="E22" s="439"/>
      <c r="F22" s="429"/>
      <c r="G22" s="429"/>
      <c r="H22" s="429"/>
    </row>
    <row r="23" spans="1:8" ht="13.5" thickBot="1" x14ac:dyDescent="0.25">
      <c r="A23" s="434"/>
      <c r="B23" s="429"/>
      <c r="C23" s="429"/>
      <c r="D23" s="440"/>
      <c r="E23" s="441"/>
      <c r="F23" s="429"/>
      <c r="G23" s="455" t="s">
        <v>412</v>
      </c>
      <c r="H23" s="429"/>
    </row>
    <row r="24" spans="1:8" x14ac:dyDescent="0.2">
      <c r="A24" s="434" t="s">
        <v>209</v>
      </c>
      <c r="B24" s="429" t="s">
        <v>412</v>
      </c>
      <c r="C24" s="442">
        <v>13</v>
      </c>
      <c r="D24" s="429"/>
      <c r="E24" s="441"/>
      <c r="F24" s="443"/>
      <c r="G24" s="444" t="s">
        <v>106</v>
      </c>
      <c r="H24" s="445"/>
    </row>
    <row r="25" spans="1:8" x14ac:dyDescent="0.2">
      <c r="A25" s="434"/>
      <c r="B25" s="435"/>
      <c r="C25" s="446" t="s">
        <v>412</v>
      </c>
      <c r="D25" s="429"/>
      <c r="E25" s="447"/>
      <c r="F25" s="442">
        <v>13</v>
      </c>
      <c r="G25" s="429"/>
      <c r="H25" s="429"/>
    </row>
    <row r="26" spans="1:8" ht="13.5" thickBot="1" x14ac:dyDescent="0.25">
      <c r="A26" s="434" t="s">
        <v>170</v>
      </c>
      <c r="B26" s="437" t="s">
        <v>410</v>
      </c>
      <c r="C26" s="448">
        <v>6</v>
      </c>
      <c r="D26" s="435"/>
      <c r="E26" s="429"/>
      <c r="F26" s="440"/>
      <c r="G26" s="911" t="s">
        <v>415</v>
      </c>
      <c r="H26" s="449"/>
    </row>
    <row r="27" spans="1:8" x14ac:dyDescent="0.2">
      <c r="A27" s="273"/>
      <c r="B27" s="429"/>
      <c r="C27" s="429"/>
      <c r="D27" s="429"/>
      <c r="E27" s="429"/>
      <c r="F27" s="440"/>
      <c r="G27" s="444" t="s">
        <v>107</v>
      </c>
      <c r="H27" s="440"/>
    </row>
    <row r="28" spans="1:8" x14ac:dyDescent="0.2">
      <c r="A28" s="273"/>
      <c r="B28" s="429"/>
      <c r="C28" s="429" t="s">
        <v>409</v>
      </c>
      <c r="D28" s="429"/>
      <c r="E28" s="429"/>
      <c r="F28" s="442">
        <v>13</v>
      </c>
      <c r="G28" s="440"/>
      <c r="H28" s="440"/>
    </row>
    <row r="29" spans="1:8" ht="13.5" thickBot="1" x14ac:dyDescent="0.25">
      <c r="A29" s="273"/>
      <c r="B29" s="429"/>
      <c r="C29" s="435"/>
      <c r="D29" s="435"/>
      <c r="E29" s="439"/>
      <c r="F29" s="449"/>
      <c r="G29" s="912" t="s">
        <v>409</v>
      </c>
      <c r="H29" s="449"/>
    </row>
    <row r="30" spans="1:8" x14ac:dyDescent="0.2">
      <c r="A30" s="273"/>
      <c r="B30" s="429"/>
      <c r="C30" s="437" t="s">
        <v>410</v>
      </c>
      <c r="D30" s="437"/>
      <c r="E30" s="447"/>
      <c r="F30" s="433">
        <v>1</v>
      </c>
      <c r="G30" s="450" t="s">
        <v>108</v>
      </c>
      <c r="H30" s="440"/>
    </row>
    <row r="31" spans="1:8" x14ac:dyDescent="0.2">
      <c r="A31" s="273"/>
      <c r="B31" s="429"/>
      <c r="C31" s="429"/>
      <c r="D31" s="429"/>
      <c r="E31" s="429"/>
      <c r="F31" s="429"/>
      <c r="G31" s="440"/>
      <c r="H31" s="440"/>
    </row>
    <row r="32" spans="1:8" ht="13.5" thickBot="1" x14ac:dyDescent="0.25">
      <c r="A32" s="273"/>
      <c r="B32" s="429"/>
      <c r="C32" s="429"/>
      <c r="D32" s="440"/>
      <c r="E32" s="440"/>
      <c r="F32" s="429"/>
      <c r="G32" s="449" t="s">
        <v>410</v>
      </c>
      <c r="H32" s="449"/>
    </row>
    <row r="33" spans="1:8" x14ac:dyDescent="0.2">
      <c r="A33" s="273"/>
      <c r="B33" s="429"/>
      <c r="C33" s="429"/>
      <c r="D33" s="440"/>
      <c r="E33" s="440"/>
      <c r="F33" s="429"/>
      <c r="G33" s="273" t="s">
        <v>109</v>
      </c>
      <c r="H33" s="429"/>
    </row>
    <row r="34" spans="1:8" s="89" customFormat="1" x14ac:dyDescent="0.2">
      <c r="A34" s="273"/>
      <c r="B34" s="429"/>
      <c r="C34" s="429"/>
      <c r="D34" s="440"/>
      <c r="E34" s="440"/>
      <c r="F34" s="429"/>
      <c r="G34" s="273"/>
      <c r="H34" s="429"/>
    </row>
    <row r="35" spans="1:8" s="89" customFormat="1" x14ac:dyDescent="0.2">
      <c r="A35" s="456" t="s">
        <v>416</v>
      </c>
      <c r="B35" s="429"/>
      <c r="C35" s="429"/>
      <c r="D35" s="440"/>
      <c r="E35" s="440"/>
      <c r="F35" s="429"/>
      <c r="G35" s="273"/>
      <c r="H35" s="429"/>
    </row>
    <row r="36" spans="1:8" x14ac:dyDescent="0.2">
      <c r="A36" s="450"/>
      <c r="B36" s="440"/>
      <c r="C36" s="451"/>
      <c r="D36" s="452"/>
      <c r="E36" s="452"/>
      <c r="F36" s="453"/>
      <c r="G36" s="452"/>
      <c r="H36" s="451"/>
    </row>
    <row r="37" spans="1:8" x14ac:dyDescent="0.2">
      <c r="A37" s="432" t="s">
        <v>220</v>
      </c>
      <c r="B37" s="429" t="s">
        <v>411</v>
      </c>
      <c r="C37" s="433">
        <v>13</v>
      </c>
      <c r="D37" s="429"/>
      <c r="E37" s="429"/>
      <c r="F37" s="429"/>
      <c r="G37" s="429"/>
      <c r="H37" s="429"/>
    </row>
    <row r="38" spans="1:8" x14ac:dyDescent="0.2">
      <c r="A38" s="434"/>
      <c r="B38" s="435"/>
      <c r="C38" s="436" t="s">
        <v>411</v>
      </c>
      <c r="D38" s="437"/>
      <c r="E38" s="437"/>
      <c r="F38" s="433">
        <v>12</v>
      </c>
      <c r="G38" s="429"/>
      <c r="H38" s="429"/>
    </row>
    <row r="39" spans="1:8" x14ac:dyDescent="0.2">
      <c r="A39" s="434" t="s">
        <v>221</v>
      </c>
      <c r="B39" s="437" t="s">
        <v>414</v>
      </c>
      <c r="C39" s="438">
        <v>11</v>
      </c>
      <c r="D39" s="429"/>
      <c r="E39" s="441"/>
      <c r="F39" s="429"/>
      <c r="G39" s="429"/>
      <c r="H39" s="429"/>
    </row>
    <row r="40" spans="1:8" ht="13.5" thickBot="1" x14ac:dyDescent="0.25">
      <c r="A40" s="434"/>
      <c r="B40" s="429"/>
      <c r="C40" s="440"/>
      <c r="D40" s="429"/>
      <c r="E40" s="441"/>
      <c r="F40" s="429"/>
      <c r="G40" s="429" t="s">
        <v>413</v>
      </c>
      <c r="H40" s="429"/>
    </row>
    <row r="41" spans="1:8" x14ac:dyDescent="0.2">
      <c r="A41" s="434" t="s">
        <v>223</v>
      </c>
      <c r="B41" s="915" t="s">
        <v>160</v>
      </c>
      <c r="C41" s="442">
        <v>0</v>
      </c>
      <c r="D41" s="429"/>
      <c r="E41" s="441"/>
      <c r="F41" s="443"/>
      <c r="G41" s="444" t="s">
        <v>110</v>
      </c>
      <c r="H41" s="445"/>
    </row>
    <row r="42" spans="1:8" x14ac:dyDescent="0.2">
      <c r="A42" s="434"/>
      <c r="B42" s="435"/>
      <c r="C42" s="446" t="s">
        <v>413</v>
      </c>
      <c r="D42" s="429"/>
      <c r="E42" s="447"/>
      <c r="F42" s="442">
        <v>13</v>
      </c>
      <c r="G42" s="429"/>
      <c r="H42" s="429"/>
    </row>
    <row r="43" spans="1:8" ht="13.5" thickBot="1" x14ac:dyDescent="0.25">
      <c r="A43" s="434" t="s">
        <v>222</v>
      </c>
      <c r="B43" s="437" t="s">
        <v>413</v>
      </c>
      <c r="C43" s="448">
        <v>13</v>
      </c>
      <c r="D43" s="435"/>
      <c r="E43" s="429"/>
      <c r="F43" s="440"/>
      <c r="G43" s="440" t="s">
        <v>411</v>
      </c>
      <c r="H43" s="449"/>
    </row>
    <row r="44" spans="1:8" x14ac:dyDescent="0.2">
      <c r="A44" s="429"/>
      <c r="B44" s="429"/>
      <c r="C44" s="429"/>
      <c r="D44" s="429"/>
      <c r="E44" s="429"/>
      <c r="F44" s="440"/>
      <c r="G44" s="444" t="s">
        <v>111</v>
      </c>
      <c r="H44" s="440"/>
    </row>
    <row r="45" spans="1:8" x14ac:dyDescent="0.2">
      <c r="A45" s="429"/>
      <c r="B45" s="429"/>
      <c r="C45" s="429" t="s">
        <v>414</v>
      </c>
      <c r="D45" s="429"/>
      <c r="E45" s="429"/>
      <c r="F45" s="442">
        <v>13</v>
      </c>
      <c r="G45" s="440"/>
      <c r="H45" s="440"/>
    </row>
    <row r="46" spans="1:8" ht="13.5" thickBot="1" x14ac:dyDescent="0.25">
      <c r="A46" s="429"/>
      <c r="B46" s="429"/>
      <c r="C46" s="435"/>
      <c r="D46" s="435"/>
      <c r="E46" s="439"/>
      <c r="F46" s="449"/>
      <c r="G46" s="449" t="s">
        <v>414</v>
      </c>
      <c r="H46" s="449"/>
    </row>
    <row r="47" spans="1:8" x14ac:dyDescent="0.2">
      <c r="A47" s="429"/>
      <c r="B47" s="429"/>
      <c r="C47" s="916" t="s">
        <v>160</v>
      </c>
      <c r="D47" s="437"/>
      <c r="E47" s="447"/>
      <c r="F47" s="433">
        <v>0</v>
      </c>
      <c r="G47" s="450" t="s">
        <v>112</v>
      </c>
      <c r="H47" s="440"/>
    </row>
    <row r="48" spans="1:8" x14ac:dyDescent="0.2">
      <c r="A48" s="429"/>
      <c r="B48" s="429"/>
      <c r="C48" s="429"/>
      <c r="D48" s="429"/>
      <c r="E48" s="429"/>
      <c r="F48" s="429"/>
      <c r="G48" s="440"/>
      <c r="H48" s="440"/>
    </row>
    <row r="49" spans="1:8" ht="13.5" thickBot="1" x14ac:dyDescent="0.25">
      <c r="A49" s="429"/>
      <c r="B49" s="429"/>
      <c r="C49" s="429"/>
      <c r="D49" s="440"/>
      <c r="E49" s="440"/>
      <c r="F49" s="429"/>
      <c r="G49" s="449"/>
      <c r="H49" s="449"/>
    </row>
    <row r="50" spans="1:8" x14ac:dyDescent="0.2">
      <c r="A50" s="429"/>
      <c r="B50" s="429"/>
      <c r="C50" s="429"/>
      <c r="D50" s="440"/>
      <c r="E50" s="440"/>
      <c r="F50" s="429"/>
      <c r="G50" s="273" t="s">
        <v>113</v>
      </c>
      <c r="H50" s="429"/>
    </row>
    <row r="52" spans="1:8" x14ac:dyDescent="0.2">
      <c r="A52" s="217">
        <v>1</v>
      </c>
      <c r="B52" s="339" t="s">
        <v>412</v>
      </c>
    </row>
    <row r="53" spans="1:8" x14ac:dyDescent="0.2">
      <c r="A53" s="217">
        <v>2</v>
      </c>
      <c r="B53" s="457" t="s">
        <v>415</v>
      </c>
    </row>
    <row r="54" spans="1:8" x14ac:dyDescent="0.2">
      <c r="A54" s="217">
        <v>3</v>
      </c>
      <c r="B54" s="458" t="s">
        <v>408</v>
      </c>
    </row>
    <row r="55" spans="1:8" x14ac:dyDescent="0.2">
      <c r="A55" s="217">
        <v>4</v>
      </c>
      <c r="B55" s="409" t="s">
        <v>410</v>
      </c>
    </row>
    <row r="56" spans="1:8" x14ac:dyDescent="0.2">
      <c r="A56" s="217">
        <v>5</v>
      </c>
      <c r="B56" s="409" t="s">
        <v>413</v>
      </c>
    </row>
    <row r="57" spans="1:8" x14ac:dyDescent="0.2">
      <c r="A57" s="217">
        <v>6</v>
      </c>
      <c r="B57" s="409" t="s">
        <v>411</v>
      </c>
    </row>
    <row r="58" spans="1:8" x14ac:dyDescent="0.2">
      <c r="A58" s="217">
        <v>7</v>
      </c>
      <c r="B58" s="409" t="s">
        <v>414</v>
      </c>
    </row>
    <row r="59" spans="1:8" x14ac:dyDescent="0.2">
      <c r="A59" s="217">
        <v>8</v>
      </c>
      <c r="B59" s="409"/>
    </row>
  </sheetData>
  <conditionalFormatting sqref="C20:G22 C24:G47 C23:F23">
    <cfRule type="cellIs" dxfId="1" priority="1" stopIfTrue="1" operator="equal">
      <formula>13</formula>
    </cfRule>
  </conditionalFormatting>
  <conditionalFormatting sqref="C7:H16">
    <cfRule type="cellIs" dxfId="0" priority="2" stopIfTrue="1" operator="equal">
      <formula>13</formula>
    </cfRule>
  </conditionalFormatting>
  <pageMargins left="0.39370078740157483" right="0.39370078740157483" top="0.78740157480314965" bottom="0.39370078740157483" header="0.59055118110236227" footer="0"/>
  <pageSetup paperSize="9" scale="99" fitToHeight="0" orientation="landscape" verticalDpi="0" r:id="rId1"/>
  <headerFooter>
    <oddHeader>&amp;R&amp;9Page &amp;P of &amp;N</oddHead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Kalend</vt:lpstr>
      <vt:lpstr>Kal E</vt:lpstr>
      <vt:lpstr>Reit</vt:lpstr>
      <vt:lpstr>1</vt:lpstr>
      <vt:lpstr>2</vt:lpstr>
      <vt:lpstr>JT</vt:lpstr>
      <vt:lpstr>Tul</vt:lpstr>
      <vt:lpstr>3</vt:lpstr>
      <vt:lpstr>4</vt:lpstr>
      <vt:lpstr>Sõ</vt:lpstr>
      <vt:lpstr>5</vt:lpstr>
      <vt:lpstr>6</vt:lpstr>
      <vt:lpstr>7</vt:lpstr>
      <vt:lpstr>8</vt:lpstr>
      <vt:lpstr>9</vt:lpstr>
      <vt:lpstr>Reg-1</vt:lpstr>
      <vt:lpstr>Reg-2</vt:lpstr>
      <vt:lpstr>Reg-Sum</vt:lpstr>
      <vt:lpstr>Reg-Fin</vt:lpstr>
      <vt:lpstr>Kalend!Print_Area</vt:lpstr>
      <vt:lpstr>'1'!Print_Titles</vt:lpstr>
      <vt:lpstr>'2'!Print_Titles</vt:lpstr>
      <vt:lpstr>'3'!Print_Titles</vt:lpstr>
      <vt:lpstr>'4'!Print_Titles</vt:lpstr>
      <vt:lpstr>'5'!Print_Titles</vt:lpstr>
      <vt:lpstr>'6'!Print_Titles</vt:lpstr>
      <vt:lpstr>'7'!Print_Titles</vt:lpstr>
      <vt:lpstr>'8'!Print_Titles</vt:lpstr>
      <vt:lpstr>'9'!Print_Titles</vt:lpstr>
      <vt:lpstr>JT!Print_Titles</vt:lpstr>
      <vt:lpstr>'Kal E'!Print_Titles</vt:lpstr>
      <vt:lpstr>Kalend!Print_Titles</vt:lpstr>
      <vt:lpstr>'Reg-1'!Print_Titles</vt:lpstr>
      <vt:lpstr>'Reg-2'!Print_Titles</vt:lpstr>
      <vt:lpstr>'Reg-Fin'!Print_Titles</vt:lpstr>
      <vt:lpstr>Reit!Print_Titles</vt:lpstr>
      <vt:lpstr>Tul!Print_Titles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2016-08-26T11:09:57Z</dcterms:created>
  <dcterms:modified xsi:type="dcterms:W3CDTF">2018-12-09T10:26:36Z</dcterms:modified>
</cp:coreProperties>
</file>