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comments8.xml" ContentType="application/vnd.openxmlformats-officedocument.spreadsheetml.comments+xml"/>
  <Override PartName="/xl/drawings/drawing5.xml" ContentType="application/vnd.openxmlformats-officedocument.drawing+xml"/>
  <Override PartName="/xl/comments9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0.xml" ContentType="application/vnd.openxmlformats-officedocument.spreadsheetml.comments+xml"/>
  <Override PartName="/xl/drawings/drawing8.xml" ContentType="application/vnd.openxmlformats-officedocument.drawing+xml"/>
  <Override PartName="/xl/comments11.xml" ContentType="application/vnd.openxmlformats-officedocument.spreadsheetml.comments+xml"/>
  <Override PartName="/xl/drawings/drawing9.xml" ContentType="application/vnd.openxmlformats-officedocument.drawing+xml"/>
  <Override PartName="/xl/comments12.xml" ContentType="application/vnd.openxmlformats-officedocument.spreadsheetml.comments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35" windowWidth="15180" windowHeight="8070" tabRatio="902" activeTab="1"/>
  </bookViews>
  <sheets>
    <sheet name="Kalend" sheetId="4" r:id="rId1"/>
    <sheet name="Kal E" sheetId="5" r:id="rId2"/>
    <sheet name="Reit" sheetId="6" r:id="rId3"/>
    <sheet name="A" sheetId="7" r:id="rId4"/>
    <sheet name="1" sheetId="8" r:id="rId5"/>
    <sheet name="2" sheetId="9" r:id="rId6"/>
    <sheet name="3" sheetId="10" r:id="rId7"/>
    <sheet name="KJ" sheetId="11" r:id="rId8"/>
    <sheet name="4" sheetId="12" r:id="rId9"/>
    <sheet name="Mu" sheetId="13" r:id="rId10"/>
    <sheet name="5" sheetId="14" r:id="rId11"/>
    <sheet name="6" sheetId="15" r:id="rId12"/>
    <sheet name="7" sheetId="16" r:id="rId13"/>
    <sheet name="8" sheetId="17" r:id="rId14"/>
    <sheet name="9" sheetId="18" r:id="rId15"/>
    <sheet name="10" sheetId="19" r:id="rId16"/>
    <sheet name="11" sheetId="20" r:id="rId17"/>
    <sheet name="12,T6" sheetId="21" r:id="rId18"/>
    <sheet name="13" sheetId="22" r:id="rId19"/>
    <sheet name="L" sheetId="23" r:id="rId20"/>
    <sheet name="Tul" sheetId="24" r:id="rId21"/>
    <sheet name="T1" sheetId="25" r:id="rId22"/>
    <sheet name="T2" sheetId="26" r:id="rId23"/>
    <sheet name="T3" sheetId="27" r:id="rId24"/>
    <sheet name="T4" sheetId="28" r:id="rId25"/>
    <sheet name="T5" sheetId="29" r:id="rId26"/>
    <sheet name="T6" sheetId="30" r:id="rId27"/>
    <sheet name="M" sheetId="31" r:id="rId28"/>
    <sheet name="M1" sheetId="32" r:id="rId29"/>
    <sheet name="M2" sheetId="33" r:id="rId30"/>
    <sheet name="M3" sheetId="34" r:id="rId31"/>
    <sheet name="M4" sheetId="35" r:id="rId32"/>
    <sheet name="M5" sheetId="36" r:id="rId33"/>
    <sheet name="V" sheetId="37" r:id="rId34"/>
    <sheet name="V Fin" sheetId="38" r:id="rId35"/>
    <sheet name="V1" sheetId="39" r:id="rId36"/>
    <sheet name="V2" sheetId="40" r:id="rId37"/>
    <sheet name="V3" sheetId="41" r:id="rId38"/>
    <sheet name="V4" sheetId="42" r:id="rId39"/>
    <sheet name="V5" sheetId="43" r:id="rId40"/>
    <sheet name="V6" sheetId="44" r:id="rId41"/>
    <sheet name="V7" sheetId="45" r:id="rId42"/>
    <sheet name="V8" sheetId="46" r:id="rId43"/>
    <sheet name="V9" sheetId="47" r:id="rId44"/>
    <sheet name="V10" sheetId="48" r:id="rId45"/>
  </sheets>
  <definedNames>
    <definedName name="_xlnm._FilterDatabase" localSheetId="0" hidden="1">Kalend!$A$3:$H$48</definedName>
    <definedName name="_xlnm._FilterDatabase" localSheetId="7" hidden="1">KJ!$I$6:$K$6</definedName>
    <definedName name="_xlnm._FilterDatabase" localSheetId="27" hidden="1">M!$N$6:$P$6</definedName>
    <definedName name="_xlnm._FilterDatabase" localSheetId="2" hidden="1">Reit!$T$7:$V$7</definedName>
    <definedName name="_xlnm._FilterDatabase" localSheetId="20" hidden="1">Tul!$K$6:$M$6</definedName>
    <definedName name="_xlnm._FilterDatabase" localSheetId="33" hidden="1">V!$A$9:$A$34</definedName>
    <definedName name="_xlnm.Print_Area" localSheetId="17">'12,T6'!$A$1:$X$56</definedName>
    <definedName name="_xlnm.Print_Area" localSheetId="9">Mu!$A$1:$K$245</definedName>
    <definedName name="_xlnm.Print_Area" localSheetId="2">Reit!$A$1:$V$57</definedName>
    <definedName name="_xlnm.Print_Area" localSheetId="34">'V Fin'!$A$1:$K$140</definedName>
    <definedName name="_xlnm.Print_Titles" localSheetId="4">'1'!$1:$2</definedName>
    <definedName name="_xlnm.Print_Titles" localSheetId="15">'10'!$1:$2</definedName>
    <definedName name="_xlnm.Print_Titles" localSheetId="16">'11'!$1:$2</definedName>
    <definedName name="_xlnm.Print_Titles" localSheetId="17">'12,T6'!$1:$2</definedName>
    <definedName name="_xlnm.Print_Titles" localSheetId="18">'13'!$1:$2</definedName>
    <definedName name="_xlnm.Print_Titles" localSheetId="5">'2'!$1:$2</definedName>
    <definedName name="_xlnm.Print_Titles" localSheetId="6">'3'!$1:$2</definedName>
    <definedName name="_xlnm.Print_Titles" localSheetId="8">'4'!$1:$2</definedName>
    <definedName name="_xlnm.Print_Titles" localSheetId="10">'5'!$1:$2</definedName>
    <definedName name="_xlnm.Print_Titles" localSheetId="11">'6'!$1:$2</definedName>
    <definedName name="_xlnm.Print_Titles" localSheetId="12">'7'!$1:$2</definedName>
    <definedName name="_xlnm.Print_Titles" localSheetId="13">'8'!$1:$2</definedName>
    <definedName name="_xlnm.Print_Titles" localSheetId="14">'9'!$1:$2</definedName>
    <definedName name="_xlnm.Print_Titles" localSheetId="3">A!$1:$2</definedName>
    <definedName name="_xlnm.Print_Titles" localSheetId="1">'Kal E'!$1:$3</definedName>
    <definedName name="_xlnm.Print_Titles" localSheetId="7">KJ!$1:$3</definedName>
    <definedName name="_xlnm.Print_Titles" localSheetId="19">L!$1:$2</definedName>
    <definedName name="_xlnm.Print_Titles" localSheetId="27">M!$1:$3</definedName>
    <definedName name="_xlnm.Print_Titles" localSheetId="28">'M1'!$1:$2</definedName>
    <definedName name="_xlnm.Print_Titles" localSheetId="29">'M2'!$1:$2</definedName>
    <definedName name="_xlnm.Print_Titles" localSheetId="30">'M3'!$1:$2</definedName>
    <definedName name="_xlnm.Print_Titles" localSheetId="31">'M4'!$1:$2</definedName>
    <definedName name="_xlnm.Print_Titles" localSheetId="32">'M5'!$1:$2</definedName>
    <definedName name="_xlnm.Print_Titles" localSheetId="9">Mu!$1:$2</definedName>
    <definedName name="_xlnm.Print_Titles" localSheetId="2">Reit!$1:$3</definedName>
    <definedName name="_xlnm.Print_Titles" localSheetId="21">'T1'!$1:$2</definedName>
    <definedName name="_xlnm.Print_Titles" localSheetId="22">'T2'!$1:$2</definedName>
    <definedName name="_xlnm.Print_Titles" localSheetId="23">'T3'!$1:$2</definedName>
    <definedName name="_xlnm.Print_Titles" localSheetId="24">'T4'!$1:$2</definedName>
    <definedName name="_xlnm.Print_Titles" localSheetId="25">'T5'!$1:$2</definedName>
    <definedName name="_xlnm.Print_Titles" localSheetId="26">'T6'!$1:$2</definedName>
    <definedName name="_xlnm.Print_Titles" localSheetId="20">Tul!$1:$3</definedName>
    <definedName name="_xlnm.Print_Titles" localSheetId="33">V!$1:$3</definedName>
    <definedName name="_xlnm.Print_Titles" localSheetId="34">'V Fin'!$1:$2</definedName>
    <definedName name="_xlnm.Print_Titles" localSheetId="35">'V1'!$1:$2</definedName>
    <definedName name="_xlnm.Print_Titles" localSheetId="44">'V10'!$1:$2</definedName>
    <definedName name="_xlnm.Print_Titles" localSheetId="36">'V2'!$1:$2</definedName>
    <definedName name="_xlnm.Print_Titles" localSheetId="37">'V3'!$1:$2</definedName>
    <definedName name="_xlnm.Print_Titles" localSheetId="38">'V4'!$1:$2</definedName>
    <definedName name="_xlnm.Print_Titles" localSheetId="39">'V5'!$1:$2</definedName>
    <definedName name="_xlnm.Print_Titles" localSheetId="40">'V6'!$1:$2</definedName>
    <definedName name="_xlnm.Print_Titles" localSheetId="41">'V7'!$1:$2</definedName>
    <definedName name="_xlnm.Print_Titles" localSheetId="42">'V8'!$1:$2</definedName>
    <definedName name="_xlnm.Print_Titles" localSheetId="43">'V9'!$1:$2</definedName>
  </definedNames>
  <calcPr calcId="145621"/>
</workbook>
</file>

<file path=xl/calcChain.xml><?xml version="1.0" encoding="utf-8"?>
<calcChain xmlns="http://schemas.openxmlformats.org/spreadsheetml/2006/main">
  <c r="K105" i="5" l="1"/>
  <c r="C105" i="5"/>
  <c r="M94" i="5"/>
  <c r="K94" i="5"/>
  <c r="M58" i="5"/>
  <c r="K58" i="5"/>
  <c r="I58" i="5"/>
  <c r="K84" i="5" l="1"/>
  <c r="K71" i="5"/>
  <c r="K61" i="5"/>
  <c r="M50" i="5"/>
  <c r="K39" i="5"/>
  <c r="K30" i="5"/>
  <c r="M19" i="5"/>
  <c r="K14" i="5" l="1"/>
  <c r="M5" i="5" l="1"/>
  <c r="J5" i="24" l="1"/>
  <c r="R6" i="6"/>
  <c r="M87" i="5"/>
  <c r="M97" i="5"/>
  <c r="E47" i="4"/>
  <c r="E43" i="4"/>
  <c r="E34" i="4" l="1"/>
  <c r="E35" i="4"/>
  <c r="I101" i="5" l="1"/>
  <c r="K97" i="5"/>
  <c r="M91" i="5"/>
  <c r="E87" i="5"/>
  <c r="G84" i="5"/>
  <c r="G80" i="5"/>
  <c r="E80" i="5"/>
  <c r="G75" i="5"/>
  <c r="A75" i="5"/>
  <c r="G71" i="5"/>
  <c r="E71" i="5"/>
  <c r="E48" i="4"/>
  <c r="E46" i="4"/>
  <c r="E44" i="4"/>
  <c r="E42" i="4"/>
  <c r="E41" i="4"/>
  <c r="E40" i="4"/>
  <c r="E39" i="4"/>
  <c r="E37" i="4"/>
  <c r="E36" i="4"/>
  <c r="E33" i="4"/>
  <c r="E32" i="4"/>
  <c r="E31" i="4"/>
  <c r="E30" i="4"/>
  <c r="E29" i="4"/>
  <c r="E27" i="4"/>
  <c r="E26" i="4"/>
  <c r="E25" i="4"/>
  <c r="E24" i="4"/>
  <c r="E23" i="4"/>
  <c r="E22" i="4"/>
  <c r="E21" i="4"/>
  <c r="E19" i="4"/>
  <c r="E18" i="4"/>
  <c r="E17" i="4"/>
  <c r="E16" i="4"/>
  <c r="E15" i="4"/>
  <c r="E14" i="4"/>
  <c r="E12" i="4"/>
  <c r="E11" i="4"/>
  <c r="E10" i="4"/>
  <c r="E9" i="4"/>
  <c r="E8" i="4"/>
  <c r="E7" i="4"/>
  <c r="E6" i="4"/>
  <c r="E5" i="4"/>
  <c r="E64" i="5" l="1"/>
  <c r="E50" i="5"/>
  <c r="E39" i="5"/>
  <c r="E30" i="5"/>
  <c r="E23" i="5"/>
  <c r="E15" i="5"/>
  <c r="E8" i="5"/>
  <c r="G19" i="5"/>
  <c r="M15" i="5"/>
  <c r="G12" i="5"/>
  <c r="I5" i="24" l="1"/>
  <c r="H5" i="24"/>
  <c r="G5" i="24"/>
  <c r="F5" i="24"/>
  <c r="E5" i="24"/>
  <c r="M5" i="31"/>
  <c r="L5" i="31"/>
  <c r="K5" i="31"/>
  <c r="J5" i="31"/>
  <c r="I5" i="31"/>
  <c r="S6" i="6"/>
  <c r="Q6" i="6"/>
  <c r="P6" i="6"/>
  <c r="O6" i="6"/>
  <c r="N6" i="6"/>
  <c r="M6" i="6"/>
  <c r="L6" i="6"/>
  <c r="K6" i="6"/>
  <c r="J6" i="6"/>
  <c r="I6" i="6"/>
  <c r="H6" i="6"/>
  <c r="G6" i="6"/>
  <c r="H5" i="11"/>
  <c r="G5" i="11"/>
  <c r="F5" i="11"/>
  <c r="J34" i="4" l="1"/>
  <c r="J12" i="4"/>
  <c r="J11" i="4"/>
  <c r="J8" i="4"/>
  <c r="J24" i="4"/>
  <c r="B37" i="31"/>
  <c r="M57" i="5"/>
  <c r="G57" i="5"/>
  <c r="F19" i="4"/>
  <c r="F47" i="4"/>
  <c r="F42" i="4"/>
  <c r="F39" i="4"/>
  <c r="F32" i="4"/>
  <c r="F29" i="4"/>
  <c r="F25" i="4"/>
  <c r="F21" i="4"/>
  <c r="F18" i="4"/>
  <c r="F14" i="4"/>
  <c r="F10" i="4"/>
  <c r="F6" i="4"/>
  <c r="G55" i="5"/>
  <c r="M55" i="5"/>
  <c r="A4" i="48"/>
  <c r="A2" i="48"/>
  <c r="G1" i="48"/>
  <c r="E1" i="48"/>
  <c r="A4" i="47"/>
  <c r="A2" i="47"/>
  <c r="J1" i="47"/>
  <c r="H1" i="47"/>
  <c r="A4" i="46"/>
  <c r="A2" i="46"/>
  <c r="H1" i="46"/>
  <c r="F1" i="46"/>
  <c r="A4" i="45"/>
  <c r="A2" i="45"/>
  <c r="I1" i="45"/>
  <c r="G1" i="45"/>
  <c r="A4" i="44"/>
  <c r="A2" i="44"/>
  <c r="H1" i="44"/>
  <c r="F1" i="44"/>
  <c r="A4" i="43"/>
  <c r="A2" i="43"/>
  <c r="I1" i="43"/>
  <c r="G1" i="43"/>
  <c r="A4" i="42"/>
  <c r="A2" i="42"/>
  <c r="H1" i="42"/>
  <c r="F1" i="42"/>
  <c r="A4" i="41"/>
  <c r="A2" i="41"/>
  <c r="I1" i="41"/>
  <c r="G1" i="41"/>
  <c r="A4" i="40"/>
  <c r="A2" i="40"/>
  <c r="F1" i="40"/>
  <c r="D1" i="40"/>
  <c r="A4" i="39"/>
  <c r="A2" i="39"/>
  <c r="I1" i="39"/>
  <c r="G1" i="39"/>
  <c r="A4" i="38"/>
  <c r="A2" i="38"/>
  <c r="H1" i="38"/>
  <c r="F1" i="38"/>
  <c r="N32" i="37"/>
  <c r="L32" i="37"/>
  <c r="K32" i="37"/>
  <c r="J32" i="37"/>
  <c r="I32" i="37"/>
  <c r="H32" i="37"/>
  <c r="G32" i="37"/>
  <c r="F32" i="37"/>
  <c r="E32" i="37"/>
  <c r="D32" i="37"/>
  <c r="C32" i="37"/>
  <c r="A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O7" i="37"/>
  <c r="L7" i="37"/>
  <c r="K7" i="37"/>
  <c r="J7" i="37"/>
  <c r="I7" i="37"/>
  <c r="H7" i="37"/>
  <c r="G7" i="37"/>
  <c r="F7" i="37"/>
  <c r="E7" i="37"/>
  <c r="D7" i="37"/>
  <c r="C7" i="37"/>
  <c r="O6" i="37"/>
  <c r="L6" i="37"/>
  <c r="K6" i="37"/>
  <c r="J6" i="37"/>
  <c r="I6" i="37"/>
  <c r="H6" i="37"/>
  <c r="G6" i="37"/>
  <c r="F6" i="37"/>
  <c r="E6" i="37"/>
  <c r="D6" i="37"/>
  <c r="C6" i="37"/>
  <c r="A4" i="36"/>
  <c r="A2" i="36"/>
  <c r="K1" i="36"/>
  <c r="I1" i="36"/>
  <c r="A4" i="35"/>
  <c r="A2" i="35"/>
  <c r="F1" i="35"/>
  <c r="D1" i="35"/>
  <c r="A4" i="34"/>
  <c r="A2" i="34"/>
  <c r="H1" i="34"/>
  <c r="F1" i="34"/>
  <c r="A4" i="33"/>
  <c r="A2" i="33"/>
  <c r="H1" i="33"/>
  <c r="F1" i="33"/>
  <c r="A4" i="32"/>
  <c r="A2" i="32"/>
  <c r="H1" i="32"/>
  <c r="F1" i="32"/>
  <c r="M37" i="31"/>
  <c r="L37" i="31"/>
  <c r="K37" i="31"/>
  <c r="J37" i="31"/>
  <c r="I37" i="31"/>
  <c r="E37" i="31"/>
  <c r="D37" i="31"/>
  <c r="C37" i="31"/>
  <c r="A37" i="31"/>
  <c r="P36" i="31"/>
  <c r="O36" i="31"/>
  <c r="N36" i="31"/>
  <c r="H36" i="31" a="1"/>
  <c r="H36" i="31"/>
  <c r="P35" i="31"/>
  <c r="O35" i="31"/>
  <c r="N35" i="31"/>
  <c r="H35" i="31" a="1"/>
  <c r="H35" i="31" s="1"/>
  <c r="P34" i="31"/>
  <c r="O34" i="31"/>
  <c r="N34" i="31"/>
  <c r="H34" i="31" a="1"/>
  <c r="H34" i="31" s="1"/>
  <c r="P33" i="31"/>
  <c r="O33" i="31"/>
  <c r="N33" i="31"/>
  <c r="H33" i="31" a="1"/>
  <c r="H33" i="31" s="1"/>
  <c r="P32" i="31"/>
  <c r="O32" i="31"/>
  <c r="N32" i="31"/>
  <c r="H32" i="31" a="1"/>
  <c r="H32" i="31"/>
  <c r="P31" i="31"/>
  <c r="O31" i="31"/>
  <c r="N31" i="31"/>
  <c r="H31" i="31" a="1"/>
  <c r="H31" i="31" s="1"/>
  <c r="P30" i="31"/>
  <c r="O30" i="31"/>
  <c r="N30" i="31"/>
  <c r="H30" i="31" a="1"/>
  <c r="H30" i="31" s="1"/>
  <c r="P29" i="31"/>
  <c r="O29" i="31"/>
  <c r="N29" i="31"/>
  <c r="H29" i="31" a="1"/>
  <c r="H29" i="31" s="1"/>
  <c r="P28" i="31"/>
  <c r="O28" i="31"/>
  <c r="N28" i="31"/>
  <c r="H28" i="31" a="1"/>
  <c r="H28" i="31" s="1"/>
  <c r="P27" i="31"/>
  <c r="O27" i="31"/>
  <c r="N27" i="31"/>
  <c r="H27" i="31" a="1"/>
  <c r="H27" i="31" s="1"/>
  <c r="P26" i="31"/>
  <c r="O26" i="31"/>
  <c r="N26" i="31"/>
  <c r="H26" i="31" a="1"/>
  <c r="H26" i="31" s="1"/>
  <c r="P25" i="31"/>
  <c r="O25" i="31"/>
  <c r="N25" i="31"/>
  <c r="H25" i="31" a="1"/>
  <c r="H25" i="31" s="1"/>
  <c r="P24" i="31"/>
  <c r="O24" i="31"/>
  <c r="N24" i="31"/>
  <c r="H24" i="31" a="1"/>
  <c r="H24" i="31" s="1"/>
  <c r="P23" i="31"/>
  <c r="O23" i="31"/>
  <c r="N23" i="31"/>
  <c r="H23" i="31" a="1"/>
  <c r="H23" i="31" s="1"/>
  <c r="P22" i="31"/>
  <c r="O22" i="31"/>
  <c r="N22" i="31"/>
  <c r="H22" i="31" a="1"/>
  <c r="H22" i="31" s="1"/>
  <c r="P21" i="31"/>
  <c r="O21" i="31"/>
  <c r="N21" i="31"/>
  <c r="H21" i="31" a="1"/>
  <c r="H21" i="31" s="1"/>
  <c r="P20" i="31"/>
  <c r="O20" i="31"/>
  <c r="N20" i="31"/>
  <c r="H20" i="31" a="1"/>
  <c r="H20" i="31" s="1"/>
  <c r="P19" i="31"/>
  <c r="O19" i="31"/>
  <c r="N19" i="31"/>
  <c r="H19" i="31" a="1"/>
  <c r="H19" i="31" s="1"/>
  <c r="P18" i="31"/>
  <c r="O18" i="31"/>
  <c r="N18" i="31"/>
  <c r="H18" i="31" a="1"/>
  <c r="H18" i="31" s="1"/>
  <c r="P17" i="31"/>
  <c r="O17" i="31"/>
  <c r="N17" i="31"/>
  <c r="H17" i="31" a="1"/>
  <c r="H17" i="31" s="1"/>
  <c r="P16" i="31"/>
  <c r="O16" i="31"/>
  <c r="N16" i="31"/>
  <c r="H16" i="31" a="1"/>
  <c r="H16" i="31" s="1"/>
  <c r="P15" i="31"/>
  <c r="O15" i="31"/>
  <c r="N15" i="31"/>
  <c r="H15" i="31" a="1"/>
  <c r="H15" i="31" s="1"/>
  <c r="P14" i="31"/>
  <c r="O14" i="31"/>
  <c r="N14" i="31"/>
  <c r="H14" i="31" a="1"/>
  <c r="H14" i="31"/>
  <c r="P13" i="31"/>
  <c r="O13" i="31"/>
  <c r="N13" i="31"/>
  <c r="H13" i="31" a="1"/>
  <c r="H13" i="31" s="1"/>
  <c r="P12" i="31"/>
  <c r="O12" i="31"/>
  <c r="N12" i="31"/>
  <c r="H12" i="31" a="1"/>
  <c r="H12" i="31" s="1"/>
  <c r="P11" i="31"/>
  <c r="O11" i="31"/>
  <c r="N11" i="31"/>
  <c r="H11" i="31" a="1"/>
  <c r="H11" i="31" s="1"/>
  <c r="P10" i="31"/>
  <c r="O10" i="31"/>
  <c r="N10" i="31"/>
  <c r="H10" i="31" a="1"/>
  <c r="H10" i="31" s="1"/>
  <c r="P9" i="31"/>
  <c r="O9" i="31"/>
  <c r="N9" i="31"/>
  <c r="H9" i="31" a="1"/>
  <c r="H9" i="31" s="1"/>
  <c r="P8" i="31"/>
  <c r="O8" i="31"/>
  <c r="N8" i="31"/>
  <c r="H8" i="31" a="1"/>
  <c r="H8" i="31" s="1"/>
  <c r="P7" i="31"/>
  <c r="P37" i="31" s="1"/>
  <c r="O7" i="31"/>
  <c r="N7" i="31"/>
  <c r="H7" i="31" a="1"/>
  <c r="H7" i="31"/>
  <c r="W44" i="30"/>
  <c r="W43" i="30"/>
  <c r="W41" i="30"/>
  <c r="W40" i="30"/>
  <c r="W38" i="30"/>
  <c r="W37" i="30"/>
  <c r="W36" i="30"/>
  <c r="W35" i="30"/>
  <c r="W33" i="30"/>
  <c r="W32" i="30"/>
  <c r="W31" i="30"/>
  <c r="W30" i="30"/>
  <c r="W29" i="30"/>
  <c r="W28" i="30"/>
  <c r="W27" i="30"/>
  <c r="W26" i="30"/>
  <c r="W24" i="30"/>
  <c r="W23" i="30"/>
  <c r="W22" i="30"/>
  <c r="W21" i="30"/>
  <c r="W20" i="30"/>
  <c r="W19" i="30"/>
  <c r="W18" i="30"/>
  <c r="W17" i="30"/>
  <c r="W16" i="30"/>
  <c r="W15" i="30"/>
  <c r="W14" i="30"/>
  <c r="W13" i="30"/>
  <c r="W12" i="30"/>
  <c r="W11" i="30"/>
  <c r="W10" i="30"/>
  <c r="W9" i="30"/>
  <c r="A4" i="30"/>
  <c r="A2" i="30"/>
  <c r="R1" i="30"/>
  <c r="N1" i="30"/>
  <c r="W35" i="29"/>
  <c r="W34" i="29"/>
  <c r="W31" i="29"/>
  <c r="W29" i="29"/>
  <c r="W28" i="29"/>
  <c r="W27" i="29"/>
  <c r="W26" i="29"/>
  <c r="W24" i="29"/>
  <c r="W23" i="29"/>
  <c r="W22" i="29"/>
  <c r="W21" i="29"/>
  <c r="W20" i="29"/>
  <c r="W19" i="29"/>
  <c r="W18" i="29"/>
  <c r="W17" i="29"/>
  <c r="W15" i="29"/>
  <c r="W14" i="29"/>
  <c r="W13" i="29"/>
  <c r="W12" i="29"/>
  <c r="W11" i="29"/>
  <c r="W10" i="29"/>
  <c r="W9" i="29"/>
  <c r="A4" i="29"/>
  <c r="A2" i="29"/>
  <c r="R1" i="29"/>
  <c r="N1" i="29"/>
  <c r="W42" i="28"/>
  <c r="W41" i="28"/>
  <c r="W39" i="28"/>
  <c r="W38" i="28"/>
  <c r="W36" i="28"/>
  <c r="W35" i="28"/>
  <c r="W34" i="28"/>
  <c r="W33" i="28"/>
  <c r="W31" i="28"/>
  <c r="W30" i="28"/>
  <c r="W29" i="28"/>
  <c r="W28" i="28"/>
  <c r="W27" i="28"/>
  <c r="W26" i="28"/>
  <c r="W25" i="28"/>
  <c r="W24" i="28"/>
  <c r="W22" i="28"/>
  <c r="W21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A4" i="28"/>
  <c r="A2" i="28"/>
  <c r="R1" i="28"/>
  <c r="N1" i="28"/>
  <c r="W37" i="27"/>
  <c r="W36" i="27"/>
  <c r="W34" i="27"/>
  <c r="W33" i="27"/>
  <c r="W31" i="27"/>
  <c r="W30" i="27"/>
  <c r="W29" i="27"/>
  <c r="W28" i="27"/>
  <c r="W26" i="27"/>
  <c r="W25" i="27"/>
  <c r="W24" i="27"/>
  <c r="W23" i="27"/>
  <c r="W22" i="27"/>
  <c r="W21" i="27"/>
  <c r="W20" i="27"/>
  <c r="W19" i="27"/>
  <c r="W17" i="27"/>
  <c r="W16" i="27"/>
  <c r="W15" i="27"/>
  <c r="W14" i="27"/>
  <c r="W13" i="27"/>
  <c r="W12" i="27"/>
  <c r="W11" i="27"/>
  <c r="W10" i="27"/>
  <c r="W9" i="27"/>
  <c r="A4" i="27"/>
  <c r="A2" i="27"/>
  <c r="R1" i="27"/>
  <c r="N1" i="27"/>
  <c r="W42" i="26"/>
  <c r="W41" i="26"/>
  <c r="W39" i="26"/>
  <c r="W38" i="26"/>
  <c r="W36" i="26"/>
  <c r="W35" i="26"/>
  <c r="W34" i="26"/>
  <c r="W33" i="26"/>
  <c r="W31" i="26"/>
  <c r="W30" i="26"/>
  <c r="W29" i="26"/>
  <c r="W28" i="26"/>
  <c r="W27" i="26"/>
  <c r="W26" i="26"/>
  <c r="W25" i="26"/>
  <c r="W24" i="26"/>
  <c r="W22" i="26"/>
  <c r="W21" i="26"/>
  <c r="W20" i="26"/>
  <c r="W19" i="26"/>
  <c r="W18" i="26"/>
  <c r="W17" i="26"/>
  <c r="W16" i="26"/>
  <c r="W15" i="26"/>
  <c r="W14" i="26"/>
  <c r="W13" i="26"/>
  <c r="W12" i="26"/>
  <c r="W11" i="26"/>
  <c r="W10" i="26"/>
  <c r="W9" i="26"/>
  <c r="A4" i="26"/>
  <c r="A2" i="26"/>
  <c r="R1" i="26"/>
  <c r="N1" i="26"/>
  <c r="W44" i="25"/>
  <c r="W43" i="25"/>
  <c r="W38" i="25"/>
  <c r="W37" i="25"/>
  <c r="W36" i="25"/>
  <c r="W35" i="25"/>
  <c r="W33" i="25"/>
  <c r="W32" i="25"/>
  <c r="W31" i="25"/>
  <c r="W30" i="25"/>
  <c r="W29" i="25"/>
  <c r="W28" i="25"/>
  <c r="W27" i="25"/>
  <c r="W26" i="25"/>
  <c r="W24" i="25"/>
  <c r="W23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A4" i="25"/>
  <c r="A2" i="25"/>
  <c r="R1" i="25"/>
  <c r="N1" i="25"/>
  <c r="J28" i="24"/>
  <c r="I28" i="24"/>
  <c r="H28" i="24"/>
  <c r="G28" i="24"/>
  <c r="F28" i="24"/>
  <c r="E28" i="24"/>
  <c r="A28" i="24"/>
  <c r="M27" i="24"/>
  <c r="L27" i="24"/>
  <c r="K27" i="24"/>
  <c r="D27" i="24" a="1"/>
  <c r="D27" i="24" s="1"/>
  <c r="M26" i="24"/>
  <c r="L26" i="24"/>
  <c r="K26" i="24"/>
  <c r="D26" i="24" a="1"/>
  <c r="D26" i="24"/>
  <c r="M25" i="24"/>
  <c r="L25" i="24"/>
  <c r="K25" i="24"/>
  <c r="D25" i="24" a="1"/>
  <c r="D25" i="24" s="1"/>
  <c r="M24" i="24"/>
  <c r="L24" i="24"/>
  <c r="K24" i="24"/>
  <c r="D24" i="24" a="1"/>
  <c r="D24" i="24"/>
  <c r="M23" i="24"/>
  <c r="L23" i="24"/>
  <c r="K23" i="24"/>
  <c r="D23" i="24" a="1"/>
  <c r="D23" i="24" s="1"/>
  <c r="M22" i="24"/>
  <c r="L22" i="24"/>
  <c r="K22" i="24"/>
  <c r="D22" i="24" a="1"/>
  <c r="D22" i="24"/>
  <c r="M21" i="24"/>
  <c r="L21" i="24"/>
  <c r="K21" i="24"/>
  <c r="D21" i="24" a="1"/>
  <c r="D21" i="24" s="1"/>
  <c r="M20" i="24"/>
  <c r="L20" i="24"/>
  <c r="K20" i="24"/>
  <c r="D20" i="24" a="1"/>
  <c r="D20" i="24"/>
  <c r="M19" i="24"/>
  <c r="L19" i="24"/>
  <c r="K19" i="24"/>
  <c r="D19" i="24" a="1"/>
  <c r="D19" i="24" s="1"/>
  <c r="M18" i="24"/>
  <c r="L18" i="24"/>
  <c r="K18" i="24"/>
  <c r="D18" i="24" a="1"/>
  <c r="D18" i="24"/>
  <c r="M17" i="24"/>
  <c r="L17" i="24"/>
  <c r="K17" i="24"/>
  <c r="D17" i="24" a="1"/>
  <c r="D17" i="24" s="1"/>
  <c r="M16" i="24"/>
  <c r="L16" i="24"/>
  <c r="K16" i="24"/>
  <c r="D16" i="24" a="1"/>
  <c r="D16" i="24"/>
  <c r="M15" i="24"/>
  <c r="L15" i="24"/>
  <c r="K15" i="24"/>
  <c r="D15" i="24" a="1"/>
  <c r="D15" i="24" s="1"/>
  <c r="M14" i="24"/>
  <c r="L14" i="24"/>
  <c r="K14" i="24"/>
  <c r="D14" i="24" a="1"/>
  <c r="D14" i="24" s="1"/>
  <c r="M13" i="24"/>
  <c r="L13" i="24"/>
  <c r="K13" i="24"/>
  <c r="D13" i="24" a="1"/>
  <c r="D13" i="24" s="1"/>
  <c r="M12" i="24"/>
  <c r="L12" i="24"/>
  <c r="K12" i="24"/>
  <c r="D12" i="24" a="1"/>
  <c r="D12" i="24" s="1"/>
  <c r="M11" i="24"/>
  <c r="L11" i="24"/>
  <c r="K11" i="24"/>
  <c r="D11" i="24" a="1"/>
  <c r="D11" i="24" s="1"/>
  <c r="M10" i="24"/>
  <c r="L10" i="24"/>
  <c r="K10" i="24"/>
  <c r="D10" i="24" a="1"/>
  <c r="D10" i="24" s="1"/>
  <c r="M9" i="24"/>
  <c r="L9" i="24"/>
  <c r="K9" i="24"/>
  <c r="D9" i="24" a="1"/>
  <c r="D9" i="24" s="1"/>
  <c r="M8" i="24"/>
  <c r="L8" i="24"/>
  <c r="K8" i="24"/>
  <c r="D8" i="24" a="1"/>
  <c r="D8" i="24" s="1"/>
  <c r="M7" i="24"/>
  <c r="M28" i="24"/>
  <c r="L7" i="24"/>
  <c r="L28" i="24"/>
  <c r="K7" i="24"/>
  <c r="D7" i="24" a="1"/>
  <c r="D7" i="24" s="1"/>
  <c r="J4" i="24"/>
  <c r="I4" i="24"/>
  <c r="H4" i="24"/>
  <c r="G4" i="24"/>
  <c r="F4" i="24"/>
  <c r="E4" i="24"/>
  <c r="V22" i="23"/>
  <c r="U22" i="23"/>
  <c r="D22" i="23"/>
  <c r="V21" i="23"/>
  <c r="U21" i="23"/>
  <c r="D21" i="23"/>
  <c r="V20" i="23"/>
  <c r="U20" i="23"/>
  <c r="D20" i="23"/>
  <c r="V19" i="23"/>
  <c r="U19" i="23"/>
  <c r="D19" i="23"/>
  <c r="V18" i="23"/>
  <c r="U18" i="23"/>
  <c r="D18" i="23"/>
  <c r="V17" i="23"/>
  <c r="U17" i="23"/>
  <c r="D17" i="23"/>
  <c r="V16" i="23"/>
  <c r="U16" i="23"/>
  <c r="D16" i="23"/>
  <c r="V15" i="23"/>
  <c r="U15" i="23"/>
  <c r="D15" i="23"/>
  <c r="V14" i="23"/>
  <c r="U14" i="23"/>
  <c r="D14" i="23"/>
  <c r="V13" i="23"/>
  <c r="U13" i="23"/>
  <c r="D13" i="23"/>
  <c r="V12" i="23"/>
  <c r="U12" i="23"/>
  <c r="D12" i="23"/>
  <c r="V11" i="23"/>
  <c r="U11" i="23"/>
  <c r="D11" i="23"/>
  <c r="V10" i="23"/>
  <c r="U10" i="23"/>
  <c r="D10" i="23"/>
  <c r="V9" i="23"/>
  <c r="U9" i="23"/>
  <c r="D9" i="23"/>
  <c r="V8" i="23"/>
  <c r="U8" i="23"/>
  <c r="D8" i="23"/>
  <c r="V7" i="23"/>
  <c r="U7" i="23"/>
  <c r="D7" i="23"/>
  <c r="A4" i="23"/>
  <c r="A2" i="23"/>
  <c r="O1" i="23"/>
  <c r="K1" i="23"/>
  <c r="A4" i="22"/>
  <c r="A2" i="22"/>
  <c r="K1" i="22"/>
  <c r="I1" i="22"/>
  <c r="W44" i="21"/>
  <c r="W43" i="21"/>
  <c r="W41" i="21"/>
  <c r="W40" i="21"/>
  <c r="W38" i="21"/>
  <c r="W37" i="21"/>
  <c r="W36" i="21"/>
  <c r="W35" i="21"/>
  <c r="W33" i="21"/>
  <c r="W32" i="21"/>
  <c r="W31" i="21"/>
  <c r="W30" i="21"/>
  <c r="W29" i="21"/>
  <c r="W28" i="21"/>
  <c r="W27" i="21"/>
  <c r="W26" i="21"/>
  <c r="W24" i="21"/>
  <c r="W23" i="21"/>
  <c r="W22" i="21"/>
  <c r="W21" i="21"/>
  <c r="W20" i="21"/>
  <c r="W19" i="21"/>
  <c r="W18" i="21"/>
  <c r="W17" i="21"/>
  <c r="W16" i="21"/>
  <c r="W15" i="21"/>
  <c r="W14" i="21"/>
  <c r="W13" i="21"/>
  <c r="W12" i="21"/>
  <c r="W11" i="21"/>
  <c r="W10" i="21"/>
  <c r="W9" i="21"/>
  <c r="A4" i="21"/>
  <c r="A2" i="21"/>
  <c r="R1" i="21"/>
  <c r="N1" i="21"/>
  <c r="A4" i="20"/>
  <c r="A2" i="20"/>
  <c r="H1" i="20"/>
  <c r="F1" i="20"/>
  <c r="A4" i="19"/>
  <c r="A2" i="19"/>
  <c r="H1" i="19"/>
  <c r="F1" i="19"/>
  <c r="A4" i="18"/>
  <c r="A2" i="18"/>
  <c r="K1" i="18"/>
  <c r="I1" i="18"/>
  <c r="A4" i="17"/>
  <c r="A2" i="17"/>
  <c r="I1" i="17"/>
  <c r="G1" i="17"/>
  <c r="A4" i="16"/>
  <c r="A2" i="16"/>
  <c r="J1" i="16"/>
  <c r="H1" i="16"/>
  <c r="A4" i="15"/>
  <c r="A2" i="15"/>
  <c r="G1" i="15"/>
  <c r="E1" i="15"/>
  <c r="A4" i="14"/>
  <c r="A2" i="14"/>
  <c r="H1" i="14"/>
  <c r="F1" i="14"/>
  <c r="A4" i="13"/>
  <c r="A2" i="13"/>
  <c r="H1" i="13"/>
  <c r="F1" i="13"/>
  <c r="A4" i="12"/>
  <c r="A2" i="12"/>
  <c r="G1" i="12"/>
  <c r="E1" i="12"/>
  <c r="H48" i="11"/>
  <c r="G48" i="11"/>
  <c r="F48" i="11"/>
  <c r="C48" i="11"/>
  <c r="B48" i="11"/>
  <c r="A48" i="11"/>
  <c r="K47" i="11"/>
  <c r="J47" i="11"/>
  <c r="I47" i="11"/>
  <c r="E47" i="11"/>
  <c r="K46" i="11"/>
  <c r="J46" i="11"/>
  <c r="I46" i="11"/>
  <c r="E46" i="11"/>
  <c r="K45" i="11"/>
  <c r="J45" i="11"/>
  <c r="I45" i="11"/>
  <c r="E45" i="11"/>
  <c r="K44" i="11"/>
  <c r="J44" i="11"/>
  <c r="I44" i="11"/>
  <c r="E44" i="11"/>
  <c r="K43" i="11"/>
  <c r="J43" i="11"/>
  <c r="I43" i="11"/>
  <c r="E43" i="11"/>
  <c r="K42" i="11"/>
  <c r="J42" i="11"/>
  <c r="I42" i="11"/>
  <c r="E42" i="11"/>
  <c r="K41" i="11"/>
  <c r="J41" i="11"/>
  <c r="I41" i="11"/>
  <c r="E41" i="11"/>
  <c r="K40" i="11"/>
  <c r="J40" i="11"/>
  <c r="I40" i="11"/>
  <c r="E40" i="11"/>
  <c r="K39" i="11"/>
  <c r="J39" i="11"/>
  <c r="I39" i="11"/>
  <c r="E39" i="11"/>
  <c r="K38" i="11"/>
  <c r="J38" i="11"/>
  <c r="I38" i="11"/>
  <c r="E38" i="11"/>
  <c r="K37" i="11"/>
  <c r="J37" i="11"/>
  <c r="I37" i="11"/>
  <c r="E37" i="11"/>
  <c r="K36" i="11"/>
  <c r="J36" i="11"/>
  <c r="I36" i="11"/>
  <c r="E36" i="11"/>
  <c r="K35" i="11"/>
  <c r="J35" i="11"/>
  <c r="I35" i="11"/>
  <c r="E35" i="11"/>
  <c r="K34" i="11"/>
  <c r="J34" i="11"/>
  <c r="I34" i="11"/>
  <c r="E34" i="11"/>
  <c r="K33" i="11"/>
  <c r="J33" i="11"/>
  <c r="I33" i="11"/>
  <c r="E33" i="11"/>
  <c r="K32" i="11"/>
  <c r="J32" i="11"/>
  <c r="I32" i="11"/>
  <c r="E32" i="11"/>
  <c r="K31" i="11"/>
  <c r="J31" i="11"/>
  <c r="I31" i="11"/>
  <c r="E31" i="11"/>
  <c r="K30" i="11"/>
  <c r="J30" i="11"/>
  <c r="I30" i="11"/>
  <c r="E30" i="11"/>
  <c r="K29" i="11"/>
  <c r="J29" i="11"/>
  <c r="I29" i="11"/>
  <c r="E29" i="11"/>
  <c r="K28" i="11"/>
  <c r="J28" i="11"/>
  <c r="I28" i="11"/>
  <c r="E28" i="11"/>
  <c r="K27" i="11"/>
  <c r="J27" i="11"/>
  <c r="I27" i="11"/>
  <c r="E27" i="11"/>
  <c r="K26" i="11"/>
  <c r="J26" i="11"/>
  <c r="I26" i="11"/>
  <c r="E26" i="11"/>
  <c r="K25" i="11"/>
  <c r="J25" i="11"/>
  <c r="I25" i="11"/>
  <c r="E25" i="11"/>
  <c r="K24" i="11"/>
  <c r="J24" i="11"/>
  <c r="I24" i="11"/>
  <c r="E24" i="11"/>
  <c r="K23" i="11"/>
  <c r="J23" i="11"/>
  <c r="I23" i="11"/>
  <c r="E23" i="11"/>
  <c r="K22" i="11"/>
  <c r="J22" i="11"/>
  <c r="I22" i="11"/>
  <c r="E22" i="11"/>
  <c r="K21" i="11"/>
  <c r="J21" i="11"/>
  <c r="I21" i="11"/>
  <c r="E21" i="11"/>
  <c r="K20" i="11"/>
  <c r="J20" i="11"/>
  <c r="I20" i="11"/>
  <c r="E20" i="11"/>
  <c r="K19" i="11"/>
  <c r="J19" i="11"/>
  <c r="I19" i="11"/>
  <c r="E19" i="11"/>
  <c r="K18" i="11"/>
  <c r="J18" i="11"/>
  <c r="I18" i="11"/>
  <c r="E18" i="11"/>
  <c r="K17" i="11"/>
  <c r="J17" i="11"/>
  <c r="I17" i="11"/>
  <c r="E17" i="11"/>
  <c r="K16" i="11"/>
  <c r="J16" i="11"/>
  <c r="I16" i="11"/>
  <c r="E16" i="11"/>
  <c r="K15" i="11"/>
  <c r="J15" i="11"/>
  <c r="I15" i="11"/>
  <c r="E15" i="11"/>
  <c r="K14" i="11"/>
  <c r="J14" i="11"/>
  <c r="I14" i="11"/>
  <c r="E14" i="11"/>
  <c r="K13" i="11"/>
  <c r="J13" i="11"/>
  <c r="I13" i="11"/>
  <c r="E13" i="11"/>
  <c r="K12" i="11"/>
  <c r="J12" i="11"/>
  <c r="I12" i="11"/>
  <c r="E12" i="11"/>
  <c r="K11" i="11"/>
  <c r="J11" i="11"/>
  <c r="I11" i="11"/>
  <c r="E11" i="11"/>
  <c r="K10" i="11"/>
  <c r="J10" i="11"/>
  <c r="I10" i="11"/>
  <c r="E10" i="11"/>
  <c r="K9" i="11"/>
  <c r="J9" i="11"/>
  <c r="I9" i="11"/>
  <c r="E9" i="11"/>
  <c r="K8" i="11"/>
  <c r="J8" i="11"/>
  <c r="I8" i="11"/>
  <c r="E8" i="11"/>
  <c r="K7" i="11"/>
  <c r="K48" i="11" s="1"/>
  <c r="J7" i="11"/>
  <c r="J48" i="11" s="1"/>
  <c r="I7" i="11"/>
  <c r="E7" i="11"/>
  <c r="A4" i="10"/>
  <c r="A2" i="10"/>
  <c r="J1" i="10"/>
  <c r="H1" i="10"/>
  <c r="A4" i="9"/>
  <c r="A2" i="9"/>
  <c r="H1" i="9"/>
  <c r="F1" i="9"/>
  <c r="A4" i="8"/>
  <c r="A2" i="8"/>
  <c r="G1" i="8"/>
  <c r="E1" i="8"/>
  <c r="A4" i="7"/>
  <c r="A2" i="7"/>
  <c r="K1" i="7"/>
  <c r="I1" i="7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C56" i="6"/>
  <c r="B56" i="6"/>
  <c r="A56" i="6"/>
  <c r="V55" i="6"/>
  <c r="U55" i="6"/>
  <c r="T55" i="6"/>
  <c r="F55" i="6" a="1"/>
  <c r="F55" i="6" s="1"/>
  <c r="V54" i="6"/>
  <c r="U54" i="6"/>
  <c r="T54" i="6"/>
  <c r="F54" i="6" a="1"/>
  <c r="F54" i="6" s="1"/>
  <c r="V53" i="6"/>
  <c r="U53" i="6"/>
  <c r="T53" i="6"/>
  <c r="F53" i="6" a="1"/>
  <c r="F53" i="6" s="1"/>
  <c r="V52" i="6"/>
  <c r="U52" i="6"/>
  <c r="T52" i="6"/>
  <c r="F52" i="6" a="1"/>
  <c r="F52" i="6" s="1"/>
  <c r="V51" i="6"/>
  <c r="U51" i="6"/>
  <c r="T51" i="6"/>
  <c r="F51" i="6" a="1"/>
  <c r="F51" i="6" s="1"/>
  <c r="V50" i="6"/>
  <c r="U50" i="6"/>
  <c r="T50" i="6"/>
  <c r="F50" i="6" a="1"/>
  <c r="F50" i="6" s="1"/>
  <c r="V49" i="6"/>
  <c r="U49" i="6"/>
  <c r="T49" i="6"/>
  <c r="F49" i="6" a="1"/>
  <c r="F49" i="6" s="1"/>
  <c r="V48" i="6"/>
  <c r="U48" i="6"/>
  <c r="T48" i="6"/>
  <c r="F48" i="6" a="1"/>
  <c r="F48" i="6" s="1"/>
  <c r="V47" i="6"/>
  <c r="U47" i="6"/>
  <c r="T47" i="6"/>
  <c r="F47" i="6" a="1"/>
  <c r="F47" i="6" s="1"/>
  <c r="V46" i="6"/>
  <c r="U46" i="6"/>
  <c r="T46" i="6"/>
  <c r="F46" i="6" a="1"/>
  <c r="F46" i="6" s="1"/>
  <c r="V45" i="6"/>
  <c r="U45" i="6"/>
  <c r="T45" i="6"/>
  <c r="F45" i="6" a="1"/>
  <c r="F45" i="6" s="1"/>
  <c r="V44" i="6"/>
  <c r="U44" i="6"/>
  <c r="T44" i="6"/>
  <c r="F44" i="6" a="1"/>
  <c r="F44" i="6" s="1"/>
  <c r="V43" i="6"/>
  <c r="U43" i="6"/>
  <c r="T43" i="6"/>
  <c r="F43" i="6" a="1"/>
  <c r="F43" i="6" s="1"/>
  <c r="V42" i="6"/>
  <c r="U42" i="6"/>
  <c r="T42" i="6"/>
  <c r="F42" i="6" a="1"/>
  <c r="F42" i="6" s="1"/>
  <c r="V41" i="6"/>
  <c r="U41" i="6"/>
  <c r="T41" i="6"/>
  <c r="F41" i="6" a="1"/>
  <c r="F41" i="6" s="1"/>
  <c r="V40" i="6"/>
  <c r="U40" i="6"/>
  <c r="T40" i="6"/>
  <c r="F40" i="6" a="1"/>
  <c r="F40" i="6" s="1"/>
  <c r="V39" i="6"/>
  <c r="U39" i="6"/>
  <c r="T39" i="6"/>
  <c r="F39" i="6" a="1"/>
  <c r="F39" i="6" s="1"/>
  <c r="V38" i="6"/>
  <c r="U38" i="6"/>
  <c r="T38" i="6"/>
  <c r="F38" i="6" a="1"/>
  <c r="F38" i="6" s="1"/>
  <c r="V37" i="6"/>
  <c r="U37" i="6"/>
  <c r="T37" i="6"/>
  <c r="F37" i="6" a="1"/>
  <c r="F37" i="6" s="1"/>
  <c r="V36" i="6"/>
  <c r="U36" i="6"/>
  <c r="T36" i="6"/>
  <c r="F36" i="6" a="1"/>
  <c r="F36" i="6" s="1"/>
  <c r="V35" i="6"/>
  <c r="U35" i="6"/>
  <c r="T35" i="6"/>
  <c r="F35" i="6" a="1"/>
  <c r="F35" i="6" s="1"/>
  <c r="V34" i="6"/>
  <c r="U34" i="6"/>
  <c r="T34" i="6"/>
  <c r="F34" i="6" a="1"/>
  <c r="F34" i="6" s="1"/>
  <c r="V33" i="6"/>
  <c r="U33" i="6"/>
  <c r="T33" i="6"/>
  <c r="F33" i="6" a="1"/>
  <c r="F33" i="6" s="1"/>
  <c r="V32" i="6"/>
  <c r="U32" i="6"/>
  <c r="T32" i="6"/>
  <c r="F32" i="6" a="1"/>
  <c r="F32" i="6" s="1"/>
  <c r="V31" i="6"/>
  <c r="U31" i="6"/>
  <c r="T31" i="6"/>
  <c r="F31" i="6" a="1"/>
  <c r="F31" i="6" s="1"/>
  <c r="V30" i="6"/>
  <c r="U30" i="6"/>
  <c r="T30" i="6"/>
  <c r="F30" i="6" a="1"/>
  <c r="F30" i="6" s="1"/>
  <c r="V29" i="6"/>
  <c r="U29" i="6"/>
  <c r="T29" i="6"/>
  <c r="F29" i="6" a="1"/>
  <c r="F29" i="6" s="1"/>
  <c r="V28" i="6"/>
  <c r="U28" i="6"/>
  <c r="T28" i="6"/>
  <c r="F28" i="6" a="1"/>
  <c r="F28" i="6" s="1"/>
  <c r="V27" i="6"/>
  <c r="U27" i="6"/>
  <c r="T27" i="6"/>
  <c r="F27" i="6" a="1"/>
  <c r="F27" i="6" s="1"/>
  <c r="V26" i="6"/>
  <c r="U26" i="6"/>
  <c r="T26" i="6"/>
  <c r="F26" i="6" a="1"/>
  <c r="F26" i="6" s="1"/>
  <c r="V25" i="6"/>
  <c r="U25" i="6"/>
  <c r="T25" i="6"/>
  <c r="F25" i="6" a="1"/>
  <c r="F25" i="6" s="1"/>
  <c r="V24" i="6"/>
  <c r="U24" i="6"/>
  <c r="T24" i="6"/>
  <c r="F24" i="6" a="1"/>
  <c r="F24" i="6" s="1"/>
  <c r="V23" i="6"/>
  <c r="U23" i="6"/>
  <c r="T23" i="6"/>
  <c r="F23" i="6" a="1"/>
  <c r="F23" i="6" s="1"/>
  <c r="V22" i="6"/>
  <c r="U22" i="6"/>
  <c r="T22" i="6"/>
  <c r="F22" i="6" a="1"/>
  <c r="F22" i="6" s="1"/>
  <c r="V21" i="6"/>
  <c r="U21" i="6"/>
  <c r="T21" i="6"/>
  <c r="F21" i="6" a="1"/>
  <c r="F21" i="6" s="1"/>
  <c r="V20" i="6"/>
  <c r="U20" i="6"/>
  <c r="T20" i="6"/>
  <c r="F20" i="6" a="1"/>
  <c r="F20" i="6" s="1"/>
  <c r="V19" i="6"/>
  <c r="U19" i="6"/>
  <c r="T19" i="6"/>
  <c r="F19" i="6" a="1"/>
  <c r="F19" i="6" s="1"/>
  <c r="V18" i="6"/>
  <c r="U18" i="6"/>
  <c r="T18" i="6"/>
  <c r="F18" i="6" a="1"/>
  <c r="F18" i="6" s="1"/>
  <c r="V17" i="6"/>
  <c r="U17" i="6"/>
  <c r="T17" i="6"/>
  <c r="F17" i="6" a="1"/>
  <c r="F17" i="6" s="1"/>
  <c r="V16" i="6"/>
  <c r="U16" i="6"/>
  <c r="T16" i="6"/>
  <c r="F16" i="6" a="1"/>
  <c r="F16" i="6" s="1"/>
  <c r="V15" i="6"/>
  <c r="U15" i="6"/>
  <c r="T15" i="6"/>
  <c r="F15" i="6" a="1"/>
  <c r="F15" i="6" s="1"/>
  <c r="V14" i="6"/>
  <c r="U14" i="6"/>
  <c r="T14" i="6"/>
  <c r="F14" i="6" a="1"/>
  <c r="F14" i="6" s="1"/>
  <c r="V13" i="6"/>
  <c r="U13" i="6"/>
  <c r="T13" i="6"/>
  <c r="F13" i="6" a="1"/>
  <c r="F13" i="6" s="1"/>
  <c r="V12" i="6"/>
  <c r="U12" i="6"/>
  <c r="T12" i="6"/>
  <c r="F12" i="6" a="1"/>
  <c r="F12" i="6" s="1"/>
  <c r="V11" i="6"/>
  <c r="U11" i="6"/>
  <c r="T11" i="6"/>
  <c r="F11" i="6"/>
  <c r="F11" i="6" a="1"/>
  <c r="V10" i="6"/>
  <c r="U10" i="6"/>
  <c r="T10" i="6"/>
  <c r="F10" i="6" a="1"/>
  <c r="F10" i="6"/>
  <c r="V9" i="6"/>
  <c r="U9" i="6"/>
  <c r="T9" i="6"/>
  <c r="F9" i="6"/>
  <c r="F9" i="6" a="1"/>
  <c r="V8" i="6"/>
  <c r="V56" i="6" s="1"/>
  <c r="U8" i="6"/>
  <c r="T8" i="6"/>
  <c r="F8" i="6" a="1"/>
  <c r="F8" i="6"/>
  <c r="S5" i="6"/>
  <c r="R5" i="6"/>
  <c r="Q5" i="6"/>
  <c r="P5" i="6"/>
  <c r="O5" i="6"/>
  <c r="N5" i="6"/>
  <c r="M5" i="6"/>
  <c r="L5" i="6"/>
  <c r="K5" i="6"/>
  <c r="J5" i="6"/>
  <c r="I5" i="6"/>
  <c r="H5" i="6"/>
  <c r="G5" i="6"/>
  <c r="I103" i="5"/>
  <c r="M99" i="5"/>
  <c r="K99" i="5"/>
  <c r="M93" i="5"/>
  <c r="M90" i="5"/>
  <c r="E90" i="5"/>
  <c r="M86" i="5"/>
  <c r="K86" i="5"/>
  <c r="G86" i="5"/>
  <c r="K83" i="5"/>
  <c r="G83" i="5"/>
  <c r="E83" i="5"/>
  <c r="K80" i="5"/>
  <c r="G78" i="5"/>
  <c r="A78" i="5"/>
  <c r="M75" i="5"/>
  <c r="K75" i="5"/>
  <c r="M74" i="5"/>
  <c r="K74" i="5"/>
  <c r="G74" i="5"/>
  <c r="E74" i="5"/>
  <c r="M71" i="5"/>
  <c r="M68" i="5"/>
  <c r="K68" i="5"/>
  <c r="M67" i="5"/>
  <c r="G67" i="5"/>
  <c r="E67" i="5"/>
  <c r="M64" i="5"/>
  <c r="G64" i="5"/>
  <c r="M63" i="5"/>
  <c r="K63" i="5"/>
  <c r="M61" i="5"/>
  <c r="K54" i="5"/>
  <c r="K53" i="5"/>
  <c r="E53" i="5"/>
  <c r="M52" i="5"/>
  <c r="K52" i="5"/>
  <c r="K50" i="5"/>
  <c r="K49" i="5"/>
  <c r="I49" i="5"/>
  <c r="G49" i="5"/>
  <c r="C49" i="5"/>
  <c r="K46" i="5"/>
  <c r="I46" i="5"/>
  <c r="G46" i="5"/>
  <c r="C46" i="5"/>
  <c r="M45" i="5"/>
  <c r="L45" i="5"/>
  <c r="K45" i="5"/>
  <c r="M42" i="5"/>
  <c r="K42" i="5"/>
  <c r="G42" i="5"/>
  <c r="E42" i="5"/>
  <c r="M41" i="5"/>
  <c r="K41" i="5"/>
  <c r="M39" i="5"/>
  <c r="G39" i="5"/>
  <c r="M37" i="5"/>
  <c r="M34" i="5"/>
  <c r="M33" i="5"/>
  <c r="K33" i="5"/>
  <c r="E33" i="5"/>
  <c r="C33" i="5"/>
  <c r="M30" i="5"/>
  <c r="C30" i="5"/>
  <c r="M29" i="5"/>
  <c r="K29" i="5"/>
  <c r="G29" i="5"/>
  <c r="M27" i="5"/>
  <c r="K27" i="5"/>
  <c r="G27" i="5"/>
  <c r="M26" i="5"/>
  <c r="K26" i="5"/>
  <c r="G26" i="5"/>
  <c r="E26" i="5"/>
  <c r="M23" i="5"/>
  <c r="K23" i="5"/>
  <c r="G23" i="5"/>
  <c r="M21" i="5"/>
  <c r="K21" i="5"/>
  <c r="G21" i="5"/>
  <c r="K19" i="5"/>
  <c r="M18" i="5"/>
  <c r="L18" i="5"/>
  <c r="K18" i="5"/>
  <c r="E18" i="5"/>
  <c r="C18" i="5"/>
  <c r="K15" i="5"/>
  <c r="C15" i="5"/>
  <c r="G14" i="5"/>
  <c r="K12" i="5"/>
  <c r="M11" i="5"/>
  <c r="K11" i="5"/>
  <c r="G11" i="5"/>
  <c r="E11" i="5"/>
  <c r="M8" i="5"/>
  <c r="K8" i="5"/>
  <c r="G8" i="5"/>
  <c r="N7" i="5"/>
  <c r="M7" i="5"/>
  <c r="I7" i="5"/>
  <c r="I6" i="5"/>
  <c r="F48" i="4"/>
  <c r="A3" i="23"/>
  <c r="A1" i="23"/>
  <c r="A3" i="38"/>
  <c r="A1" i="38"/>
  <c r="F46" i="4"/>
  <c r="A3" i="36" s="1"/>
  <c r="A1" i="36"/>
  <c r="F44" i="4"/>
  <c r="A3" i="22"/>
  <c r="A1" i="22"/>
  <c r="F43" i="4"/>
  <c r="A3" i="30" s="1"/>
  <c r="A3" i="48"/>
  <c r="A1" i="48"/>
  <c r="F41" i="4"/>
  <c r="A3" i="20" s="1"/>
  <c r="A1" i="20"/>
  <c r="F40" i="4"/>
  <c r="A3" i="29"/>
  <c r="A1" i="29"/>
  <c r="A3" i="47"/>
  <c r="A1" i="47"/>
  <c r="F37" i="4"/>
  <c r="A3" i="19" s="1"/>
  <c r="A1" i="19"/>
  <c r="F36" i="4"/>
  <c r="A3" i="35"/>
  <c r="A1" i="35"/>
  <c r="F35" i="4"/>
  <c r="F34" i="4"/>
  <c r="F33" i="4"/>
  <c r="A3" i="18" s="1"/>
  <c r="A1" i="18"/>
  <c r="A3" i="46"/>
  <c r="A1" i="46"/>
  <c r="F31" i="4"/>
  <c r="A3" i="17"/>
  <c r="A1" i="17"/>
  <c r="F30" i="4"/>
  <c r="A3" i="28" s="1"/>
  <c r="A1" i="28"/>
  <c r="A3" i="45"/>
  <c r="A1" i="45"/>
  <c r="F27" i="4"/>
  <c r="A3" i="16"/>
  <c r="A1" i="16"/>
  <c r="F26" i="4"/>
  <c r="A3" i="15" s="1"/>
  <c r="A1" i="15"/>
  <c r="A3" i="44"/>
  <c r="A1" i="44"/>
  <c r="F24" i="4"/>
  <c r="A3" i="14"/>
  <c r="A1" i="14"/>
  <c r="F23" i="4"/>
  <c r="A3" i="34" s="1"/>
  <c r="A1" i="34"/>
  <c r="F22" i="4"/>
  <c r="A3" i="27"/>
  <c r="A1" i="27"/>
  <c r="A3" i="43"/>
  <c r="A1" i="43"/>
  <c r="A3" i="13"/>
  <c r="A1" i="13"/>
  <c r="A3" i="42"/>
  <c r="A1" i="42"/>
  <c r="F17" i="4"/>
  <c r="A3" i="33" s="1"/>
  <c r="A1" i="33"/>
  <c r="F16" i="4"/>
  <c r="A3" i="12"/>
  <c r="A1" i="12"/>
  <c r="F15" i="4"/>
  <c r="A3" i="26" s="1"/>
  <c r="A1" i="26"/>
  <c r="A3" i="41"/>
  <c r="A1" i="41"/>
  <c r="F12" i="4"/>
  <c r="A3" i="10"/>
  <c r="A1" i="10"/>
  <c r="F11" i="4"/>
  <c r="A3" i="9" s="1"/>
  <c r="A1" i="9"/>
  <c r="A3" i="40"/>
  <c r="A1" i="40"/>
  <c r="F9" i="4"/>
  <c r="A3" i="32"/>
  <c r="A1" i="32"/>
  <c r="F8" i="4"/>
  <c r="A3" i="8" s="1"/>
  <c r="A1" i="8"/>
  <c r="F7" i="4"/>
  <c r="A3" i="25"/>
  <c r="A1" i="25"/>
  <c r="A3" i="39"/>
  <c r="A1" i="39"/>
  <c r="F5" i="4"/>
  <c r="A3" i="7" s="1"/>
  <c r="A1" i="7"/>
  <c r="A3" i="21"/>
  <c r="X44" i="30"/>
  <c r="X34" i="27"/>
  <c r="X33" i="28"/>
  <c r="X42" i="28"/>
  <c r="X37" i="21"/>
  <c r="X35" i="26"/>
  <c r="X37" i="30"/>
  <c r="X30" i="27"/>
  <c r="X34" i="26"/>
  <c r="X34" i="29"/>
  <c r="X37" i="25"/>
  <c r="X33" i="26"/>
  <c r="X39" i="28"/>
  <c r="X35" i="28"/>
  <c r="X44" i="21"/>
  <c r="X41" i="25"/>
  <c r="X41" i="26"/>
  <c r="X36" i="30"/>
  <c r="X44" i="25"/>
  <c r="X40" i="21"/>
  <c r="X33" i="27"/>
  <c r="X36" i="26"/>
  <c r="X40" i="30"/>
  <c r="X26" i="29"/>
  <c r="X43" i="25"/>
  <c r="X35" i="21"/>
  <c r="X38" i="28"/>
  <c r="X36" i="25"/>
  <c r="X35" i="25"/>
  <c r="X43" i="30"/>
  <c r="X38" i="21"/>
  <c r="X36" i="21"/>
  <c r="X41" i="30"/>
  <c r="X32" i="29"/>
  <c r="X29" i="29"/>
  <c r="X38" i="30"/>
  <c r="X35" i="30"/>
  <c r="X38" i="25"/>
  <c r="X29" i="27"/>
  <c r="X36" i="28"/>
  <c r="X31" i="27"/>
  <c r="X41" i="28"/>
  <c r="X31" i="29"/>
  <c r="X35" i="29"/>
  <c r="X28" i="27"/>
  <c r="X39" i="26"/>
  <c r="X27" i="29"/>
  <c r="X36" i="27"/>
  <c r="X28" i="29"/>
  <c r="X38" i="26"/>
  <c r="X41" i="21"/>
  <c r="X43" i="21"/>
  <c r="X37" i="27"/>
  <c r="X42" i="26"/>
  <c r="X34" i="28"/>
  <c r="O37" i="31" l="1"/>
  <c r="U56" i="6"/>
  <c r="A1" i="30"/>
  <c r="A1" i="21"/>
</calcChain>
</file>

<file path=xl/comments1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8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186"/>
          </rPr>
          <t>Kohtla-Nõmme, Jaama tn 
Kohtla Kaevanduspark</t>
        </r>
      </text>
    </comment>
    <comment ref="F17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19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21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22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23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C24" authorId="0">
      <text>
        <r>
          <rPr>
            <b/>
            <sz val="8"/>
            <color indexed="81"/>
            <rFont val="Tahoma"/>
            <family val="2"/>
            <charset val="186"/>
          </rPr>
          <t>200. Ida-Virumaa reitinguvõistlus</t>
        </r>
      </text>
    </comment>
    <comment ref="F24" authorId="0">
      <text>
        <r>
          <rPr>
            <b/>
            <sz val="8"/>
            <color indexed="81"/>
            <rFont val="Tahoma"/>
            <family val="2"/>
            <charset val="186"/>
          </rPr>
          <t>Jõhvi, 
Narva mnt 139b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186"/>
          </rPr>
          <t>Jõhvi, 
Narva mnt 139b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186"/>
          </rPr>
          <t>Jõhvi, 
Narva mnt 139b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186"/>
          </rPr>
          <t>Kohtla-Nõmme, Jaama tn 
Kohtla Kaevanduspark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H34" authorId="0">
      <text>
        <r>
          <rPr>
            <b/>
            <sz val="8"/>
            <color indexed="81"/>
            <rFont val="Tahoma"/>
            <family val="2"/>
            <charset val="186"/>
          </rPr>
          <t>Juunioridel 2 €
Eesti meistrivõistlustel osalemiseks peavad olema: 
 - petankeri litsents, 
 - võistluskuulid, 
 - meeskonnal ühtne võistlussärk.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H35" authorId="0">
      <text>
        <r>
          <rPr>
            <b/>
            <sz val="8"/>
            <color indexed="81"/>
            <rFont val="Tahoma"/>
            <family val="2"/>
            <charset val="186"/>
          </rPr>
          <t>Juunioridel 2 € 
Lubatud kasutada harjutuskuule.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41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48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M5" authorId="0">
      <text>
        <r>
          <rPr>
            <b/>
            <sz val="8"/>
            <color indexed="81"/>
            <rFont val="Tahoma"/>
            <family val="2"/>
            <charset val="186"/>
          </rPr>
          <t>5-liikmelised võistkonnad, kelle koosseisus on vähemalt 2 naist.
Iga kohtumine koosneb kahest mängust: trio ja duppel, mille koosseisu valik on vaba (M/N suhtes).</t>
        </r>
      </text>
    </comment>
    <comment ref="I7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Tartu, Lossi 25 
Toomkiriku varemed</t>
        </r>
      </text>
    </comment>
    <comment ref="E11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11" authorId="0">
      <text>
        <r>
          <rPr>
            <b/>
            <sz val="8"/>
            <color indexed="81"/>
            <rFont val="Tahoma"/>
            <family val="2"/>
            <charset val="186"/>
          </rPr>
          <t>Tallinn, Mäekalda tn
Kadrioru pargi KUMU-poolses otsas suure purskkaevu juures</t>
        </r>
      </text>
    </comment>
    <comment ref="M11" authorId="0">
      <text>
        <r>
          <rPr>
            <b/>
            <sz val="8"/>
            <color indexed="81"/>
            <rFont val="Tahoma"/>
            <family val="2"/>
            <charset val="186"/>
          </rPr>
          <t>Tallinn, Mäekalda tn
Kadrioru pargi KUMU-poolses otsas suure purskkaevu juures</t>
        </r>
      </text>
    </comment>
    <comment ref="K12" authorId="0">
      <text>
        <r>
          <rPr>
            <b/>
            <sz val="8"/>
            <color indexed="81"/>
            <rFont val="Tahoma"/>
            <family val="2"/>
            <charset val="186"/>
          </rPr>
          <t>Naiste MM ja meeste EM katsevõistlused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14" authorId="0">
      <text>
        <r>
          <rPr>
            <b/>
            <sz val="8"/>
            <color indexed="81"/>
            <rFont val="Tahoma"/>
            <family val="2"/>
            <charset val="186"/>
          </rPr>
          <t>Haapsalu, Ranna tee 2 
Fra Mare parkla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18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Tartu, Tähe 103 
Forseliuse kooli staadion
</t>
        </r>
      </text>
    </comment>
    <comment ref="M18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G21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21" authorId="0">
      <text>
        <r>
          <rPr>
            <b/>
            <sz val="8"/>
            <color indexed="81"/>
            <rFont val="Tahoma"/>
            <family val="2"/>
            <charset val="186"/>
          </rPr>
          <t>Tallinn, Ehitajate tee 4
TTÜ Spordihoone
Umbes 50 meetrit enne spordihoonet tuleb keerata paremale väikesele kruusateele.</t>
        </r>
      </text>
    </comment>
    <comment ref="M21" authorId="0">
      <text>
        <r>
          <rPr>
            <b/>
            <sz val="8"/>
            <color indexed="81"/>
            <rFont val="Tahoma"/>
            <family val="2"/>
            <charset val="186"/>
          </rPr>
          <t>Tallinn, Ehitajate tee 4
TTÜ Spordihoone
Umbes 50 meetrit enne spordihoonet tuleb keerata paremale väikesele kruusateele.</t>
        </r>
      </text>
    </comment>
    <comment ref="E26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G26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26" authorId="0">
      <text>
        <r>
          <rPr>
            <b/>
            <sz val="8"/>
            <color indexed="81"/>
            <rFont val="Tahoma"/>
            <family val="2"/>
            <charset val="186"/>
          </rPr>
          <t>Viljandi, Järve tn 9</t>
        </r>
      </text>
    </comment>
    <comment ref="M26" authorId="0">
      <text>
        <r>
          <rPr>
            <b/>
            <sz val="8"/>
            <color indexed="81"/>
            <rFont val="Tahoma"/>
            <family val="2"/>
            <charset val="186"/>
          </rPr>
          <t>Viljandi, Järve tn 9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186"/>
          </rPr>
          <t>Kohtla-Nõmme, Jaama tn 
Kohtla Kaevanduspark</t>
        </r>
      </text>
    </comment>
    <comment ref="K29" authorId="0">
      <text>
        <r>
          <rPr>
            <b/>
            <sz val="8"/>
            <color indexed="81"/>
            <rFont val="Tahoma"/>
            <family val="2"/>
            <charset val="186"/>
          </rPr>
          <t>Tallinn, Linnu teel Kotka jalgpallihalli territooriumil</t>
        </r>
      </text>
    </comment>
    <comment ref="M29" authorId="0">
      <text>
        <r>
          <rPr>
            <b/>
            <sz val="8"/>
            <color indexed="81"/>
            <rFont val="Tahoma"/>
            <family val="2"/>
            <charset val="186"/>
          </rPr>
          <t>Tallinn, Linnu teel Kotka jalgpallihalli territooriumil</t>
        </r>
      </text>
    </comment>
    <comment ref="C33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E33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33" authorId="0">
      <text>
        <r>
          <rPr>
            <b/>
            <sz val="8"/>
            <color indexed="81"/>
            <rFont val="Tahoma"/>
            <family val="2"/>
            <charset val="186"/>
          </rPr>
          <t>Tallinn, Audentese SK väljak (kõige Mustamäe poolses otsas)</t>
        </r>
      </text>
    </comment>
    <comment ref="M33" authorId="0">
      <text>
        <r>
          <rPr>
            <b/>
            <sz val="8"/>
            <color indexed="81"/>
            <rFont val="Tahoma"/>
            <family val="2"/>
            <charset val="186"/>
          </rPr>
          <t>Tallinn, Linnu teel Kotka jalgpallihalli territooriumil</t>
        </r>
      </text>
    </comment>
    <comment ref="M37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41" authorId="0">
      <text>
        <r>
          <rPr>
            <b/>
            <sz val="8"/>
            <color indexed="81"/>
            <rFont val="Tahoma"/>
            <family val="2"/>
            <charset val="186"/>
          </rPr>
          <t>Kärdla, Nuutri 21 
Mängude maja</t>
        </r>
      </text>
    </comment>
    <comment ref="M41" authorId="0">
      <text>
        <r>
          <rPr>
            <b/>
            <sz val="8"/>
            <color indexed="81"/>
            <rFont val="Tahoma"/>
            <family val="2"/>
            <charset val="186"/>
          </rPr>
          <t>Kärdla, Nuutri 21 
Mängude maja</t>
        </r>
      </text>
    </comment>
    <comment ref="E42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G42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43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Iga esindus võib osaleda 2 võistkonnaga. Võistkonna moodustavad põhimängijad (2 meest ja 1 naine) ning 1 varumängija. Võistlema peab kogu aeg üks naine.
</t>
        </r>
      </text>
    </comment>
    <comment ref="K45" authorId="0">
      <text>
        <r>
          <rPr>
            <b/>
            <sz val="8"/>
            <color indexed="81"/>
            <rFont val="Tahoma"/>
            <family val="2"/>
            <charset val="186"/>
          </rPr>
          <t>Viljandi, Järve tn. 9</t>
        </r>
      </text>
    </comment>
    <comment ref="M45" authorId="0">
      <text>
        <r>
          <rPr>
            <b/>
            <sz val="8"/>
            <color indexed="81"/>
            <rFont val="Tahoma"/>
            <family val="2"/>
            <charset val="186"/>
          </rPr>
          <t>Viljandi, Järve tn. 9</t>
        </r>
      </text>
    </comment>
    <comment ref="I46" authorId="0">
      <text>
        <r>
          <rPr>
            <b/>
            <sz val="8"/>
            <color indexed="81"/>
            <rFont val="Tahoma"/>
            <family val="2"/>
            <charset val="186"/>
          </rPr>
          <t>Reedel 12:00 maakonnad. 
Laupäeval 10:00 linnad ja vallad. 
Kuressaare, Lossipark 1
Kuursaali esine plats</t>
        </r>
      </text>
    </comment>
    <comment ref="K46" authorId="0">
      <text>
        <r>
          <rPr>
            <b/>
            <sz val="8"/>
            <color indexed="81"/>
            <rFont val="Tahoma"/>
            <family val="2"/>
            <charset val="186"/>
          </rPr>
          <t>Reedel 12:00 maakonnad. 
Laupäeval 10:00 linnad ja vallad. 
Kuressaare, Lossipark 1
Kuursaali esine plats</t>
        </r>
      </text>
    </comment>
    <comment ref="C49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186"/>
          </rPr>
          <t>Jõhvi, 
Narva mnt 139b</t>
        </r>
      </text>
    </comment>
    <comment ref="K52" authorId="0">
      <text>
        <r>
          <rPr>
            <b/>
            <sz val="8"/>
            <color indexed="81"/>
            <rFont val="Tahoma"/>
            <family val="2"/>
            <charset val="186"/>
          </rPr>
          <t>Uuskalda, Kärbla küla, Lääne-Nigula vald, Läänemaa</t>
        </r>
      </text>
    </comment>
    <comment ref="M52" authorId="0">
      <text>
        <r>
          <rPr>
            <b/>
            <sz val="8"/>
            <color indexed="81"/>
            <rFont val="Tahoma"/>
            <family val="2"/>
            <charset val="186"/>
          </rPr>
          <t>Uuskalda, Kärbla küla, Lääne-Nigula vald, Läänemaa</t>
        </r>
      </text>
    </comment>
    <comment ref="E53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54" authorId="0">
      <text>
        <r>
          <rPr>
            <b/>
            <sz val="8"/>
            <color indexed="81"/>
            <rFont val="Tahoma"/>
            <family val="2"/>
            <charset val="186"/>
          </rPr>
          <t>Metsa ja Jõe tänava ristist keerata Pedeli jõe poole</t>
        </r>
      </text>
    </comment>
    <comment ref="G57" authorId="0">
      <text>
        <r>
          <rPr>
            <b/>
            <sz val="8"/>
            <color indexed="81"/>
            <rFont val="Tahoma"/>
            <family val="2"/>
            <charset val="186"/>
          </rPr>
          <t>Jõhvi, 
Narva mnt 139b</t>
        </r>
      </text>
    </comment>
    <comment ref="M57" authorId="0">
      <text>
        <r>
          <rPr>
            <b/>
            <sz val="8"/>
            <color indexed="81"/>
            <rFont val="Tahoma"/>
            <family val="2"/>
            <charset val="186"/>
          </rPr>
          <t>Jõhvi, 
Narva mnt 139b</t>
        </r>
      </text>
    </comment>
    <comment ref="K63" authorId="0">
      <text>
        <r>
          <rPr>
            <b/>
            <sz val="8"/>
            <color indexed="81"/>
            <rFont val="Tahoma"/>
            <family val="2"/>
            <charset val="186"/>
          </rPr>
          <t>Metsa ja Jõe tänava ristist keerata Pedeli jõe poole</t>
        </r>
      </text>
    </comment>
    <comment ref="M63" authorId="0">
      <text>
        <r>
          <rPr>
            <b/>
            <sz val="8"/>
            <color indexed="81"/>
            <rFont val="Tahoma"/>
            <family val="2"/>
            <charset val="186"/>
          </rPr>
          <t>Metsa ja Jõe tänava ristist keerata Pedeli jõe poole</t>
        </r>
      </text>
    </comment>
    <comment ref="E67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G67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M67" authorId="0">
      <text>
        <r>
          <rPr>
            <b/>
            <sz val="8"/>
            <color indexed="81"/>
            <rFont val="Tahoma"/>
            <family val="2"/>
            <charset val="186"/>
          </rPr>
          <t>Kohtla-Nõmme, Jaama tn 
Kohtla Kaevanduspark</t>
        </r>
      </text>
    </comment>
    <comment ref="K70" authorId="0">
      <text>
        <r>
          <rPr>
            <b/>
            <sz val="8"/>
            <color indexed="81"/>
            <rFont val="Tahoma"/>
            <family val="2"/>
            <charset val="186"/>
          </rPr>
          <t>Võru, Roosi tänava spordiväljak</t>
        </r>
      </text>
    </comment>
    <comment ref="M70" authorId="0">
      <text>
        <r>
          <rPr>
            <b/>
            <sz val="8"/>
            <color indexed="81"/>
            <rFont val="Tahoma"/>
            <family val="2"/>
            <charset val="186"/>
          </rPr>
          <t>Haanja kooli spordiväljak</t>
        </r>
      </text>
    </comment>
    <comment ref="K71" authorId="0">
      <text>
        <r>
          <rPr>
            <b/>
            <sz val="8"/>
            <color indexed="81"/>
            <rFont val="Tahoma"/>
            <family val="2"/>
            <charset val="186"/>
          </rPr>
          <t>Eesti meistrivõistlustel osalemiseks peavad olema: 
 - petankeri litsents, 
 - võistluskuulid, 
 - meeskonnal ühtne võistlussärk.</t>
        </r>
      </text>
    </comment>
    <comment ref="E74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G74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74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M74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A78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G78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E83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G83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83" authorId="0">
      <text>
        <r>
          <rPr>
            <b/>
            <sz val="8"/>
            <color indexed="81"/>
            <rFont val="Tahoma"/>
            <family val="2"/>
            <charset val="186"/>
          </rPr>
          <t>Tallinn, Mäekalda tn
Kadrioru pargi KUMU-poolses otsas suure purskkaevu juures</t>
        </r>
      </text>
    </comment>
    <comment ref="G86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86" authorId="0">
      <text>
        <r>
          <rPr>
            <b/>
            <sz val="8"/>
            <color indexed="81"/>
            <rFont val="Tahoma"/>
            <family val="2"/>
            <charset val="186"/>
          </rPr>
          <t>Tallinn, Mäekalda tn
Kadrioru pargi KUMU-poolses otsas suure purskkaevu juures</t>
        </r>
      </text>
    </comment>
    <comment ref="M86" authorId="0">
      <text>
        <r>
          <rPr>
            <b/>
            <sz val="8"/>
            <color indexed="81"/>
            <rFont val="Tahoma"/>
            <family val="2"/>
            <charset val="186"/>
          </rPr>
          <t>Tallinn, Mäekalda tn
Kadrioru pargi KUMU-poolses otsas suure purskkaevu juures</t>
        </r>
      </text>
    </comment>
    <comment ref="E90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M90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M93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99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M99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I103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S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K4" authorId="0">
      <text>
        <r>
          <rPr>
            <b/>
            <sz val="8"/>
            <color indexed="81"/>
            <rFont val="Tahoma"/>
            <family val="2"/>
            <charset val="186"/>
          </rPr>
          <t>200. Ida-Virumaa reitinguvõistlus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186"/>
          </rPr>
          <t>Valem töötab Microsoft ja WPS Office-ga. 
Ei tööta Libre ja Open Office-ga.
Kui kirjutada tabelisse järgmise etapi tulemused, võtab valem ise 4 kehvemat tulemust maha.</t>
        </r>
      </text>
    </comment>
    <comment ref="P10" authorId="0">
      <text>
        <r>
          <rPr>
            <b/>
            <sz val="8"/>
            <color indexed="81"/>
            <rFont val="Tahoma"/>
            <family val="2"/>
            <charset val="186"/>
          </rPr>
          <t>Sellest veerust alates summa ei tööta - kasuta valemit</t>
        </r>
      </text>
    </comment>
    <comment ref="D37" authorId="0">
      <text>
        <r>
          <rPr>
            <b/>
            <sz val="8"/>
            <color indexed="81"/>
            <rFont val="Tahoma"/>
            <family val="2"/>
            <charset val="186"/>
          </rPr>
          <t>Aasta uustulnuk</t>
        </r>
      </text>
    </comment>
    <comment ref="G57" authorId="0">
      <text>
        <r>
          <rPr>
            <b/>
            <sz val="8"/>
            <color indexed="81"/>
            <rFont val="Tahoma"/>
            <family val="2"/>
            <charset val="186"/>
          </rPr>
          <t>Daniil Alekankin ja Emil Murzajev mängisid triot 
kahekesi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83" authorId="0">
      <text>
        <r>
          <rPr>
            <b/>
            <sz val="8"/>
            <color indexed="81"/>
            <rFont val="Tahoma"/>
            <family val="2"/>
            <charset val="186"/>
          </rPr>
          <t>Ivar mängis üksi kolme kuuliga</t>
        </r>
      </text>
    </comment>
    <comment ref="B117" authorId="0">
      <text>
        <r>
          <rPr>
            <b/>
            <sz val="8"/>
            <color indexed="81"/>
            <rFont val="Tahoma"/>
            <family val="2"/>
            <charset val="186"/>
          </rPr>
          <t>Ivar mängis 9-16 koha mänge üksi kolme kuuliga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H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15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20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31" authorId="0">
      <text>
        <r>
          <rPr>
            <b/>
            <sz val="8"/>
            <color indexed="81"/>
            <rFont val="Tahoma"/>
            <family val="2"/>
            <charset val="186"/>
          </rPr>
          <t>Protokollis oli 14 punkti</t>
        </r>
      </text>
    </comment>
    <comment ref="W33" authorId="0">
      <text>
        <r>
          <rPr>
            <b/>
            <sz val="8"/>
            <color indexed="81"/>
            <rFont val="Tahoma"/>
            <family val="2"/>
            <charset val="186"/>
          </rPr>
          <t>Protokollis oli 15 punkti</t>
        </r>
      </text>
    </comment>
    <comment ref="A36" authorId="0">
      <text>
        <r>
          <rPr>
            <b/>
            <sz val="8"/>
            <color indexed="81"/>
            <rFont val="Tahoma"/>
            <family val="2"/>
            <charset val="186"/>
          </rPr>
          <t>3 ja 4 on vahetuses, sest protokollis olid veerandfinaali tulemused valesti kokku loetud</t>
        </r>
      </text>
    </comment>
    <comment ref="A38" authorId="0">
      <text>
        <r>
          <rPr>
            <b/>
            <sz val="8"/>
            <color indexed="81"/>
            <rFont val="Tahoma"/>
            <family val="2"/>
            <charset val="186"/>
          </rPr>
          <t>3 ja 4 on vahetuses, sest protokollis olid veerandfinaali tulemused valesti kokku loetud</t>
        </r>
      </text>
    </comment>
    <comment ref="W40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41" authorId="0">
      <text>
        <r>
          <rPr>
            <b/>
            <sz val="8"/>
            <color indexed="81"/>
            <rFont val="Tahoma"/>
            <family val="2"/>
            <charset val="186"/>
          </rPr>
          <t>Protokollis oli 30 punkti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J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D6" authorId="0">
      <text>
        <r>
          <rPr>
            <b/>
            <sz val="8"/>
            <color indexed="81"/>
            <rFont val="Tahoma"/>
            <family val="2"/>
            <charset val="186"/>
          </rPr>
          <t>Valem töötab Microsoft ja WPS Office-ga. 
Ei tööta Libre ja Open Office-ga.
Kui kirjutada tabelisse järgmise etapi tulemused, võtab valem ise 4 kehvemat tulemust maha.</t>
        </r>
      </text>
    </comment>
    <comment ref="H8" authorId="0">
      <text>
        <r>
          <rPr>
            <b/>
            <sz val="8"/>
            <color indexed="81"/>
            <rFont val="Tahoma"/>
            <family val="2"/>
            <charset val="186"/>
          </rPr>
          <t>kuulid 676g (-15g)</t>
        </r>
      </text>
    </comment>
    <comment ref="I10" authorId="0">
      <text>
        <r>
          <rPr>
            <b/>
            <sz val="8"/>
            <color indexed="81"/>
            <rFont val="Tahoma"/>
            <family val="2"/>
            <charset val="186"/>
          </rPr>
          <t>Sellest veerust alates summa ei tööta - kasuta valemit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W18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21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43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W18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W9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15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20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31" authorId="0">
      <text>
        <r>
          <rPr>
            <b/>
            <sz val="8"/>
            <color indexed="81"/>
            <rFont val="Tahoma"/>
            <family val="2"/>
            <charset val="186"/>
          </rPr>
          <t>Paberil oli 14 punkti</t>
        </r>
      </text>
    </comment>
    <comment ref="W33" authorId="0">
      <text>
        <r>
          <rPr>
            <b/>
            <sz val="8"/>
            <color indexed="81"/>
            <rFont val="Tahoma"/>
            <family val="2"/>
            <charset val="186"/>
          </rPr>
          <t>Paberil oli 15 punkti</t>
        </r>
      </text>
    </comment>
    <comment ref="A36" authorId="0">
      <text>
        <r>
          <rPr>
            <b/>
            <sz val="8"/>
            <color indexed="81"/>
            <rFont val="Tahoma"/>
            <family val="2"/>
            <charset val="186"/>
          </rPr>
          <t>3 ja 4 on vahetuses, sest veerandfinaalis loeti punktid valesti kokku. 
2 peab kohtuma 3-ga ja 
1 peab kohtuma 4-ga</t>
        </r>
      </text>
    </comment>
    <comment ref="A38" authorId="0">
      <text>
        <r>
          <rPr>
            <b/>
            <sz val="8"/>
            <color indexed="81"/>
            <rFont val="Tahoma"/>
            <family val="2"/>
            <charset val="186"/>
          </rPr>
          <t>3 ja 4 on vahetuses, sest veerandfinaalis loeti punktid valesti kokku. 
2 peab kohtuma 3-ga ja 
1 peab kohtuma 4-ga</t>
        </r>
      </text>
    </comment>
    <comment ref="W40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41" authorId="0">
      <text>
        <r>
          <rPr>
            <b/>
            <sz val="8"/>
            <color indexed="81"/>
            <rFont val="Tahoma"/>
            <family val="2"/>
            <charset val="186"/>
          </rPr>
          <t>Paberil oli 30 punkti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M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E6" authorId="0">
      <text>
        <r>
          <rPr>
            <b/>
            <sz val="8"/>
            <color indexed="81"/>
            <rFont val="Tahoma"/>
            <family val="2"/>
            <charset val="186"/>
          </rPr>
          <t>Kohalikud mängijad</t>
        </r>
      </text>
    </commen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Valem töötab Microsoft ja WPS Office-ga. 
Ei tööta Libre ja Open Office-ga.
Kui kirjutada tabelisse järgmise etapi tulemused, võtab valem ise 4 kehvemat tulemust maha.</t>
        </r>
      </text>
    </comment>
    <comment ref="K12" authorId="0">
      <text>
        <r>
          <rPr>
            <b/>
            <sz val="8"/>
            <color indexed="81"/>
            <rFont val="Tahoma"/>
            <family val="2"/>
            <charset val="186"/>
          </rPr>
          <t>Sellest veerust alates summa ei tööta - kasuta valemit</t>
        </r>
      </text>
    </comment>
  </commentList>
</comments>
</file>

<file path=xl/sharedStrings.xml><?xml version="1.0" encoding="utf-8"?>
<sst xmlns="http://schemas.openxmlformats.org/spreadsheetml/2006/main" count="4801" uniqueCount="627">
  <si>
    <t>IDA-VIRUMAA PETANGIKALENDER 2015</t>
  </si>
  <si>
    <t>Seisuga 19.09.2015</t>
  </si>
  <si>
    <t>Kuupäev</t>
  </si>
  <si>
    <t>Aeg</t>
  </si>
  <si>
    <t>Võistlus</t>
  </si>
  <si>
    <t>Mänguviis</t>
  </si>
  <si>
    <t>R</t>
  </si>
  <si>
    <t>Toimumiskoht</t>
  </si>
  <si>
    <t>Korraldaja</t>
  </si>
  <si>
    <t>Osal</t>
  </si>
  <si>
    <t>Mai 2015</t>
  </si>
  <si>
    <t>R, 01.05.2015</t>
  </si>
  <si>
    <t>11:00</t>
  </si>
  <si>
    <t>Välishooaja avavõistlus</t>
  </si>
  <si>
    <t>Üksik</t>
  </si>
  <si>
    <t>K-Järve SHK, Ivar Viljaste</t>
  </si>
  <si>
    <t>K, 06.05.2015</t>
  </si>
  <si>
    <t>18:00</t>
  </si>
  <si>
    <t>Duo</t>
  </si>
  <si>
    <t>Johannes Neiland</t>
  </si>
  <si>
    <t>N, 07.05.2015</t>
  </si>
  <si>
    <t>Tulistamise neljapäevak 1</t>
  </si>
  <si>
    <t>Tulistamine</t>
  </si>
  <si>
    <t>N, 14.05.2015</t>
  </si>
  <si>
    <t>Trio</t>
  </si>
  <si>
    <t>T, 19.05.2015</t>
  </si>
  <si>
    <t>Mäetaguse SK, Taavi Toomel</t>
  </si>
  <si>
    <t>K, 20.05.2015</t>
  </si>
  <si>
    <t>P, 24.05.2015</t>
  </si>
  <si>
    <t>12:00</t>
  </si>
  <si>
    <t>N, 28.05.2015</t>
  </si>
  <si>
    <t>Juuni 2015</t>
  </si>
  <si>
    <t>K, 03.06.2015</t>
  </si>
  <si>
    <t>N, 04.06.2015</t>
  </si>
  <si>
    <t>Tulistamise neljapäevak 2</t>
  </si>
  <si>
    <t>N, 11.06.2015</t>
  </si>
  <si>
    <t>Ida-Virumaa MV</t>
  </si>
  <si>
    <t>T, 16.06.2015</t>
  </si>
  <si>
    <t>K, 17.06.2015</t>
  </si>
  <si>
    <t>P, 28.06.2015</t>
  </si>
  <si>
    <t>10:00</t>
  </si>
  <si>
    <t>Toila valla MV (muruturniir)</t>
  </si>
  <si>
    <t>Toila vald, Johannes Neiland</t>
  </si>
  <si>
    <t>Juuli 2015</t>
  </si>
  <si>
    <t>K, 01.07.2015</t>
  </si>
  <si>
    <t>N, 02.07.2015</t>
  </si>
  <si>
    <t>Tulistamise neljapäevak 3</t>
  </si>
  <si>
    <t>T, 07.07.2015</t>
  </si>
  <si>
    <t>N, 09.07.2015</t>
  </si>
  <si>
    <r>
      <t>Jõhvi 15. MV</t>
    </r>
    <r>
      <rPr>
        <sz val="10"/>
        <color indexed="8"/>
        <rFont val="Arial"/>
        <family val="2"/>
        <charset val="186"/>
      </rPr>
      <t xml:space="preserve"> </t>
    </r>
    <r>
      <rPr>
        <i/>
        <sz val="10"/>
        <color indexed="23"/>
        <rFont val="Arial"/>
        <family val="2"/>
        <charset val="186"/>
      </rPr>
      <t>(200. reit.võ.)</t>
    </r>
  </si>
  <si>
    <t>LTK Üks-Teist, Tõnu Kapper</t>
  </si>
  <si>
    <t>K, 15.07.2015</t>
  </si>
  <si>
    <t>N, 23.07.2015</t>
  </si>
  <si>
    <t>Jõhvi 15. MV</t>
  </si>
  <si>
    <t>P, 26.07.2015</t>
  </si>
  <si>
    <t>Jõhvi 13. MV</t>
  </si>
  <si>
    <t>August 2015</t>
  </si>
  <si>
    <t>K, 05.08.2015</t>
  </si>
  <si>
    <t>N, 06.08.2015</t>
  </si>
  <si>
    <t>Tulistamise neljapäevak 4</t>
  </si>
  <si>
    <t>P, 09.08.2015</t>
  </si>
  <si>
    <t>K, 19.08.2015</t>
  </si>
  <si>
    <t>N, 20.08.2015</t>
  </si>
  <si>
    <t>L, 22.08.2015</t>
  </si>
  <si>
    <t>P, 23.08.2015</t>
  </si>
  <si>
    <t>9:00</t>
  </si>
  <si>
    <t>E, 24.08.2015</t>
  </si>
  <si>
    <t>N, 27.08.2015</t>
  </si>
  <si>
    <t>K-Järve 14. MV</t>
  </si>
  <si>
    <t>September 2015</t>
  </si>
  <si>
    <t>K, 02.09.2015</t>
  </si>
  <si>
    <t>N, 03.09.2015</t>
  </si>
  <si>
    <t>Tulistamise neljapäevak 5</t>
  </si>
  <si>
    <t>N, 10.09.2015</t>
  </si>
  <si>
    <t>K-Järve 16. MV</t>
  </si>
  <si>
    <t>K, 16.09.2015</t>
  </si>
  <si>
    <t>P, 20.09.2015</t>
  </si>
  <si>
    <r>
      <t xml:space="preserve">Ivari karikas, </t>
    </r>
    <r>
      <rPr>
        <sz val="10"/>
        <color indexed="8"/>
        <rFont val="Arial"/>
        <family val="2"/>
        <charset val="186"/>
      </rPr>
      <t>neljapäevak 6</t>
    </r>
  </si>
  <si>
    <t>P, 27.09.2015</t>
  </si>
  <si>
    <t>Oktoober 2015</t>
  </si>
  <si>
    <t>L, 03.10.2015</t>
  </si>
  <si>
    <t>P, 04.10.2015</t>
  </si>
  <si>
    <t>R, 09.10.2015</t>
  </si>
  <si>
    <t>Hooaja lõpetamine (pliks-plaks)</t>
  </si>
  <si>
    <r>
      <t xml:space="preserve">Ida-Viru reitinguvõistlused on rasvases trükis </t>
    </r>
    <r>
      <rPr>
        <sz val="10"/>
        <color indexed="8"/>
        <rFont val="Arial"/>
        <family val="2"/>
        <charset val="186"/>
      </rPr>
      <t>(kuuluvad ka Ida-Virumaa liikumisharrastuse sarja)</t>
    </r>
  </si>
  <si>
    <t>Viimased muudatused on punasega</t>
  </si>
  <si>
    <t>EESTI JA IDA-VIRUMAA PETANGIKALENDER 2015</t>
  </si>
  <si>
    <t>Esmaspäev</t>
  </si>
  <si>
    <t>Teisipäev</t>
  </si>
  <si>
    <t>Kolmapäev</t>
  </si>
  <si>
    <t>Neljapäev</t>
  </si>
  <si>
    <t>Reede</t>
  </si>
  <si>
    <t>Laupäev</t>
  </si>
  <si>
    <t>Pühapäev</t>
  </si>
  <si>
    <t>+DUO (min. 2 naist)</t>
  </si>
  <si>
    <t>TUL</t>
  </si>
  <si>
    <t>TRIO</t>
  </si>
  <si>
    <t>DUO</t>
  </si>
  <si>
    <t>1. etapp, TRIO</t>
  </si>
  <si>
    <t xml:space="preserve">KV 1. etapp, </t>
  </si>
  <si>
    <t xml:space="preserve">võistkondlikud MV </t>
  </si>
  <si>
    <t>2. etapp, DUO</t>
  </si>
  <si>
    <t>(35+), ÜKSIK</t>
  </si>
  <si>
    <t>3. etapp, ÜKSIK</t>
  </si>
  <si>
    <t>ÜKSIK</t>
  </si>
  <si>
    <t>Hansaturniir, DUO</t>
  </si>
  <si>
    <t>Hansaturniir, TRIO</t>
  </si>
  <si>
    <t>MV, TRIO</t>
  </si>
  <si>
    <t>2. etapp, TRIO</t>
  </si>
  <si>
    <t>finaal, TRIO</t>
  </si>
  <si>
    <t xml:space="preserve">KV 2. etapp, </t>
  </si>
  <si>
    <t xml:space="preserve">(14. muruturniir), </t>
  </si>
  <si>
    <t xml:space="preserve">Spordimängud, </t>
  </si>
  <si>
    <t>SEGATRIO</t>
  </si>
  <si>
    <t xml:space="preserve">KV 3. etapp, </t>
  </si>
  <si>
    <t xml:space="preserve">suvemängud, </t>
  </si>
  <si>
    <t>200. reitinguvõistlus</t>
  </si>
  <si>
    <t>Itaalia</t>
  </si>
  <si>
    <t>SEGADUO</t>
  </si>
  <si>
    <t>karikas, TRIO</t>
  </si>
  <si>
    <t>Torni auhind, TRIO</t>
  </si>
  <si>
    <t>Võru</t>
  </si>
  <si>
    <t>Suur-Munamägi</t>
  </si>
  <si>
    <t>4. etapp, TRIO</t>
  </si>
  <si>
    <t>Haapsalu</t>
  </si>
  <si>
    <t>MV, DUO</t>
  </si>
  <si>
    <t>DUO, TRIO</t>
  </si>
  <si>
    <t xml:space="preserve">Ivari karikas, </t>
  </si>
  <si>
    <t>Albena (Bulgaaria)</t>
  </si>
  <si>
    <t>5. etapp, ÜKSIK</t>
  </si>
  <si>
    <t>superfinaal, ÜKSIK</t>
  </si>
  <si>
    <t>lõpetamine, ÜKSIK</t>
  </si>
  <si>
    <t>November 2015</t>
  </si>
  <si>
    <t>MM, TRIO, TUL</t>
  </si>
  <si>
    <t>TRIO, TUL</t>
  </si>
  <si>
    <t>Bangkok (Tai)</t>
  </si>
  <si>
    <t xml:space="preserve"> </t>
  </si>
  <si>
    <t>Bangkok</t>
  </si>
  <si>
    <t>IDA-VIRUMAA PETANGIREITING 2015</t>
  </si>
  <si>
    <t>Kuld</t>
  </si>
  <si>
    <t>Hõbe</t>
  </si>
  <si>
    <t>Pronks</t>
  </si>
  <si>
    <t>Osalusi</t>
  </si>
  <si>
    <t>Medaleid</t>
  </si>
  <si>
    <t>Võite</t>
  </si>
  <si>
    <t>N</t>
  </si>
  <si>
    <t>J</t>
  </si>
  <si>
    <t>Nimi</t>
  </si>
  <si>
    <t>K</t>
  </si>
  <si>
    <t>val</t>
  </si>
  <si>
    <t>***</t>
  </si>
  <si>
    <t>**</t>
  </si>
  <si>
    <t>*</t>
  </si>
  <si>
    <t>Ivar Viljaste</t>
  </si>
  <si>
    <t xml:space="preserve">  </t>
  </si>
  <si>
    <t>Aarne Välja</t>
  </si>
  <si>
    <t>Elmo Lageda</t>
  </si>
  <si>
    <t>Jaan Sepp</t>
  </si>
  <si>
    <t>Tõnu Piik</t>
  </si>
  <si>
    <t>Janek Tarto</t>
  </si>
  <si>
    <t>Ülo Piik</t>
  </si>
  <si>
    <t>Pjotr Nikkar</t>
  </si>
  <si>
    <t>Oskar Sepp</t>
  </si>
  <si>
    <t>Matti Vinni</t>
  </si>
  <si>
    <t>Kristo Viljaste</t>
  </si>
  <si>
    <t>Argo Sepp</t>
  </si>
  <si>
    <t>Andrei Grintšak</t>
  </si>
  <si>
    <t>Tõnu Kapper</t>
  </si>
  <si>
    <t>Karla Purgats</t>
  </si>
  <si>
    <t>Vladimir Ogneštšikov</t>
  </si>
  <si>
    <t>Kalle Orro</t>
  </si>
  <si>
    <t>Mait Metsla</t>
  </si>
  <si>
    <t>Emil Murzajev</t>
  </si>
  <si>
    <t>Aigi Orro</t>
  </si>
  <si>
    <t>Svetlana Sobolko</t>
  </si>
  <si>
    <t xml:space="preserve">Andres Veski </t>
  </si>
  <si>
    <t>Daniil Alekankin</t>
  </si>
  <si>
    <t>Sirje Viljaste</t>
  </si>
  <si>
    <t>Lemmit Toomra</t>
  </si>
  <si>
    <t>Hugo Müüdla</t>
  </si>
  <si>
    <t>Klavdia Piik</t>
  </si>
  <si>
    <t>Boriss Klubov</t>
  </si>
  <si>
    <t>Jaan Rooden</t>
  </si>
  <si>
    <t>Tõnis Anton</t>
  </si>
  <si>
    <t>Rene Kundla</t>
  </si>
  <si>
    <t>Enno Konsa</t>
  </si>
  <si>
    <t>Meelis Luud</t>
  </si>
  <si>
    <t>Alina Andrejeva (Venemaa)</t>
  </si>
  <si>
    <t>Alari Keedus</t>
  </si>
  <si>
    <t>Tarmo Müür</t>
  </si>
  <si>
    <t>Tõnu Kortel</t>
  </si>
  <si>
    <t>Laila Ahu</t>
  </si>
  <si>
    <t>Marko Rooden</t>
  </si>
  <si>
    <t>Martin Rooden</t>
  </si>
  <si>
    <t>Vadim Tihhonjuk</t>
  </si>
  <si>
    <t>Jüri Mironjuk</t>
  </si>
  <si>
    <t>Ljudmila Varendi (Narva)</t>
  </si>
  <si>
    <t>Greta-Maria Pisarev</t>
  </si>
  <si>
    <t>Kennet Pisarev</t>
  </si>
  <si>
    <t>Igor Mironjuk</t>
  </si>
  <si>
    <t>Viktor Švarõgin (Narva)</t>
  </si>
  <si>
    <t>Osalejaid</t>
  </si>
  <si>
    <t>Võistkondi</t>
  </si>
  <si>
    <t>Kaldkirjas on teiste maakondade mängijad</t>
  </si>
  <si>
    <t xml:space="preserve">Rasvases trükis on aasta uustulnuka tiitli kandidaadid (mängijad, kes pole kolmel eelmisel </t>
  </si>
  <si>
    <t>aastal mahtunud reitingus 30 parema hulka)</t>
  </si>
  <si>
    <t xml:space="preserve">2015 aasta uustulnukaks ei saa kandideerida: </t>
  </si>
  <si>
    <t>German Terehhov</t>
  </si>
  <si>
    <t>Tõnis Neiland</t>
  </si>
  <si>
    <t>Hillar Neiland</t>
  </si>
  <si>
    <t>Andres Veski</t>
  </si>
  <si>
    <t>Anna Romanenko</t>
  </si>
  <si>
    <t>Vello Vasser</t>
  </si>
  <si>
    <t>Artjom Kolkin</t>
  </si>
  <si>
    <t xml:space="preserve">Rene Kundla </t>
  </si>
  <si>
    <t xml:space="preserve">Viktor Fjodorov </t>
  </si>
  <si>
    <t>Tanel Vähk</t>
  </si>
  <si>
    <t>A-puul</t>
  </si>
  <si>
    <t>1-4, 2-3</t>
  </si>
  <si>
    <t>Võitjad</t>
  </si>
  <si>
    <t>Kaotajad</t>
  </si>
  <si>
    <t>VK-KV</t>
  </si>
  <si>
    <t>Koht</t>
  </si>
  <si>
    <t>D-puul</t>
  </si>
  <si>
    <t>I</t>
  </si>
  <si>
    <t>III</t>
  </si>
  <si>
    <t>II</t>
  </si>
  <si>
    <t>B-puul</t>
  </si>
  <si>
    <t>E-puul</t>
  </si>
  <si>
    <t>C-puul</t>
  </si>
  <si>
    <t>F-puul</t>
  </si>
  <si>
    <t>1 - 4 koht</t>
  </si>
  <si>
    <t>B1</t>
  </si>
  <si>
    <t>A2</t>
  </si>
  <si>
    <t>D1</t>
  </si>
  <si>
    <t>-</t>
  </si>
  <si>
    <t>C2</t>
  </si>
  <si>
    <t>E2</t>
  </si>
  <si>
    <t>F1</t>
  </si>
  <si>
    <t>E1</t>
  </si>
  <si>
    <t>I koht</t>
  </si>
  <si>
    <t>A1</t>
  </si>
  <si>
    <t>B2</t>
  </si>
  <si>
    <t>F2</t>
  </si>
  <si>
    <t>II koht</t>
  </si>
  <si>
    <t>D2</t>
  </si>
  <si>
    <t>C1</t>
  </si>
  <si>
    <t>III koht</t>
  </si>
  <si>
    <t>4. koht</t>
  </si>
  <si>
    <t>5 - 8 koht</t>
  </si>
  <si>
    <t>5. koht</t>
  </si>
  <si>
    <t>6. koht</t>
  </si>
  <si>
    <t>7. koht</t>
  </si>
  <si>
    <t>8. koht</t>
  </si>
  <si>
    <t>9 - 12 koht</t>
  </si>
  <si>
    <t>9. koht</t>
  </si>
  <si>
    <t>10. koht</t>
  </si>
  <si>
    <t>11. koht</t>
  </si>
  <si>
    <t>12. koht</t>
  </si>
  <si>
    <t>13 - 18 koht</t>
  </si>
  <si>
    <t>E3</t>
  </si>
  <si>
    <t>F3</t>
  </si>
  <si>
    <t>A3</t>
  </si>
  <si>
    <t>13. koht</t>
  </si>
  <si>
    <t>C3</t>
  </si>
  <si>
    <t>14. koht</t>
  </si>
  <si>
    <t>D3</t>
  </si>
  <si>
    <t>B3</t>
  </si>
  <si>
    <t>15. koht</t>
  </si>
  <si>
    <t>16. koht</t>
  </si>
  <si>
    <t>17. koht</t>
  </si>
  <si>
    <t>Kõik mängud (va finaalid), toimusid ajalimiidiga 45 minutit</t>
  </si>
  <si>
    <t>Aigi Orro, Kalle Orro, Pjotr Nikkar</t>
  </si>
  <si>
    <t>Klavdia Piik, Lemmit Toomra, Ülo Piik</t>
  </si>
  <si>
    <t>Tarmo Müür, Tõnu Kortel, Tõnu Piik</t>
  </si>
  <si>
    <t>Daniil Alekankin, Emil Murzajev</t>
  </si>
  <si>
    <t>IV</t>
  </si>
  <si>
    <t>Johannes Neiland, Mait Metsla, Matti Vinni</t>
  </si>
  <si>
    <t>Andrei Grintšak, Karla Purgats, Kristo Viljaste</t>
  </si>
  <si>
    <t>Argo Sepp, Jaan Sepp, Oskar Sepp</t>
  </si>
  <si>
    <t>Elmo Lageda, Tõnu Kapper, Vladimir Ogneštšikov</t>
  </si>
  <si>
    <t>Aarne Välja, Hugo Müüdla, Ivar Viljaste</t>
  </si>
  <si>
    <t>Andres Veski, Svetlana Sobolko, Tõnis Anton</t>
  </si>
  <si>
    <t>Laila Ahu, Marko Rooden, Martin Rooden</t>
  </si>
  <si>
    <t>1 - 8 koht</t>
  </si>
  <si>
    <t>7 - 11 koht</t>
  </si>
  <si>
    <t>C4</t>
  </si>
  <si>
    <t>A4</t>
  </si>
  <si>
    <t>Aarne Välja, Ivar Viljaste</t>
  </si>
  <si>
    <t>Jaan Sepp, Oskar Sepp</t>
  </si>
  <si>
    <t>Andrei Grintšak, Daniil Alekankin</t>
  </si>
  <si>
    <t>Boriss Klubov, Tõnu Kapper</t>
  </si>
  <si>
    <t>Karla Purgats, Pjotr Nikkar</t>
  </si>
  <si>
    <t>Emil Murzajev, Tõnis Anton</t>
  </si>
  <si>
    <t>Argo Sepp, Tõnu Piik</t>
  </si>
  <si>
    <t>Greta-Maria Pisarev, Kennet Pisarev</t>
  </si>
  <si>
    <t>Aigi Orro, Kalle Orro</t>
  </si>
  <si>
    <t>Mait Metsla, Matti Vinni</t>
  </si>
  <si>
    <t>Johannes Neiland, Meelis Luud</t>
  </si>
  <si>
    <t>Alari Keedus, Rene Kundla</t>
  </si>
  <si>
    <t>Klavdia Piik, Ülo Piik</t>
  </si>
  <si>
    <t>Elmo Lageda, Vladimir Ogneštšikov</t>
  </si>
  <si>
    <t>Andres Veski, Vadim Tihhonjuk</t>
  </si>
  <si>
    <t>Janek Tarto, Kristo Viljaste</t>
  </si>
  <si>
    <t>9 - 16 koht</t>
  </si>
  <si>
    <t>D4</t>
  </si>
  <si>
    <t>B4</t>
  </si>
  <si>
    <r>
      <rPr>
        <sz val="10"/>
        <color indexed="55"/>
        <rFont val="Arial"/>
        <family val="2"/>
        <charset val="186"/>
      </rPr>
      <t xml:space="preserve">Aarne Välja, </t>
    </r>
    <r>
      <rPr>
        <sz val="10"/>
        <color indexed="8"/>
        <rFont val="Arial"/>
        <family val="2"/>
        <charset val="186"/>
      </rPr>
      <t>Ivar Viljaste</t>
    </r>
  </si>
  <si>
    <t>Puulide mängud olid ajalimiidiga 45 minutit</t>
  </si>
  <si>
    <t>G-puul</t>
  </si>
  <si>
    <t>H-puul</t>
  </si>
  <si>
    <t>G1</t>
  </si>
  <si>
    <t>H1</t>
  </si>
  <si>
    <t>H2</t>
  </si>
  <si>
    <t>G2</t>
  </si>
  <si>
    <t>17 - 24 koht</t>
  </si>
  <si>
    <t>H3</t>
  </si>
  <si>
    <t>G3</t>
  </si>
  <si>
    <t>18. koht</t>
  </si>
  <si>
    <t>19. koht</t>
  </si>
  <si>
    <t>20. koht</t>
  </si>
  <si>
    <t>21. koht</t>
  </si>
  <si>
    <t>22. koht</t>
  </si>
  <si>
    <t>23. koht</t>
  </si>
  <si>
    <t>24. koht</t>
  </si>
  <si>
    <t>Kolme etapi tulemused liidetakse kokku</t>
  </si>
  <si>
    <t>14.05</t>
  </si>
  <si>
    <t>24.05</t>
  </si>
  <si>
    <t>28.05</t>
  </si>
  <si>
    <t>A</t>
  </si>
  <si>
    <t>V-K</t>
  </si>
  <si>
    <t>0-3</t>
  </si>
  <si>
    <t>2-1</t>
  </si>
  <si>
    <t>Janek Tarto, Karla Purgats, Kristo Viljaste</t>
  </si>
  <si>
    <t>1-2</t>
  </si>
  <si>
    <t>Andrei Grintšak, Daniil Alekankin, Emil Murzajev</t>
  </si>
  <si>
    <t>3-0</t>
  </si>
  <si>
    <t>B</t>
  </si>
  <si>
    <t>Elmo Lageda, Tõnu Piik, Vladimir Ogneštšikov</t>
  </si>
  <si>
    <t>Johannes Neiland, Klavdia Piik, Ülo Piik</t>
  </si>
  <si>
    <t>Jaan Rooden, Mait Metsla, Matti Vinni</t>
  </si>
  <si>
    <t>1. voor</t>
  </si>
  <si>
    <t>1-4</t>
  </si>
  <si>
    <t>2-3</t>
  </si>
  <si>
    <t>2. voor</t>
  </si>
  <si>
    <t>1-3</t>
  </si>
  <si>
    <t>2-4</t>
  </si>
  <si>
    <t>3. voor</t>
  </si>
  <si>
    <t>3-4</t>
  </si>
  <si>
    <t>Kõik mängud algasid seisult 1:1</t>
  </si>
  <si>
    <t>Plussring</t>
  </si>
  <si>
    <t>Eenok Sepp</t>
  </si>
  <si>
    <t>Tarmo Bombe</t>
  </si>
  <si>
    <t>Illar Tõnurist</t>
  </si>
  <si>
    <t>-Miinusringi võitja</t>
  </si>
  <si>
    <t>Miinusring</t>
  </si>
  <si>
    <t>AA</t>
  </si>
  <si>
    <t xml:space="preserve">4. </t>
  </si>
  <si>
    <t xml:space="preserve">III </t>
  </si>
  <si>
    <t xml:space="preserve">  ---&gt;  finaali</t>
  </si>
  <si>
    <t>BB</t>
  </si>
  <si>
    <t>5 - 6 koht</t>
  </si>
  <si>
    <t>7 - 8 koht</t>
  </si>
  <si>
    <t>13 - 16 koht</t>
  </si>
  <si>
    <t>C</t>
  </si>
  <si>
    <t>D</t>
  </si>
  <si>
    <t>17 - 18 koht</t>
  </si>
  <si>
    <t>Paremusjärjestus</t>
  </si>
  <si>
    <t>Kohalike paremusjärjestus:</t>
  </si>
  <si>
    <t>1.</t>
  </si>
  <si>
    <t>2.</t>
  </si>
  <si>
    <t>3.</t>
  </si>
  <si>
    <t>4.</t>
  </si>
  <si>
    <t>5.</t>
  </si>
  <si>
    <t>Puulides algasid mängud seisult 3:3, kohamängudes seisult 2:2</t>
  </si>
  <si>
    <t>Andres Veski, Svetlana Sobolko</t>
  </si>
  <si>
    <t>Jaan Sepp, Pjotr Nikkar</t>
  </si>
  <si>
    <t>Tõnu Kapper, Enno Konsa</t>
  </si>
  <si>
    <t>Karla Purgats, Ülo Piik</t>
  </si>
  <si>
    <t>Lemmit Toomra, Rene Kundla</t>
  </si>
  <si>
    <t>LK</t>
  </si>
  <si>
    <t>Kõik mängud (va viimased) olid ajalimiiduga 40 minutit + 1 snadivise</t>
  </si>
  <si>
    <t>Aarne Välja, Ivar Viljaste, Sirje Viljaste</t>
  </si>
  <si>
    <t>Andrei Grintšak, Boriss Klubov, Tõnu Piik</t>
  </si>
  <si>
    <t>5 - 7 koht</t>
  </si>
  <si>
    <t>Kõik mängud algasid seisult 2:2</t>
  </si>
  <si>
    <t>2-2</t>
  </si>
  <si>
    <t>3-1</t>
  </si>
  <si>
    <t>V</t>
  </si>
  <si>
    <t>4-0</t>
  </si>
  <si>
    <t>0-4</t>
  </si>
  <si>
    <t>2-5</t>
  </si>
  <si>
    <t>1-5</t>
  </si>
  <si>
    <t>4. voor</t>
  </si>
  <si>
    <t>3-5</t>
  </si>
  <si>
    <t>5. voor</t>
  </si>
  <si>
    <t>4-5</t>
  </si>
  <si>
    <t>17 - 19 koht</t>
  </si>
  <si>
    <t>0-2</t>
  </si>
  <si>
    <t>2-0</t>
  </si>
  <si>
    <t>1-1</t>
  </si>
  <si>
    <t>Tõnu Piik, Ülo Piik</t>
  </si>
  <si>
    <t>läksid ära</t>
  </si>
  <si>
    <t>Pjotr Nikkar, Sirje Viljaste</t>
  </si>
  <si>
    <t>Boriss Klubov, Karla Purgats</t>
  </si>
  <si>
    <t>Elmo Lageda, Tõnu Kapper</t>
  </si>
  <si>
    <t>Andrei Grintšak, Emil Murzajev</t>
  </si>
  <si>
    <t>1 - 6 koht</t>
  </si>
  <si>
    <t>7 - 10 koht</t>
  </si>
  <si>
    <t>3-2</t>
  </si>
  <si>
    <t>17 - 20 koht</t>
  </si>
  <si>
    <t>A5</t>
  </si>
  <si>
    <t>D5</t>
  </si>
  <si>
    <t>C5</t>
  </si>
  <si>
    <t>B5</t>
  </si>
  <si>
    <t>Elmo Lageda, Tõnu Kapper, Tõnu Piik</t>
  </si>
  <si>
    <t>Mait Metsla, Matti Vinni, Pjotr Nikkar</t>
  </si>
  <si>
    <t>Aigi Orro, Kalle Orro, Lemmit Toomra</t>
  </si>
  <si>
    <t>Kõik mängud (va finaal) olid ajalimiidiga 50 minutit</t>
  </si>
  <si>
    <t>Emil Murzajev, Andrei Grintšak</t>
  </si>
  <si>
    <t>Alina Andrejeva, Daniil Alekankin</t>
  </si>
  <si>
    <t>edasi 8</t>
  </si>
  <si>
    <t>edasi 1</t>
  </si>
  <si>
    <t>edasi 7</t>
  </si>
  <si>
    <t>edasi 6</t>
  </si>
  <si>
    <t>edasi 4</t>
  </si>
  <si>
    <t>edasi 3</t>
  </si>
  <si>
    <t>edasi 2</t>
  </si>
  <si>
    <t>edasi 5</t>
  </si>
  <si>
    <t>VEERANDFINAALID</t>
  </si>
  <si>
    <t>POOLFINAALID</t>
  </si>
  <si>
    <t>PRONKSIMÄNG</t>
  </si>
  <si>
    <t>FINAAL</t>
  </si>
  <si>
    <t>Alina Andrejeva</t>
  </si>
  <si>
    <t>Ljudmila Varendi</t>
  </si>
  <si>
    <t>Võit - 2 punkti</t>
  </si>
  <si>
    <t>Viik - 1 punkt</t>
  </si>
  <si>
    <t>Kaotus - 0 punkti</t>
  </si>
  <si>
    <t>Kokku</t>
  </si>
  <si>
    <t>Viike</t>
  </si>
  <si>
    <t xml:space="preserve">Kui kahel või enamal mängijal on võrdselt punkte, siis saab parema koha see, kellel on rohkem võite. </t>
  </si>
  <si>
    <t xml:space="preserve">Kui ka võitude arv on võrdne, siis vaadatakse nende mängijate omavaheliste mängude suhet. </t>
  </si>
  <si>
    <t xml:space="preserve">Kui omavahel mängiti viiki, toimub nende vahel kordusmäng. </t>
  </si>
  <si>
    <t>TULISTAMINE 2015</t>
  </si>
  <si>
    <t>edasi 3-4</t>
  </si>
  <si>
    <t>ÜMBERVISKED</t>
  </si>
  <si>
    <t>19.05</t>
  </si>
  <si>
    <t>16.06</t>
  </si>
  <si>
    <t>07.07</t>
  </si>
  <si>
    <t>24.08</t>
  </si>
  <si>
    <t>03.10</t>
  </si>
  <si>
    <t>M</t>
  </si>
  <si>
    <t>Taavi Toomel</t>
  </si>
  <si>
    <t>Ranel Laht</t>
  </si>
  <si>
    <t>Mart Ladoga</t>
  </si>
  <si>
    <t>Lemmit Toomra, Tõnu Kapper</t>
  </si>
  <si>
    <t>Jaan Rooden, Marko Rooden</t>
  </si>
  <si>
    <t>Aigi Orro, Pjotr Nikkar</t>
  </si>
  <si>
    <t>+1</t>
  </si>
  <si>
    <t>Janek Tarto, Taavi Toomel</t>
  </si>
  <si>
    <t>-1</t>
  </si>
  <si>
    <t>1-3 koht</t>
  </si>
  <si>
    <t>4-6 koht</t>
  </si>
  <si>
    <t>7-9 koht</t>
  </si>
  <si>
    <t>Aarne Välja, Karla Purgats, Pjotr Nikkar</t>
  </si>
  <si>
    <t>Kõik mängud algasid seisult 4:4</t>
  </si>
  <si>
    <t>Emil Murzajev, Pjotr Nikkar</t>
  </si>
  <si>
    <t>Aarne Välja, Karla Purgats</t>
  </si>
  <si>
    <t>Marko Rooden, Ranel Laht</t>
  </si>
  <si>
    <t>-2</t>
  </si>
  <si>
    <t>+5</t>
  </si>
  <si>
    <t>-3</t>
  </si>
  <si>
    <t>Eenok Sepp, Jaan Sepp, Oskar Sepp</t>
  </si>
  <si>
    <r>
      <t xml:space="preserve">Alina Andrejeva </t>
    </r>
    <r>
      <rPr>
        <i/>
        <sz val="10"/>
        <color indexed="8"/>
        <rFont val="Arial"/>
        <family val="2"/>
        <charset val="186"/>
      </rPr>
      <t>(Venemaa)</t>
    </r>
    <r>
      <rPr>
        <sz val="10"/>
        <color indexed="8"/>
        <rFont val="Arial"/>
        <family val="2"/>
        <charset val="186"/>
      </rPr>
      <t>, Lemmit Toomra, Taavi Toomel</t>
    </r>
  </si>
  <si>
    <t>Alina Andrejeva, Lemmit Toomra, Taavi Toomel</t>
  </si>
  <si>
    <t>Alagruppides algasid mängud seisult 3:3</t>
  </si>
  <si>
    <t>4-1</t>
  </si>
  <si>
    <t>9 - 12 koht (A3, B3, C3, D4)</t>
  </si>
  <si>
    <t>13 - 16 koht (A4, B4, C4, D4)</t>
  </si>
  <si>
    <t>17 - 19 koht (A5, B5, C5)</t>
  </si>
  <si>
    <t xml:space="preserve">Finaali pääsemiseks on vajalik osavõtt vähemalt 3st etapist. Finaal mängitakse 2 kaotuse </t>
  </si>
  <si>
    <t>süsteemis üksimängus, kus reitingu esimene mängib viimasega, teine eelviimasega jne.</t>
  </si>
  <si>
    <t>edasi 9</t>
  </si>
  <si>
    <t>edasi 11</t>
  </si>
  <si>
    <t>edasi 12</t>
  </si>
  <si>
    <t>Väino Aul</t>
  </si>
  <si>
    <t>edasi 13</t>
  </si>
  <si>
    <t>edasi 14</t>
  </si>
  <si>
    <t>Jüri Mitt</t>
  </si>
  <si>
    <t>edasi 15</t>
  </si>
  <si>
    <t>edasi 16</t>
  </si>
  <si>
    <t>Peeter Maala</t>
  </si>
  <si>
    <t>varu 1</t>
  </si>
  <si>
    <t>Joana Taalberg</t>
  </si>
  <si>
    <t>varu 2</t>
  </si>
  <si>
    <t>Enn Tokman</t>
  </si>
  <si>
    <t>varu 3</t>
  </si>
  <si>
    <t>Lukas Peterson</t>
  </si>
  <si>
    <t>Mark Peterson</t>
  </si>
  <si>
    <t>6.</t>
  </si>
  <si>
    <t>7.</t>
  </si>
  <si>
    <t>8.</t>
  </si>
  <si>
    <t>Mängijad loositi paaridesse</t>
  </si>
  <si>
    <t>Klavdia Piik, Tõnu Piik</t>
  </si>
  <si>
    <t>1 punkt</t>
  </si>
  <si>
    <t>Daniil Alekankin, Johannes Neiland</t>
  </si>
  <si>
    <t>3 punkti</t>
  </si>
  <si>
    <t>Elmo Lageda, Karla Purgats</t>
  </si>
  <si>
    <t>Andrei Grintšak, Jüri Mironjuk</t>
  </si>
  <si>
    <t>5 punkti</t>
  </si>
  <si>
    <t>Elmo Lageda, Peeter Maala, Ülo Piik</t>
  </si>
  <si>
    <t>4 punkti</t>
  </si>
  <si>
    <t>Andrei Grintšak, Klavdia Piik, Tõnu Piik</t>
  </si>
  <si>
    <t>2 punkti</t>
  </si>
  <si>
    <t>Jüri Mironjuk, Meelis Luud, Tarmo Bombe</t>
  </si>
  <si>
    <t>Daniil Alekankin, Johannes Neiland, Vladimir Ogneštšikov</t>
  </si>
  <si>
    <t>Elmo Lageda, Klavdia Piik</t>
  </si>
  <si>
    <t>Daniil Alekankin, Tõnu Piik</t>
  </si>
  <si>
    <t>6 punkti</t>
  </si>
  <si>
    <t xml:space="preserve">Andrei Grintšak, Väino </t>
  </si>
  <si>
    <t>VI</t>
  </si>
  <si>
    <t>Jüri Mironjuk, Ülo Piik</t>
  </si>
  <si>
    <t>1-6</t>
  </si>
  <si>
    <t>4-6</t>
  </si>
  <si>
    <t>3-6</t>
  </si>
  <si>
    <t>2-6</t>
  </si>
  <si>
    <t>5-6</t>
  </si>
  <si>
    <t>Johannes Neiland, Jüri Mitt, Tõnu Piik</t>
  </si>
  <si>
    <t>Elmo Lageda, Joana Taalberg, Jüri Mironjuk</t>
  </si>
  <si>
    <t>Daniil Alekankin, Meelis Luud, Tarmo Bombe</t>
  </si>
  <si>
    <t>Johannes Neiland, Tarmo Bombe</t>
  </si>
  <si>
    <t>-4</t>
  </si>
  <si>
    <t>Elmo Lageda, Tõnu Piik</t>
  </si>
  <si>
    <t>+16</t>
  </si>
  <si>
    <t>Jüri Mironjuk, Vladimir Ogneštšikov</t>
  </si>
  <si>
    <t>-12</t>
  </si>
  <si>
    <t>-5</t>
  </si>
  <si>
    <t>47-36</t>
  </si>
  <si>
    <t>40-43</t>
  </si>
  <si>
    <t>39-47</t>
  </si>
  <si>
    <t>Johannes Neiland, Peeter Maala, Tarmo Bombe</t>
  </si>
  <si>
    <t>-10</t>
  </si>
  <si>
    <t xml:space="preserve">Andrei Grintšak, Elmo Lageda, Lukas </t>
  </si>
  <si>
    <t>+13</t>
  </si>
  <si>
    <t>Jüri Mironjuk, Vladimir Ogneštšikov, Väino Aul</t>
  </si>
  <si>
    <t>Andres Veski, Mark , Svetlana Sobolko</t>
  </si>
  <si>
    <t>Emil Murzajev, Meelis Luud, Tõnu Piik</t>
  </si>
  <si>
    <t>Illar Tõnurist, Johannes Neiland</t>
  </si>
  <si>
    <t>Tarmo Bombe, Tõnu Piik</t>
  </si>
  <si>
    <t>Meelis Luud, Väino Aul</t>
  </si>
  <si>
    <t>Daniil Alekankin, Ülo Piik</t>
  </si>
  <si>
    <t>+2</t>
  </si>
  <si>
    <t>Illar Tõnurist, Jüri Mironjuk, Tarmo Bombe</t>
  </si>
  <si>
    <t>Johannes Neiland, Jüri Mitt, Meelis Luud</t>
  </si>
  <si>
    <t>Illar Tõnurist, Jüri Mironjuk</t>
  </si>
  <si>
    <t>Meelis Luud, Tarmo Bombe</t>
  </si>
  <si>
    <t>Johannes Neiland, Jüri Mitt</t>
  </si>
  <si>
    <t>Enn Tokman, Johannes Neiland, Jüri Mitt</t>
  </si>
  <si>
    <t>Illar Tõnurist, Jüri Mironjuk, Meelis Luud, Tarmo Bombe</t>
  </si>
  <si>
    <t>K-Järve 14. KV 1. etapp</t>
  </si>
  <si>
    <t>K-Järve 14. KV 3. etapp</t>
  </si>
  <si>
    <t>K-Järve 14. KV 2. etapp</t>
  </si>
  <si>
    <t>+3</t>
  </si>
  <si>
    <t xml:space="preserve"> 0</t>
  </si>
  <si>
    <t>edasi</t>
  </si>
  <si>
    <r>
      <rPr>
        <sz val="10"/>
        <color indexed="55"/>
        <rFont val="Arial"/>
        <family val="2"/>
        <charset val="186"/>
      </rPr>
      <t xml:space="preserve">Aarne Välja, </t>
    </r>
    <r>
      <rPr>
        <sz val="10"/>
        <color indexed="8"/>
        <rFont val="Arial"/>
        <family val="2"/>
        <charset val="186"/>
      </rPr>
      <t>Ivar Viljaste</t>
    </r>
  </si>
  <si>
    <t>Ivari karikas (Kohtla-Järve)</t>
  </si>
  <si>
    <t>VOKA KARIKAVÕISTLUSED 2015</t>
  </si>
  <si>
    <t>Voka karikas 1</t>
  </si>
  <si>
    <t>Voka karikas 2</t>
  </si>
  <si>
    <t>Voka karikas 3</t>
  </si>
  <si>
    <t>Voka karikas 4</t>
  </si>
  <si>
    <t>Voka karikas 5</t>
  </si>
  <si>
    <t>Voka karikas 6</t>
  </si>
  <si>
    <t>Voka karikas 7</t>
  </si>
  <si>
    <t>Voka karikas 8</t>
  </si>
  <si>
    <t>Voka karikas 9</t>
  </si>
  <si>
    <t>Voka karikas 10</t>
  </si>
  <si>
    <t>Voka karikas – superfinaal</t>
  </si>
  <si>
    <t>EELVOOR</t>
  </si>
  <si>
    <r>
      <t>Koht</t>
    </r>
    <r>
      <rPr>
        <sz val="10"/>
        <color indexed="8"/>
        <rFont val="Arial"/>
        <family val="2"/>
        <charset val="186"/>
      </rPr>
      <t>/edasi</t>
    </r>
  </si>
  <si>
    <t>24. Eesti MV</t>
  </si>
  <si>
    <t xml:space="preserve">Punktid </t>
  </si>
  <si>
    <t>Eesti reitingusarja võistlused on kollase taustaga</t>
  </si>
  <si>
    <t>Arvesse läheb 9st võistlusest 13 (3 üksikut (sh tulistamine) 5st + 3 duot 5st + 3 triot 4st)</t>
  </si>
  <si>
    <t>Mäetaguse karikavõistlused on punase taustaga. Arvesse läheb 3 võistlust 5st (üksikmäng + duo + trio)</t>
  </si>
  <si>
    <t>Voka karikavõistlused on rohelise taustaga. Arvesse läheb 7 võistlust 10st (3 duot + 3 triot + veel 1 parim)</t>
  </si>
  <si>
    <t>Tulistamises läheb arvesse 4 võistlust 6st (5 neljapäevakut + Ivari karikas)</t>
  </si>
  <si>
    <t>Rahvusvahelised võistlused on sinisega ja kaldkirjas</t>
  </si>
  <si>
    <r>
      <t xml:space="preserve">Eesti reitingus läheb arvesse 12 võistlust 16st (7 reitinguvõistlust 10st + </t>
    </r>
    <r>
      <rPr>
        <b/>
        <sz val="10"/>
        <color rgb="FFCC9900"/>
        <rFont val="Arial"/>
        <family val="2"/>
        <charset val="186"/>
      </rPr>
      <t>5 Eesti MV-d 6st</t>
    </r>
    <r>
      <rPr>
        <b/>
        <sz val="10"/>
        <color theme="1"/>
        <rFont val="Arial"/>
        <family val="2"/>
        <charset val="186"/>
      </rPr>
      <t>) + sisereiting</t>
    </r>
  </si>
  <si>
    <r>
      <t xml:space="preserve">Ida-Viru reitinguvõistlused on rasvases trükis ja sinise taustaga </t>
    </r>
    <r>
      <rPr>
        <sz val="10"/>
        <color indexed="8"/>
        <rFont val="Arial"/>
        <family val="2"/>
        <charset val="186"/>
      </rPr>
      <t>(kuuluvad Ida-Virumaa liikumisharrastuse sarja)</t>
    </r>
  </si>
  <si>
    <t>Arvesse läheb 4 võistlust 6st (5 neljapäevakut + Ivari karikas)</t>
  </si>
  <si>
    <t>Arvesse läheb 3 võistlust 5st (üksikmäng + duo + trio)</t>
  </si>
  <si>
    <t>Arvesse läheb 7 võistlust 10st (3 duot 5st + 3 triot 5st + veel 1 parim)</t>
  </si>
  <si>
    <t>Voka karikavõistlused on rohelise taustaga. Arvesse läheb 7 võistlust 10st (3 duot 5st + 3 triot 5st + veel 1 parim)</t>
  </si>
  <si>
    <t>Mäetaguse 6. KV 1. etapp</t>
  </si>
  <si>
    <t>Mäetaguse 6. KV 2. etapp</t>
  </si>
  <si>
    <t>Mäetaguse 6. KV 3. etapp</t>
  </si>
  <si>
    <t>Mäetaguse 6. KV 4. etapp</t>
  </si>
  <si>
    <t>Mäetaguse 6. KV 5. etapp</t>
  </si>
  <si>
    <t>taguse 6. KV</t>
  </si>
  <si>
    <t xml:space="preserve">6. KV 3. etapp, </t>
  </si>
  <si>
    <t xml:space="preserve">6. KV 2. etapp, </t>
  </si>
  <si>
    <t xml:space="preserve">6. KV 1. etapp, </t>
  </si>
  <si>
    <t>MÄETAGUSE 6. KARIKAVÕISTLUSED 2015</t>
  </si>
  <si>
    <t>KOHTLA-JÄRVE 14. KARIKAVÕISTLUSED 2015</t>
  </si>
  <si>
    <t xml:space="preserve">MV, </t>
  </si>
  <si>
    <t xml:space="preserve">maavõistlus, </t>
  </si>
  <si>
    <t xml:space="preserve">KV 4. etapp, </t>
  </si>
  <si>
    <t xml:space="preserve">KV 5. etapp, </t>
  </si>
  <si>
    <t xml:space="preserve">KV 6. etapp, </t>
  </si>
  <si>
    <t xml:space="preserve">KV 7. etapp, </t>
  </si>
  <si>
    <t xml:space="preserve">KV 8. etapp, </t>
  </si>
  <si>
    <t xml:space="preserve">KV 9. etapp, </t>
  </si>
  <si>
    <t xml:space="preserve">KV 10. etapp, </t>
  </si>
  <si>
    <t>Ida-Viru MV (K-Nõmme)</t>
  </si>
  <si>
    <t>Ida-Viru MV (K-Järve)</t>
  </si>
  <si>
    <t>Eesti reiting, 2. Viru karikas</t>
  </si>
  <si>
    <t xml:space="preserve">2. Viru karikas, </t>
  </si>
  <si>
    <t>Üld</t>
  </si>
  <si>
    <t>KOHT</t>
  </si>
  <si>
    <t>KOKKU</t>
  </si>
  <si>
    <t>Tasu</t>
  </si>
  <si>
    <t>12. Klubide karikas</t>
  </si>
  <si>
    <t>4. EM mehed, TRIO,TUL</t>
  </si>
  <si>
    <t xml:space="preserve">15. Juunioride </t>
  </si>
  <si>
    <t xml:space="preserve">15. Naiste MM,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</si>
</sst>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\-0;;@"/>
    <numFmt numFmtId="165" formatCode="#,##0\ [$€-1]"/>
    <numFmt numFmtId="166" formatCode="mmm\ yyyy"/>
    <numFmt numFmtId="167" formatCode="d/m/yy"/>
    <numFmt numFmtId="168" formatCode="dd/mm/yy"/>
  </numFmts>
  <fonts count="50" x14ac:knownFonts="1"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sz val="8"/>
      <color indexed="81"/>
      <name val="Tahoma"/>
      <family val="2"/>
      <charset val="186"/>
    </font>
    <font>
      <i/>
      <sz val="10"/>
      <color indexed="23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b/>
      <sz val="10"/>
      <name val="Arial"/>
      <family val="2"/>
      <charset val="186"/>
    </font>
    <font>
      <sz val="10"/>
      <color indexed="55"/>
      <name val="Arial"/>
      <family val="2"/>
      <charset val="186"/>
    </font>
    <font>
      <i/>
      <sz val="10"/>
      <color indexed="8"/>
      <name val="Arial"/>
      <family val="2"/>
      <charset val="186"/>
    </font>
    <font>
      <b/>
      <u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0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u/>
      <sz val="10"/>
      <color rgb="FF0000FF"/>
      <name val="Arial"/>
      <family val="2"/>
      <charset val="186"/>
    </font>
    <font>
      <u/>
      <sz val="10"/>
      <color theme="1"/>
      <name val="Arial"/>
      <family val="2"/>
      <charset val="186"/>
    </font>
    <font>
      <b/>
      <u/>
      <sz val="10"/>
      <color theme="1"/>
      <name val="Arial"/>
      <family val="2"/>
      <charset val="186"/>
    </font>
    <font>
      <b/>
      <u/>
      <sz val="10"/>
      <color theme="10"/>
      <name val="Arial"/>
      <family val="2"/>
      <charset val="186"/>
    </font>
    <font>
      <b/>
      <u/>
      <sz val="10"/>
      <color rgb="FF0000FF"/>
      <name val="Arial"/>
      <family val="2"/>
      <charset val="186"/>
    </font>
    <font>
      <sz val="10"/>
      <color rgb="FF0000FF"/>
      <name val="Arial"/>
      <family val="2"/>
      <charset val="186"/>
    </font>
    <font>
      <sz val="10"/>
      <color rgb="FF0070C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b/>
      <sz val="10"/>
      <color rgb="FF0070C0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strike/>
      <sz val="10"/>
      <color theme="1"/>
      <name val="Arial"/>
      <family val="2"/>
      <charset val="186"/>
    </font>
    <font>
      <sz val="10"/>
      <color rgb="FFCC0000"/>
      <name val="Arial"/>
      <family val="2"/>
      <charset val="186"/>
    </font>
    <font>
      <b/>
      <i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sz val="10"/>
      <color rgb="FF00B050"/>
      <name val="Arial"/>
      <family val="2"/>
      <charset val="186"/>
    </font>
    <font>
      <u/>
      <sz val="10"/>
      <color theme="0" tint="-0.34998626667073579"/>
      <name val="Arial"/>
      <family val="2"/>
      <charset val="186"/>
    </font>
    <font>
      <b/>
      <u/>
      <sz val="10"/>
      <color rgb="FFFFC000"/>
      <name val="Arial"/>
      <family val="2"/>
      <charset val="186"/>
    </font>
    <font>
      <sz val="10"/>
      <color rgb="FF00B050"/>
      <name val="Arial"/>
      <family val="2"/>
      <charset val="186"/>
    </font>
    <font>
      <b/>
      <u/>
      <sz val="10"/>
      <color rgb="FFCC9900"/>
      <name val="Arial"/>
      <family val="2"/>
      <charset val="186"/>
    </font>
    <font>
      <b/>
      <sz val="10"/>
      <color rgb="FFCC9900"/>
      <name val="Arial"/>
      <family val="2"/>
      <charset val="186"/>
    </font>
    <font>
      <i/>
      <sz val="10"/>
      <color rgb="FF0070C0"/>
      <name val="Arial"/>
      <family val="2"/>
      <charset val="186"/>
    </font>
    <font>
      <i/>
      <u/>
      <sz val="10"/>
      <color theme="8" tint="0.39997558519241921"/>
      <name val="Arial"/>
      <family val="2"/>
      <charset val="186"/>
    </font>
    <font>
      <i/>
      <sz val="10"/>
      <color theme="8" tint="0.39997558519241921"/>
      <name val="Arial"/>
      <family val="2"/>
      <charset val="186"/>
    </font>
    <font>
      <strike/>
      <sz val="10"/>
      <color rgb="FF00B0F0"/>
      <name val="Arial"/>
      <family val="2"/>
      <charset val="186"/>
    </font>
  </fonts>
  <fills count="2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theme="0" tint="-0.24994659260841701"/>
      </left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rgb="FF000000"/>
      </top>
      <bottom style="thin">
        <color theme="0" tint="-0.2499465926084170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21" fillId="0" borderId="0"/>
    <xf numFmtId="0" fontId="5" fillId="0" borderId="0"/>
    <xf numFmtId="0" fontId="20" fillId="0" borderId="0"/>
    <xf numFmtId="0" fontId="18" fillId="0" borderId="0"/>
    <xf numFmtId="0" fontId="6" fillId="0" borderId="0"/>
    <xf numFmtId="0" fontId="6" fillId="0" borderId="0"/>
    <xf numFmtId="0" fontId="5" fillId="0" borderId="0"/>
    <xf numFmtId="0" fontId="18" fillId="0" borderId="0"/>
    <xf numFmtId="0" fontId="13" fillId="0" borderId="0"/>
    <xf numFmtId="49" fontId="7" fillId="2" borderId="0" applyBorder="0" applyProtection="0">
      <alignment horizontal="left" vertical="top" wrapText="1"/>
    </xf>
  </cellStyleXfs>
  <cellXfs count="808">
    <xf numFmtId="0" fontId="0" fillId="0" borderId="0" xfId="0"/>
    <xf numFmtId="0" fontId="22" fillId="0" borderId="0" xfId="4" applyNumberFormat="1" applyFont="1" applyAlignment="1"/>
    <xf numFmtId="0" fontId="13" fillId="0" borderId="0" xfId="4" applyNumberFormat="1" applyFont="1" applyAlignment="1"/>
    <xf numFmtId="0" fontId="13" fillId="3" borderId="0" xfId="6" applyFont="1" applyFill="1" applyBorder="1" applyAlignment="1">
      <alignment horizontal="right"/>
    </xf>
    <xf numFmtId="0" fontId="22" fillId="4" borderId="1" xfId="4" applyNumberFormat="1" applyFont="1" applyFill="1" applyBorder="1" applyAlignment="1"/>
    <xf numFmtId="0" fontId="22" fillId="5" borderId="0" xfId="4" quotePrefix="1" applyNumberFormat="1" applyFont="1" applyFill="1" applyAlignment="1"/>
    <xf numFmtId="0" fontId="13" fillId="5" borderId="0" xfId="4" applyNumberFormat="1" applyFont="1" applyFill="1" applyAlignment="1"/>
    <xf numFmtId="0" fontId="13" fillId="0" borderId="0" xfId="4" applyNumberFormat="1" applyFont="1" applyAlignment="1">
      <alignment horizontal="center"/>
    </xf>
    <xf numFmtId="0" fontId="13" fillId="0" borderId="1" xfId="4" applyNumberFormat="1" applyFont="1" applyFill="1" applyBorder="1" applyAlignment="1"/>
    <xf numFmtId="49" fontId="13" fillId="0" borderId="1" xfId="4" applyNumberFormat="1" applyFont="1" applyFill="1" applyBorder="1" applyAlignment="1"/>
    <xf numFmtId="0" fontId="13" fillId="0" borderId="1" xfId="4" applyNumberFormat="1" applyFont="1" applyBorder="1" applyAlignment="1"/>
    <xf numFmtId="0" fontId="24" fillId="0" borderId="1" xfId="2" applyFont="1" applyBorder="1"/>
    <xf numFmtId="0" fontId="25" fillId="0" borderId="1" xfId="2" applyFont="1" applyFill="1" applyBorder="1" applyAlignment="1"/>
    <xf numFmtId="165" fontId="13" fillId="0" borderId="1" xfId="4" applyNumberFormat="1" applyFont="1" applyBorder="1" applyAlignment="1">
      <alignment horizontal="center"/>
    </xf>
    <xf numFmtId="0" fontId="13" fillId="0" borderId="1" xfId="4" applyNumberFormat="1" applyFont="1" applyBorder="1" applyAlignment="1">
      <alignment horizontal="center"/>
    </xf>
    <xf numFmtId="0" fontId="13" fillId="6" borderId="1" xfId="4" applyNumberFormat="1" applyFont="1" applyFill="1" applyBorder="1" applyAlignment="1"/>
    <xf numFmtId="49" fontId="13" fillId="6" borderId="1" xfId="4" applyNumberFormat="1" applyFont="1" applyFill="1" applyBorder="1" applyAlignment="1"/>
    <xf numFmtId="0" fontId="24" fillId="6" borderId="1" xfId="2" applyFont="1" applyFill="1" applyBorder="1"/>
    <xf numFmtId="165" fontId="13" fillId="6" borderId="1" xfId="4" applyNumberFormat="1" applyFont="1" applyFill="1" applyBorder="1" applyAlignment="1">
      <alignment horizontal="center"/>
    </xf>
    <xf numFmtId="0" fontId="13" fillId="6" borderId="1" xfId="4" applyNumberFormat="1" applyFont="1" applyFill="1" applyBorder="1" applyAlignment="1">
      <alignment horizontal="center"/>
    </xf>
    <xf numFmtId="0" fontId="13" fillId="0" borderId="0" xfId="4" applyNumberFormat="1" applyFont="1" applyFill="1" applyAlignment="1"/>
    <xf numFmtId="14" fontId="13" fillId="0" borderId="1" xfId="4" applyNumberFormat="1" applyFont="1" applyBorder="1" applyAlignment="1"/>
    <xf numFmtId="49" fontId="13" fillId="0" borderId="1" xfId="4" applyNumberFormat="1" applyFont="1" applyBorder="1" applyAlignment="1"/>
    <xf numFmtId="14" fontId="22" fillId="0" borderId="1" xfId="4" applyNumberFormat="1" applyFont="1" applyBorder="1" applyAlignment="1"/>
    <xf numFmtId="49" fontId="22" fillId="0" borderId="1" xfId="4" applyNumberFormat="1" applyFont="1" applyBorder="1" applyAlignment="1"/>
    <xf numFmtId="0" fontId="22" fillId="0" borderId="1" xfId="4" applyNumberFormat="1" applyFont="1" applyBorder="1" applyAlignment="1"/>
    <xf numFmtId="0" fontId="15" fillId="0" borderId="1" xfId="2" applyFont="1" applyBorder="1"/>
    <xf numFmtId="0" fontId="26" fillId="0" borderId="1" xfId="2" applyFont="1" applyFill="1" applyBorder="1" applyAlignment="1"/>
    <xf numFmtId="165" fontId="22" fillId="0" borderId="1" xfId="4" applyNumberFormat="1" applyFont="1" applyBorder="1" applyAlignment="1">
      <alignment horizontal="center"/>
    </xf>
    <xf numFmtId="0" fontId="13" fillId="7" borderId="1" xfId="4" applyNumberFormat="1" applyFont="1" applyFill="1" applyBorder="1" applyAlignment="1"/>
    <xf numFmtId="49" fontId="13" fillId="7" borderId="1" xfId="4" applyNumberFormat="1" applyFont="1" applyFill="1" applyBorder="1" applyAlignment="1"/>
    <xf numFmtId="0" fontId="24" fillId="7" borderId="1" xfId="2" applyFont="1" applyFill="1" applyBorder="1"/>
    <xf numFmtId="0" fontId="25" fillId="7" borderId="1" xfId="2" applyFont="1" applyFill="1" applyBorder="1" applyAlignment="1"/>
    <xf numFmtId="165" fontId="13" fillId="7" borderId="1" xfId="4" applyNumberFormat="1" applyFont="1" applyFill="1" applyBorder="1" applyAlignment="1">
      <alignment horizontal="center"/>
    </xf>
    <xf numFmtId="0" fontId="13" fillId="7" borderId="1" xfId="4" applyNumberFormat="1" applyFont="1" applyFill="1" applyBorder="1" applyAlignment="1">
      <alignment horizontal="center"/>
    </xf>
    <xf numFmtId="0" fontId="27" fillId="0" borderId="1" xfId="2" applyFont="1" applyBorder="1"/>
    <xf numFmtId="0" fontId="28" fillId="0" borderId="1" xfId="2" applyFont="1" applyBorder="1"/>
    <xf numFmtId="0" fontId="29" fillId="0" borderId="0" xfId="4" applyNumberFormat="1" applyFont="1" applyAlignment="1"/>
    <xf numFmtId="0" fontId="22" fillId="0" borderId="1" xfId="4" applyNumberFormat="1" applyFont="1" applyFill="1" applyBorder="1" applyAlignment="1"/>
    <xf numFmtId="49" fontId="22" fillId="0" borderId="1" xfId="4" applyNumberFormat="1" applyFont="1" applyFill="1" applyBorder="1" applyAlignment="1"/>
    <xf numFmtId="165" fontId="22" fillId="0" borderId="1" xfId="4" applyNumberFormat="1" applyFont="1" applyFill="1" applyBorder="1" applyAlignment="1">
      <alignment horizontal="center"/>
    </xf>
    <xf numFmtId="0" fontId="13" fillId="0" borderId="1" xfId="4" applyNumberFormat="1" applyFont="1" applyFill="1" applyBorder="1" applyAlignment="1">
      <alignment horizontal="center"/>
    </xf>
    <xf numFmtId="0" fontId="13" fillId="8" borderId="1" xfId="4" applyNumberFormat="1" applyFont="1" applyFill="1" applyBorder="1" applyAlignment="1"/>
    <xf numFmtId="49" fontId="13" fillId="8" borderId="1" xfId="4" applyNumberFormat="1" applyFont="1" applyFill="1" applyBorder="1" applyAlignment="1"/>
    <xf numFmtId="0" fontId="24" fillId="8" borderId="1" xfId="2" applyFont="1" applyFill="1" applyBorder="1"/>
    <xf numFmtId="165" fontId="13" fillId="8" borderId="1" xfId="4" applyNumberFormat="1" applyFont="1" applyFill="1" applyBorder="1" applyAlignment="1">
      <alignment horizontal="center"/>
    </xf>
    <xf numFmtId="0" fontId="13" fillId="8" borderId="1" xfId="4" applyNumberFormat="1" applyFont="1" applyFill="1" applyBorder="1" applyAlignment="1">
      <alignment horizontal="center"/>
    </xf>
    <xf numFmtId="0" fontId="13" fillId="0" borderId="0" xfId="4" applyNumberFormat="1" applyFont="1" applyBorder="1" applyAlignment="1"/>
    <xf numFmtId="0" fontId="24" fillId="0" borderId="0" xfId="2" applyNumberFormat="1" applyFont="1" applyBorder="1" applyAlignment="1"/>
    <xf numFmtId="165" fontId="13" fillId="0" borderId="0" xfId="4" applyNumberFormat="1" applyFont="1" applyBorder="1" applyAlignment="1">
      <alignment horizontal="center"/>
    </xf>
    <xf numFmtId="0" fontId="13" fillId="9" borderId="1" xfId="4" applyNumberFormat="1" applyFont="1" applyFill="1" applyBorder="1" applyAlignment="1">
      <alignment horizontal="center"/>
    </xf>
    <xf numFmtId="0" fontId="13" fillId="7" borderId="0" xfId="4" applyFont="1" applyFill="1" applyAlignment="1"/>
    <xf numFmtId="0" fontId="13" fillId="7" borderId="0" xfId="4" applyNumberFormat="1" applyFont="1" applyFill="1" applyAlignment="1"/>
    <xf numFmtId="0" fontId="13" fillId="6" borderId="0" xfId="4" applyFont="1" applyFill="1" applyAlignment="1"/>
    <xf numFmtId="0" fontId="13" fillId="6" borderId="0" xfId="4" applyNumberFormat="1" applyFont="1" applyFill="1" applyAlignment="1"/>
    <xf numFmtId="0" fontId="13" fillId="9" borderId="0" xfId="4" applyFont="1" applyFill="1" applyAlignment="1"/>
    <xf numFmtId="0" fontId="23" fillId="0" borderId="0" xfId="4" applyNumberFormat="1" applyFont="1" applyAlignment="1"/>
    <xf numFmtId="0" fontId="22" fillId="0" borderId="0" xfId="7" applyFont="1" applyFill="1" applyBorder="1" applyAlignment="1"/>
    <xf numFmtId="0" fontId="22" fillId="0" borderId="0" xfId="4" applyFont="1" applyAlignment="1"/>
    <xf numFmtId="0" fontId="13" fillId="0" borderId="0" xfId="4" applyFont="1" applyAlignment="1"/>
    <xf numFmtId="0" fontId="22" fillId="4" borderId="42" xfId="4" applyFont="1" applyFill="1" applyBorder="1" applyAlignment="1"/>
    <xf numFmtId="0" fontId="22" fillId="4" borderId="43" xfId="4" applyFont="1" applyFill="1" applyBorder="1" applyAlignment="1"/>
    <xf numFmtId="166" fontId="22" fillId="5" borderId="0" xfId="4" applyNumberFormat="1" applyFont="1" applyFill="1" applyBorder="1" applyAlignment="1">
      <alignment horizontal="left"/>
    </xf>
    <xf numFmtId="0" fontId="13" fillId="5" borderId="0" xfId="4" applyFont="1" applyFill="1" applyBorder="1" applyAlignment="1"/>
    <xf numFmtId="0" fontId="13" fillId="0" borderId="0" xfId="4" applyFont="1" applyBorder="1" applyAlignment="1"/>
    <xf numFmtId="0" fontId="22" fillId="0" borderId="0" xfId="4" applyFont="1" applyBorder="1" applyAlignment="1"/>
    <xf numFmtId="0" fontId="13" fillId="0" borderId="44" xfId="4" applyFont="1" applyFill="1" applyBorder="1" applyAlignment="1"/>
    <xf numFmtId="0" fontId="13" fillId="0" borderId="45" xfId="4" applyFont="1" applyFill="1" applyBorder="1" applyAlignment="1"/>
    <xf numFmtId="0" fontId="13" fillId="10" borderId="45" xfId="4" applyFont="1" applyFill="1" applyBorder="1" applyAlignment="1"/>
    <xf numFmtId="0" fontId="13" fillId="0" borderId="46" xfId="4" applyFont="1" applyFill="1" applyBorder="1" applyAlignment="1"/>
    <xf numFmtId="0" fontId="22" fillId="4" borderId="44" xfId="4" applyFont="1" applyFill="1" applyBorder="1" applyAlignment="1"/>
    <xf numFmtId="0" fontId="25" fillId="0" borderId="44" xfId="2" applyFont="1" applyBorder="1"/>
    <xf numFmtId="0" fontId="13" fillId="0" borderId="47" xfId="4" applyFont="1" applyFill="1" applyBorder="1" applyAlignment="1"/>
    <xf numFmtId="0" fontId="22" fillId="0" borderId="0" xfId="4" applyFont="1" applyFill="1" applyBorder="1" applyAlignment="1"/>
    <xf numFmtId="0" fontId="13" fillId="0" borderId="0" xfId="4" applyFont="1" applyFill="1" applyBorder="1" applyAlignment="1"/>
    <xf numFmtId="0" fontId="22" fillId="10" borderId="0" xfId="4" applyFont="1" applyFill="1" applyBorder="1" applyAlignment="1"/>
    <xf numFmtId="0" fontId="13" fillId="10" borderId="0" xfId="4" applyFont="1" applyFill="1" applyBorder="1" applyAlignment="1"/>
    <xf numFmtId="0" fontId="22" fillId="0" borderId="48" xfId="4" applyFont="1" applyFill="1" applyBorder="1" applyAlignment="1"/>
    <xf numFmtId="0" fontId="25" fillId="4" borderId="47" xfId="2" applyFont="1" applyFill="1" applyBorder="1" applyAlignment="1"/>
    <xf numFmtId="0" fontId="25" fillId="4" borderId="48" xfId="2" applyFont="1" applyFill="1" applyBorder="1" applyAlignment="1"/>
    <xf numFmtId="0" fontId="13" fillId="0" borderId="47" xfId="4" quotePrefix="1" applyFont="1" applyFill="1" applyBorder="1" applyAlignment="1"/>
    <xf numFmtId="0" fontId="13" fillId="0" borderId="48" xfId="4" quotePrefix="1" applyFont="1" applyFill="1" applyBorder="1" applyAlignment="1"/>
    <xf numFmtId="0" fontId="13" fillId="0" borderId="49" xfId="4" applyFont="1" applyFill="1" applyBorder="1" applyAlignment="1"/>
    <xf numFmtId="0" fontId="22" fillId="0" borderId="50" xfId="4" applyFont="1" applyFill="1" applyBorder="1" applyAlignment="1"/>
    <xf numFmtId="0" fontId="13" fillId="0" borderId="50" xfId="4" applyFont="1" applyFill="1" applyBorder="1" applyAlignment="1"/>
    <xf numFmtId="0" fontId="22" fillId="10" borderId="50" xfId="4" applyFont="1" applyFill="1" applyBorder="1" applyAlignment="1"/>
    <xf numFmtId="0" fontId="13" fillId="10" borderId="50" xfId="4" applyFont="1" applyFill="1" applyBorder="1" applyAlignment="1"/>
    <xf numFmtId="0" fontId="22" fillId="0" borderId="51" xfId="4" applyFont="1" applyFill="1" applyBorder="1" applyAlignment="1"/>
    <xf numFmtId="0" fontId="25" fillId="4" borderId="49" xfId="2" applyFont="1" applyFill="1" applyBorder="1"/>
    <xf numFmtId="0" fontId="13" fillId="4" borderId="51" xfId="4" applyFont="1" applyFill="1" applyBorder="1" applyAlignment="1"/>
    <xf numFmtId="0" fontId="25" fillId="0" borderId="49" xfId="2" applyFont="1" applyBorder="1"/>
    <xf numFmtId="0" fontId="25" fillId="0" borderId="51" xfId="2" applyFont="1" applyBorder="1"/>
    <xf numFmtId="0" fontId="25" fillId="6" borderId="44" xfId="2" applyFont="1" applyFill="1" applyBorder="1" applyAlignment="1"/>
    <xf numFmtId="0" fontId="25" fillId="4" borderId="44" xfId="2" applyFont="1" applyFill="1" applyBorder="1" applyAlignment="1"/>
    <xf numFmtId="0" fontId="22" fillId="0" borderId="44" xfId="4" applyFont="1" applyBorder="1" applyAlignment="1"/>
    <xf numFmtId="0" fontId="26" fillId="0" borderId="44" xfId="2" applyFont="1" applyBorder="1" applyAlignment="1"/>
    <xf numFmtId="0" fontId="22" fillId="0" borderId="48" xfId="4" applyFont="1" applyBorder="1" applyAlignment="1"/>
    <xf numFmtId="0" fontId="13" fillId="6" borderId="47" xfId="2" applyFont="1" applyFill="1" applyBorder="1" applyAlignment="1"/>
    <xf numFmtId="0" fontId="22" fillId="6" borderId="48" xfId="4" applyFont="1" applyFill="1" applyBorder="1" applyAlignment="1"/>
    <xf numFmtId="0" fontId="13" fillId="4" borderId="47" xfId="2" applyFont="1" applyFill="1" applyBorder="1" applyAlignment="1"/>
    <xf numFmtId="0" fontId="22" fillId="0" borderId="47" xfId="4" applyFont="1" applyBorder="1" applyAlignment="1"/>
    <xf numFmtId="0" fontId="22" fillId="0" borderId="47" xfId="2" applyFont="1" applyFill="1" applyBorder="1" applyAlignment="1"/>
    <xf numFmtId="0" fontId="26" fillId="0" borderId="47" xfId="2" applyFont="1" applyFill="1" applyBorder="1" applyAlignment="1"/>
    <xf numFmtId="0" fontId="22" fillId="0" borderId="51" xfId="4" applyFont="1" applyBorder="1" applyAlignment="1"/>
    <xf numFmtId="0" fontId="25" fillId="6" borderId="49" xfId="2" applyFont="1" applyFill="1" applyBorder="1" applyAlignment="1"/>
    <xf numFmtId="0" fontId="22" fillId="6" borderId="51" xfId="4" applyFont="1" applyFill="1" applyBorder="1" applyAlignment="1"/>
    <xf numFmtId="0" fontId="22" fillId="0" borderId="49" xfId="4" applyFont="1" applyBorder="1" applyAlignment="1"/>
    <xf numFmtId="0" fontId="26" fillId="0" borderId="49" xfId="2" applyFont="1" applyBorder="1" applyAlignment="1"/>
    <xf numFmtId="0" fontId="26" fillId="12" borderId="44" xfId="2" applyFont="1" applyFill="1" applyBorder="1" applyAlignment="1"/>
    <xf numFmtId="0" fontId="22" fillId="12" borderId="47" xfId="2" applyFont="1" applyFill="1" applyBorder="1" applyAlignment="1"/>
    <xf numFmtId="0" fontId="22" fillId="12" borderId="48" xfId="4" applyFont="1" applyFill="1" applyBorder="1" applyAlignment="1"/>
    <xf numFmtId="0" fontId="26" fillId="12" borderId="49" xfId="2" applyFont="1" applyFill="1" applyBorder="1"/>
    <xf numFmtId="0" fontId="22" fillId="12" borderId="51" xfId="4" applyFont="1" applyFill="1" applyBorder="1" applyAlignment="1"/>
    <xf numFmtId="0" fontId="25" fillId="7" borderId="44" xfId="2" applyFont="1" applyFill="1" applyBorder="1" applyAlignment="1"/>
    <xf numFmtId="0" fontId="13" fillId="7" borderId="47" xfId="2" applyFont="1" applyFill="1" applyBorder="1" applyAlignment="1"/>
    <xf numFmtId="0" fontId="22" fillId="7" borderId="48" xfId="4" applyFont="1" applyFill="1" applyBorder="1" applyAlignment="1"/>
    <xf numFmtId="0" fontId="13" fillId="0" borderId="47" xfId="2" applyFont="1" applyBorder="1" applyAlignment="1"/>
    <xf numFmtId="0" fontId="26" fillId="12" borderId="47" xfId="2" applyFont="1" applyFill="1" applyBorder="1" applyAlignment="1"/>
    <xf numFmtId="0" fontId="25" fillId="7" borderId="49" xfId="2" applyFont="1" applyFill="1" applyBorder="1" applyAlignment="1"/>
    <xf numFmtId="0" fontId="22" fillId="7" borderId="51" xfId="4" applyFont="1" applyFill="1" applyBorder="1" applyAlignment="1"/>
    <xf numFmtId="0" fontId="25" fillId="0" borderId="51" xfId="2" applyFont="1" applyBorder="1" applyAlignment="1"/>
    <xf numFmtId="0" fontId="13" fillId="0" borderId="44" xfId="4" applyFont="1" applyBorder="1" applyAlignment="1"/>
    <xf numFmtId="0" fontId="26" fillId="0" borderId="44" xfId="2" applyFont="1" applyBorder="1"/>
    <xf numFmtId="0" fontId="13" fillId="0" borderId="47" xfId="4" applyFont="1" applyBorder="1" applyAlignment="1"/>
    <xf numFmtId="0" fontId="13" fillId="0" borderId="49" xfId="4" applyFont="1" applyBorder="1" applyAlignment="1"/>
    <xf numFmtId="0" fontId="26" fillId="0" borderId="49" xfId="2" applyFont="1" applyBorder="1"/>
    <xf numFmtId="0" fontId="22" fillId="5" borderId="0" xfId="4" applyFont="1" applyFill="1" applyBorder="1" applyAlignment="1"/>
    <xf numFmtId="0" fontId="8" fillId="0" borderId="48" xfId="4" applyFont="1" applyFill="1" applyBorder="1" applyAlignment="1"/>
    <xf numFmtId="0" fontId="8" fillId="0" borderId="51" xfId="4" applyFont="1" applyFill="1" applyBorder="1" applyAlignment="1"/>
    <xf numFmtId="0" fontId="25" fillId="8" borderId="44" xfId="2" applyFont="1" applyFill="1" applyBorder="1" applyAlignment="1"/>
    <xf numFmtId="0" fontId="13" fillId="8" borderId="47" xfId="2" applyFont="1" applyFill="1" applyBorder="1" applyAlignment="1"/>
    <xf numFmtId="0" fontId="22" fillId="8" borderId="48" xfId="4" applyFont="1" applyFill="1" applyBorder="1" applyAlignment="1"/>
    <xf numFmtId="0" fontId="25" fillId="8" borderId="49" xfId="2" applyFont="1" applyFill="1" applyBorder="1" applyAlignment="1"/>
    <xf numFmtId="0" fontId="22" fillId="8" borderId="51" xfId="4" applyFont="1" applyFill="1" applyBorder="1" applyAlignment="1"/>
    <xf numFmtId="0" fontId="13" fillId="0" borderId="0" xfId="4" applyFont="1" applyFill="1" applyAlignment="1"/>
    <xf numFmtId="0" fontId="22" fillId="0" borderId="47" xfId="4" applyFont="1" applyFill="1" applyBorder="1" applyAlignment="1"/>
    <xf numFmtId="0" fontId="13" fillId="4" borderId="47" xfId="4" applyFont="1" applyFill="1" applyBorder="1" applyAlignment="1"/>
    <xf numFmtId="0" fontId="22" fillId="0" borderId="52" xfId="4" applyFont="1" applyFill="1" applyBorder="1" applyAlignment="1"/>
    <xf numFmtId="0" fontId="26" fillId="0" borderId="53" xfId="2" applyFont="1" applyBorder="1" applyAlignment="1"/>
    <xf numFmtId="0" fontId="25" fillId="6" borderId="53" xfId="2" applyFont="1" applyFill="1" applyBorder="1" applyAlignment="1"/>
    <xf numFmtId="0" fontId="22" fillId="6" borderId="52" xfId="4" applyFont="1" applyFill="1" applyBorder="1" applyAlignment="1"/>
    <xf numFmtId="0" fontId="25" fillId="4" borderId="53" xfId="2" applyFont="1" applyFill="1" applyBorder="1"/>
    <xf numFmtId="0" fontId="25" fillId="0" borderId="54" xfId="2" applyFont="1" applyBorder="1" applyAlignment="1"/>
    <xf numFmtId="0" fontId="13" fillId="0" borderId="55" xfId="4" applyFont="1" applyFill="1" applyBorder="1" applyAlignment="1"/>
    <xf numFmtId="0" fontId="22" fillId="0" borderId="54" xfId="4" applyFont="1" applyBorder="1" applyAlignment="1"/>
    <xf numFmtId="0" fontId="22" fillId="0" borderId="55" xfId="4" applyFont="1" applyBorder="1" applyAlignment="1"/>
    <xf numFmtId="0" fontId="13" fillId="0" borderId="48" xfId="4" applyFont="1" applyFill="1" applyBorder="1" applyAlignment="1"/>
    <xf numFmtId="0" fontId="13" fillId="0" borderId="47" xfId="2" applyFont="1" applyFill="1" applyBorder="1" applyAlignment="1"/>
    <xf numFmtId="0" fontId="13" fillId="0" borderId="51" xfId="4" applyFont="1" applyFill="1" applyBorder="1" applyAlignment="1"/>
    <xf numFmtId="0" fontId="25" fillId="0" borderId="44" xfId="2" applyFont="1" applyBorder="1" applyAlignment="1"/>
    <xf numFmtId="0" fontId="13" fillId="7" borderId="47" xfId="4" applyFont="1" applyFill="1" applyBorder="1" applyAlignment="1"/>
    <xf numFmtId="0" fontId="31" fillId="12" borderId="47" xfId="4" applyFont="1" applyFill="1" applyBorder="1" applyAlignment="1"/>
    <xf numFmtId="0" fontId="25" fillId="0" borderId="49" xfId="2" applyFont="1" applyBorder="1" applyAlignment="1"/>
    <xf numFmtId="0" fontId="13" fillId="0" borderId="54" xfId="4" applyFont="1" applyFill="1" applyBorder="1" applyAlignment="1"/>
    <xf numFmtId="0" fontId="13" fillId="0" borderId="51" xfId="4" applyFont="1" applyBorder="1" applyAlignment="1"/>
    <xf numFmtId="0" fontId="22" fillId="12" borderId="52" xfId="4" applyFont="1" applyFill="1" applyBorder="1" applyAlignment="1"/>
    <xf numFmtId="0" fontId="13" fillId="0" borderId="53" xfId="4" applyFont="1" applyBorder="1" applyAlignment="1"/>
    <xf numFmtId="0" fontId="22" fillId="0" borderId="55" xfId="4" applyFont="1" applyFill="1" applyBorder="1" applyAlignment="1"/>
    <xf numFmtId="0" fontId="22" fillId="5" borderId="0" xfId="4" quotePrefix="1" applyNumberFormat="1" applyFont="1" applyFill="1" applyBorder="1" applyAlignment="1"/>
    <xf numFmtId="0" fontId="22" fillId="0" borderId="44" xfId="4" applyFont="1" applyFill="1" applyBorder="1" applyAlignment="1"/>
    <xf numFmtId="0" fontId="13" fillId="6" borderId="47" xfId="4" applyFont="1" applyFill="1" applyBorder="1" applyAlignment="1"/>
    <xf numFmtId="0" fontId="22" fillId="4" borderId="51" xfId="4" applyFont="1" applyFill="1" applyBorder="1" applyAlignment="1"/>
    <xf numFmtId="0" fontId="26" fillId="4" borderId="49" xfId="2" applyFont="1" applyFill="1" applyBorder="1"/>
    <xf numFmtId="0" fontId="13" fillId="7" borderId="48" xfId="4" applyFont="1" applyFill="1" applyBorder="1" applyAlignment="1"/>
    <xf numFmtId="0" fontId="22" fillId="12" borderId="47" xfId="4" applyFont="1" applyFill="1" applyBorder="1" applyAlignment="1"/>
    <xf numFmtId="0" fontId="22" fillId="0" borderId="2" xfId="4" applyFont="1" applyFill="1" applyBorder="1" applyAlignment="1"/>
    <xf numFmtId="0" fontId="22" fillId="0" borderId="49" xfId="4" applyFont="1" applyFill="1" applyBorder="1" applyAlignment="1"/>
    <xf numFmtId="0" fontId="22" fillId="0" borderId="56" xfId="4" applyFont="1" applyFill="1" applyBorder="1" applyAlignment="1"/>
    <xf numFmtId="0" fontId="13" fillId="6" borderId="48" xfId="4" applyFont="1" applyFill="1" applyBorder="1" applyAlignment="1"/>
    <xf numFmtId="0" fontId="22" fillId="12" borderId="2" xfId="4" applyFont="1" applyFill="1" applyBorder="1" applyAlignment="1"/>
    <xf numFmtId="0" fontId="22" fillId="12" borderId="56" xfId="4" applyFont="1" applyFill="1" applyBorder="1" applyAlignment="1"/>
    <xf numFmtId="0" fontId="13" fillId="0" borderId="53" xfId="4" applyFont="1" applyFill="1" applyBorder="1" applyAlignment="1"/>
    <xf numFmtId="0" fontId="13" fillId="0" borderId="52" xfId="4" applyFont="1" applyFill="1" applyBorder="1" applyAlignment="1"/>
    <xf numFmtId="0" fontId="26" fillId="12" borderId="53" xfId="2" applyFont="1" applyFill="1" applyBorder="1"/>
    <xf numFmtId="0" fontId="22" fillId="12" borderId="57" xfId="4" applyFont="1" applyFill="1" applyBorder="1" applyAlignment="1"/>
    <xf numFmtId="0" fontId="32" fillId="0" borderId="55" xfId="4" applyFont="1" applyFill="1" applyBorder="1" applyAlignment="1"/>
    <xf numFmtId="0" fontId="22" fillId="0" borderId="58" xfId="4" applyFont="1" applyFill="1" applyBorder="1" applyAlignment="1"/>
    <xf numFmtId="0" fontId="32" fillId="0" borderId="51" xfId="4" applyFont="1" applyFill="1" applyBorder="1" applyAlignment="1"/>
    <xf numFmtId="0" fontId="13" fillId="5" borderId="50" xfId="4" applyFont="1" applyFill="1" applyBorder="1" applyAlignment="1"/>
    <xf numFmtId="0" fontId="22" fillId="4" borderId="48" xfId="4" applyFont="1" applyFill="1" applyBorder="1" applyAlignment="1"/>
    <xf numFmtId="0" fontId="13" fillId="0" borderId="51" xfId="2" applyFont="1" applyFill="1" applyBorder="1" applyAlignment="1"/>
    <xf numFmtId="0" fontId="22" fillId="12" borderId="0" xfId="4" applyNumberFormat="1" applyFont="1" applyFill="1" applyAlignment="1"/>
    <xf numFmtId="0" fontId="22" fillId="12" borderId="0" xfId="4" applyFont="1" applyFill="1" applyAlignment="1"/>
    <xf numFmtId="0" fontId="13" fillId="12" borderId="0" xfId="4" applyFont="1" applyFill="1" applyAlignment="1"/>
    <xf numFmtId="0" fontId="22" fillId="12" borderId="0" xfId="7" applyFont="1" applyFill="1" applyBorder="1" applyAlignment="1"/>
    <xf numFmtId="0" fontId="22" fillId="7" borderId="0" xfId="4" applyFont="1" applyFill="1" applyAlignment="1"/>
    <xf numFmtId="0" fontId="22" fillId="6" borderId="0" xfId="4" applyFont="1" applyFill="1" applyAlignment="1"/>
    <xf numFmtId="0" fontId="13" fillId="4" borderId="0" xfId="4" applyNumberFormat="1" applyFont="1" applyFill="1" applyAlignment="1"/>
    <xf numFmtId="0" fontId="22" fillId="0" borderId="0" xfId="4" applyFont="1" applyFill="1" applyAlignment="1"/>
    <xf numFmtId="0" fontId="22" fillId="0" borderId="0" xfId="7" applyFont="1" applyFill="1" applyBorder="1" applyAlignment="1">
      <alignment horizontal="center"/>
    </xf>
    <xf numFmtId="0" fontId="13" fillId="0" borderId="0" xfId="7" applyFont="1" applyFill="1" applyAlignment="1">
      <alignment textRotation="90"/>
    </xf>
    <xf numFmtId="0" fontId="22" fillId="9" borderId="0" xfId="7" applyFont="1" applyFill="1" applyAlignment="1"/>
    <xf numFmtId="0" fontId="13" fillId="0" borderId="0" xfId="7" applyFont="1" applyFill="1" applyAlignment="1"/>
    <xf numFmtId="0" fontId="33" fillId="0" borderId="0" xfId="7" applyFont="1" applyFill="1" applyBorder="1" applyAlignment="1"/>
    <xf numFmtId="0" fontId="13" fillId="4" borderId="0" xfId="7" applyFont="1" applyFill="1" applyAlignment="1"/>
    <xf numFmtId="0" fontId="13" fillId="13" borderId="0" xfId="7" applyFont="1" applyFill="1" applyAlignment="1"/>
    <xf numFmtId="0" fontId="33" fillId="0" borderId="1" xfId="7" applyFont="1" applyFill="1" applyBorder="1" applyAlignment="1"/>
    <xf numFmtId="0" fontId="13" fillId="0" borderId="1" xfId="7" applyFont="1" applyFill="1" applyBorder="1" applyAlignment="1">
      <alignment textRotation="90"/>
    </xf>
    <xf numFmtId="0" fontId="13" fillId="0" borderId="1" xfId="7" applyFont="1" applyFill="1" applyBorder="1" applyAlignment="1"/>
    <xf numFmtId="0" fontId="13" fillId="14" borderId="1" xfId="7" applyNumberFormat="1" applyFont="1" applyFill="1" applyBorder="1" applyAlignment="1">
      <alignment textRotation="90"/>
    </xf>
    <xf numFmtId="0" fontId="13" fillId="14" borderId="1" xfId="7" applyNumberFormat="1" applyFont="1" applyFill="1" applyBorder="1" applyAlignment="1">
      <alignment horizontal="center" textRotation="90"/>
    </xf>
    <xf numFmtId="0" fontId="22" fillId="0" borderId="1" xfId="7" applyFont="1" applyFill="1" applyBorder="1" applyAlignment="1">
      <alignment horizontal="center"/>
    </xf>
    <xf numFmtId="0" fontId="15" fillId="14" borderId="1" xfId="2" applyFont="1" applyFill="1" applyBorder="1" applyAlignment="1">
      <alignment horizontal="center"/>
    </xf>
    <xf numFmtId="0" fontId="24" fillId="14" borderId="1" xfId="2" applyFont="1" applyFill="1" applyBorder="1" applyAlignment="1">
      <alignment horizontal="center"/>
    </xf>
    <xf numFmtId="0" fontId="22" fillId="0" borderId="1" xfId="7" applyFont="1" applyFill="1" applyBorder="1" applyAlignment="1"/>
    <xf numFmtId="0" fontId="34" fillId="0" borderId="1" xfId="7" applyFont="1" applyFill="1" applyBorder="1" applyAlignment="1">
      <alignment horizontal="center"/>
    </xf>
    <xf numFmtId="0" fontId="13" fillId="0" borderId="3" xfId="7" applyFont="1" applyFill="1" applyBorder="1" applyAlignment="1">
      <alignment textRotation="90"/>
    </xf>
    <xf numFmtId="0" fontId="13" fillId="0" borderId="0" xfId="7" applyFont="1" applyFill="1" applyAlignment="1">
      <alignment horizontal="center" textRotation="90"/>
    </xf>
    <xf numFmtId="0" fontId="13" fillId="0" borderId="1" xfId="7" applyFont="1" applyBorder="1" applyAlignment="1"/>
    <xf numFmtId="164" fontId="34" fillId="0" borderId="1" xfId="7" applyNumberFormat="1" applyFont="1" applyFill="1" applyBorder="1" applyAlignment="1">
      <alignment horizontal="center"/>
    </xf>
    <xf numFmtId="0" fontId="36" fillId="0" borderId="1" xfId="14" applyFont="1" applyFill="1" applyBorder="1" applyAlignment="1">
      <alignment horizontal="center"/>
    </xf>
    <xf numFmtId="0" fontId="36" fillId="0" borderId="1" xfId="7" applyFont="1" applyFill="1" applyBorder="1" applyAlignment="1">
      <alignment horizontal="center"/>
    </xf>
    <xf numFmtId="0" fontId="13" fillId="0" borderId="1" xfId="7" applyFont="1" applyFill="1" applyBorder="1" applyAlignment="1">
      <alignment horizontal="center"/>
    </xf>
    <xf numFmtId="164" fontId="13" fillId="0" borderId="0" xfId="7" applyNumberFormat="1" applyFont="1" applyFill="1" applyBorder="1" applyAlignment="1">
      <alignment horizontal="center"/>
    </xf>
    <xf numFmtId="164" fontId="13" fillId="0" borderId="0" xfId="7" applyNumberFormat="1" applyFont="1" applyFill="1" applyAlignment="1">
      <alignment horizontal="center"/>
    </xf>
    <xf numFmtId="0" fontId="13" fillId="4" borderId="1" xfId="4" applyFont="1" applyFill="1" applyBorder="1" applyAlignment="1"/>
    <xf numFmtId="0" fontId="13" fillId="13" borderId="1" xfId="4" applyFont="1" applyFill="1" applyBorder="1" applyAlignment="1"/>
    <xf numFmtId="0" fontId="13" fillId="0" borderId="1" xfId="14" applyFont="1" applyFill="1" applyBorder="1" applyAlignment="1">
      <alignment horizontal="center"/>
    </xf>
    <xf numFmtId="0" fontId="13" fillId="6" borderId="1" xfId="7" applyFont="1" applyFill="1" applyBorder="1" applyAlignment="1"/>
    <xf numFmtId="0" fontId="13" fillId="0" borderId="1" xfId="4" applyFont="1" applyBorder="1" applyAlignment="1"/>
    <xf numFmtId="0" fontId="22" fillId="0" borderId="0" xfId="7" applyFont="1" applyFill="1" applyAlignment="1">
      <alignment horizontal="center"/>
    </xf>
    <xf numFmtId="0" fontId="37" fillId="0" borderId="1" xfId="4" applyFont="1" applyBorder="1" applyAlignment="1"/>
    <xf numFmtId="0" fontId="37" fillId="0" borderId="1" xfId="7" applyFont="1" applyFill="1" applyBorder="1" applyAlignment="1"/>
    <xf numFmtId="0" fontId="22" fillId="15" borderId="1" xfId="7" applyFont="1" applyFill="1" applyBorder="1" applyAlignment="1"/>
    <xf numFmtId="0" fontId="38" fillId="0" borderId="1" xfId="7" applyFont="1" applyFill="1" applyBorder="1" applyAlignment="1"/>
    <xf numFmtId="0" fontId="39" fillId="0" borderId="1" xfId="4" applyFont="1" applyBorder="1" applyAlignment="1"/>
    <xf numFmtId="0" fontId="39" fillId="0" borderId="1" xfId="7" applyFont="1" applyFill="1" applyBorder="1" applyAlignment="1"/>
    <xf numFmtId="0" fontId="39" fillId="6" borderId="1" xfId="7" applyFont="1" applyFill="1" applyBorder="1" applyAlignment="1"/>
    <xf numFmtId="0" fontId="22" fillId="6" borderId="1" xfId="7" applyFont="1" applyFill="1" applyBorder="1" applyAlignment="1"/>
    <xf numFmtId="0" fontId="22" fillId="4" borderId="0" xfId="7" applyFont="1" applyFill="1" applyAlignment="1"/>
    <xf numFmtId="0" fontId="13" fillId="4" borderId="0" xfId="7" applyFont="1" applyFill="1" applyAlignment="1">
      <alignment horizontal="right"/>
    </xf>
    <xf numFmtId="0" fontId="22" fillId="4" borderId="0" xfId="7" applyFont="1" applyFill="1" applyAlignment="1">
      <alignment horizontal="center"/>
    </xf>
    <xf numFmtId="164" fontId="13" fillId="4" borderId="0" xfId="7" applyNumberFormat="1" applyFont="1" applyFill="1" applyAlignment="1">
      <alignment horizontal="center"/>
    </xf>
    <xf numFmtId="164" fontId="22" fillId="4" borderId="0" xfId="7" applyNumberFormat="1" applyFont="1" applyFill="1" applyAlignment="1"/>
    <xf numFmtId="0" fontId="13" fillId="4" borderId="0" xfId="7" applyFont="1" applyFill="1" applyAlignment="1">
      <alignment horizontal="center"/>
    </xf>
    <xf numFmtId="0" fontId="33" fillId="0" borderId="0" xfId="7" applyFont="1" applyFill="1" applyAlignment="1"/>
    <xf numFmtId="0" fontId="13" fillId="0" borderId="0" xfId="7" applyFont="1" applyFill="1" applyAlignment="1">
      <alignment horizontal="center"/>
    </xf>
    <xf numFmtId="0" fontId="22" fillId="0" borderId="0" xfId="7" applyFont="1" applyFill="1" applyAlignment="1"/>
    <xf numFmtId="0" fontId="25" fillId="0" borderId="0" xfId="7" applyFont="1" applyFill="1" applyAlignment="1"/>
    <xf numFmtId="0" fontId="15" fillId="0" borderId="0" xfId="2" applyFont="1" applyAlignment="1"/>
    <xf numFmtId="0" fontId="22" fillId="0" borderId="1" xfId="4" applyFont="1" applyBorder="1" applyAlignment="1"/>
    <xf numFmtId="0" fontId="13" fillId="0" borderId="1" xfId="7" applyFont="1" applyFill="1" applyBorder="1" applyAlignment="1">
      <alignment wrapText="1"/>
    </xf>
    <xf numFmtId="0" fontId="13" fillId="0" borderId="1" xfId="4" applyFont="1" applyFill="1" applyBorder="1" applyAlignment="1">
      <alignment horizontal="center"/>
    </xf>
    <xf numFmtId="49" fontId="13" fillId="0" borderId="1" xfId="4" applyNumberFormat="1" applyFont="1" applyFill="1" applyBorder="1" applyAlignment="1">
      <alignment horizontal="center"/>
    </xf>
    <xf numFmtId="0" fontId="13" fillId="0" borderId="4" xfId="4" applyFont="1" applyBorder="1" applyAlignment="1"/>
    <xf numFmtId="0" fontId="22" fillId="0" borderId="1" xfId="4" applyFont="1" applyFill="1" applyBorder="1" applyAlignment="1">
      <alignment horizontal="center"/>
    </xf>
    <xf numFmtId="49" fontId="13" fillId="0" borderId="0" xfId="4" applyNumberFormat="1" applyFont="1" applyFill="1" applyBorder="1" applyAlignment="1"/>
    <xf numFmtId="0" fontId="13" fillId="0" borderId="0" xfId="4" applyFont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49" fontId="13" fillId="0" borderId="0" xfId="4" applyNumberFormat="1" applyFont="1" applyBorder="1" applyAlignment="1">
      <alignment horizontal="center"/>
    </xf>
    <xf numFmtId="49" fontId="13" fillId="0" borderId="0" xfId="4" applyNumberFormat="1" applyFont="1" applyBorder="1" applyAlignment="1"/>
    <xf numFmtId="0" fontId="26" fillId="0" borderId="0" xfId="4" applyFont="1" applyBorder="1" applyAlignment="1"/>
    <xf numFmtId="0" fontId="22" fillId="0" borderId="0" xfId="4" applyFont="1" applyFill="1" applyBorder="1" applyAlignment="1">
      <alignment horizontal="right"/>
    </xf>
    <xf numFmtId="0" fontId="13" fillId="0" borderId="0" xfId="4" applyFont="1" applyAlignment="1">
      <alignment horizontal="left"/>
    </xf>
    <xf numFmtId="0" fontId="22" fillId="0" borderId="0" xfId="4" applyFont="1" applyAlignment="1">
      <alignment horizontal="right"/>
    </xf>
    <xf numFmtId="0" fontId="13" fillId="0" borderId="5" xfId="4" applyFont="1" applyBorder="1" applyAlignment="1"/>
    <xf numFmtId="0" fontId="13" fillId="0" borderId="6" xfId="4" applyFont="1" applyBorder="1" applyAlignment="1"/>
    <xf numFmtId="0" fontId="13" fillId="0" borderId="7" xfId="4" applyFont="1" applyBorder="1" applyAlignment="1"/>
    <xf numFmtId="0" fontId="13" fillId="0" borderId="8" xfId="4" applyFont="1" applyBorder="1" applyAlignment="1"/>
    <xf numFmtId="0" fontId="13" fillId="0" borderId="9" xfId="4" applyFont="1" applyBorder="1" applyAlignment="1"/>
    <xf numFmtId="0" fontId="13" fillId="0" borderId="3" xfId="4" applyFont="1" applyBorder="1" applyAlignment="1"/>
    <xf numFmtId="0" fontId="13" fillId="0" borderId="10" xfId="4" applyFont="1" applyBorder="1" applyAlignment="1"/>
    <xf numFmtId="0" fontId="13" fillId="0" borderId="11" xfId="4" applyFont="1" applyBorder="1" applyAlignment="1"/>
    <xf numFmtId="0" fontId="13" fillId="0" borderId="0" xfId="4" applyFont="1" applyBorder="1" applyAlignment="1">
      <alignment horizontal="left"/>
    </xf>
    <xf numFmtId="0" fontId="13" fillId="0" borderId="10" xfId="4" applyFont="1" applyBorder="1" applyAlignment="1">
      <alignment horizontal="left"/>
    </xf>
    <xf numFmtId="0" fontId="13" fillId="0" borderId="3" xfId="4" applyFont="1" applyBorder="1" applyAlignment="1">
      <alignment horizontal="left"/>
    </xf>
    <xf numFmtId="0" fontId="13" fillId="0" borderId="12" xfId="4" applyFont="1" applyBorder="1" applyAlignment="1"/>
    <xf numFmtId="0" fontId="22" fillId="0" borderId="13" xfId="4" applyFont="1" applyBorder="1" applyAlignment="1"/>
    <xf numFmtId="0" fontId="13" fillId="0" borderId="13" xfId="4" applyFont="1" applyBorder="1" applyAlignment="1"/>
    <xf numFmtId="0" fontId="13" fillId="0" borderId="14" xfId="4" applyFont="1" applyBorder="1" applyAlignment="1"/>
    <xf numFmtId="0" fontId="26" fillId="0" borderId="0" xfId="4" applyFont="1" applyAlignment="1"/>
    <xf numFmtId="0" fontId="13" fillId="0" borderId="0" xfId="4" applyFont="1" applyFill="1" applyBorder="1" applyAlignment="1">
      <alignment horizontal="left"/>
    </xf>
    <xf numFmtId="0" fontId="13" fillId="0" borderId="5" xfId="4" applyFont="1" applyBorder="1" applyAlignment="1">
      <alignment horizontal="left"/>
    </xf>
    <xf numFmtId="0" fontId="13" fillId="0" borderId="8" xfId="4" applyFont="1" applyBorder="1" applyAlignment="1">
      <alignment horizontal="left"/>
    </xf>
    <xf numFmtId="0" fontId="13" fillId="0" borderId="7" xfId="4" applyFont="1" applyBorder="1" applyAlignment="1">
      <alignment horizontal="left"/>
    </xf>
    <xf numFmtId="0" fontId="13" fillId="0" borderId="11" xfId="4" applyFont="1" applyBorder="1" applyAlignment="1">
      <alignment horizontal="left"/>
    </xf>
    <xf numFmtId="0" fontId="13" fillId="0" borderId="9" xfId="4" applyFont="1" applyBorder="1" applyAlignment="1">
      <alignment horizontal="left"/>
    </xf>
    <xf numFmtId="0" fontId="13" fillId="0" borderId="12" xfId="4" applyFont="1" applyBorder="1" applyAlignment="1">
      <alignment horizontal="left"/>
    </xf>
    <xf numFmtId="0" fontId="13" fillId="0" borderId="14" xfId="4" applyFont="1" applyBorder="1" applyAlignment="1">
      <alignment horizontal="left"/>
    </xf>
    <xf numFmtId="17" fontId="26" fillId="0" borderId="0" xfId="4" applyNumberFormat="1" applyFont="1" applyAlignment="1"/>
    <xf numFmtId="0" fontId="13" fillId="0" borderId="0" xfId="4" applyFont="1" applyAlignment="1">
      <alignment horizontal="right"/>
    </xf>
    <xf numFmtId="0" fontId="13" fillId="0" borderId="11" xfId="7" applyFont="1" applyFill="1" applyBorder="1" applyAlignment="1"/>
    <xf numFmtId="0" fontId="13" fillId="0" borderId="7" xfId="7" applyFont="1" applyFill="1" applyBorder="1" applyAlignment="1"/>
    <xf numFmtId="0" fontId="13" fillId="0" borderId="5" xfId="4" applyFont="1" applyFill="1" applyBorder="1" applyAlignment="1"/>
    <xf numFmtId="0" fontId="13" fillId="0" borderId="7" xfId="4" applyFont="1" applyFill="1" applyBorder="1" applyAlignment="1"/>
    <xf numFmtId="0" fontId="22" fillId="9" borderId="1" xfId="4" applyFont="1" applyFill="1" applyBorder="1" applyAlignment="1"/>
    <xf numFmtId="0" fontId="33" fillId="0" borderId="0" xfId="4" applyFont="1" applyAlignment="1"/>
    <xf numFmtId="0" fontId="22" fillId="0" borderId="1" xfId="4" applyFont="1" applyBorder="1" applyAlignment="1">
      <alignment horizontal="center"/>
    </xf>
    <xf numFmtId="0" fontId="13" fillId="0" borderId="1" xfId="4" applyFont="1" applyFill="1" applyBorder="1" applyAlignment="1"/>
    <xf numFmtId="0" fontId="26" fillId="0" borderId="0" xfId="7" applyFont="1" applyAlignment="1"/>
    <xf numFmtId="0" fontId="13" fillId="0" borderId="0" xfId="7" applyFont="1" applyAlignment="1"/>
    <xf numFmtId="0" fontId="22" fillId="0" borderId="0" xfId="7" applyFont="1" applyAlignment="1">
      <alignment horizontal="right"/>
    </xf>
    <xf numFmtId="0" fontId="13" fillId="0" borderId="0" xfId="7" applyFont="1" applyAlignment="1">
      <alignment horizontal="right"/>
    </xf>
    <xf numFmtId="0" fontId="13" fillId="0" borderId="5" xfId="7" applyFont="1" applyBorder="1" applyAlignment="1"/>
    <xf numFmtId="0" fontId="13" fillId="0" borderId="6" xfId="7" applyFont="1" applyBorder="1" applyAlignment="1"/>
    <xf numFmtId="0" fontId="13" fillId="0" borderId="7" xfId="7" applyFont="1" applyBorder="1" applyAlignment="1"/>
    <xf numFmtId="0" fontId="13" fillId="0" borderId="0" xfId="7" applyFont="1" applyAlignment="1">
      <alignment horizontal="left"/>
    </xf>
    <xf numFmtId="0" fontId="13" fillId="0" borderId="3" xfId="7" applyFont="1" applyBorder="1" applyAlignment="1">
      <alignment horizontal="left"/>
    </xf>
    <xf numFmtId="0" fontId="13" fillId="0" borderId="8" xfId="7" applyFont="1" applyBorder="1" applyAlignment="1"/>
    <xf numFmtId="0" fontId="13" fillId="0" borderId="0" xfId="7" applyFont="1" applyBorder="1" applyAlignment="1"/>
    <xf numFmtId="0" fontId="13" fillId="0" borderId="9" xfId="7" applyFont="1" applyBorder="1" applyAlignment="1"/>
    <xf numFmtId="0" fontId="13" fillId="0" borderId="0" xfId="7" applyFont="1" applyBorder="1" applyAlignment="1">
      <alignment horizontal="left"/>
    </xf>
    <xf numFmtId="0" fontId="13" fillId="0" borderId="3" xfId="7" applyFont="1" applyBorder="1" applyAlignment="1"/>
    <xf numFmtId="0" fontId="13" fillId="0" borderId="11" xfId="7" applyFont="1" applyBorder="1" applyAlignment="1"/>
    <xf numFmtId="0" fontId="13" fillId="0" borderId="12" xfId="7" applyFont="1" applyBorder="1" applyAlignment="1"/>
    <xf numFmtId="0" fontId="22" fillId="0" borderId="13" xfId="7" applyFont="1" applyBorder="1" applyAlignment="1"/>
    <xf numFmtId="0" fontId="13" fillId="0" borderId="13" xfId="7" applyFont="1" applyBorder="1" applyAlignment="1"/>
    <xf numFmtId="0" fontId="13" fillId="0" borderId="14" xfId="7" applyFont="1" applyBorder="1" applyAlignment="1"/>
    <xf numFmtId="0" fontId="22" fillId="0" borderId="0" xfId="7" applyFont="1" applyBorder="1" applyAlignment="1"/>
    <xf numFmtId="0" fontId="22" fillId="0" borderId="0" xfId="7" applyFont="1" applyAlignment="1"/>
    <xf numFmtId="0" fontId="13" fillId="0" borderId="10" xfId="7" applyFont="1" applyBorder="1" applyAlignment="1">
      <alignment horizontal="left"/>
    </xf>
    <xf numFmtId="0" fontId="13" fillId="0" borderId="0" xfId="7" applyFont="1" applyFill="1" applyBorder="1" applyAlignment="1"/>
    <xf numFmtId="49" fontId="13" fillId="0" borderId="0" xfId="4" applyNumberFormat="1" applyFont="1" applyFill="1" applyBorder="1" applyAlignment="1">
      <alignment horizontal="center"/>
    </xf>
    <xf numFmtId="17" fontId="22" fillId="0" borderId="0" xfId="4" applyNumberFormat="1" applyFont="1" applyAlignment="1"/>
    <xf numFmtId="0" fontId="22" fillId="0" borderId="0" xfId="14" applyFont="1" applyBorder="1" applyAlignment="1"/>
    <xf numFmtId="0" fontId="13" fillId="0" borderId="0" xfId="14" applyFont="1" applyBorder="1" applyAlignment="1"/>
    <xf numFmtId="0" fontId="37" fillId="0" borderId="0" xfId="7" applyFont="1" applyFill="1" applyBorder="1" applyAlignment="1">
      <alignment horizontal="right"/>
    </xf>
    <xf numFmtId="0" fontId="33" fillId="0" borderId="0" xfId="14" applyFont="1" applyBorder="1" applyAlignment="1"/>
    <xf numFmtId="0" fontId="13" fillId="0" borderId="1" xfId="14" applyFont="1" applyBorder="1" applyAlignment="1">
      <alignment horizontal="center"/>
    </xf>
    <xf numFmtId="0" fontId="13" fillId="16" borderId="1" xfId="14" applyFont="1" applyFill="1" applyBorder="1" applyAlignment="1">
      <alignment horizontal="center" vertical="center"/>
    </xf>
    <xf numFmtId="0" fontId="13" fillId="0" borderId="1" xfId="7" applyFont="1" applyBorder="1" applyAlignment="1">
      <alignment horizontal="center"/>
    </xf>
    <xf numFmtId="0" fontId="22" fillId="0" borderId="1" xfId="7" applyFont="1" applyBorder="1" applyAlignment="1">
      <alignment horizontal="center"/>
    </xf>
    <xf numFmtId="0" fontId="13" fillId="4" borderId="1" xfId="7" applyFont="1" applyFill="1" applyBorder="1" applyAlignment="1"/>
    <xf numFmtId="0" fontId="13" fillId="13" borderId="1" xfId="7" applyFont="1" applyFill="1" applyBorder="1" applyAlignment="1"/>
    <xf numFmtId="0" fontId="37" fillId="6" borderId="1" xfId="7" applyFont="1" applyFill="1" applyBorder="1" applyAlignment="1"/>
    <xf numFmtId="0" fontId="13" fillId="17" borderId="1" xfId="4" applyFont="1" applyFill="1" applyBorder="1" applyAlignment="1">
      <alignment horizontal="center"/>
    </xf>
    <xf numFmtId="0" fontId="13" fillId="0" borderId="1" xfId="4" applyFont="1" applyBorder="1" applyAlignment="1">
      <alignment horizontal="center"/>
    </xf>
    <xf numFmtId="49" fontId="13" fillId="0" borderId="1" xfId="4" applyNumberFormat="1" applyFont="1" applyBorder="1" applyAlignment="1">
      <alignment horizontal="center"/>
    </xf>
    <xf numFmtId="0" fontId="13" fillId="0" borderId="0" xfId="4" applyFont="1" applyBorder="1" applyAlignment="1">
      <alignment horizontal="right"/>
    </xf>
    <xf numFmtId="0" fontId="15" fillId="0" borderId="0" xfId="2" applyFont="1"/>
    <xf numFmtId="0" fontId="33" fillId="0" borderId="0" xfId="4" applyFont="1" applyFill="1" applyAlignment="1"/>
    <xf numFmtId="0" fontId="26" fillId="0" borderId="0" xfId="4" applyFont="1" applyFill="1" applyAlignment="1"/>
    <xf numFmtId="0" fontId="22" fillId="0" borderId="0" xfId="4" applyFont="1" applyFill="1" applyAlignment="1">
      <alignment horizontal="right"/>
    </xf>
    <xf numFmtId="0" fontId="32" fillId="0" borderId="5" xfId="4" applyFont="1" applyFill="1" applyBorder="1" applyAlignment="1"/>
    <xf numFmtId="0" fontId="13" fillId="0" borderId="6" xfId="4" applyFont="1" applyFill="1" applyBorder="1" applyAlignment="1"/>
    <xf numFmtId="0" fontId="13" fillId="0" borderId="4" xfId="4" applyFont="1" applyFill="1" applyBorder="1" applyAlignment="1">
      <alignment horizontal="left"/>
    </xf>
    <xf numFmtId="0" fontId="32" fillId="0" borderId="9" xfId="4" applyFont="1" applyFill="1" applyBorder="1" applyAlignment="1"/>
    <xf numFmtId="0" fontId="13" fillId="0" borderId="0" xfId="4" applyFont="1" applyFill="1" applyAlignment="1">
      <alignment horizontal="left"/>
    </xf>
    <xf numFmtId="0" fontId="22" fillId="0" borderId="9" xfId="4" applyFont="1" applyFill="1" applyBorder="1" applyAlignment="1">
      <alignment horizontal="left"/>
    </xf>
    <xf numFmtId="0" fontId="13" fillId="0" borderId="8" xfId="4" applyFont="1" applyFill="1" applyBorder="1" applyAlignment="1"/>
    <xf numFmtId="0" fontId="13" fillId="0" borderId="15" xfId="4" applyFont="1" applyFill="1" applyBorder="1" applyAlignment="1"/>
    <xf numFmtId="0" fontId="13" fillId="0" borderId="9" xfId="4" applyFont="1" applyFill="1" applyBorder="1" applyAlignment="1">
      <alignment horizontal="left"/>
    </xf>
    <xf numFmtId="0" fontId="13" fillId="0" borderId="10" xfId="4" applyFont="1" applyFill="1" applyBorder="1" applyAlignment="1">
      <alignment horizontal="left"/>
    </xf>
    <xf numFmtId="0" fontId="13" fillId="0" borderId="9" xfId="4" applyFont="1" applyFill="1" applyBorder="1" applyAlignment="1"/>
    <xf numFmtId="0" fontId="13" fillId="0" borderId="11" xfId="4" applyFont="1" applyFill="1" applyBorder="1" applyAlignment="1"/>
    <xf numFmtId="0" fontId="22" fillId="0" borderId="9" xfId="4" applyFont="1" applyFill="1" applyBorder="1" applyAlignment="1"/>
    <xf numFmtId="0" fontId="13" fillId="0" borderId="4" xfId="4" applyFont="1" applyFill="1" applyBorder="1" applyAlignment="1"/>
    <xf numFmtId="0" fontId="13" fillId="0" borderId="16" xfId="4" applyFont="1" applyFill="1" applyBorder="1" applyAlignment="1"/>
    <xf numFmtId="0" fontId="32" fillId="0" borderId="9" xfId="4" applyFont="1" applyFill="1" applyBorder="1" applyAlignment="1">
      <alignment horizontal="right"/>
    </xf>
    <xf numFmtId="0" fontId="13" fillId="0" borderId="17" xfId="4" applyFont="1" applyFill="1" applyBorder="1" applyAlignment="1"/>
    <xf numFmtId="0" fontId="13" fillId="0" borderId="14" xfId="4" applyFont="1" applyFill="1" applyBorder="1" applyAlignment="1"/>
    <xf numFmtId="0" fontId="13" fillId="0" borderId="3" xfId="4" applyFont="1" applyFill="1" applyBorder="1" applyAlignment="1"/>
    <xf numFmtId="0" fontId="22" fillId="0" borderId="13" xfId="4" applyFont="1" applyFill="1" applyBorder="1" applyAlignment="1"/>
    <xf numFmtId="0" fontId="22" fillId="0" borderId="0" xfId="4" quotePrefix="1" applyFont="1" applyFill="1" applyAlignment="1">
      <alignment horizontal="right"/>
    </xf>
    <xf numFmtId="0" fontId="40" fillId="0" borderId="9" xfId="4" applyFont="1" applyFill="1" applyBorder="1" applyAlignment="1"/>
    <xf numFmtId="0" fontId="40" fillId="0" borderId="5" xfId="4" applyFont="1" applyFill="1" applyBorder="1" applyAlignment="1"/>
    <xf numFmtId="0" fontId="13" fillId="0" borderId="10" xfId="4" applyFont="1" applyFill="1" applyBorder="1" applyAlignment="1"/>
    <xf numFmtId="0" fontId="22" fillId="0" borderId="8" xfId="4" applyFont="1" applyFill="1" applyBorder="1" applyAlignment="1"/>
    <xf numFmtId="0" fontId="13" fillId="0" borderId="16" xfId="4" applyFont="1" applyFill="1" applyBorder="1" applyAlignment="1">
      <alignment horizontal="left"/>
    </xf>
    <xf numFmtId="0" fontId="40" fillId="0" borderId="9" xfId="4" applyFont="1" applyFill="1" applyBorder="1" applyAlignment="1">
      <alignment horizontal="right"/>
    </xf>
    <xf numFmtId="0" fontId="40" fillId="0" borderId="8" xfId="4" applyFont="1" applyFill="1" applyBorder="1" applyAlignment="1"/>
    <xf numFmtId="0" fontId="13" fillId="0" borderId="8" xfId="4" applyFont="1" applyFill="1" applyBorder="1" applyAlignment="1">
      <alignment horizontal="left"/>
    </xf>
    <xf numFmtId="0" fontId="22" fillId="0" borderId="0" xfId="4" quotePrefix="1" applyFont="1" applyFill="1" applyAlignment="1">
      <alignment horizontal="left"/>
    </xf>
    <xf numFmtId="0" fontId="22" fillId="0" borderId="9" xfId="4" applyFont="1" applyFill="1" applyBorder="1" applyAlignment="1">
      <alignment horizontal="right"/>
    </xf>
    <xf numFmtId="0" fontId="22" fillId="0" borderId="8" xfId="4" applyFont="1" applyFill="1" applyBorder="1" applyAlignment="1">
      <alignment horizontal="right"/>
    </xf>
    <xf numFmtId="0" fontId="13" fillId="0" borderId="12" xfId="4" applyFont="1" applyFill="1" applyBorder="1" applyAlignment="1"/>
    <xf numFmtId="0" fontId="22" fillId="0" borderId="5" xfId="4" applyFont="1" applyFill="1" applyBorder="1" applyAlignment="1"/>
    <xf numFmtId="0" fontId="22" fillId="0" borderId="1" xfId="4" applyFont="1" applyFill="1" applyBorder="1" applyAlignment="1"/>
    <xf numFmtId="0" fontId="13" fillId="0" borderId="0" xfId="4" applyFont="1" applyFill="1" applyAlignment="1">
      <alignment horizontal="right"/>
    </xf>
    <xf numFmtId="0" fontId="22" fillId="9" borderId="0" xfId="4" applyFont="1" applyFill="1" applyAlignment="1"/>
    <xf numFmtId="0" fontId="13" fillId="4" borderId="0" xfId="4" applyFont="1" applyFill="1" applyAlignment="1"/>
    <xf numFmtId="0" fontId="13" fillId="13" borderId="0" xfId="4" applyFont="1" applyFill="1" applyAlignment="1"/>
    <xf numFmtId="0" fontId="22" fillId="0" borderId="1" xfId="7" applyFont="1" applyBorder="1" applyAlignment="1"/>
    <xf numFmtId="0" fontId="22" fillId="9" borderId="1" xfId="7" applyFont="1" applyFill="1" applyBorder="1" applyAlignment="1"/>
    <xf numFmtId="0" fontId="13" fillId="0" borderId="0" xfId="4" applyFont="1" applyFill="1" applyBorder="1" applyAlignment="1">
      <alignment horizontal="right"/>
    </xf>
    <xf numFmtId="0" fontId="22" fillId="0" borderId="0" xfId="4" applyFont="1" applyBorder="1" applyAlignment="1">
      <alignment horizontal="right"/>
    </xf>
    <xf numFmtId="0" fontId="13" fillId="0" borderId="0" xfId="4" applyFont="1" applyAlignment="1">
      <alignment horizontal="center"/>
    </xf>
    <xf numFmtId="20" fontId="13" fillId="0" borderId="1" xfId="4" applyNumberFormat="1" applyFont="1" applyFill="1" applyBorder="1" applyAlignment="1">
      <alignment horizontal="center"/>
    </xf>
    <xf numFmtId="0" fontId="13" fillId="0" borderId="0" xfId="10" applyFont="1" applyAlignment="1">
      <alignment horizontal="left"/>
    </xf>
    <xf numFmtId="0" fontId="13" fillId="0" borderId="0" xfId="10" applyFont="1" applyAlignment="1"/>
    <xf numFmtId="0" fontId="13" fillId="0" borderId="0" xfId="12" applyFont="1" applyAlignment="1"/>
    <xf numFmtId="0" fontId="13" fillId="0" borderId="0" xfId="4" applyFont="1"/>
    <xf numFmtId="0" fontId="13" fillId="0" borderId="18" xfId="10" applyFont="1" applyBorder="1" applyAlignment="1"/>
    <xf numFmtId="0" fontId="22" fillId="0" borderId="19" xfId="7" applyFont="1" applyFill="1" applyBorder="1" applyAlignment="1">
      <alignment horizontal="center"/>
    </xf>
    <xf numFmtId="0" fontId="13" fillId="0" borderId="19" xfId="7" applyFont="1" applyBorder="1" applyAlignment="1"/>
    <xf numFmtId="0" fontId="22" fillId="0" borderId="20" xfId="7" applyFont="1" applyBorder="1" applyAlignment="1"/>
    <xf numFmtId="0" fontId="13" fillId="0" borderId="21" xfId="7" applyFont="1" applyBorder="1" applyAlignment="1">
      <alignment horizontal="center"/>
    </xf>
    <xf numFmtId="0" fontId="13" fillId="0" borderId="22" xfId="7" applyFont="1" applyBorder="1" applyAlignment="1">
      <alignment horizontal="center"/>
    </xf>
    <xf numFmtId="0" fontId="13" fillId="0" borderId="19" xfId="7" applyFont="1" applyFill="1" applyBorder="1" applyAlignment="1">
      <alignment horizontal="center"/>
    </xf>
    <xf numFmtId="0" fontId="13" fillId="4" borderId="19" xfId="7" applyFont="1" applyFill="1" applyBorder="1" applyAlignment="1"/>
    <xf numFmtId="0" fontId="13" fillId="4" borderId="21" xfId="7" applyFont="1" applyFill="1" applyBorder="1" applyAlignment="1"/>
    <xf numFmtId="0" fontId="13" fillId="4" borderId="21" xfId="10" applyFont="1" applyFill="1" applyBorder="1" applyAlignment="1">
      <alignment horizontal="center"/>
    </xf>
    <xf numFmtId="0" fontId="13" fillId="4" borderId="1" xfId="10" applyFont="1" applyFill="1" applyBorder="1" applyAlignment="1">
      <alignment horizontal="center"/>
    </xf>
    <xf numFmtId="0" fontId="13" fillId="4" borderId="22" xfId="10" applyFont="1" applyFill="1" applyBorder="1" applyAlignment="1">
      <alignment horizontal="center"/>
    </xf>
    <xf numFmtId="0" fontId="13" fillId="4" borderId="19" xfId="10" applyFont="1" applyFill="1" applyBorder="1" applyAlignment="1">
      <alignment horizontal="center"/>
    </xf>
    <xf numFmtId="0" fontId="22" fillId="4" borderId="19" xfId="10" applyFont="1" applyFill="1" applyBorder="1" applyAlignment="1">
      <alignment horizontal="center"/>
    </xf>
    <xf numFmtId="0" fontId="13" fillId="4" borderId="21" xfId="10" applyFont="1" applyFill="1" applyBorder="1" applyAlignment="1"/>
    <xf numFmtId="0" fontId="13" fillId="0" borderId="21" xfId="7" applyFont="1" applyFill="1" applyBorder="1" applyAlignment="1"/>
    <xf numFmtId="0" fontId="13" fillId="0" borderId="21" xfId="10" applyFont="1" applyFill="1" applyBorder="1" applyAlignment="1">
      <alignment horizontal="center"/>
    </xf>
    <xf numFmtId="0" fontId="13" fillId="0" borderId="1" xfId="10" applyFont="1" applyFill="1" applyBorder="1" applyAlignment="1">
      <alignment horizontal="center"/>
    </xf>
    <xf numFmtId="0" fontId="13" fillId="0" borderId="22" xfId="10" applyFont="1" applyFill="1" applyBorder="1" applyAlignment="1">
      <alignment horizontal="center"/>
    </xf>
    <xf numFmtId="0" fontId="13" fillId="0" borderId="19" xfId="10" applyFont="1" applyFill="1" applyBorder="1" applyAlignment="1">
      <alignment horizontal="center"/>
    </xf>
    <xf numFmtId="0" fontId="22" fillId="0" borderId="19" xfId="10" applyFont="1" applyFill="1" applyBorder="1" applyAlignment="1">
      <alignment horizontal="center"/>
    </xf>
    <xf numFmtId="0" fontId="13" fillId="0" borderId="23" xfId="10" applyFont="1" applyBorder="1" applyAlignment="1">
      <alignment horizontal="left"/>
    </xf>
    <xf numFmtId="0" fontId="13" fillId="18" borderId="19" xfId="10" applyFont="1" applyFill="1" applyBorder="1" applyAlignment="1">
      <alignment horizontal="center"/>
    </xf>
    <xf numFmtId="0" fontId="13" fillId="0" borderId="21" xfId="10" applyFont="1" applyFill="1" applyBorder="1" applyAlignment="1"/>
    <xf numFmtId="0" fontId="13" fillId="0" borderId="23" xfId="10" applyFont="1" applyBorder="1" applyAlignment="1"/>
    <xf numFmtId="49" fontId="13" fillId="4" borderId="19" xfId="10" applyNumberFormat="1" applyFont="1" applyFill="1" applyBorder="1" applyAlignment="1">
      <alignment horizontal="center"/>
    </xf>
    <xf numFmtId="49" fontId="13" fillId="0" borderId="19" xfId="10" applyNumberFormat="1" applyFont="1" applyFill="1" applyBorder="1" applyAlignment="1">
      <alignment horizontal="center"/>
    </xf>
    <xf numFmtId="0" fontId="13" fillId="0" borderId="24" xfId="7" applyFont="1" applyBorder="1" applyAlignment="1"/>
    <xf numFmtId="0" fontId="13" fillId="0" borderId="25" xfId="7" applyFont="1" applyFill="1" applyBorder="1" applyAlignment="1"/>
    <xf numFmtId="0" fontId="13" fillId="0" borderId="25" xfId="10" applyFont="1" applyFill="1" applyBorder="1" applyAlignment="1">
      <alignment horizontal="center"/>
    </xf>
    <xf numFmtId="0" fontId="13" fillId="0" borderId="26" xfId="10" applyFont="1" applyFill="1" applyBorder="1" applyAlignment="1">
      <alignment horizontal="center"/>
    </xf>
    <xf numFmtId="0" fontId="13" fillId="0" borderId="27" xfId="10" applyFont="1" applyFill="1" applyBorder="1" applyAlignment="1">
      <alignment horizontal="center"/>
    </xf>
    <xf numFmtId="0" fontId="13" fillId="0" borderId="24" xfId="10" applyFont="1" applyFill="1" applyBorder="1" applyAlignment="1">
      <alignment horizontal="center"/>
    </xf>
    <xf numFmtId="0" fontId="22" fillId="0" borderId="24" xfId="10" applyFont="1" applyFill="1" applyBorder="1" applyAlignment="1">
      <alignment horizontal="center"/>
    </xf>
    <xf numFmtId="0" fontId="13" fillId="0" borderId="19" xfId="10" applyFont="1" applyBorder="1" applyAlignment="1"/>
    <xf numFmtId="0" fontId="13" fillId="0" borderId="21" xfId="10" applyFont="1" applyBorder="1" applyAlignment="1">
      <alignment horizontal="left"/>
    </xf>
    <xf numFmtId="0" fontId="13" fillId="0" borderId="21" xfId="7" applyFont="1" applyFill="1" applyBorder="1" applyAlignment="1">
      <alignment horizontal="left"/>
    </xf>
    <xf numFmtId="0" fontId="22" fillId="0" borderId="19" xfId="7" applyFont="1" applyBorder="1" applyAlignment="1">
      <alignment horizontal="center"/>
    </xf>
    <xf numFmtId="0" fontId="13" fillId="7" borderId="19" xfId="10" applyFont="1" applyFill="1" applyBorder="1" applyAlignment="1">
      <alignment horizontal="center"/>
    </xf>
    <xf numFmtId="0" fontId="22" fillId="0" borderId="28" xfId="7" applyFont="1" applyBorder="1" applyAlignment="1"/>
    <xf numFmtId="0" fontId="13" fillId="0" borderId="22" xfId="7" applyFont="1" applyFill="1" applyBorder="1" applyAlignment="1">
      <alignment horizontal="center"/>
    </xf>
    <xf numFmtId="0" fontId="13" fillId="0" borderId="24" xfId="10" applyFont="1" applyBorder="1" applyAlignment="1"/>
    <xf numFmtId="0" fontId="13" fillId="0" borderId="25" xfId="7" applyFont="1" applyFill="1" applyBorder="1" applyAlignment="1">
      <alignment horizontal="left"/>
    </xf>
    <xf numFmtId="0" fontId="13" fillId="0" borderId="25" xfId="7" applyFont="1" applyBorder="1" applyAlignment="1">
      <alignment horizontal="center"/>
    </xf>
    <xf numFmtId="0" fontId="13" fillId="0" borderId="26" xfId="7" applyFont="1" applyBorder="1" applyAlignment="1">
      <alignment horizontal="center"/>
    </xf>
    <xf numFmtId="0" fontId="13" fillId="0" borderId="27" xfId="7" applyFont="1" applyBorder="1" applyAlignment="1">
      <alignment horizontal="center"/>
    </xf>
    <xf numFmtId="0" fontId="22" fillId="0" borderId="24" xfId="7" applyFont="1" applyFill="1" applyBorder="1" applyAlignment="1">
      <alignment horizontal="center"/>
    </xf>
    <xf numFmtId="0" fontId="22" fillId="0" borderId="1" xfId="10" applyFont="1" applyBorder="1" applyAlignment="1"/>
    <xf numFmtId="0" fontId="22" fillId="9" borderId="1" xfId="12" applyFont="1" applyFill="1" applyBorder="1" applyAlignment="1"/>
    <xf numFmtId="0" fontId="13" fillId="4" borderId="1" xfId="10" applyFont="1" applyFill="1" applyBorder="1" applyAlignment="1"/>
    <xf numFmtId="0" fontId="13" fillId="13" borderId="1" xfId="10" applyFont="1" applyFill="1" applyBorder="1" applyAlignment="1"/>
    <xf numFmtId="0" fontId="13" fillId="0" borderId="1" xfId="10" applyFont="1" applyBorder="1" applyAlignment="1"/>
    <xf numFmtId="0" fontId="13" fillId="0" borderId="1" xfId="7" applyFont="1" applyFill="1" applyBorder="1" applyAlignment="1">
      <alignment horizontal="left"/>
    </xf>
    <xf numFmtId="0" fontId="13" fillId="0" borderId="1" xfId="10" applyFont="1" applyBorder="1" applyAlignment="1">
      <alignment horizontal="left"/>
    </xf>
    <xf numFmtId="0" fontId="13" fillId="0" borderId="7" xfId="7" applyFont="1" applyBorder="1" applyAlignment="1">
      <alignment horizontal="left"/>
    </xf>
    <xf numFmtId="0" fontId="22" fillId="0" borderId="1" xfId="4" applyNumberFormat="1" applyFont="1" applyFill="1" applyBorder="1" applyAlignment="1">
      <alignment horizontal="center"/>
    </xf>
    <xf numFmtId="0" fontId="13" fillId="0" borderId="0" xfId="4" applyFont="1" applyFill="1" applyAlignment="1">
      <alignment horizontal="center"/>
    </xf>
    <xf numFmtId="0" fontId="22" fillId="4" borderId="1" xfId="4" quotePrefix="1" applyNumberFormat="1" applyFont="1" applyFill="1" applyBorder="1" applyAlignment="1">
      <alignment horizontal="center"/>
    </xf>
    <xf numFmtId="0" fontId="22" fillId="0" borderId="1" xfId="4" quotePrefix="1" applyNumberFormat="1" applyFont="1" applyFill="1" applyBorder="1" applyAlignment="1">
      <alignment horizontal="center"/>
    </xf>
    <xf numFmtId="0" fontId="22" fillId="9" borderId="1" xfId="4" quotePrefix="1" applyNumberFormat="1" applyFont="1" applyFill="1" applyBorder="1" applyAlignment="1">
      <alignment horizontal="center"/>
    </xf>
    <xf numFmtId="0" fontId="22" fillId="13" borderId="1" xfId="4" applyNumberFormat="1" applyFont="1" applyFill="1" applyBorder="1" applyAlignment="1">
      <alignment horizontal="center"/>
    </xf>
    <xf numFmtId="0" fontId="13" fillId="0" borderId="0" xfId="14" applyFont="1" applyAlignment="1"/>
    <xf numFmtId="0" fontId="37" fillId="0" borderId="0" xfId="7" applyFont="1" applyFill="1" applyAlignment="1">
      <alignment horizontal="right"/>
    </xf>
    <xf numFmtId="0" fontId="33" fillId="0" borderId="0" xfId="4" applyNumberFormat="1" applyFont="1" applyAlignment="1"/>
    <xf numFmtId="0" fontId="13" fillId="0" borderId="23" xfId="7" applyFont="1" applyBorder="1" applyAlignment="1">
      <alignment horizontal="center"/>
    </xf>
    <xf numFmtId="0" fontId="13" fillId="4" borderId="23" xfId="2" applyNumberFormat="1" applyFont="1" applyFill="1" applyBorder="1" applyAlignment="1" applyProtection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/>
    </xf>
    <xf numFmtId="0" fontId="13" fillId="4" borderId="23" xfId="2" applyNumberFormat="1" applyFont="1" applyFill="1" applyBorder="1" applyAlignment="1" applyProtection="1">
      <alignment horizontal="center" wrapText="1"/>
    </xf>
    <xf numFmtId="0" fontId="16" fillId="4" borderId="23" xfId="2" applyFill="1" applyBorder="1" applyAlignment="1">
      <alignment horizontal="center"/>
    </xf>
    <xf numFmtId="0" fontId="22" fillId="0" borderId="23" xfId="7" applyFont="1" applyBorder="1" applyAlignment="1">
      <alignment horizontal="center"/>
    </xf>
    <xf numFmtId="0" fontId="34" fillId="0" borderId="23" xfId="7" applyFont="1" applyFill="1" applyBorder="1" applyAlignment="1">
      <alignment horizontal="center"/>
    </xf>
    <xf numFmtId="0" fontId="13" fillId="0" borderId="0" xfId="7" applyFont="1" applyFill="1" applyBorder="1" applyAlignment="1">
      <alignment textRotation="90"/>
    </xf>
    <xf numFmtId="0" fontId="13" fillId="0" borderId="23" xfId="7" applyFont="1" applyBorder="1" applyAlignment="1">
      <alignment horizontal="right"/>
    </xf>
    <xf numFmtId="164" fontId="22" fillId="0" borderId="23" xfId="7" applyNumberFormat="1" applyFont="1" applyFill="1" applyBorder="1" applyAlignment="1">
      <alignment horizontal="center"/>
    </xf>
    <xf numFmtId="164" fontId="34" fillId="0" borderId="23" xfId="7" applyNumberFormat="1" applyFont="1" applyFill="1" applyBorder="1" applyAlignment="1">
      <alignment horizontal="center"/>
    </xf>
    <xf numFmtId="0" fontId="13" fillId="0" borderId="23" xfId="13" applyFont="1" applyFill="1" applyBorder="1" applyAlignment="1">
      <alignment horizontal="center"/>
    </xf>
    <xf numFmtId="0" fontId="36" fillId="0" borderId="23" xfId="7" applyFont="1" applyFill="1" applyBorder="1" applyAlignment="1">
      <alignment horizontal="center"/>
    </xf>
    <xf numFmtId="0" fontId="13" fillId="0" borderId="23" xfId="7" applyFont="1" applyFill="1" applyBorder="1" applyAlignment="1">
      <alignment horizontal="center"/>
    </xf>
    <xf numFmtId="0" fontId="13" fillId="4" borderId="23" xfId="10" applyFont="1" applyFill="1" applyBorder="1" applyAlignment="1">
      <alignment horizontal="left"/>
    </xf>
    <xf numFmtId="0" fontId="36" fillId="0" borderId="23" xfId="13" applyFont="1" applyFill="1" applyBorder="1" applyAlignment="1">
      <alignment horizontal="center"/>
    </xf>
    <xf numFmtId="0" fontId="13" fillId="13" borderId="23" xfId="7" applyFont="1" applyFill="1" applyBorder="1" applyAlignment="1"/>
    <xf numFmtId="0" fontId="13" fillId="0" borderId="23" xfId="7" applyFont="1" applyFill="1" applyBorder="1" applyAlignment="1">
      <alignment horizontal="left"/>
    </xf>
    <xf numFmtId="0" fontId="13" fillId="6" borderId="23" xfId="10" applyFont="1" applyFill="1" applyBorder="1" applyAlignment="1"/>
    <xf numFmtId="0" fontId="13" fillId="0" borderId="23" xfId="4" applyFont="1" applyBorder="1" applyAlignment="1"/>
    <xf numFmtId="0" fontId="13" fillId="0" borderId="23" xfId="7" applyFont="1" applyFill="1" applyBorder="1" applyAlignment="1"/>
    <xf numFmtId="0" fontId="37" fillId="0" borderId="23" xfId="10" applyFont="1" applyFill="1" applyBorder="1" applyAlignment="1"/>
    <xf numFmtId="0" fontId="37" fillId="0" borderId="23" xfId="10" applyFont="1" applyBorder="1" applyAlignment="1">
      <alignment horizontal="left"/>
    </xf>
    <xf numFmtId="0" fontId="37" fillId="0" borderId="23" xfId="7" applyFont="1" applyFill="1" applyBorder="1" applyAlignment="1"/>
    <xf numFmtId="0" fontId="13" fillId="0" borderId="21" xfId="10" applyFont="1" applyBorder="1" applyAlignment="1"/>
    <xf numFmtId="0" fontId="13" fillId="4" borderId="25" xfId="10" applyFont="1" applyFill="1" applyBorder="1" applyAlignment="1"/>
    <xf numFmtId="0" fontId="13" fillId="4" borderId="25" xfId="10" applyFont="1" applyFill="1" applyBorder="1" applyAlignment="1">
      <alignment horizontal="center"/>
    </xf>
    <xf numFmtId="0" fontId="13" fillId="4" borderId="26" xfId="10" applyFont="1" applyFill="1" applyBorder="1" applyAlignment="1">
      <alignment horizontal="center"/>
    </xf>
    <xf numFmtId="0" fontId="13" fillId="4" borderId="27" xfId="10" applyFont="1" applyFill="1" applyBorder="1" applyAlignment="1">
      <alignment horizontal="center"/>
    </xf>
    <xf numFmtId="0" fontId="13" fillId="4" borderId="24" xfId="10" applyFont="1" applyFill="1" applyBorder="1" applyAlignment="1">
      <alignment horizontal="center"/>
    </xf>
    <xf numFmtId="0" fontId="13" fillId="0" borderId="19" xfId="7" applyFont="1" applyBorder="1" applyAlignment="1">
      <alignment horizontal="center"/>
    </xf>
    <xf numFmtId="0" fontId="13" fillId="0" borderId="25" xfId="10" applyFont="1" applyBorder="1" applyAlignment="1"/>
    <xf numFmtId="0" fontId="22" fillId="0" borderId="1" xfId="10" applyFont="1" applyBorder="1" applyAlignment="1">
      <alignment horizontal="left"/>
    </xf>
    <xf numFmtId="0" fontId="13" fillId="0" borderId="0" xfId="10" applyFont="1" applyBorder="1" applyAlignment="1"/>
    <xf numFmtId="0" fontId="13" fillId="0" borderId="1" xfId="10" applyFont="1" applyFill="1" applyBorder="1" applyAlignment="1"/>
    <xf numFmtId="0" fontId="13" fillId="4" borderId="24" xfId="7" applyFont="1" applyFill="1" applyBorder="1" applyAlignment="1"/>
    <xf numFmtId="0" fontId="22" fillId="4" borderId="24" xfId="10" applyNumberFormat="1" applyFont="1" applyFill="1" applyBorder="1" applyAlignment="1">
      <alignment horizontal="center"/>
    </xf>
    <xf numFmtId="0" fontId="13" fillId="0" borderId="24" xfId="7" applyFont="1" applyFill="1" applyBorder="1" applyAlignment="1"/>
    <xf numFmtId="0" fontId="13" fillId="0" borderId="23" xfId="10" applyFont="1" applyFill="1" applyBorder="1" applyAlignment="1"/>
    <xf numFmtId="0" fontId="22" fillId="0" borderId="1" xfId="12" applyFont="1" applyBorder="1" applyAlignment="1"/>
    <xf numFmtId="49" fontId="13" fillId="4" borderId="24" xfId="10" applyNumberFormat="1" applyFont="1" applyFill="1" applyBorder="1" applyAlignment="1">
      <alignment horizontal="center"/>
    </xf>
    <xf numFmtId="0" fontId="13" fillId="0" borderId="25" xfId="10" applyFont="1" applyFill="1" applyBorder="1" applyAlignment="1"/>
    <xf numFmtId="0" fontId="33" fillId="3" borderId="0" xfId="6" applyFont="1" applyFill="1" applyBorder="1" applyAlignment="1">
      <alignment horizontal="left"/>
    </xf>
    <xf numFmtId="0" fontId="13" fillId="7" borderId="1" xfId="7" applyFont="1" applyFill="1" applyBorder="1" applyAlignment="1">
      <alignment horizontal="center" vertical="center"/>
    </xf>
    <xf numFmtId="0" fontId="13" fillId="0" borderId="1" xfId="13" applyFont="1" applyFill="1" applyBorder="1" applyAlignment="1">
      <alignment horizontal="center"/>
    </xf>
    <xf numFmtId="0" fontId="22" fillId="0" borderId="0" xfId="4" applyFont="1"/>
    <xf numFmtId="0" fontId="22" fillId="0" borderId="1" xfId="4" applyFont="1" applyBorder="1"/>
    <xf numFmtId="0" fontId="5" fillId="0" borderId="1" xfId="7" applyFont="1" applyFill="1" applyBorder="1" applyAlignment="1"/>
    <xf numFmtId="0" fontId="8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5" fillId="0" borderId="4" xfId="4" applyFont="1" applyBorder="1" applyAlignment="1"/>
    <xf numFmtId="0" fontId="22" fillId="0" borderId="0" xfId="4" applyFont="1" applyBorder="1"/>
    <xf numFmtId="0" fontId="26" fillId="0" borderId="0" xfId="4" applyFont="1" applyBorder="1"/>
    <xf numFmtId="0" fontId="5" fillId="0" borderId="1" xfId="4" applyFont="1" applyBorder="1" applyAlignment="1"/>
    <xf numFmtId="0" fontId="22" fillId="0" borderId="0" xfId="4" applyFont="1" applyFill="1" applyBorder="1"/>
    <xf numFmtId="0" fontId="5" fillId="0" borderId="0" xfId="4" applyFont="1" applyFill="1" applyBorder="1" applyAlignment="1"/>
    <xf numFmtId="0" fontId="5" fillId="0" borderId="0" xfId="4" applyFont="1" applyFill="1" applyBorder="1" applyAlignment="1">
      <alignment horizontal="center"/>
    </xf>
    <xf numFmtId="0" fontId="13" fillId="0" borderId="0" xfId="4" applyFont="1" applyFill="1"/>
    <xf numFmtId="0" fontId="26" fillId="0" borderId="0" xfId="4" applyFont="1" applyFill="1" applyBorder="1"/>
    <xf numFmtId="0" fontId="26" fillId="0" borderId="0" xfId="4" applyFont="1"/>
    <xf numFmtId="0" fontId="8" fillId="9" borderId="1" xfId="7" applyFont="1" applyFill="1" applyBorder="1" applyAlignment="1"/>
    <xf numFmtId="0" fontId="5" fillId="4" borderId="1" xfId="4" applyFont="1" applyFill="1" applyBorder="1" applyAlignment="1"/>
    <xf numFmtId="0" fontId="5" fillId="13" borderId="1" xfId="7" applyFont="1" applyFill="1" applyBorder="1" applyAlignment="1"/>
    <xf numFmtId="0" fontId="13" fillId="0" borderId="1" xfId="4" applyFont="1" applyBorder="1"/>
    <xf numFmtId="0" fontId="13" fillId="4" borderId="1" xfId="4" applyFont="1" applyFill="1" applyBorder="1"/>
    <xf numFmtId="0" fontId="33" fillId="0" borderId="0" xfId="4" applyFont="1"/>
    <xf numFmtId="0" fontId="5" fillId="0" borderId="0" xfId="7" applyFont="1" applyFill="1" applyBorder="1" applyAlignment="1"/>
    <xf numFmtId="0" fontId="5" fillId="0" borderId="0" xfId="4" applyFont="1" applyBorder="1" applyAlignment="1">
      <alignment horizontal="center"/>
    </xf>
    <xf numFmtId="16" fontId="13" fillId="0" borderId="1" xfId="4" applyNumberFormat="1" applyFont="1" applyBorder="1" applyAlignment="1">
      <alignment horizontal="center"/>
    </xf>
    <xf numFmtId="0" fontId="13" fillId="0" borderId="0" xfId="4" applyFont="1" applyBorder="1"/>
    <xf numFmtId="0" fontId="11" fillId="0" borderId="0" xfId="7" applyFont="1" applyAlignment="1"/>
    <xf numFmtId="0" fontId="5" fillId="0" borderId="0" xfId="7" applyFont="1" applyAlignment="1"/>
    <xf numFmtId="0" fontId="8" fillId="0" borderId="0" xfId="7" applyFont="1" applyAlignment="1"/>
    <xf numFmtId="0" fontId="5" fillId="0" borderId="5" xfId="7" applyFont="1" applyBorder="1" applyAlignment="1"/>
    <xf numFmtId="0" fontId="5" fillId="0" borderId="6" xfId="7" applyFont="1" applyBorder="1" applyAlignment="1"/>
    <xf numFmtId="0" fontId="5" fillId="0" borderId="7" xfId="7" applyFont="1" applyBorder="1" applyAlignment="1"/>
    <xf numFmtId="0" fontId="5" fillId="0" borderId="0" xfId="7" applyFont="1" applyAlignment="1">
      <alignment horizontal="left"/>
    </xf>
    <xf numFmtId="0" fontId="5" fillId="0" borderId="11" xfId="7" applyFont="1" applyFill="1" applyBorder="1" applyAlignment="1"/>
    <xf numFmtId="0" fontId="5" fillId="0" borderId="3" xfId="7" applyFont="1" applyBorder="1" applyAlignment="1">
      <alignment horizontal="left"/>
    </xf>
    <xf numFmtId="0" fontId="5" fillId="0" borderId="8" xfId="7" applyFont="1" applyBorder="1" applyAlignment="1"/>
    <xf numFmtId="0" fontId="5" fillId="0" borderId="0" xfId="7" applyFont="1" applyBorder="1" applyAlignment="1"/>
    <xf numFmtId="0" fontId="5" fillId="0" borderId="9" xfId="7" applyFont="1" applyBorder="1" applyAlignment="1"/>
    <xf numFmtId="0" fontId="5" fillId="0" borderId="7" xfId="7" applyFont="1" applyFill="1" applyBorder="1" applyAlignment="1"/>
    <xf numFmtId="0" fontId="5" fillId="0" borderId="0" xfId="7" applyFont="1" applyBorder="1" applyAlignment="1">
      <alignment horizontal="left"/>
    </xf>
    <xf numFmtId="0" fontId="5" fillId="0" borderId="3" xfId="7" applyFont="1" applyBorder="1" applyAlignment="1"/>
    <xf numFmtId="0" fontId="5" fillId="0" borderId="11" xfId="7" applyFont="1" applyBorder="1" applyAlignment="1"/>
    <xf numFmtId="0" fontId="5" fillId="0" borderId="12" xfId="7" applyFont="1" applyBorder="1" applyAlignment="1"/>
    <xf numFmtId="0" fontId="8" fillId="0" borderId="13" xfId="7" applyFont="1" applyBorder="1" applyAlignment="1"/>
    <xf numFmtId="0" fontId="5" fillId="0" borderId="14" xfId="7" applyFont="1" applyBorder="1" applyAlignment="1"/>
    <xf numFmtId="0" fontId="8" fillId="0" borderId="0" xfId="7" applyFont="1" applyBorder="1" applyAlignment="1"/>
    <xf numFmtId="0" fontId="5" fillId="0" borderId="10" xfId="7" applyFont="1" applyBorder="1" applyAlignment="1">
      <alignment horizontal="left"/>
    </xf>
    <xf numFmtId="0" fontId="5" fillId="0" borderId="0" xfId="4" applyFont="1" applyBorder="1" applyAlignment="1"/>
    <xf numFmtId="0" fontId="33" fillId="0" borderId="0" xfId="4" applyNumberFormat="1" applyFont="1" applyBorder="1" applyAlignment="1"/>
    <xf numFmtId="0" fontId="13" fillId="6" borderId="23" xfId="2" applyNumberFormat="1" applyFont="1" applyFill="1" applyBorder="1" applyAlignment="1" applyProtection="1">
      <alignment horizontal="center" vertical="center"/>
    </xf>
    <xf numFmtId="0" fontId="13" fillId="6" borderId="23" xfId="7" applyFont="1" applyFill="1" applyBorder="1" applyAlignment="1">
      <alignment horizontal="center"/>
    </xf>
    <xf numFmtId="0" fontId="22" fillId="6" borderId="23" xfId="2" applyNumberFormat="1" applyFont="1" applyFill="1" applyBorder="1" applyAlignment="1" applyProtection="1">
      <alignment horizontal="center"/>
    </xf>
    <xf numFmtId="0" fontId="16" fillId="6" borderId="1" xfId="2" applyFill="1" applyBorder="1" applyAlignment="1">
      <alignment horizontal="center"/>
    </xf>
    <xf numFmtId="0" fontId="24" fillId="6" borderId="1" xfId="2" applyFont="1" applyFill="1" applyBorder="1" applyAlignment="1">
      <alignment horizontal="center"/>
    </xf>
    <xf numFmtId="0" fontId="13" fillId="0" borderId="23" xfId="14" applyFont="1" applyFill="1" applyBorder="1" applyAlignment="1">
      <alignment horizontal="center"/>
    </xf>
    <xf numFmtId="0" fontId="22" fillId="0" borderId="23" xfId="14" applyFont="1" applyFill="1" applyBorder="1" applyAlignment="1">
      <alignment horizontal="center"/>
    </xf>
    <xf numFmtId="0" fontId="22" fillId="9" borderId="23" xfId="7" applyFont="1" applyFill="1" applyBorder="1" applyAlignment="1"/>
    <xf numFmtId="0" fontId="13" fillId="0" borderId="23" xfId="4" applyFont="1" applyFill="1" applyBorder="1" applyAlignment="1"/>
    <xf numFmtId="0" fontId="13" fillId="4" borderId="23" xfId="7" applyFont="1" applyFill="1" applyBorder="1" applyAlignment="1"/>
    <xf numFmtId="0" fontId="37" fillId="0" borderId="23" xfId="4" applyFont="1" applyFill="1" applyBorder="1" applyAlignment="1"/>
    <xf numFmtId="0" fontId="12" fillId="0" borderId="0" xfId="4" applyFont="1" applyFill="1"/>
    <xf numFmtId="0" fontId="5" fillId="0" borderId="0" xfId="4" applyFont="1" applyFill="1"/>
    <xf numFmtId="0" fontId="26" fillId="0" borderId="0" xfId="4" applyFont="1" applyFill="1"/>
    <xf numFmtId="0" fontId="13" fillId="0" borderId="6" xfId="4" applyFont="1" applyFill="1" applyBorder="1"/>
    <xf numFmtId="0" fontId="13" fillId="0" borderId="7" xfId="4" applyFont="1" applyFill="1" applyBorder="1"/>
    <xf numFmtId="0" fontId="32" fillId="0" borderId="9" xfId="4" applyFont="1" applyFill="1" applyBorder="1"/>
    <xf numFmtId="0" fontId="13" fillId="0" borderId="0" xfId="4" applyFont="1" applyFill="1" applyBorder="1"/>
    <xf numFmtId="0" fontId="13" fillId="0" borderId="8" xfId="4" applyFont="1" applyFill="1" applyBorder="1"/>
    <xf numFmtId="0" fontId="13" fillId="0" borderId="15" xfId="4" applyFont="1" applyFill="1" applyBorder="1"/>
    <xf numFmtId="0" fontId="13" fillId="0" borderId="9" xfId="4" applyFont="1" applyFill="1" applyBorder="1"/>
    <xf numFmtId="0" fontId="22" fillId="0" borderId="0" xfId="4" applyFont="1" applyFill="1"/>
    <xf numFmtId="0" fontId="13" fillId="0" borderId="11" xfId="4" applyFont="1" applyFill="1" applyBorder="1"/>
    <xf numFmtId="0" fontId="32" fillId="0" borderId="8" xfId="4" applyFont="1" applyFill="1" applyBorder="1" applyAlignment="1"/>
    <xf numFmtId="0" fontId="13" fillId="0" borderId="4" xfId="4" applyFont="1" applyFill="1" applyBorder="1"/>
    <xf numFmtId="0" fontId="13" fillId="0" borderId="17" xfId="4" applyFont="1" applyFill="1" applyBorder="1"/>
    <xf numFmtId="0" fontId="5" fillId="0" borderId="14" xfId="4" applyFont="1" applyFill="1" applyBorder="1"/>
    <xf numFmtId="0" fontId="13" fillId="0" borderId="3" xfId="4" applyFont="1" applyFill="1" applyBorder="1"/>
    <xf numFmtId="0" fontId="22" fillId="0" borderId="13" xfId="4" applyFont="1" applyFill="1" applyBorder="1"/>
    <xf numFmtId="0" fontId="13" fillId="0" borderId="13" xfId="4" applyFont="1" applyFill="1" applyBorder="1"/>
    <xf numFmtId="0" fontId="13" fillId="0" borderId="14" xfId="4" applyFont="1" applyFill="1" applyBorder="1"/>
    <xf numFmtId="0" fontId="8" fillId="0" borderId="0" xfId="4" quotePrefix="1" applyFont="1" applyFill="1" applyAlignment="1">
      <alignment horizontal="right"/>
    </xf>
    <xf numFmtId="0" fontId="40" fillId="0" borderId="9" xfId="4" applyFont="1" applyFill="1" applyBorder="1"/>
    <xf numFmtId="0" fontId="13" fillId="0" borderId="16" xfId="4" applyFont="1" applyFill="1" applyBorder="1"/>
    <xf numFmtId="0" fontId="13" fillId="0" borderId="10" xfId="4" applyFont="1" applyFill="1" applyBorder="1"/>
    <xf numFmtId="0" fontId="8" fillId="0" borderId="0" xfId="4" quotePrefix="1" applyFont="1" applyFill="1" applyAlignment="1">
      <alignment horizontal="left"/>
    </xf>
    <xf numFmtId="0" fontId="13" fillId="0" borderId="12" xfId="4" applyFont="1" applyFill="1" applyBorder="1"/>
    <xf numFmtId="0" fontId="11" fillId="0" borderId="0" xfId="4" applyFont="1" applyFill="1"/>
    <xf numFmtId="0" fontId="22" fillId="0" borderId="1" xfId="4" applyFont="1" applyFill="1" applyBorder="1"/>
    <xf numFmtId="0" fontId="22" fillId="9" borderId="1" xfId="4" applyFont="1" applyFill="1" applyBorder="1"/>
    <xf numFmtId="0" fontId="8" fillId="9" borderId="0" xfId="4" applyFont="1" applyFill="1" applyAlignment="1">
      <alignment vertical="center"/>
    </xf>
    <xf numFmtId="0" fontId="5" fillId="4" borderId="0" xfId="4" applyFont="1" applyFill="1" applyAlignment="1">
      <alignment vertical="center"/>
    </xf>
    <xf numFmtId="0" fontId="13" fillId="13" borderId="1" xfId="4" applyFont="1" applyFill="1" applyBorder="1"/>
    <xf numFmtId="0" fontId="5" fillId="13" borderId="0" xfId="4" applyFont="1" applyFill="1" applyAlignment="1">
      <alignment vertical="center"/>
    </xf>
    <xf numFmtId="0" fontId="13" fillId="0" borderId="1" xfId="4" applyFont="1" applyFill="1" applyBorder="1"/>
    <xf numFmtId="0" fontId="5" fillId="0" borderId="0" xfId="4" applyFont="1" applyAlignment="1">
      <alignment vertical="center"/>
    </xf>
    <xf numFmtId="0" fontId="8" fillId="0" borderId="1" xfId="4" applyFont="1" applyBorder="1"/>
    <xf numFmtId="0" fontId="5" fillId="17" borderId="1" xfId="4" applyFont="1" applyFill="1" applyBorder="1" applyAlignment="1">
      <alignment horizontal="center"/>
    </xf>
    <xf numFmtId="49" fontId="5" fillId="0" borderId="1" xfId="4" applyNumberFormat="1" applyFont="1" applyBorder="1" applyAlignment="1">
      <alignment horizontal="center"/>
    </xf>
    <xf numFmtId="0" fontId="8" fillId="0" borderId="0" xfId="4" applyFont="1"/>
    <xf numFmtId="0" fontId="13" fillId="0" borderId="0" xfId="4" quotePrefix="1" applyFont="1" applyAlignment="1">
      <alignment horizontal="right"/>
    </xf>
    <xf numFmtId="0" fontId="8" fillId="0" borderId="1" xfId="4" applyFont="1" applyBorder="1" applyAlignment="1"/>
    <xf numFmtId="0" fontId="5" fillId="0" borderId="1" xfId="4" applyFont="1" applyBorder="1"/>
    <xf numFmtId="0" fontId="8" fillId="0" borderId="1" xfId="12" applyFont="1" applyBorder="1" applyAlignment="1"/>
    <xf numFmtId="0" fontId="8" fillId="0" borderId="1" xfId="12" applyFont="1" applyBorder="1" applyAlignment="1">
      <alignment horizontal="center"/>
    </xf>
    <xf numFmtId="0" fontId="5" fillId="0" borderId="0" xfId="12" applyFont="1" applyAlignment="1"/>
    <xf numFmtId="0" fontId="5" fillId="17" borderId="1" xfId="12" applyFont="1" applyFill="1" applyBorder="1" applyAlignment="1">
      <alignment horizontal="center"/>
    </xf>
    <xf numFmtId="0" fontId="5" fillId="0" borderId="1" xfId="12" applyFont="1" applyBorder="1" applyAlignment="1">
      <alignment horizontal="center"/>
    </xf>
    <xf numFmtId="49" fontId="5" fillId="0" borderId="1" xfId="12" applyNumberFormat="1" applyFont="1" applyBorder="1" applyAlignment="1">
      <alignment horizontal="center"/>
    </xf>
    <xf numFmtId="0" fontId="8" fillId="0" borderId="0" xfId="12" applyFont="1" applyAlignment="1"/>
    <xf numFmtId="0" fontId="5" fillId="0" borderId="1" xfId="12" applyFont="1" applyFill="1" applyBorder="1" applyAlignment="1">
      <alignment horizontal="center"/>
    </xf>
    <xf numFmtId="0" fontId="5" fillId="0" borderId="0" xfId="12" applyFont="1" applyAlignment="1">
      <alignment horizontal="center"/>
    </xf>
    <xf numFmtId="49" fontId="5" fillId="0" borderId="0" xfId="12" applyNumberFormat="1" applyFont="1" applyAlignment="1">
      <alignment horizontal="center"/>
    </xf>
    <xf numFmtId="16" fontId="13" fillId="0" borderId="0" xfId="4" applyNumberFormat="1" applyFont="1" applyBorder="1" applyAlignment="1">
      <alignment horizontal="center"/>
    </xf>
    <xf numFmtId="0" fontId="5" fillId="0" borderId="23" xfId="7" applyFont="1" applyFill="1" applyBorder="1" applyAlignment="1"/>
    <xf numFmtId="0" fontId="8" fillId="0" borderId="23" xfId="7" applyFont="1" applyFill="1" applyBorder="1" applyAlignment="1"/>
    <xf numFmtId="0" fontId="13" fillId="0" borderId="0" xfId="4" quotePrefix="1" applyFont="1"/>
    <xf numFmtId="0" fontId="5" fillId="0" borderId="0" xfId="4" applyFont="1"/>
    <xf numFmtId="0" fontId="5" fillId="0" borderId="0" xfId="4" quotePrefix="1" applyFont="1" applyAlignment="1">
      <alignment horizontal="right"/>
    </xf>
    <xf numFmtId="0" fontId="8" fillId="0" borderId="0" xfId="4" applyFont="1" applyBorder="1"/>
    <xf numFmtId="0" fontId="5" fillId="0" borderId="0" xfId="4" applyFont="1" applyBorder="1"/>
    <xf numFmtId="0" fontId="5" fillId="0" borderId="0" xfId="4" applyFont="1" applyBorder="1" applyAlignment="1">
      <alignment horizontal="right"/>
    </xf>
    <xf numFmtId="49" fontId="5" fillId="0" borderId="0" xfId="4" applyNumberFormat="1" applyFont="1" applyBorder="1" applyAlignment="1">
      <alignment horizontal="center"/>
    </xf>
    <xf numFmtId="0" fontId="8" fillId="0" borderId="0" xfId="4" applyFont="1" applyAlignment="1"/>
    <xf numFmtId="0" fontId="5" fillId="0" borderId="1" xfId="4" applyFont="1" applyFill="1" applyBorder="1" applyAlignment="1">
      <alignment horizontal="center"/>
    </xf>
    <xf numFmtId="0" fontId="13" fillId="0" borderId="1" xfId="7" applyFont="1" applyFill="1" applyBorder="1" applyAlignment="1">
      <alignment textRotation="90"/>
    </xf>
    <xf numFmtId="0" fontId="26" fillId="12" borderId="44" xfId="1" applyFont="1" applyFill="1" applyBorder="1" applyAlignment="1"/>
    <xf numFmtId="0" fontId="25" fillId="6" borderId="1" xfId="1" applyNumberFormat="1" applyFont="1" applyFill="1" applyBorder="1" applyAlignment="1"/>
    <xf numFmtId="0" fontId="25" fillId="8" borderId="1" xfId="1" applyNumberFormat="1" applyFont="1" applyFill="1" applyBorder="1" applyAlignment="1"/>
    <xf numFmtId="0" fontId="41" fillId="0" borderId="54" xfId="2" applyFont="1" applyBorder="1" applyAlignment="1"/>
    <xf numFmtId="0" fontId="34" fillId="0" borderId="47" xfId="4" applyFont="1" applyFill="1" applyBorder="1" applyAlignment="1"/>
    <xf numFmtId="0" fontId="41" fillId="0" borderId="49" xfId="2" applyFont="1" applyBorder="1"/>
    <xf numFmtId="0" fontId="42" fillId="0" borderId="47" xfId="2" applyFont="1" applyFill="1" applyBorder="1" applyAlignment="1"/>
    <xf numFmtId="0" fontId="42" fillId="4" borderId="49" xfId="2" applyFont="1" applyFill="1" applyBorder="1"/>
    <xf numFmtId="49" fontId="13" fillId="0" borderId="0" xfId="4" quotePrefix="1" applyNumberFormat="1" applyFont="1" applyAlignment="1"/>
    <xf numFmtId="0" fontId="13" fillId="0" borderId="0" xfId="4" quotePrefix="1" applyFont="1" applyAlignment="1">
      <alignment horizontal="right"/>
    </xf>
    <xf numFmtId="49" fontId="13" fillId="0" borderId="0" xfId="4" quotePrefix="1" applyNumberFormat="1" applyFont="1" applyAlignment="1">
      <alignment horizontal="right"/>
    </xf>
    <xf numFmtId="0" fontId="5" fillId="0" borderId="13" xfId="7" applyFont="1" applyBorder="1" applyAlignment="1"/>
    <xf numFmtId="0" fontId="13" fillId="6" borderId="23" xfId="2" applyNumberFormat="1" applyFont="1" applyFill="1" applyBorder="1" applyAlignment="1">
      <alignment horizontal="center"/>
    </xf>
    <xf numFmtId="0" fontId="39" fillId="0" borderId="23" xfId="7" applyFont="1" applyFill="1" applyBorder="1" applyAlignment="1">
      <alignment horizontal="center"/>
    </xf>
    <xf numFmtId="0" fontId="39" fillId="9" borderId="23" xfId="7" applyFont="1" applyFill="1" applyBorder="1" applyAlignment="1">
      <alignment horizontal="center"/>
    </xf>
    <xf numFmtId="0" fontId="39" fillId="4" borderId="23" xfId="7" applyFont="1" applyFill="1" applyBorder="1" applyAlignment="1">
      <alignment horizontal="center"/>
    </xf>
    <xf numFmtId="0" fontId="39" fillId="13" borderId="23" xfId="7" applyFont="1" applyFill="1" applyBorder="1" applyAlignment="1">
      <alignment horizontal="center"/>
    </xf>
    <xf numFmtId="0" fontId="39" fillId="6" borderId="23" xfId="2" applyNumberFormat="1" applyFont="1" applyFill="1" applyBorder="1" applyAlignment="1" applyProtection="1">
      <alignment horizontal="center" vertical="center"/>
    </xf>
    <xf numFmtId="0" fontId="25" fillId="0" borderId="0" xfId="4" applyFont="1" applyAlignment="1"/>
    <xf numFmtId="0" fontId="5" fillId="0" borderId="9" xfId="4" applyFont="1" applyFill="1" applyBorder="1" applyAlignment="1">
      <alignment horizontal="left"/>
    </xf>
    <xf numFmtId="0" fontId="13" fillId="0" borderId="1" xfId="7" applyFont="1" applyFill="1" applyBorder="1" applyAlignment="1">
      <alignment horizontal="center" textRotation="90"/>
    </xf>
    <xf numFmtId="0" fontId="13" fillId="6" borderId="1" xfId="4" applyNumberFormat="1" applyFont="1" applyFill="1" applyBorder="1" applyAlignment="1"/>
    <xf numFmtId="0" fontId="40" fillId="0" borderId="1" xfId="7" applyFont="1" applyBorder="1" applyAlignment="1">
      <alignment horizontal="center"/>
    </xf>
    <xf numFmtId="0" fontId="43" fillId="0" borderId="1" xfId="7" applyFont="1" applyBorder="1" applyAlignment="1"/>
    <xf numFmtId="0" fontId="40" fillId="4" borderId="0" xfId="7" applyFont="1" applyFill="1" applyAlignment="1"/>
    <xf numFmtId="0" fontId="39" fillId="0" borderId="1" xfId="7" applyFont="1" applyBorder="1" applyAlignment="1">
      <alignment horizontal="center"/>
    </xf>
    <xf numFmtId="0" fontId="37" fillId="0" borderId="1" xfId="7" applyFont="1" applyBorder="1" applyAlignment="1"/>
    <xf numFmtId="0" fontId="39" fillId="4" borderId="0" xfId="7" applyFont="1" applyFill="1" applyAlignment="1"/>
    <xf numFmtId="0" fontId="32" fillId="0" borderId="1" xfId="7" applyFont="1" applyBorder="1" applyAlignment="1">
      <alignment horizontal="center"/>
    </xf>
    <xf numFmtId="0" fontId="30" fillId="0" borderId="1" xfId="7" applyFont="1" applyBorder="1" applyAlignment="1"/>
    <xf numFmtId="0" fontId="32" fillId="4" borderId="0" xfId="7" applyFont="1" applyFill="1" applyAlignment="1"/>
    <xf numFmtId="0" fontId="13" fillId="0" borderId="25" xfId="10" applyFont="1" applyBorder="1" applyAlignment="1">
      <alignment horizontal="left"/>
    </xf>
    <xf numFmtId="0" fontId="13" fillId="0" borderId="24" xfId="7" applyFont="1" applyFill="1" applyBorder="1" applyAlignment="1">
      <alignment horizontal="center"/>
    </xf>
    <xf numFmtId="0" fontId="13" fillId="0" borderId="29" xfId="10" applyFont="1" applyBorder="1" applyAlignment="1"/>
    <xf numFmtId="0" fontId="22" fillId="0" borderId="30" xfId="7" applyFont="1" applyBorder="1" applyAlignment="1"/>
    <xf numFmtId="0" fontId="13" fillId="0" borderId="31" xfId="7" applyFont="1" applyBorder="1" applyAlignment="1">
      <alignment horizontal="center"/>
    </xf>
    <xf numFmtId="0" fontId="13" fillId="0" borderId="32" xfId="7" applyFont="1" applyBorder="1" applyAlignment="1">
      <alignment horizontal="center"/>
    </xf>
    <xf numFmtId="0" fontId="13" fillId="0" borderId="33" xfId="7" applyFont="1" applyBorder="1" applyAlignment="1">
      <alignment horizontal="center"/>
    </xf>
    <xf numFmtId="0" fontId="13" fillId="0" borderId="18" xfId="10" applyFont="1" applyFill="1" applyBorder="1" applyAlignment="1">
      <alignment horizontal="center"/>
    </xf>
    <xf numFmtId="0" fontId="13" fillId="0" borderId="18" xfId="7" applyFont="1" applyFill="1" applyBorder="1" applyAlignment="1">
      <alignment horizontal="center"/>
    </xf>
    <xf numFmtId="0" fontId="13" fillId="7" borderId="24" xfId="10" applyFont="1" applyFill="1" applyBorder="1" applyAlignment="1">
      <alignment horizontal="center"/>
    </xf>
    <xf numFmtId="0" fontId="22" fillId="0" borderId="31" xfId="7" applyFont="1" applyBorder="1" applyAlignment="1"/>
    <xf numFmtId="0" fontId="13" fillId="0" borderId="34" xfId="10" applyFont="1" applyBorder="1" applyAlignment="1"/>
    <xf numFmtId="0" fontId="22" fillId="0" borderId="29" xfId="10" applyFont="1" applyBorder="1" applyAlignment="1">
      <alignment horizontal="center"/>
    </xf>
    <xf numFmtId="0" fontId="13" fillId="0" borderId="35" xfId="10" applyFont="1" applyBorder="1" applyAlignment="1"/>
    <xf numFmtId="0" fontId="13" fillId="0" borderId="36" xfId="10" applyFont="1" applyBorder="1" applyAlignment="1"/>
    <xf numFmtId="0" fontId="13" fillId="0" borderId="29" xfId="10" applyFont="1" applyFill="1" applyBorder="1" applyAlignment="1"/>
    <xf numFmtId="0" fontId="22" fillId="0" borderId="35" xfId="7" applyFont="1" applyBorder="1" applyAlignment="1">
      <alignment horizontal="center"/>
    </xf>
    <xf numFmtId="0" fontId="22" fillId="0" borderId="37" xfId="7" applyFont="1" applyBorder="1" applyAlignment="1">
      <alignment horizontal="center"/>
    </xf>
    <xf numFmtId="0" fontId="22" fillId="0" borderId="38" xfId="7" applyFont="1" applyBorder="1" applyAlignment="1">
      <alignment horizontal="center"/>
    </xf>
    <xf numFmtId="0" fontId="22" fillId="0" borderId="39" xfId="7" applyFont="1" applyBorder="1" applyAlignment="1">
      <alignment horizontal="center"/>
    </xf>
    <xf numFmtId="0" fontId="22" fillId="0" borderId="35" xfId="7" applyFont="1" applyFill="1" applyBorder="1" applyAlignment="1">
      <alignment horizontal="center"/>
    </xf>
    <xf numFmtId="0" fontId="22" fillId="0" borderId="29" xfId="7" applyFont="1" applyFill="1" applyBorder="1" applyAlignment="1">
      <alignment horizontal="center"/>
    </xf>
    <xf numFmtId="0" fontId="22" fillId="0" borderId="29" xfId="7" applyFont="1" applyBorder="1" applyAlignment="1"/>
    <xf numFmtId="0" fontId="13" fillId="0" borderId="18" xfId="7" applyFont="1" applyBorder="1" applyAlignment="1"/>
    <xf numFmtId="0" fontId="13" fillId="4" borderId="19" xfId="10" applyFont="1" applyFill="1" applyBorder="1" applyAlignment="1"/>
    <xf numFmtId="0" fontId="13" fillId="4" borderId="23" xfId="10" applyFont="1" applyFill="1" applyBorder="1" applyAlignment="1"/>
    <xf numFmtId="0" fontId="13" fillId="4" borderId="21" xfId="7" applyFont="1" applyFill="1" applyBorder="1" applyAlignment="1">
      <alignment horizontal="center"/>
    </xf>
    <xf numFmtId="0" fontId="13" fillId="4" borderId="1" xfId="7" applyFont="1" applyFill="1" applyBorder="1" applyAlignment="1">
      <alignment horizontal="center"/>
    </xf>
    <xf numFmtId="0" fontId="13" fillId="4" borderId="22" xfId="7" applyFont="1" applyFill="1" applyBorder="1" applyAlignment="1">
      <alignment horizontal="center"/>
    </xf>
    <xf numFmtId="0" fontId="22" fillId="4" borderId="19" xfId="7" applyFont="1" applyFill="1" applyBorder="1" applyAlignment="1">
      <alignment horizontal="center"/>
    </xf>
    <xf numFmtId="0" fontId="13" fillId="4" borderId="19" xfId="7" applyFont="1" applyFill="1" applyBorder="1" applyAlignment="1">
      <alignment horizontal="center"/>
    </xf>
    <xf numFmtId="0" fontId="13" fillId="4" borderId="21" xfId="10" applyFont="1" applyFill="1" applyBorder="1" applyAlignment="1">
      <alignment horizontal="left"/>
    </xf>
    <xf numFmtId="0" fontId="13" fillId="4" borderId="21" xfId="7" applyFont="1" applyFill="1" applyBorder="1" applyAlignment="1">
      <alignment horizontal="left"/>
    </xf>
    <xf numFmtId="0" fontId="13" fillId="0" borderId="22" xfId="10" applyFont="1" applyBorder="1" applyAlignment="1"/>
    <xf numFmtId="0" fontId="13" fillId="0" borderId="40" xfId="10" applyFont="1" applyBorder="1" applyAlignment="1"/>
    <xf numFmtId="0" fontId="13" fillId="0" borderId="41" xfId="10" applyFont="1" applyBorder="1" applyAlignment="1"/>
    <xf numFmtId="0" fontId="13" fillId="0" borderId="22" xfId="7" applyFont="1" applyFill="1" applyBorder="1" applyAlignment="1"/>
    <xf numFmtId="0" fontId="13" fillId="0" borderId="22" xfId="10" applyFont="1" applyBorder="1" applyAlignment="1">
      <alignment horizontal="left"/>
    </xf>
    <xf numFmtId="0" fontId="13" fillId="7" borderId="19" xfId="10" applyFont="1" applyFill="1" applyBorder="1" applyAlignment="1"/>
    <xf numFmtId="0" fontId="13" fillId="7" borderId="24" xfId="10" applyFont="1" applyFill="1" applyBorder="1" applyAlignment="1"/>
    <xf numFmtId="0" fontId="13" fillId="18" borderId="24" xfId="10" applyFont="1" applyFill="1" applyBorder="1" applyAlignment="1">
      <alignment horizontal="center"/>
    </xf>
    <xf numFmtId="0" fontId="22" fillId="0" borderId="18" xfId="7" applyFont="1" applyBorder="1" applyAlignment="1"/>
    <xf numFmtId="0" fontId="22" fillId="0" borderId="31" xfId="10" applyFont="1" applyFill="1" applyBorder="1" applyAlignment="1"/>
    <xf numFmtId="0" fontId="13" fillId="0" borderId="31" xfId="10" applyFont="1" applyBorder="1" applyAlignment="1">
      <alignment horizontal="center"/>
    </xf>
    <xf numFmtId="0" fontId="13" fillId="0" borderId="32" xfId="10" applyFont="1" applyBorder="1" applyAlignment="1">
      <alignment horizontal="center"/>
    </xf>
    <xf numFmtId="0" fontId="13" fillId="0" borderId="33" xfId="10" applyFont="1" applyBorder="1" applyAlignment="1">
      <alignment horizontal="center"/>
    </xf>
    <xf numFmtId="0" fontId="13" fillId="0" borderId="22" xfId="10" applyFont="1" applyFill="1" applyBorder="1" applyAlignment="1"/>
    <xf numFmtId="0" fontId="13" fillId="0" borderId="22" xfId="4" applyFont="1" applyBorder="1" applyAlignment="1"/>
    <xf numFmtId="0" fontId="22" fillId="0" borderId="19" xfId="7" applyFont="1" applyFill="1" applyBorder="1" applyAlignment="1"/>
    <xf numFmtId="0" fontId="22" fillId="0" borderId="24" xfId="7" applyFont="1" applyFill="1" applyBorder="1" applyAlignment="1"/>
    <xf numFmtId="0" fontId="15" fillId="4" borderId="23" xfId="1" applyFill="1" applyBorder="1" applyAlignment="1">
      <alignment horizontal="center"/>
    </xf>
    <xf numFmtId="0" fontId="37" fillId="0" borderId="0" xfId="7" applyFont="1" applyFill="1" applyAlignment="1">
      <alignment horizontal="right"/>
    </xf>
    <xf numFmtId="0" fontId="15" fillId="0" borderId="3" xfId="1" applyBorder="1"/>
    <xf numFmtId="0" fontId="43" fillId="0" borderId="1" xfId="7" applyFont="1" applyFill="1" applyBorder="1" applyAlignment="1"/>
    <xf numFmtId="167" fontId="43" fillId="0" borderId="1" xfId="7" applyNumberFormat="1" applyFont="1" applyFill="1" applyBorder="1" applyAlignment="1"/>
    <xf numFmtId="0" fontId="39" fillId="0" borderId="1" xfId="7" applyFont="1" applyFill="1" applyBorder="1" applyAlignment="1">
      <alignment horizontal="center"/>
    </xf>
    <xf numFmtId="0" fontId="40" fillId="0" borderId="1" xfId="7" applyFont="1" applyFill="1" applyBorder="1" applyAlignment="1">
      <alignment horizontal="center"/>
    </xf>
    <xf numFmtId="0" fontId="15" fillId="16" borderId="1" xfId="1" applyFill="1" applyBorder="1" applyAlignment="1">
      <alignment horizontal="center"/>
    </xf>
    <xf numFmtId="0" fontId="45" fillId="0" borderId="47" xfId="2" applyFont="1" applyFill="1" applyBorder="1" applyAlignment="1"/>
    <xf numFmtId="0" fontId="44" fillId="0" borderId="49" xfId="2" applyFont="1" applyBorder="1"/>
    <xf numFmtId="0" fontId="44" fillId="0" borderId="47" xfId="2" applyFont="1" applyFill="1" applyBorder="1" applyAlignment="1"/>
    <xf numFmtId="0" fontId="45" fillId="0" borderId="47" xfId="4" applyFont="1" applyFill="1" applyBorder="1" applyAlignment="1"/>
    <xf numFmtId="0" fontId="44" fillId="0" borderId="53" xfId="2" applyFont="1" applyBorder="1" applyAlignment="1"/>
    <xf numFmtId="0" fontId="44" fillId="0" borderId="47" xfId="2" applyFont="1" applyBorder="1" applyAlignment="1"/>
    <xf numFmtId="0" fontId="44" fillId="0" borderId="49" xfId="2" applyFont="1" applyBorder="1" applyAlignment="1"/>
    <xf numFmtId="0" fontId="13" fillId="0" borderId="0" xfId="4" applyNumberFormat="1" applyFont="1" applyFill="1" applyAlignment="1">
      <alignment horizontal="left"/>
    </xf>
    <xf numFmtId="0" fontId="22" fillId="19" borderId="59" xfId="4" applyFont="1" applyFill="1" applyBorder="1" applyAlignment="1"/>
    <xf numFmtId="0" fontId="14" fillId="11" borderId="59" xfId="4" applyFont="1" applyFill="1" applyBorder="1" applyAlignment="1"/>
    <xf numFmtId="0" fontId="8" fillId="19" borderId="59" xfId="4" applyFont="1" applyFill="1" applyBorder="1" applyAlignment="1"/>
    <xf numFmtId="0" fontId="22" fillId="19" borderId="60" xfId="4" applyFont="1" applyFill="1" applyBorder="1" applyAlignment="1"/>
    <xf numFmtId="0" fontId="0" fillId="7" borderId="0" xfId="4" applyFont="1" applyFill="1" applyAlignment="1"/>
    <xf numFmtId="0" fontId="0" fillId="6" borderId="0" xfId="4" applyFont="1" applyFill="1" applyAlignment="1"/>
    <xf numFmtId="0" fontId="0" fillId="4" borderId="0" xfId="4" applyNumberFormat="1" applyFont="1" applyFill="1" applyAlignment="1"/>
    <xf numFmtId="0" fontId="46" fillId="0" borderId="0" xfId="0" applyFont="1"/>
    <xf numFmtId="0" fontId="0" fillId="9" borderId="0" xfId="0" applyFont="1" applyFill="1"/>
    <xf numFmtId="0" fontId="13" fillId="9" borderId="1" xfId="4" applyNumberFormat="1" applyFont="1" applyFill="1" applyBorder="1" applyAlignment="1"/>
    <xf numFmtId="49" fontId="13" fillId="9" borderId="1" xfId="4" applyNumberFormat="1" applyFont="1" applyFill="1" applyBorder="1" applyAlignment="1"/>
    <xf numFmtId="0" fontId="25" fillId="9" borderId="1" xfId="2" applyFont="1" applyFill="1" applyBorder="1" applyAlignment="1"/>
    <xf numFmtId="165" fontId="13" fillId="9" borderId="1" xfId="4" applyNumberFormat="1" applyFont="1" applyFill="1" applyBorder="1" applyAlignment="1">
      <alignment horizontal="center"/>
    </xf>
    <xf numFmtId="49" fontId="13" fillId="9" borderId="1" xfId="4" applyNumberFormat="1" applyFont="1" applyFill="1" applyBorder="1" applyAlignment="1">
      <alignment horizontal="center"/>
    </xf>
    <xf numFmtId="0" fontId="0" fillId="0" borderId="0" xfId="4" applyNumberFormat="1" applyFont="1" applyAlignment="1"/>
    <xf numFmtId="0" fontId="0" fillId="7" borderId="1" xfId="4" applyNumberFormat="1" applyFont="1" applyFill="1" applyBorder="1" applyAlignment="1"/>
    <xf numFmtId="0" fontId="25" fillId="7" borderId="44" xfId="1" applyFont="1" applyFill="1" applyBorder="1" applyAlignment="1"/>
    <xf numFmtId="0" fontId="0" fillId="7" borderId="47" xfId="4" applyFont="1" applyFill="1" applyBorder="1" applyAlignment="1"/>
    <xf numFmtId="0" fontId="0" fillId="7" borderId="47" xfId="2" applyFont="1" applyFill="1" applyBorder="1" applyAlignment="1"/>
    <xf numFmtId="0" fontId="0" fillId="0" borderId="47" xfId="4" applyFont="1" applyFill="1" applyBorder="1" applyAlignment="1"/>
    <xf numFmtId="0" fontId="0" fillId="0" borderId="1" xfId="7" applyFont="1" applyFill="1" applyBorder="1" applyAlignment="1">
      <alignment textRotation="90"/>
    </xf>
    <xf numFmtId="0" fontId="13" fillId="0" borderId="0" xfId="4" applyFont="1" applyAlignment="1">
      <alignment vertical="top"/>
    </xf>
    <xf numFmtId="0" fontId="22" fillId="0" borderId="0" xfId="4" applyFont="1" applyAlignment="1">
      <alignment vertical="top"/>
    </xf>
    <xf numFmtId="0" fontId="13" fillId="0" borderId="0" xfId="4" applyFont="1" applyBorder="1" applyAlignment="1">
      <alignment vertical="top"/>
    </xf>
    <xf numFmtId="0" fontId="0" fillId="0" borderId="0" xfId="0" applyFont="1" applyFill="1" applyBorder="1" applyAlignment="1"/>
    <xf numFmtId="0" fontId="25" fillId="0" borderId="0" xfId="4" applyFont="1" applyAlignment="1">
      <alignment vertical="top"/>
    </xf>
    <xf numFmtId="0" fontId="13" fillId="0" borderId="0" xfId="4" applyFont="1" applyFill="1" applyAlignment="1">
      <alignment vertical="top"/>
    </xf>
    <xf numFmtId="0" fontId="25" fillId="6" borderId="44" xfId="1" applyFont="1" applyFill="1" applyBorder="1" applyAlignment="1"/>
    <xf numFmtId="0" fontId="0" fillId="6" borderId="47" xfId="2" applyFont="1" applyFill="1" applyBorder="1" applyAlignment="1"/>
    <xf numFmtId="0" fontId="15" fillId="9" borderId="1" xfId="1" applyFill="1" applyBorder="1"/>
    <xf numFmtId="0" fontId="15" fillId="0" borderId="1" xfId="1" applyBorder="1"/>
    <xf numFmtId="0" fontId="15" fillId="6" borderId="1" xfId="1" applyFill="1" applyBorder="1"/>
    <xf numFmtId="0" fontId="25" fillId="12" borderId="44" xfId="1" applyFont="1" applyFill="1" applyBorder="1" applyAlignment="1"/>
    <xf numFmtId="0" fontId="15" fillId="14" borderId="1" xfId="1" applyFill="1" applyBorder="1" applyAlignment="1">
      <alignment horizontal="center"/>
    </xf>
    <xf numFmtId="0" fontId="0" fillId="9" borderId="1" xfId="4" applyNumberFormat="1" applyFont="1" applyFill="1" applyBorder="1" applyAlignment="1"/>
    <xf numFmtId="0" fontId="47" fillId="0" borderId="44" xfId="2" applyFont="1" applyBorder="1"/>
    <xf numFmtId="0" fontId="48" fillId="0" borderId="47" xfId="2" applyFont="1" applyFill="1" applyBorder="1" applyAlignment="1"/>
    <xf numFmtId="0" fontId="47" fillId="0" borderId="49" xfId="2" applyFont="1" applyBorder="1"/>
    <xf numFmtId="0" fontId="47" fillId="0" borderId="54" xfId="2" applyFont="1" applyBorder="1" applyAlignment="1"/>
    <xf numFmtId="0" fontId="47" fillId="0" borderId="49" xfId="2" applyFont="1" applyBorder="1" applyAlignment="1"/>
    <xf numFmtId="0" fontId="48" fillId="0" borderId="49" xfId="4" applyFont="1" applyFill="1" applyBorder="1" applyAlignment="1"/>
    <xf numFmtId="0" fontId="47" fillId="0" borderId="44" xfId="2" applyFont="1" applyBorder="1" applyAlignment="1"/>
    <xf numFmtId="0" fontId="48" fillId="0" borderId="54" xfId="4" applyFont="1" applyFill="1" applyBorder="1" applyAlignment="1"/>
    <xf numFmtId="0" fontId="48" fillId="0" borderId="44" xfId="4" applyFont="1" applyFill="1" applyBorder="1" applyAlignment="1"/>
    <xf numFmtId="0" fontId="48" fillId="0" borderId="47" xfId="4" applyFont="1" applyBorder="1" applyAlignment="1"/>
    <xf numFmtId="0" fontId="48" fillId="0" borderId="49" xfId="4" applyFont="1" applyBorder="1" applyAlignment="1"/>
    <xf numFmtId="0" fontId="48" fillId="0" borderId="47" xfId="4" applyFont="1" applyFill="1" applyBorder="1" applyAlignment="1"/>
    <xf numFmtId="0" fontId="49" fillId="0" borderId="1" xfId="14" applyFont="1" applyFill="1" applyBorder="1" applyAlignment="1">
      <alignment horizontal="center"/>
    </xf>
    <xf numFmtId="0" fontId="49" fillId="0" borderId="1" xfId="7" applyFont="1" applyFill="1" applyBorder="1" applyAlignment="1">
      <alignment horizontal="center"/>
    </xf>
    <xf numFmtId="0" fontId="35" fillId="12" borderId="1" xfId="7" applyFont="1" applyFill="1" applyBorder="1" applyAlignment="1">
      <alignment horizontal="center"/>
    </xf>
    <xf numFmtId="0" fontId="35" fillId="16" borderId="1" xfId="14" applyFont="1" applyFill="1" applyBorder="1" applyAlignment="1">
      <alignment horizontal="center"/>
    </xf>
    <xf numFmtId="0" fontId="35" fillId="16" borderId="1" xfId="7" applyFont="1" applyFill="1" applyBorder="1" applyAlignment="1">
      <alignment horizontal="center"/>
    </xf>
    <xf numFmtId="0" fontId="35" fillId="4" borderId="23" xfId="14" applyFont="1" applyFill="1" applyBorder="1" applyAlignment="1">
      <alignment horizontal="center"/>
    </xf>
    <xf numFmtId="168" fontId="35" fillId="7" borderId="1" xfId="7" applyNumberFormat="1" applyFont="1" applyFill="1" applyBorder="1" applyAlignment="1">
      <alignment horizontal="center"/>
    </xf>
    <xf numFmtId="0" fontId="35" fillId="7" borderId="1" xfId="7" applyFont="1" applyFill="1" applyBorder="1" applyAlignment="1">
      <alignment horizontal="center"/>
    </xf>
    <xf numFmtId="0" fontId="35" fillId="6" borderId="23" xfId="14" applyFont="1" applyFill="1" applyBorder="1" applyAlignment="1">
      <alignment horizontal="center"/>
    </xf>
    <xf numFmtId="0" fontId="22" fillId="6" borderId="23" xfId="7" applyFont="1" applyFill="1" applyBorder="1" applyAlignment="1">
      <alignment horizontal="center"/>
    </xf>
    <xf numFmtId="0" fontId="22" fillId="6" borderId="23" xfId="14" applyFont="1" applyFill="1" applyBorder="1" applyAlignment="1">
      <alignment horizontal="center"/>
    </xf>
    <xf numFmtId="0" fontId="49" fillId="0" borderId="23" xfId="14" applyFont="1" applyFill="1" applyBorder="1" applyAlignment="1">
      <alignment horizontal="center"/>
    </xf>
    <xf numFmtId="0" fontId="49" fillId="0" borderId="23" xfId="7" applyFont="1" applyFill="1" applyBorder="1" applyAlignment="1">
      <alignment horizontal="center"/>
    </xf>
    <xf numFmtId="0" fontId="25" fillId="0" borderId="44" xfId="1" applyFont="1" applyBorder="1"/>
    <xf numFmtId="0" fontId="13" fillId="9" borderId="1" xfId="7" applyFont="1" applyFill="1" applyBorder="1" applyAlignment="1"/>
    <xf numFmtId="0" fontId="13" fillId="18" borderId="1" xfId="7" applyFont="1" applyFill="1" applyBorder="1" applyAlignment="1"/>
    <xf numFmtId="0" fontId="13" fillId="9" borderId="1" xfId="4" applyFont="1" applyFill="1" applyBorder="1" applyAlignment="1"/>
    <xf numFmtId="0" fontId="13" fillId="9" borderId="23" xfId="10" applyFont="1" applyFill="1" applyBorder="1" applyAlignment="1">
      <alignment horizontal="left"/>
    </xf>
    <xf numFmtId="0" fontId="22" fillId="4" borderId="22" xfId="8" applyFont="1" applyFill="1" applyBorder="1" applyAlignment="1"/>
    <xf numFmtId="0" fontId="13" fillId="4" borderId="40" xfId="8" applyFont="1" applyFill="1" applyBorder="1" applyAlignment="1"/>
    <xf numFmtId="0" fontId="22" fillId="4" borderId="40" xfId="8" applyFont="1" applyFill="1" applyBorder="1" applyAlignment="1">
      <alignment horizontal="center"/>
    </xf>
    <xf numFmtId="0" fontId="22" fillId="4" borderId="1" xfId="7" applyFont="1" applyFill="1" applyBorder="1" applyAlignment="1">
      <alignment horizontal="center"/>
    </xf>
    <xf numFmtId="0" fontId="22" fillId="4" borderId="22" xfId="7" applyFont="1" applyFill="1" applyBorder="1" applyAlignment="1"/>
    <xf numFmtId="0" fontId="22" fillId="4" borderId="41" xfId="7" applyFont="1" applyFill="1" applyBorder="1" applyAlignment="1"/>
    <xf numFmtId="0" fontId="22" fillId="4" borderId="1" xfId="7" applyFont="1" applyFill="1" applyBorder="1" applyAlignment="1"/>
    <xf numFmtId="164" fontId="22" fillId="4" borderId="1" xfId="7" applyNumberFormat="1" applyFont="1" applyFill="1" applyBorder="1" applyAlignment="1">
      <alignment horizontal="center"/>
    </xf>
    <xf numFmtId="0" fontId="22" fillId="4" borderId="40" xfId="7" applyFont="1" applyFill="1" applyBorder="1" applyAlignment="1"/>
    <xf numFmtId="0" fontId="22" fillId="4" borderId="40" xfId="7" applyFont="1" applyFill="1" applyBorder="1" applyAlignment="1">
      <alignment horizontal="center"/>
    </xf>
    <xf numFmtId="0" fontId="22" fillId="4" borderId="23" xfId="7" applyFont="1" applyFill="1" applyBorder="1" applyAlignment="1">
      <alignment horizontal="center"/>
    </xf>
    <xf numFmtId="0" fontId="22" fillId="4" borderId="23" xfId="7" applyFont="1" applyFill="1" applyBorder="1" applyAlignment="1">
      <alignment horizontal="right"/>
    </xf>
    <xf numFmtId="0" fontId="22" fillId="4" borderId="23" xfId="7" applyFont="1" applyFill="1" applyBorder="1" applyAlignment="1"/>
    <xf numFmtId="164" fontId="22" fillId="4" borderId="23" xfId="7" applyNumberFormat="1" applyFont="1" applyFill="1" applyBorder="1" applyAlignment="1">
      <alignment horizontal="center"/>
    </xf>
    <xf numFmtId="0" fontId="13" fillId="4" borderId="62" xfId="7" applyFont="1" applyFill="1" applyBorder="1" applyAlignment="1">
      <alignment horizontal="center"/>
    </xf>
    <xf numFmtId="0" fontId="22" fillId="4" borderId="61" xfId="7" applyFont="1" applyFill="1" applyBorder="1" applyAlignment="1"/>
    <xf numFmtId="0" fontId="15" fillId="7" borderId="1" xfId="2" applyFont="1" applyFill="1" applyBorder="1" applyAlignment="1">
      <alignment horizontal="center"/>
    </xf>
    <xf numFmtId="0" fontId="22" fillId="20" borderId="40" xfId="7" applyFont="1" applyFill="1" applyBorder="1" applyAlignment="1"/>
    <xf numFmtId="0" fontId="22" fillId="20" borderId="40" xfId="7" applyFont="1" applyFill="1" applyBorder="1" applyAlignment="1">
      <alignment horizontal="center"/>
    </xf>
    <xf numFmtId="0" fontId="13" fillId="20" borderId="41" xfId="7" applyFont="1" applyFill="1" applyBorder="1" applyAlignment="1">
      <alignment horizontal="center"/>
    </xf>
    <xf numFmtId="0" fontId="47" fillId="0" borderId="49" xfId="1" applyFont="1" applyBorder="1"/>
    <xf numFmtId="0" fontId="44" fillId="0" borderId="44" xfId="1" applyFont="1" applyBorder="1"/>
    <xf numFmtId="0" fontId="44" fillId="0" borderId="44" xfId="1" applyFont="1" applyBorder="1" applyAlignment="1"/>
    <xf numFmtId="0" fontId="0" fillId="0" borderId="44" xfId="4" applyFont="1" applyFill="1" applyBorder="1" applyAlignment="1"/>
    <xf numFmtId="0" fontId="25" fillId="0" borderId="44" xfId="1" applyFont="1" applyBorder="1" applyAlignment="1"/>
    <xf numFmtId="0" fontId="13" fillId="0" borderId="3" xfId="7" applyFont="1" applyFill="1" applyBorder="1" applyAlignment="1">
      <alignment textRotation="90"/>
    </xf>
    <xf numFmtId="0" fontId="13" fillId="0" borderId="0" xfId="7" applyFont="1" applyFill="1" applyAlignment="1">
      <alignment horizontal="center" textRotation="90"/>
    </xf>
    <xf numFmtId="0" fontId="13" fillId="0" borderId="0" xfId="7" applyFont="1" applyFill="1" applyAlignment="1">
      <alignment textRotation="90"/>
    </xf>
    <xf numFmtId="0" fontId="13" fillId="0" borderId="0" xfId="7" applyFont="1" applyFill="1" applyBorder="1" applyAlignment="1">
      <alignment textRotation="90"/>
    </xf>
    <xf numFmtId="0" fontId="47" fillId="0" borderId="54" xfId="1" applyFont="1" applyBorder="1" applyAlignment="1"/>
    <xf numFmtId="0" fontId="47" fillId="0" borderId="44" xfId="1" applyFont="1" applyFill="1" applyBorder="1" applyAlignment="1"/>
  </cellXfs>
  <cellStyles count="19">
    <cellStyle name="Hyperlink" xfId="1" builtinId="8"/>
    <cellStyle name="Hyperlink 2" xfId="2"/>
    <cellStyle name="Hyperlink 3" xfId="3"/>
    <cellStyle name="Normal" xfId="0" builtinId="0"/>
    <cellStyle name="Normal 2" xfId="4"/>
    <cellStyle name="Normal 2 2" xfId="5"/>
    <cellStyle name="Normal 2 2 2" xfId="6"/>
    <cellStyle name="Normal 2 2 2 2" xfId="7"/>
    <cellStyle name="Normal 2 3" xfId="8"/>
    <cellStyle name="Normal 3" xfId="9"/>
    <cellStyle name="Normal 3 2" xfId="10"/>
    <cellStyle name="Normal 4" xfId="11"/>
    <cellStyle name="Normal 5" xfId="12"/>
    <cellStyle name="Normal 6" xfId="13"/>
    <cellStyle name="Normal 6 2" xfId="14"/>
    <cellStyle name="Normal 7" xfId="15"/>
    <cellStyle name="Normal 8" xfId="16"/>
    <cellStyle name="Normal 9" xfId="17"/>
    <cellStyle name="WinCalendar_BlankCells_35" xfId="18"/>
  </cellStyles>
  <dxfs count="22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39994506668294322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9900"/>
      <color rgb="FFCCFFCC"/>
      <color rgb="FFFFCCCC"/>
      <color rgb="FFFFFFCC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114300</xdr:colOff>
      <xdr:row>2</xdr:row>
      <xdr:rowOff>152400</xdr:rowOff>
    </xdr:to>
    <xdr:pic>
      <xdr:nvPicPr>
        <xdr:cNvPr id="513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61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123825</xdr:colOff>
      <xdr:row>2</xdr:row>
      <xdr:rowOff>152400</xdr:rowOff>
    </xdr:to>
    <xdr:pic>
      <xdr:nvPicPr>
        <xdr:cNvPr id="717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50095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50112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113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50096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50108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109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110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111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50097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50105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106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107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50098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50103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104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50099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50100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101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102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51094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51111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112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51095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51107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108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109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110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51096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51104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105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106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51097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51102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103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51098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51099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100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101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52116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52133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34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52117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52129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30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31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32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52118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52126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27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28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52119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52124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25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52120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52121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22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23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53177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53194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195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53178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53190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191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192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193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53179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53187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188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189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53180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53185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186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53181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53182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183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184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54202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54219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220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54203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54215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216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217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218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54204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54212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213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214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54205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54210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211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54206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54207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208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209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55226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55243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244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55227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55239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240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241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242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55228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55236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237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238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55229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55234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235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55230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55231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232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233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56258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56275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276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56259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56271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272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273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274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56260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56268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269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270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56261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56266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267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56262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56263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264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265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104775</xdr:colOff>
      <xdr:row>2</xdr:row>
      <xdr:rowOff>152400</xdr:rowOff>
    </xdr:to>
    <xdr:pic>
      <xdr:nvPicPr>
        <xdr:cNvPr id="1639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524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0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6"/>
  <sheetViews>
    <sheetView showGridLines="0" showRowColHeaders="0" workbookViewId="0">
      <pane ySplit="3" topLeftCell="A4" activePane="bottomLeft" state="frozen"/>
      <selection activeCell="E5" sqref="E5"/>
      <selection pane="bottomLeft" activeCell="I1" sqref="I1"/>
    </sheetView>
  </sheetViews>
  <sheetFormatPr defaultRowHeight="12.75" x14ac:dyDescent="0.2"/>
  <cols>
    <col min="1" max="1" width="12.5703125" style="2" customWidth="1"/>
    <col min="2" max="2" width="5.5703125" style="2" bestFit="1" customWidth="1"/>
    <col min="3" max="3" width="24" style="2" customWidth="1"/>
    <col min="4" max="4" width="5.7109375" style="2" customWidth="1"/>
    <col min="5" max="5" width="5.42578125" style="2" customWidth="1"/>
    <col min="6" max="6" width="15.28515625" style="2" customWidth="1"/>
    <col min="7" max="7" width="14.5703125" style="2" customWidth="1"/>
    <col min="8" max="8" width="3.5703125" style="2" customWidth="1"/>
    <col min="9" max="9" width="5" style="2" bestFit="1" customWidth="1"/>
    <col min="10" max="10" width="3.7109375" style="2" bestFit="1" customWidth="1"/>
    <col min="11" max="16384" width="9.140625" style="2"/>
  </cols>
  <sheetData>
    <row r="1" spans="1:10" x14ac:dyDescent="0.2">
      <c r="A1" s="1" t="s">
        <v>0</v>
      </c>
      <c r="H1" s="3" t="s">
        <v>1</v>
      </c>
    </row>
    <row r="3" spans="1:10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622</v>
      </c>
      <c r="I3" s="4" t="s">
        <v>9</v>
      </c>
    </row>
    <row r="4" spans="1:10" x14ac:dyDescent="0.2">
      <c r="A4" s="5" t="s">
        <v>10</v>
      </c>
      <c r="B4" s="6"/>
      <c r="H4" s="7"/>
    </row>
    <row r="5" spans="1:10" x14ac:dyDescent="0.2">
      <c r="A5" s="8" t="s">
        <v>11</v>
      </c>
      <c r="B5" s="9" t="s">
        <v>12</v>
      </c>
      <c r="C5" s="10" t="s">
        <v>13</v>
      </c>
      <c r="D5" s="10" t="s">
        <v>14</v>
      </c>
      <c r="E5" s="11" t="str">
        <f>HYPERLINK("#A!M1","A")</f>
        <v>A</v>
      </c>
      <c r="F5" s="12" t="str">
        <f>HYPERLINK("http://kaart.delfi.ee/?bookmark=521b80d6ceeefbe3e5d227267242b576","K-Järve spordihoone")</f>
        <v>K-Järve spordihoone</v>
      </c>
      <c r="G5" s="10" t="s">
        <v>15</v>
      </c>
      <c r="H5" s="13">
        <v>1</v>
      </c>
      <c r="I5" s="14">
        <v>18</v>
      </c>
    </row>
    <row r="6" spans="1:10" s="20" customFormat="1" x14ac:dyDescent="0.2">
      <c r="A6" s="15" t="s">
        <v>16</v>
      </c>
      <c r="B6" s="16" t="s">
        <v>17</v>
      </c>
      <c r="C6" s="636" t="s">
        <v>568</v>
      </c>
      <c r="D6" s="15" t="s">
        <v>18</v>
      </c>
      <c r="E6" s="17" t="str">
        <f>HYPERLINK("#V1!K1","V1")</f>
        <v>V1</v>
      </c>
      <c r="F6" s="616" t="str">
        <f>HYPERLINK("http://kaart.delfi.ee/?bookmark=63ebb20d0f5732aa12acf360e2b986df","Voka staadion")</f>
        <v>Voka staadion</v>
      </c>
      <c r="G6" s="15" t="s">
        <v>19</v>
      </c>
      <c r="H6" s="18">
        <v>1</v>
      </c>
      <c r="I6" s="19">
        <v>10</v>
      </c>
    </row>
    <row r="7" spans="1:10" x14ac:dyDescent="0.2">
      <c r="A7" s="21" t="s">
        <v>20</v>
      </c>
      <c r="B7" s="22" t="s">
        <v>17</v>
      </c>
      <c r="C7" s="10" t="s">
        <v>21</v>
      </c>
      <c r="D7" s="10" t="s">
        <v>22</v>
      </c>
      <c r="E7" s="11" t="str">
        <f>HYPERLINK("#T1!W1","T1")</f>
        <v>T1</v>
      </c>
      <c r="F7" s="12" t="str">
        <f>HYPERLINK("http://kaart.delfi.ee/?bookmark=521b80d6ceeefbe3e5d227267242b576","K-Järve spordihoone")</f>
        <v>K-Järve spordihoone</v>
      </c>
      <c r="G7" s="10" t="s">
        <v>15</v>
      </c>
      <c r="H7" s="13">
        <v>1</v>
      </c>
      <c r="I7" s="14">
        <v>13</v>
      </c>
    </row>
    <row r="8" spans="1:10" x14ac:dyDescent="0.2">
      <c r="A8" s="23" t="s">
        <v>23</v>
      </c>
      <c r="B8" s="24" t="s">
        <v>17</v>
      </c>
      <c r="C8" s="25" t="s">
        <v>559</v>
      </c>
      <c r="D8" s="25" t="s">
        <v>24</v>
      </c>
      <c r="E8" s="26" t="str">
        <f>HYPERLINK("#1!I1","1")</f>
        <v>1</v>
      </c>
      <c r="F8" s="27" t="str">
        <f>HYPERLINK("http://kaart.delfi.ee/?bookmark=521b80d6ceeefbe3e5d227267242b576","K-Järve spordihoone")</f>
        <v>K-Järve spordihoone</v>
      </c>
      <c r="G8" s="25" t="s">
        <v>15</v>
      </c>
      <c r="H8" s="28">
        <v>2</v>
      </c>
      <c r="I8" s="14">
        <v>32</v>
      </c>
      <c r="J8" s="698" t="str">
        <f>HYPERLINK("http://pildid.sportiv.ee/thumbnails.php?album=3102","Fot")</f>
        <v>Fot</v>
      </c>
    </row>
    <row r="9" spans="1:10" x14ac:dyDescent="0.2">
      <c r="A9" s="29" t="s">
        <v>25</v>
      </c>
      <c r="B9" s="30" t="s">
        <v>17</v>
      </c>
      <c r="C9" s="727" t="s">
        <v>595</v>
      </c>
      <c r="D9" s="29" t="s">
        <v>18</v>
      </c>
      <c r="E9" s="31" t="str">
        <f>HYPERLINK("#M1!J1","M1")</f>
        <v>M1</v>
      </c>
      <c r="F9" s="32" t="str">
        <f>HYPERLINK("http://kaart.delfi.ee/?bookmark=96e8ef31375c7e6041cd302dca543f69","Mäetaguse staadion")</f>
        <v>Mäetaguse staadion</v>
      </c>
      <c r="G9" s="29" t="s">
        <v>26</v>
      </c>
      <c r="H9" s="33">
        <v>2</v>
      </c>
      <c r="I9" s="34">
        <v>18</v>
      </c>
    </row>
    <row r="10" spans="1:10" x14ac:dyDescent="0.2">
      <c r="A10" s="15" t="s">
        <v>27</v>
      </c>
      <c r="B10" s="16" t="s">
        <v>17</v>
      </c>
      <c r="C10" s="15" t="s">
        <v>569</v>
      </c>
      <c r="D10" s="15" t="s">
        <v>24</v>
      </c>
      <c r="E10" s="17" t="str">
        <f>HYPERLINK("#V2!H1","V2")</f>
        <v>V2</v>
      </c>
      <c r="F10" s="616" t="str">
        <f>HYPERLINK("http://kaart.delfi.ee/?bookmark=63ebb20d0f5732aa12acf360e2b986df","Voka staadion")</f>
        <v>Voka staadion</v>
      </c>
      <c r="G10" s="15" t="s">
        <v>19</v>
      </c>
      <c r="H10" s="18">
        <v>1</v>
      </c>
      <c r="I10" s="19">
        <v>12</v>
      </c>
    </row>
    <row r="11" spans="1:10" x14ac:dyDescent="0.2">
      <c r="A11" s="25" t="s">
        <v>28</v>
      </c>
      <c r="B11" s="24" t="s">
        <v>29</v>
      </c>
      <c r="C11" s="25" t="s">
        <v>561</v>
      </c>
      <c r="D11" s="25" t="s">
        <v>18</v>
      </c>
      <c r="E11" s="35" t="str">
        <f>HYPERLINK("#2!J1","2")</f>
        <v>2</v>
      </c>
      <c r="F11" s="27" t="str">
        <f>HYPERLINK("http://kaart.delfi.ee/?bookmark=521b80d6ceeefbe3e5d227267242b576","K-Järve spordihoone")</f>
        <v>K-Järve spordihoone</v>
      </c>
      <c r="G11" s="25" t="s">
        <v>15</v>
      </c>
      <c r="H11" s="28">
        <v>2</v>
      </c>
      <c r="I11" s="14">
        <v>32</v>
      </c>
      <c r="J11" s="698" t="str">
        <f>HYPERLINK("http://pildid.sportiv.ee/thumbnails.php?album=3108","Fot")</f>
        <v>Fot</v>
      </c>
    </row>
    <row r="12" spans="1:10" x14ac:dyDescent="0.2">
      <c r="A12" s="25" t="s">
        <v>30</v>
      </c>
      <c r="B12" s="24" t="s">
        <v>17</v>
      </c>
      <c r="C12" s="25" t="s">
        <v>560</v>
      </c>
      <c r="D12" s="25" t="s">
        <v>14</v>
      </c>
      <c r="E12" s="36" t="str">
        <f>HYPERLINK("#3!K1","3")</f>
        <v>3</v>
      </c>
      <c r="F12" s="27" t="str">
        <f>HYPERLINK("http://kaart.delfi.ee/?bookmark=521b80d6ceeefbe3e5d227267242b576","K-Järve spordihoone")</f>
        <v>K-Järve spordihoone</v>
      </c>
      <c r="G12" s="25" t="s">
        <v>15</v>
      </c>
      <c r="H12" s="28">
        <v>2</v>
      </c>
      <c r="I12" s="14">
        <v>24</v>
      </c>
      <c r="J12" s="698" t="str">
        <f>HYPERLINK("http://pildid.sportiv.ee/thumbnails.php?album=3113","Fot")</f>
        <v>Fot</v>
      </c>
    </row>
    <row r="13" spans="1:10" x14ac:dyDescent="0.2">
      <c r="A13" s="5" t="s">
        <v>31</v>
      </c>
      <c r="B13" s="6"/>
      <c r="E13" s="37"/>
      <c r="H13" s="7"/>
      <c r="I13" s="7"/>
    </row>
    <row r="14" spans="1:10" x14ac:dyDescent="0.2">
      <c r="A14" s="15" t="s">
        <v>32</v>
      </c>
      <c r="B14" s="16" t="s">
        <v>17</v>
      </c>
      <c r="C14" s="15" t="s">
        <v>570</v>
      </c>
      <c r="D14" s="15" t="s">
        <v>18</v>
      </c>
      <c r="E14" s="17" t="str">
        <f>HYPERLINK("#V3!K1","V3")</f>
        <v>V3</v>
      </c>
      <c r="F14" s="616" t="str">
        <f>HYPERLINK("http://kaart.delfi.ee/?bookmark=63ebb20d0f5732aa12acf360e2b986df","Voka staadion")</f>
        <v>Voka staadion</v>
      </c>
      <c r="G14" s="15" t="s">
        <v>19</v>
      </c>
      <c r="H14" s="18">
        <v>1</v>
      </c>
      <c r="I14" s="19">
        <v>12</v>
      </c>
    </row>
    <row r="15" spans="1:10" x14ac:dyDescent="0.2">
      <c r="A15" s="21" t="s">
        <v>33</v>
      </c>
      <c r="B15" s="22" t="s">
        <v>17</v>
      </c>
      <c r="C15" s="10" t="s">
        <v>34</v>
      </c>
      <c r="D15" s="10" t="s">
        <v>22</v>
      </c>
      <c r="E15" s="11" t="str">
        <f>HYPERLINK("#T2!W1","T2")</f>
        <v>T2</v>
      </c>
      <c r="F15" s="12" t="str">
        <f>HYPERLINK("http://kaart.delfi.ee/?bookmark=521b80d6ceeefbe3e5d227267242b576","K-Järve spordihoone")</f>
        <v>K-Järve spordihoone</v>
      </c>
      <c r="G15" s="10" t="s">
        <v>15</v>
      </c>
      <c r="H15" s="13">
        <v>1</v>
      </c>
      <c r="I15" s="14">
        <v>14</v>
      </c>
    </row>
    <row r="16" spans="1:10" s="20" customFormat="1" x14ac:dyDescent="0.2">
      <c r="A16" s="38" t="s">
        <v>35</v>
      </c>
      <c r="B16" s="39" t="s">
        <v>17</v>
      </c>
      <c r="C16" s="38" t="s">
        <v>36</v>
      </c>
      <c r="D16" s="38" t="s">
        <v>24</v>
      </c>
      <c r="E16" s="36" t="str">
        <f>HYPERLINK("#4!I1","4")</f>
        <v>4</v>
      </c>
      <c r="F16" s="27" t="str">
        <f>HYPERLINK("http://kaart.delfi.ee/?bookmark=1582e2f00484b7a114c2e65060c8ad45","K-Nõmme, Kaevanduspark")</f>
        <v>K-Nõmme, Kaevanduspark</v>
      </c>
      <c r="G16" s="25" t="s">
        <v>15</v>
      </c>
      <c r="H16" s="40">
        <v>2</v>
      </c>
      <c r="I16" s="41">
        <v>24</v>
      </c>
    </row>
    <row r="17" spans="1:10" x14ac:dyDescent="0.2">
      <c r="A17" s="29" t="s">
        <v>37</v>
      </c>
      <c r="B17" s="30" t="s">
        <v>17</v>
      </c>
      <c r="C17" s="727" t="s">
        <v>596</v>
      </c>
      <c r="D17" s="29" t="s">
        <v>24</v>
      </c>
      <c r="E17" s="31" t="str">
        <f>HYPERLINK("#M2!J1","M2")</f>
        <v>M2</v>
      </c>
      <c r="F17" s="32" t="str">
        <f>HYPERLINK("http://kaart.delfi.ee/?bookmark=96e8ef31375c7e6041cd302dca543f69","Mäetaguse staadion")</f>
        <v>Mäetaguse staadion</v>
      </c>
      <c r="G17" s="29" t="s">
        <v>26</v>
      </c>
      <c r="H17" s="33">
        <v>2</v>
      </c>
      <c r="I17" s="34">
        <v>12</v>
      </c>
    </row>
    <row r="18" spans="1:10" x14ac:dyDescent="0.2">
      <c r="A18" s="15" t="s">
        <v>38</v>
      </c>
      <c r="B18" s="16" t="s">
        <v>17</v>
      </c>
      <c r="C18" s="15" t="s">
        <v>571</v>
      </c>
      <c r="D18" s="15" t="s">
        <v>24</v>
      </c>
      <c r="E18" s="17" t="str">
        <f>HYPERLINK("#V4!J1","V4")</f>
        <v>V4</v>
      </c>
      <c r="F18" s="616" t="str">
        <f>HYPERLINK("http://kaart.delfi.ee/?bookmark=63ebb20d0f5732aa12acf360e2b986df","Voka staadion")</f>
        <v>Voka staadion</v>
      </c>
      <c r="G18" s="15" t="s">
        <v>19</v>
      </c>
      <c r="H18" s="18">
        <v>1</v>
      </c>
      <c r="I18" s="19">
        <v>9</v>
      </c>
    </row>
    <row r="19" spans="1:10" s="20" customFormat="1" x14ac:dyDescent="0.2">
      <c r="A19" s="42" t="s">
        <v>39</v>
      </c>
      <c r="B19" s="43" t="s">
        <v>40</v>
      </c>
      <c r="C19" s="42" t="s">
        <v>41</v>
      </c>
      <c r="D19" s="42" t="s">
        <v>14</v>
      </c>
      <c r="E19" s="44" t="str">
        <f>HYPERLINK("#Mu!J1","Mu")</f>
        <v>Mu</v>
      </c>
      <c r="F19" s="617" t="str">
        <f>HYPERLINK("http://kaart.delfi.ee/?bookmark=63ebb20d0f5732aa12acf360e2b986df","Voka staadion")</f>
        <v>Voka staadion</v>
      </c>
      <c r="G19" s="42" t="s">
        <v>42</v>
      </c>
      <c r="H19" s="45">
        <v>2</v>
      </c>
      <c r="I19" s="46">
        <v>18</v>
      </c>
    </row>
    <row r="20" spans="1:10" x14ac:dyDescent="0.2">
      <c r="A20" s="5" t="s">
        <v>43</v>
      </c>
      <c r="B20" s="6"/>
      <c r="C20" s="47"/>
      <c r="D20" s="47"/>
      <c r="E20" s="48"/>
      <c r="F20" s="47"/>
      <c r="G20" s="47"/>
      <c r="H20" s="49"/>
      <c r="I20" s="7"/>
    </row>
    <row r="21" spans="1:10" s="20" customFormat="1" x14ac:dyDescent="0.2">
      <c r="A21" s="15" t="s">
        <v>44</v>
      </c>
      <c r="B21" s="16" t="s">
        <v>17</v>
      </c>
      <c r="C21" s="15" t="s">
        <v>572</v>
      </c>
      <c r="D21" s="15" t="s">
        <v>18</v>
      </c>
      <c r="E21" s="17" t="str">
        <f>HYPERLINK("#V5!L1","V5")</f>
        <v>V5</v>
      </c>
      <c r="F21" s="616" t="str">
        <f>HYPERLINK("http://kaart.delfi.ee/?bookmark=63ebb20d0f5732aa12acf360e2b986df","Voka staadion")</f>
        <v>Voka staadion</v>
      </c>
      <c r="G21" s="15" t="s">
        <v>19</v>
      </c>
      <c r="H21" s="18">
        <v>1</v>
      </c>
      <c r="I21" s="19">
        <v>6</v>
      </c>
    </row>
    <row r="22" spans="1:10" x14ac:dyDescent="0.2">
      <c r="A22" s="21" t="s">
        <v>45</v>
      </c>
      <c r="B22" s="22" t="s">
        <v>17</v>
      </c>
      <c r="C22" s="10" t="s">
        <v>46</v>
      </c>
      <c r="D22" s="10" t="s">
        <v>22</v>
      </c>
      <c r="E22" s="11" t="str">
        <f>HYPERLINK("#T3!W1","T3")</f>
        <v>T3</v>
      </c>
      <c r="F22" s="12" t="str">
        <f>HYPERLINK("http://kaart.delfi.ee/?bookmark=521b80d6ceeefbe3e5d227267242b576","K-Järve spordihoone")</f>
        <v>K-Järve spordihoone</v>
      </c>
      <c r="G22" s="10" t="s">
        <v>15</v>
      </c>
      <c r="H22" s="13">
        <v>1</v>
      </c>
      <c r="I22" s="14">
        <v>9</v>
      </c>
    </row>
    <row r="23" spans="1:10" x14ac:dyDescent="0.2">
      <c r="A23" s="29" t="s">
        <v>47</v>
      </c>
      <c r="B23" s="30" t="s">
        <v>17</v>
      </c>
      <c r="C23" s="727" t="s">
        <v>597</v>
      </c>
      <c r="D23" s="29" t="s">
        <v>18</v>
      </c>
      <c r="E23" s="31" t="str">
        <f>HYPERLINK("#M3!J1","M3")</f>
        <v>M3</v>
      </c>
      <c r="F23" s="32" t="str">
        <f>HYPERLINK("http://kaart.delfi.ee/?bookmark=96e8ef31375c7e6041cd302dca543f69","Mäetaguse staadion")</f>
        <v>Mäetaguse staadion</v>
      </c>
      <c r="G23" s="29" t="s">
        <v>26</v>
      </c>
      <c r="H23" s="33">
        <v>2</v>
      </c>
      <c r="I23" s="34">
        <v>21</v>
      </c>
    </row>
    <row r="24" spans="1:10" x14ac:dyDescent="0.2">
      <c r="A24" s="25" t="s">
        <v>48</v>
      </c>
      <c r="B24" s="24" t="s">
        <v>17</v>
      </c>
      <c r="C24" s="25" t="s">
        <v>49</v>
      </c>
      <c r="D24" s="25" t="s">
        <v>18</v>
      </c>
      <c r="E24" s="36" t="str">
        <f>HYPERLINK("#5!J1","5")</f>
        <v>5</v>
      </c>
      <c r="F24" s="27" t="str">
        <f>HYPERLINK("http://kaart.delfi.ee/?bookmark=4c0b1b0c24ff9f4919899a9546bf50f1","Jõhvi, Neptun")</f>
        <v>Jõhvi, Neptun</v>
      </c>
      <c r="G24" s="25" t="s">
        <v>50</v>
      </c>
      <c r="H24" s="28">
        <v>1</v>
      </c>
      <c r="I24" s="14">
        <v>24</v>
      </c>
      <c r="J24" s="698" t="str">
        <f>HYPERLINK("http://pildid.sportiv.ee/thumbnails.php?album=3166","Fot")</f>
        <v>Fot</v>
      </c>
    </row>
    <row r="25" spans="1:10" x14ac:dyDescent="0.2">
      <c r="A25" s="15" t="s">
        <v>51</v>
      </c>
      <c r="B25" s="16" t="s">
        <v>17</v>
      </c>
      <c r="C25" s="15" t="s">
        <v>573</v>
      </c>
      <c r="D25" s="15" t="s">
        <v>24</v>
      </c>
      <c r="E25" s="17" t="str">
        <f>HYPERLINK("#V6!J1","V6")</f>
        <v>V6</v>
      </c>
      <c r="F25" s="616" t="str">
        <f>HYPERLINK("http://kaart.delfi.ee/?bookmark=63ebb20d0f5732aa12acf360e2b986df","Voka staadion")</f>
        <v>Voka staadion</v>
      </c>
      <c r="G25" s="15" t="s">
        <v>19</v>
      </c>
      <c r="H25" s="18">
        <v>1</v>
      </c>
      <c r="I25" s="19">
        <v>15</v>
      </c>
    </row>
    <row r="26" spans="1:10" x14ac:dyDescent="0.2">
      <c r="A26" s="25" t="s">
        <v>52</v>
      </c>
      <c r="B26" s="24" t="s">
        <v>17</v>
      </c>
      <c r="C26" s="25" t="s">
        <v>55</v>
      </c>
      <c r="D26" s="25" t="s">
        <v>24</v>
      </c>
      <c r="E26" s="36" t="str">
        <f>HYPERLINK("#6!I1","6")</f>
        <v>6</v>
      </c>
      <c r="F26" s="27" t="str">
        <f>HYPERLINK("http://kaart.delfi.ee/?bookmark=4c0b1b0c24ff9f4919899a9546bf50f1","Jõhvi, Neptun")</f>
        <v>Jõhvi, Neptun</v>
      </c>
      <c r="G26" s="25" t="s">
        <v>50</v>
      </c>
      <c r="H26" s="28">
        <v>1</v>
      </c>
      <c r="I26" s="14">
        <v>21</v>
      </c>
    </row>
    <row r="27" spans="1:10" s="20" customFormat="1" x14ac:dyDescent="0.2">
      <c r="A27" s="38" t="s">
        <v>54</v>
      </c>
      <c r="B27" s="39" t="s">
        <v>29</v>
      </c>
      <c r="C27" s="38" t="s">
        <v>53</v>
      </c>
      <c r="D27" s="38" t="s">
        <v>14</v>
      </c>
      <c r="E27" s="35" t="str">
        <f>HYPERLINK("#7!L1","7")</f>
        <v>7</v>
      </c>
      <c r="F27" s="27" t="str">
        <f>HYPERLINK("http://kaart.delfi.ee/?bookmark=4c0b1b0c24ff9f4919899a9546bf50f1","Jõhvi, Neptun")</f>
        <v>Jõhvi, Neptun</v>
      </c>
      <c r="G27" s="38" t="s">
        <v>50</v>
      </c>
      <c r="H27" s="40">
        <v>1</v>
      </c>
      <c r="I27" s="41">
        <v>19</v>
      </c>
    </row>
    <row r="28" spans="1:10" x14ac:dyDescent="0.2">
      <c r="A28" s="5" t="s">
        <v>56</v>
      </c>
      <c r="B28" s="6"/>
      <c r="E28" s="37"/>
      <c r="H28" s="7"/>
      <c r="I28" s="7"/>
    </row>
    <row r="29" spans="1:10" s="20" customFormat="1" x14ac:dyDescent="0.2">
      <c r="A29" s="15" t="s">
        <v>57</v>
      </c>
      <c r="B29" s="16" t="s">
        <v>17</v>
      </c>
      <c r="C29" s="15" t="s">
        <v>574</v>
      </c>
      <c r="D29" s="15" t="s">
        <v>18</v>
      </c>
      <c r="E29" s="17" t="str">
        <f>HYPERLINK("#V7!K1","V7")</f>
        <v>V7</v>
      </c>
      <c r="F29" s="616" t="str">
        <f>HYPERLINK("http://kaart.delfi.ee/?bookmark=63ebb20d0f5732aa12acf360e2b986df","Voka staadion")</f>
        <v>Voka staadion</v>
      </c>
      <c r="G29" s="15" t="s">
        <v>19</v>
      </c>
      <c r="H29" s="18">
        <v>1</v>
      </c>
      <c r="I29" s="19">
        <v>10</v>
      </c>
    </row>
    <row r="30" spans="1:10" x14ac:dyDescent="0.2">
      <c r="A30" s="21" t="s">
        <v>58</v>
      </c>
      <c r="B30" s="22" t="s">
        <v>17</v>
      </c>
      <c r="C30" s="10" t="s">
        <v>59</v>
      </c>
      <c r="D30" s="10" t="s">
        <v>22</v>
      </c>
      <c r="E30" s="11" t="str">
        <f>HYPERLINK("#T4!W1","T4")</f>
        <v>T4</v>
      </c>
      <c r="F30" s="12" t="str">
        <f>HYPERLINK("http://kaart.delfi.ee/?bookmark=521b80d6ceeefbe3e5d227267242b576","K-Järve spordihoone")</f>
        <v>K-Järve spordihoone</v>
      </c>
      <c r="G30" s="10" t="s">
        <v>15</v>
      </c>
      <c r="H30" s="13">
        <v>1</v>
      </c>
      <c r="I30" s="14">
        <v>14</v>
      </c>
    </row>
    <row r="31" spans="1:10" x14ac:dyDescent="0.2">
      <c r="A31" s="25" t="s">
        <v>60</v>
      </c>
      <c r="B31" s="24" t="s">
        <v>12</v>
      </c>
      <c r="C31" s="25" t="s">
        <v>36</v>
      </c>
      <c r="D31" s="25" t="s">
        <v>18</v>
      </c>
      <c r="E31" s="36" t="str">
        <f>HYPERLINK("#8!K1","8")</f>
        <v>8</v>
      </c>
      <c r="F31" s="27" t="str">
        <f>HYPERLINK("http://kaart.delfi.ee/?bookmark=1582e2f00484b7a114c2e65060c8ad45","K-Nõmme, Kaevanduspark")</f>
        <v>K-Nõmme, Kaevanduspark</v>
      </c>
      <c r="G31" s="25" t="s">
        <v>15</v>
      </c>
      <c r="H31" s="28">
        <v>2</v>
      </c>
      <c r="I31" s="14">
        <v>22</v>
      </c>
    </row>
    <row r="32" spans="1:10" x14ac:dyDescent="0.2">
      <c r="A32" s="15" t="s">
        <v>61</v>
      </c>
      <c r="B32" s="16" t="s">
        <v>17</v>
      </c>
      <c r="C32" s="15" t="s">
        <v>575</v>
      </c>
      <c r="D32" s="15" t="s">
        <v>24</v>
      </c>
      <c r="E32" s="17" t="str">
        <f>HYPERLINK("#V8!J1","V8")</f>
        <v>V8</v>
      </c>
      <c r="F32" s="616" t="str">
        <f>HYPERLINK("http://kaart.delfi.ee/?bookmark=63ebb20d0f5732aa12acf360e2b986df","Voka staadion")</f>
        <v>Voka staadion</v>
      </c>
      <c r="G32" s="15" t="s">
        <v>19</v>
      </c>
      <c r="H32" s="18">
        <v>1</v>
      </c>
      <c r="I32" s="19">
        <v>6</v>
      </c>
    </row>
    <row r="33" spans="1:10" x14ac:dyDescent="0.2">
      <c r="A33" s="38" t="s">
        <v>62</v>
      </c>
      <c r="B33" s="39" t="s">
        <v>12</v>
      </c>
      <c r="C33" s="25" t="s">
        <v>36</v>
      </c>
      <c r="D33" s="25" t="s">
        <v>14</v>
      </c>
      <c r="E33" s="36" t="str">
        <f>HYPERLINK("#9!M1","9")</f>
        <v>9</v>
      </c>
      <c r="F33" s="27" t="str">
        <f>HYPERLINK("http://kaart.delfi.ee/?bookmark=521b80d6ceeefbe3e5d227267242b576","K-Järve spordihoone")</f>
        <v>K-Järve spordihoone</v>
      </c>
      <c r="G33" s="25" t="s">
        <v>15</v>
      </c>
      <c r="H33" s="28">
        <v>2</v>
      </c>
      <c r="I33" s="14">
        <v>20</v>
      </c>
    </row>
    <row r="34" spans="1:10" x14ac:dyDescent="0.2">
      <c r="A34" s="721" t="s">
        <v>63</v>
      </c>
      <c r="B34" s="722" t="s">
        <v>12</v>
      </c>
      <c r="C34" s="721" t="s">
        <v>581</v>
      </c>
      <c r="D34" s="721" t="s">
        <v>24</v>
      </c>
      <c r="E34" s="741" t="str">
        <f>HYPERLINK("http://www.petanque.ee/index.php?id=103681&amp;cid=385","e15")</f>
        <v>e15</v>
      </c>
      <c r="F34" s="723" t="str">
        <f>HYPERLINK("http://kaart.delfi.ee/?bookmark=521b80d6ceeefbe3e5d227267242b576","K-Järve spordihoone")</f>
        <v>K-Järve spordihoone</v>
      </c>
      <c r="G34" s="721" t="s">
        <v>15</v>
      </c>
      <c r="H34" s="724">
        <v>8</v>
      </c>
      <c r="I34" s="50">
        <v>38</v>
      </c>
      <c r="J34" s="698" t="str">
        <f>HYPERLINK("http://pildid.sportiv.ee/thumbnails.php?album=3203","Fot")</f>
        <v>Fot</v>
      </c>
    </row>
    <row r="35" spans="1:10" x14ac:dyDescent="0.2">
      <c r="A35" s="721" t="s">
        <v>64</v>
      </c>
      <c r="B35" s="725" t="s">
        <v>65</v>
      </c>
      <c r="C35" s="746" t="s">
        <v>617</v>
      </c>
      <c r="D35" s="721" t="s">
        <v>18</v>
      </c>
      <c r="E35" s="741" t="str">
        <f>HYPERLINK("http://www.petanque.ee/index.php?id=103681&amp;cid=386","e16")</f>
        <v>e16</v>
      </c>
      <c r="F35" s="723" t="str">
        <f>HYPERLINK("http://kaart.delfi.ee/?bookmark=521b80d6ceeefbe3e5d227267242b576","K-Järve spordihoone")</f>
        <v>K-Järve spordihoone</v>
      </c>
      <c r="G35" s="721" t="s">
        <v>15</v>
      </c>
      <c r="H35" s="724">
        <v>8</v>
      </c>
      <c r="I35" s="50">
        <v>32</v>
      </c>
    </row>
    <row r="36" spans="1:10" x14ac:dyDescent="0.2">
      <c r="A36" s="29" t="s">
        <v>66</v>
      </c>
      <c r="B36" s="30" t="s">
        <v>17</v>
      </c>
      <c r="C36" s="727" t="s">
        <v>598</v>
      </c>
      <c r="D36" s="29" t="s">
        <v>24</v>
      </c>
      <c r="E36" s="31" t="str">
        <f>HYPERLINK("#M4!H1","M4")</f>
        <v>M4</v>
      </c>
      <c r="F36" s="32" t="str">
        <f>HYPERLINK("http://kaart.delfi.ee/?bookmark=96e8ef31375c7e6041cd302dca543f69","Mäetaguse staadion")</f>
        <v>Mäetaguse staadion</v>
      </c>
      <c r="G36" s="29" t="s">
        <v>26</v>
      </c>
      <c r="H36" s="33">
        <v>2</v>
      </c>
      <c r="I36" s="34">
        <v>12</v>
      </c>
    </row>
    <row r="37" spans="1:10" x14ac:dyDescent="0.2">
      <c r="A37" s="25" t="s">
        <v>67</v>
      </c>
      <c r="B37" s="24" t="s">
        <v>17</v>
      </c>
      <c r="C37" s="25" t="s">
        <v>68</v>
      </c>
      <c r="D37" s="25" t="s">
        <v>24</v>
      </c>
      <c r="E37" s="36" t="str">
        <f>HYPERLINK("#10!J1","10")</f>
        <v>10</v>
      </c>
      <c r="F37" s="27" t="str">
        <f>HYPERLINK("http://kaart.delfi.ee/?bookmark=521b80d6ceeefbe3e5d227267242b576","K-Järve spordihoone")</f>
        <v>K-Järve spordihoone</v>
      </c>
      <c r="G37" s="25" t="s">
        <v>15</v>
      </c>
      <c r="H37" s="28">
        <v>2</v>
      </c>
      <c r="I37" s="14">
        <v>18</v>
      </c>
    </row>
    <row r="38" spans="1:10" x14ac:dyDescent="0.2">
      <c r="A38" s="5" t="s">
        <v>69</v>
      </c>
      <c r="B38" s="6"/>
      <c r="E38" s="37"/>
      <c r="H38" s="7"/>
      <c r="I38" s="7"/>
    </row>
    <row r="39" spans="1:10" s="20" customFormat="1" x14ac:dyDescent="0.2">
      <c r="A39" s="15" t="s">
        <v>70</v>
      </c>
      <c r="B39" s="16" t="s">
        <v>17</v>
      </c>
      <c r="C39" s="15" t="s">
        <v>576</v>
      </c>
      <c r="D39" s="15" t="s">
        <v>18</v>
      </c>
      <c r="E39" s="17" t="str">
        <f>HYPERLINK("#V9!L1","V9")</f>
        <v>V9</v>
      </c>
      <c r="F39" s="616" t="str">
        <f>HYPERLINK("http://kaart.delfi.ee/?bookmark=63ebb20d0f5732aa12acf360e2b986df","Voka staadion")</f>
        <v>Voka staadion</v>
      </c>
      <c r="G39" s="15" t="s">
        <v>19</v>
      </c>
      <c r="H39" s="18">
        <v>1</v>
      </c>
      <c r="I39" s="19">
        <v>6</v>
      </c>
    </row>
    <row r="40" spans="1:10" x14ac:dyDescent="0.2">
      <c r="A40" s="21" t="s">
        <v>71</v>
      </c>
      <c r="B40" s="22" t="s">
        <v>17</v>
      </c>
      <c r="C40" s="10" t="s">
        <v>72</v>
      </c>
      <c r="D40" s="10" t="s">
        <v>22</v>
      </c>
      <c r="E40" s="11" t="str">
        <f>HYPERLINK("#T5!W1","T5")</f>
        <v>T5</v>
      </c>
      <c r="F40" s="12" t="str">
        <f>HYPERLINK("http://kaart.delfi.ee/?bookmark=521b80d6ceeefbe3e5d227267242b576","K-Järve spordihoone")</f>
        <v>K-Järve spordihoone</v>
      </c>
      <c r="G40" s="10" t="s">
        <v>15</v>
      </c>
      <c r="H40" s="13">
        <v>1</v>
      </c>
      <c r="I40" s="14">
        <v>7</v>
      </c>
    </row>
    <row r="41" spans="1:10" x14ac:dyDescent="0.2">
      <c r="A41" s="25" t="s">
        <v>73</v>
      </c>
      <c r="B41" s="24" t="s">
        <v>17</v>
      </c>
      <c r="C41" s="25" t="s">
        <v>74</v>
      </c>
      <c r="D41" s="25" t="s">
        <v>18</v>
      </c>
      <c r="E41" s="36" t="str">
        <f>HYPERLINK("#11!J1","11")</f>
        <v>11</v>
      </c>
      <c r="F41" s="27" t="str">
        <f>HYPERLINK("http://kaart.delfi.ee/?bookmark=521b80d6ceeefbe3e5d227267242b576","K-Järve spordihoone")</f>
        <v>K-Järve spordihoone</v>
      </c>
      <c r="G41" s="25" t="s">
        <v>15</v>
      </c>
      <c r="H41" s="28">
        <v>2</v>
      </c>
      <c r="I41" s="14">
        <v>21</v>
      </c>
    </row>
    <row r="42" spans="1:10" x14ac:dyDescent="0.2">
      <c r="A42" s="15" t="s">
        <v>75</v>
      </c>
      <c r="B42" s="16" t="s">
        <v>17</v>
      </c>
      <c r="C42" s="15" t="s">
        <v>577</v>
      </c>
      <c r="D42" s="15" t="s">
        <v>24</v>
      </c>
      <c r="E42" s="17" t="str">
        <f>HYPERLINK("#V10!I1","V10")</f>
        <v>V10</v>
      </c>
      <c r="F42" s="616" t="str">
        <f>HYPERLINK("http://kaart.delfi.ee/?bookmark=63ebb20d0f5732aa12acf360e2b986df","Voka staadion")</f>
        <v>Voka staadion</v>
      </c>
      <c r="G42" s="15" t="s">
        <v>19</v>
      </c>
      <c r="H42" s="18">
        <v>1</v>
      </c>
      <c r="I42" s="19">
        <v>7</v>
      </c>
    </row>
    <row r="43" spans="1:10" x14ac:dyDescent="0.2">
      <c r="A43" s="25" t="s">
        <v>76</v>
      </c>
      <c r="B43" s="24" t="s">
        <v>29</v>
      </c>
      <c r="C43" s="25" t="s">
        <v>77</v>
      </c>
      <c r="D43" s="25" t="s">
        <v>22</v>
      </c>
      <c r="E43" s="742" t="str">
        <f>HYPERLINK("#'12,T6'!W1","12,T6")</f>
        <v>12,T6</v>
      </c>
      <c r="F43" s="27" t="str">
        <f>HYPERLINK("http://kaart.delfi.ee/?bookmark=521b80d6ceeefbe3e5d227267242b576","K-Järve spordihoone")</f>
        <v>K-Järve spordihoone</v>
      </c>
      <c r="G43" s="25" t="s">
        <v>15</v>
      </c>
      <c r="H43" s="28">
        <v>2</v>
      </c>
      <c r="I43" s="14">
        <v>16</v>
      </c>
    </row>
    <row r="44" spans="1:10" x14ac:dyDescent="0.2">
      <c r="A44" s="38" t="s">
        <v>78</v>
      </c>
      <c r="B44" s="24" t="s">
        <v>12</v>
      </c>
      <c r="C44" s="25" t="s">
        <v>74</v>
      </c>
      <c r="D44" s="25" t="s">
        <v>14</v>
      </c>
      <c r="E44" s="36" t="str">
        <f>HYPERLINK("#13!M1","13")</f>
        <v>13</v>
      </c>
      <c r="F44" s="27" t="str">
        <f>HYPERLINK("http://kaart.delfi.ee/?bookmark=521b80d6ceeefbe3e5d227267242b576","K-Järve spordihoone")</f>
        <v>K-Järve spordihoone</v>
      </c>
      <c r="G44" s="25" t="s">
        <v>15</v>
      </c>
      <c r="H44" s="28">
        <v>2</v>
      </c>
      <c r="I44" s="14">
        <v>18</v>
      </c>
    </row>
    <row r="45" spans="1:10" x14ac:dyDescent="0.2">
      <c r="A45" s="5" t="s">
        <v>79</v>
      </c>
      <c r="B45" s="6"/>
      <c r="E45" s="37"/>
      <c r="H45" s="7"/>
      <c r="I45" s="7"/>
    </row>
    <row r="46" spans="1:10" x14ac:dyDescent="0.2">
      <c r="A46" s="29" t="s">
        <v>80</v>
      </c>
      <c r="B46" s="30" t="s">
        <v>40</v>
      </c>
      <c r="C46" s="727" t="s">
        <v>599</v>
      </c>
      <c r="D46" s="29" t="s">
        <v>14</v>
      </c>
      <c r="E46" s="31" t="str">
        <f>HYPERLINK("#M5MI1","M5")</f>
        <v>M5</v>
      </c>
      <c r="F46" s="32" t="str">
        <f>HYPERLINK("http://kaart.delfi.ee/?bookmark=96e8ef31375c7e6041cd302dca543f69","Mäetaguse staadion")</f>
        <v>Mäetaguse staadion</v>
      </c>
      <c r="G46" s="29" t="s">
        <v>26</v>
      </c>
      <c r="H46" s="33">
        <v>2</v>
      </c>
      <c r="I46" s="34">
        <v>19</v>
      </c>
    </row>
    <row r="47" spans="1:10" x14ac:dyDescent="0.2">
      <c r="A47" s="15" t="s">
        <v>81</v>
      </c>
      <c r="B47" s="16" t="s">
        <v>40</v>
      </c>
      <c r="C47" s="15" t="s">
        <v>578</v>
      </c>
      <c r="D47" s="15" t="s">
        <v>14</v>
      </c>
      <c r="E47" s="743" t="str">
        <f>HYPERLINK("#'V Fin'!J1","V Fin")</f>
        <v>V Fin</v>
      </c>
      <c r="F47" s="616" t="str">
        <f>HYPERLINK("http://kaart.delfi.ee/?bookmark=63ebb20d0f5732aa12acf360e2b986df","Voka staadion")</f>
        <v>Voka staadion</v>
      </c>
      <c r="G47" s="15" t="s">
        <v>19</v>
      </c>
      <c r="H47" s="18">
        <v>0</v>
      </c>
      <c r="I47" s="19">
        <v>14</v>
      </c>
    </row>
    <row r="48" spans="1:10" x14ac:dyDescent="0.2">
      <c r="A48" s="8" t="s">
        <v>82</v>
      </c>
      <c r="B48" s="9" t="s">
        <v>17</v>
      </c>
      <c r="C48" s="10" t="s">
        <v>83</v>
      </c>
      <c r="D48" s="10" t="s">
        <v>14</v>
      </c>
      <c r="E48" s="11" t="str">
        <f>HYPERLINK("#L!I1","L")</f>
        <v>L</v>
      </c>
      <c r="F48" s="12" t="str">
        <f>HYPERLINK("http://kaart.delfi.ee/?bookmark=521b80d6ceeefbe3e5d227267242b576","K-Järve spordihoone")</f>
        <v>K-Järve spordihoone</v>
      </c>
      <c r="G48" s="10" t="s">
        <v>15</v>
      </c>
      <c r="H48" s="13">
        <v>0</v>
      </c>
      <c r="I48" s="14">
        <v>16</v>
      </c>
    </row>
    <row r="50" spans="1:9" x14ac:dyDescent="0.2">
      <c r="A50" s="1" t="s">
        <v>84</v>
      </c>
    </row>
    <row r="51" spans="1:9" x14ac:dyDescent="0.2">
      <c r="A51" s="57" t="s">
        <v>584</v>
      </c>
    </row>
    <row r="52" spans="1:9" x14ac:dyDescent="0.2">
      <c r="A52" s="716" t="s">
        <v>585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">
      <c r="A53" s="717" t="s">
        <v>586</v>
      </c>
      <c r="B53" s="54"/>
      <c r="C53" s="54"/>
      <c r="D53" s="54"/>
      <c r="E53" s="54"/>
      <c r="F53" s="54"/>
      <c r="G53" s="54"/>
      <c r="H53" s="54"/>
      <c r="I53" s="54"/>
    </row>
    <row r="54" spans="1:9" x14ac:dyDescent="0.2">
      <c r="A54" s="726" t="s">
        <v>587</v>
      </c>
    </row>
    <row r="55" spans="1:9" x14ac:dyDescent="0.2">
      <c r="A55" s="720" t="s">
        <v>583</v>
      </c>
      <c r="B55" s="55"/>
      <c r="C55" s="55"/>
      <c r="D55" s="20"/>
      <c r="E55" s="20"/>
      <c r="F55" s="20"/>
      <c r="G55" s="20"/>
      <c r="H55" s="711"/>
      <c r="I55" s="20"/>
    </row>
    <row r="56" spans="1:9" x14ac:dyDescent="0.2">
      <c r="A56" s="56" t="s">
        <v>85</v>
      </c>
    </row>
  </sheetData>
  <autoFilter ref="A3:H48"/>
  <conditionalFormatting sqref="I5:I33 I37:I48">
    <cfRule type="top10" dxfId="227" priority="1" stopIfTrue="1" rank="1"/>
  </conditionalFormatting>
  <pageMargins left="0.59055118110236227" right="0.31496062992125984" top="0.59055118110236227" bottom="0.39370078740157483" header="0.39370078740157483" footer="0"/>
  <pageSetup paperSize="9" fitToHeight="0" orientation="portrait" horizontalDpi="180" verticalDpi="180" r:id="rId1"/>
  <headerFooter>
    <oddHeader>&amp;R&amp;"Arial,Regular"&amp;9Page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28"/>
  <sheetViews>
    <sheetView showGridLines="0" showRowColHeaders="0" tabSelected="1" zoomScaleNormal="100" workbookViewId="0">
      <pane ySplit="3" topLeftCell="A4" activePane="bottomLeft" state="frozen"/>
      <selection activeCell="E5" sqref="E5"/>
      <selection pane="bottomLeft" activeCell="N1" sqref="N1"/>
    </sheetView>
  </sheetViews>
  <sheetFormatPr defaultRowHeight="12.75" x14ac:dyDescent="0.2"/>
  <cols>
    <col min="1" max="1" width="7.7109375" style="59" customWidth="1"/>
    <col min="2" max="2" width="3" style="59" bestFit="1" customWidth="1"/>
    <col min="3" max="3" width="10.42578125" style="59" customWidth="1"/>
    <col min="4" max="4" width="3" style="59" bestFit="1" customWidth="1"/>
    <col min="5" max="5" width="8.5703125" style="58" customWidth="1"/>
    <col min="6" max="6" width="3" style="58" bestFit="1" customWidth="1"/>
    <col min="7" max="7" width="14.28515625" style="59" customWidth="1"/>
    <col min="8" max="8" width="3" style="59" bestFit="1" customWidth="1"/>
    <col min="9" max="9" width="1.85546875" style="59" customWidth="1"/>
    <col min="10" max="10" width="3" style="59" bestFit="1" customWidth="1"/>
    <col min="11" max="11" width="16.7109375" style="59" customWidth="1"/>
    <col min="12" max="12" width="3" style="59" bestFit="1" customWidth="1"/>
    <col min="13" max="13" width="16.7109375" style="59" customWidth="1"/>
    <col min="14" max="14" width="3" style="58" customWidth="1"/>
    <col min="15" max="18" width="0.28515625" style="733" customWidth="1"/>
    <col min="19" max="19" width="9.140625" style="733"/>
    <col min="20" max="16384" width="9.140625" style="59"/>
  </cols>
  <sheetData>
    <row r="1" spans="1:19" x14ac:dyDescent="0.2">
      <c r="A1" s="58" t="s">
        <v>86</v>
      </c>
      <c r="B1" s="58"/>
      <c r="M1" s="3" t="s">
        <v>1</v>
      </c>
    </row>
    <row r="2" spans="1:19" ht="13.5" thickBot="1" x14ac:dyDescent="0.25"/>
    <row r="3" spans="1:19" ht="13.5" thickBot="1" x14ac:dyDescent="0.25">
      <c r="A3" s="60" t="s">
        <v>87</v>
      </c>
      <c r="B3" s="61"/>
      <c r="C3" s="60" t="s">
        <v>88</v>
      </c>
      <c r="D3" s="61"/>
      <c r="E3" s="60" t="s">
        <v>89</v>
      </c>
      <c r="F3" s="61"/>
      <c r="G3" s="60" t="s">
        <v>90</v>
      </c>
      <c r="H3" s="61"/>
      <c r="I3" s="60" t="s">
        <v>91</v>
      </c>
      <c r="J3" s="61"/>
      <c r="K3" s="60" t="s">
        <v>92</v>
      </c>
      <c r="L3" s="61"/>
      <c r="M3" s="60" t="s">
        <v>93</v>
      </c>
      <c r="N3" s="61"/>
    </row>
    <row r="4" spans="1:19" ht="13.5" thickBot="1" x14ac:dyDescent="0.25">
      <c r="A4" s="5" t="s">
        <v>10</v>
      </c>
      <c r="B4" s="62"/>
      <c r="C4" s="63"/>
      <c r="D4" s="64"/>
      <c r="E4" s="65"/>
      <c r="F4" s="65"/>
      <c r="G4" s="64"/>
      <c r="H4" s="64"/>
      <c r="I4" s="64"/>
      <c r="K4" s="64"/>
      <c r="L4" s="64"/>
      <c r="N4" s="65"/>
      <c r="O4" s="734"/>
      <c r="P4" s="735"/>
      <c r="Q4" s="735"/>
      <c r="R4" s="734"/>
      <c r="S4" s="734"/>
    </row>
    <row r="5" spans="1:19" s="58" customFormat="1" x14ac:dyDescent="0.2">
      <c r="A5" s="66"/>
      <c r="B5" s="67"/>
      <c r="C5" s="67"/>
      <c r="D5" s="68"/>
      <c r="E5" s="68"/>
      <c r="F5" s="68"/>
      <c r="G5" s="67"/>
      <c r="H5" s="69"/>
      <c r="I5" s="70"/>
      <c r="J5" s="713">
        <v>1</v>
      </c>
      <c r="K5" s="66"/>
      <c r="L5" s="712">
        <v>2</v>
      </c>
      <c r="M5" s="772" t="str">
        <f>HYPERLINK("http://www.petanque.ee/index.php?id=103589&amp;cid=354","11.Tartu Vaim, TRIO ")</f>
        <v xml:space="preserve">11.Tartu Vaim, TRIO </v>
      </c>
      <c r="N5" s="712">
        <v>3</v>
      </c>
      <c r="O5" s="733"/>
      <c r="P5" s="735"/>
      <c r="Q5" s="735"/>
      <c r="R5" s="733"/>
      <c r="S5" s="733"/>
    </row>
    <row r="6" spans="1:19" x14ac:dyDescent="0.2">
      <c r="A6" s="72"/>
      <c r="B6" s="73"/>
      <c r="C6" s="74"/>
      <c r="D6" s="75"/>
      <c r="E6" s="76"/>
      <c r="F6" s="75"/>
      <c r="G6" s="74"/>
      <c r="H6" s="77"/>
      <c r="I6" s="78" t="str">
        <f>HYPERLINK("#'A'!M1","Avavõistlus, ÜKSIK")</f>
        <v>Avavõistlus, ÜKSIK</v>
      </c>
      <c r="J6" s="79"/>
      <c r="K6" s="72"/>
      <c r="L6" s="77"/>
      <c r="M6" s="80" t="s">
        <v>94</v>
      </c>
      <c r="N6" s="81"/>
      <c r="P6" s="735"/>
      <c r="Q6" s="735"/>
    </row>
    <row r="7" spans="1:19" ht="13.5" thickBot="1" x14ac:dyDescent="0.25">
      <c r="A7" s="82"/>
      <c r="B7" s="83"/>
      <c r="C7" s="84"/>
      <c r="D7" s="85"/>
      <c r="E7" s="86"/>
      <c r="F7" s="85"/>
      <c r="G7" s="84"/>
      <c r="H7" s="87"/>
      <c r="I7" s="88" t="str">
        <f>HYPERLINK("http://kaart.delfi.ee/?bookmark=521b80d6ceeefbe3e5d227267242b576","K-Järve")</f>
        <v>K-Järve</v>
      </c>
      <c r="J7" s="89"/>
      <c r="K7" s="82"/>
      <c r="L7" s="87"/>
      <c r="M7" s="90" t="str">
        <f>HYPERLINK("http://kaart.delfi.ee/?bookmark=d9da63566809feae32e6ca75683e42cd","Tartu, Lossi 25")</f>
        <v>Tartu, Lossi 25</v>
      </c>
      <c r="N7" s="91" t="str">
        <f>HYPERLINK("http://tartukalev.ee/wp-content/uploads/2015/04/Petangiturniir_Tartu_Vaim_juhend_2015.docx","juh")</f>
        <v>juh</v>
      </c>
      <c r="P7" s="735"/>
      <c r="Q7" s="735"/>
    </row>
    <row r="8" spans="1:19" s="58" customFormat="1" x14ac:dyDescent="0.2">
      <c r="A8" s="66"/>
      <c r="B8" s="712">
        <v>4</v>
      </c>
      <c r="C8" s="66"/>
      <c r="D8" s="712">
        <v>5</v>
      </c>
      <c r="E8" s="92" t="str">
        <f>HYPERLINK("#'V1'!K1","Voka 2. ")</f>
        <v xml:space="preserve">Voka 2. </v>
      </c>
      <c r="F8" s="712">
        <v>6</v>
      </c>
      <c r="G8" s="93" t="str">
        <f>HYPERLINK("#'T1'!W1","Neljapäevak 1, ")</f>
        <v xml:space="preserve">Neljapäevak 1, </v>
      </c>
      <c r="H8" s="712">
        <v>7</v>
      </c>
      <c r="I8" s="94"/>
      <c r="J8" s="712">
        <v>8</v>
      </c>
      <c r="K8" s="95" t="str">
        <f>HYPERLINK("http://www.petanque.ee/index.php?id=103589&amp;cid=355","EPKL reiting, ")</f>
        <v xml:space="preserve">EPKL reiting, </v>
      </c>
      <c r="L8" s="712">
        <v>9</v>
      </c>
      <c r="M8" s="95" t="str">
        <f>HYPERLINK("http://www.petanque.ee/index.php?id=103589&amp;cid=356","EPKL reiting, ")</f>
        <v xml:space="preserve">EPKL reiting, </v>
      </c>
      <c r="N8" s="712">
        <v>10</v>
      </c>
      <c r="O8" s="734"/>
      <c r="P8" s="736"/>
      <c r="Q8" s="735"/>
      <c r="R8" s="734"/>
      <c r="S8" s="734"/>
    </row>
    <row r="9" spans="1:19" s="58" customFormat="1" x14ac:dyDescent="0.2">
      <c r="A9" s="72"/>
      <c r="B9" s="77"/>
      <c r="C9" s="72"/>
      <c r="D9" s="96"/>
      <c r="E9" s="740" t="s">
        <v>99</v>
      </c>
      <c r="F9" s="98"/>
      <c r="G9" s="99" t="s">
        <v>95</v>
      </c>
      <c r="H9" s="77"/>
      <c r="I9" s="100"/>
      <c r="J9" s="96"/>
      <c r="K9" s="101" t="s">
        <v>96</v>
      </c>
      <c r="L9" s="77"/>
      <c r="M9" s="101" t="s">
        <v>97</v>
      </c>
      <c r="N9" s="77"/>
      <c r="O9" s="734"/>
      <c r="P9" s="735"/>
      <c r="Q9" s="735"/>
      <c r="R9" s="734"/>
      <c r="S9" s="734"/>
    </row>
    <row r="10" spans="1:19" s="58" customFormat="1" x14ac:dyDescent="0.2">
      <c r="A10" s="72"/>
      <c r="B10" s="77"/>
      <c r="C10" s="72"/>
      <c r="D10" s="96"/>
      <c r="E10" s="97" t="s">
        <v>97</v>
      </c>
      <c r="F10" s="98"/>
      <c r="G10" s="78"/>
      <c r="H10" s="77"/>
      <c r="I10" s="100"/>
      <c r="J10" s="96"/>
      <c r="K10" s="102"/>
      <c r="L10" s="77"/>
      <c r="M10" s="102"/>
      <c r="N10" s="77"/>
      <c r="O10" s="733"/>
      <c r="P10" s="735"/>
      <c r="Q10" s="735"/>
      <c r="R10" s="733"/>
      <c r="S10" s="733"/>
    </row>
    <row r="11" spans="1:19" ht="13.5" thickBot="1" x14ac:dyDescent="0.25">
      <c r="A11" s="82"/>
      <c r="B11" s="87"/>
      <c r="C11" s="82"/>
      <c r="D11" s="103"/>
      <c r="E11" s="104" t="str">
        <f>HYPERLINK("http://kaart.delfi.ee/?bookmark=63ebb20d0f5732aa12acf360e2b986df","Voka")</f>
        <v>Voka</v>
      </c>
      <c r="F11" s="105"/>
      <c r="G11" s="88" t="str">
        <f>HYPERLINK("http://kaart.delfi.ee/?bookmark=521b80d6ceeefbe3e5d227267242b576","K-Järve")</f>
        <v>K-Järve</v>
      </c>
      <c r="H11" s="87"/>
      <c r="I11" s="106"/>
      <c r="J11" s="103"/>
      <c r="K11" s="107" t="str">
        <f>HYPERLINK("http://kaart.delfi.ee/?bookmark=fe8345aadbbb857f009aae03c00eea11","Tallinn, Kadriorg")</f>
        <v>Tallinn, Kadriorg</v>
      </c>
      <c r="L11" s="87"/>
      <c r="M11" s="107" t="str">
        <f>HYPERLINK("http://kaart.delfi.ee/?bookmark=fe8345aadbbb857f009aae03c00eea11","Tallinn, Kadriorg")</f>
        <v>Tallinn, Kadriorg</v>
      </c>
      <c r="N11" s="87"/>
      <c r="O11" s="734"/>
      <c r="P11" s="735"/>
      <c r="Q11" s="735"/>
      <c r="R11" s="734"/>
      <c r="S11" s="734"/>
    </row>
    <row r="12" spans="1:19" s="58" customFormat="1" x14ac:dyDescent="0.2">
      <c r="A12" s="66"/>
      <c r="B12" s="712">
        <v>11</v>
      </c>
      <c r="C12" s="66"/>
      <c r="D12" s="712">
        <v>12</v>
      </c>
      <c r="E12" s="66"/>
      <c r="F12" s="712">
        <v>13</v>
      </c>
      <c r="G12" s="615" t="str">
        <f>HYPERLINK("#'1'!I1","K-Järve 14. KV ")</f>
        <v xml:space="preserve">K-Järve 14. KV </v>
      </c>
      <c r="H12" s="712">
        <v>14</v>
      </c>
      <c r="I12" s="94"/>
      <c r="J12" s="712">
        <v>15</v>
      </c>
      <c r="K12" s="747" t="str">
        <f>HYPERLINK("http://www.petanque.ee/index.php?id=103681&amp;cid=357","Katsevõistlus, ")</f>
        <v xml:space="preserve">Katsevõistlus, </v>
      </c>
      <c r="L12" s="712">
        <v>16</v>
      </c>
      <c r="M12" s="66"/>
      <c r="N12" s="712">
        <v>17</v>
      </c>
      <c r="O12" s="734"/>
      <c r="P12" s="735"/>
      <c r="Q12" s="735"/>
      <c r="R12" s="734"/>
      <c r="S12" s="734"/>
    </row>
    <row r="13" spans="1:19" s="58" customFormat="1" x14ac:dyDescent="0.2">
      <c r="A13" s="72"/>
      <c r="B13" s="77"/>
      <c r="C13" s="72"/>
      <c r="D13" s="96"/>
      <c r="E13" s="72"/>
      <c r="F13" s="77"/>
      <c r="G13" s="109" t="s">
        <v>98</v>
      </c>
      <c r="H13" s="110"/>
      <c r="I13" s="100"/>
      <c r="J13" s="96"/>
      <c r="K13" s="748" t="s">
        <v>98</v>
      </c>
      <c r="L13" s="77"/>
      <c r="M13" s="72"/>
      <c r="N13" s="77"/>
      <c r="O13" s="734"/>
      <c r="P13" s="735"/>
      <c r="Q13" s="735"/>
      <c r="R13" s="734"/>
      <c r="S13" s="734"/>
    </row>
    <row r="14" spans="1:19" ht="13.5" thickBot="1" x14ac:dyDescent="0.25">
      <c r="A14" s="82"/>
      <c r="B14" s="87"/>
      <c r="C14" s="82"/>
      <c r="D14" s="103"/>
      <c r="E14" s="82"/>
      <c r="F14" s="87"/>
      <c r="G14" s="111" t="str">
        <f>HYPERLINK("http://kaart.delfi.ee/?bookmark=521b80d6ceeefbe3e5d227267242b576","K-Järve")</f>
        <v>K-Järve</v>
      </c>
      <c r="H14" s="112"/>
      <c r="I14" s="106"/>
      <c r="J14" s="103"/>
      <c r="K14" s="797" t="str">
        <f>HYPERLINK("http://kaart.delfi.ee/?bookmark=77b05dbe2b4abf45821ef457cf79588b","Haapsalu, Fra Mare")</f>
        <v>Haapsalu, Fra Mare</v>
      </c>
      <c r="L14" s="87"/>
      <c r="M14" s="82"/>
      <c r="N14" s="87"/>
      <c r="O14" s="734"/>
      <c r="P14" s="735"/>
      <c r="Q14" s="735"/>
      <c r="R14" s="734"/>
      <c r="S14" s="734"/>
    </row>
    <row r="15" spans="1:19" s="58" customFormat="1" x14ac:dyDescent="0.2">
      <c r="A15" s="66"/>
      <c r="B15" s="712">
        <v>18</v>
      </c>
      <c r="C15" s="113" t="str">
        <f>HYPERLINK("#'M1'!J1","Mäetaguse ")</f>
        <v xml:space="preserve">Mäetaguse </v>
      </c>
      <c r="D15" s="712">
        <v>19</v>
      </c>
      <c r="E15" s="92" t="str">
        <f>HYPERLINK("#'V2'!H1","Voka 2. ")</f>
        <v xml:space="preserve">Voka 2. </v>
      </c>
      <c r="F15" s="712">
        <v>20</v>
      </c>
      <c r="G15" s="66"/>
      <c r="H15" s="712">
        <v>21</v>
      </c>
      <c r="I15" s="94"/>
      <c r="J15" s="712">
        <v>22</v>
      </c>
      <c r="K15" s="71" t="str">
        <f>HYPERLINK("http://esvl.ee/uus/wp-content/uploads/2014/02/ESL-2015-petanki-MV-protokoll.pdf","ESVL Individuaal-")</f>
        <v>ESVL Individuaal-</v>
      </c>
      <c r="L15" s="712">
        <v>23</v>
      </c>
      <c r="M15" s="615" t="str">
        <f>HYPERLINK("#'2'!J1","K-Järve 14. KV")</f>
        <v>K-Järve 14. KV</v>
      </c>
      <c r="N15" s="712">
        <v>24</v>
      </c>
      <c r="O15" s="734"/>
      <c r="P15" s="735"/>
      <c r="Q15" s="735"/>
      <c r="R15" s="734"/>
      <c r="S15" s="734"/>
    </row>
    <row r="16" spans="1:19" s="58" customFormat="1" x14ac:dyDescent="0.2">
      <c r="A16" s="72"/>
      <c r="B16" s="77"/>
      <c r="C16" s="730" t="s">
        <v>603</v>
      </c>
      <c r="D16" s="115"/>
      <c r="E16" s="97" t="s">
        <v>110</v>
      </c>
      <c r="F16" s="98"/>
      <c r="G16" s="72"/>
      <c r="H16" s="77"/>
      <c r="I16" s="100"/>
      <c r="J16" s="96"/>
      <c r="K16" s="116" t="s">
        <v>100</v>
      </c>
      <c r="L16" s="77"/>
      <c r="M16" s="109" t="s">
        <v>101</v>
      </c>
      <c r="N16" s="110"/>
      <c r="O16" s="733"/>
      <c r="P16" s="735"/>
      <c r="Q16" s="735"/>
      <c r="R16" s="733"/>
      <c r="S16" s="733"/>
    </row>
    <row r="17" spans="1:19" s="58" customFormat="1" x14ac:dyDescent="0.2">
      <c r="A17" s="72"/>
      <c r="B17" s="77"/>
      <c r="C17" s="114" t="s">
        <v>97</v>
      </c>
      <c r="D17" s="115"/>
      <c r="E17" s="97" t="s">
        <v>96</v>
      </c>
      <c r="F17" s="98"/>
      <c r="G17" s="72"/>
      <c r="H17" s="77"/>
      <c r="I17" s="100"/>
      <c r="J17" s="96"/>
      <c r="K17" s="116" t="s">
        <v>102</v>
      </c>
      <c r="L17" s="77"/>
      <c r="M17" s="117"/>
      <c r="N17" s="110"/>
      <c r="O17" s="734"/>
      <c r="P17" s="736"/>
      <c r="Q17" s="735"/>
      <c r="R17" s="734"/>
      <c r="S17" s="734"/>
    </row>
    <row r="18" spans="1:19" s="58" customFormat="1" ht="13.5" thickBot="1" x14ac:dyDescent="0.25">
      <c r="A18" s="82"/>
      <c r="B18" s="87"/>
      <c r="C18" s="118" t="str">
        <f>HYPERLINK("http://kaart.delfi.ee/?bookmark=96e8ef31375c7e6041cd302dca543f69","Mäetaguse")</f>
        <v>Mäetaguse</v>
      </c>
      <c r="D18" s="119"/>
      <c r="E18" s="104" t="str">
        <f>HYPERLINK("http://kaart.delfi.ee/?bookmark=63ebb20d0f5732aa12acf360e2b986df","Voka")</f>
        <v>Voka</v>
      </c>
      <c r="F18" s="105"/>
      <c r="G18" s="82"/>
      <c r="H18" s="87"/>
      <c r="I18" s="106"/>
      <c r="J18" s="103"/>
      <c r="K18" s="90" t="str">
        <f>HYPERLINK("http://kaart.delfi.ee/?bookmark=65e8369c9ead3bea2b8f66fded5efa4e","Tartu, Tähe 103")</f>
        <v>Tartu, Tähe 103</v>
      </c>
      <c r="L18" s="120" t="str">
        <f>HYPERLINK("http://www.tartusvk.eu/images/images/ESL_individuaal_MV_2015_petangis.pdf","juh")</f>
        <v>juh</v>
      </c>
      <c r="M18" s="111" t="str">
        <f>HYPERLINK("http://kaart.delfi.ee/?bookmark=521b80d6ceeefbe3e5d227267242b576","K-Järve")</f>
        <v>K-Järve</v>
      </c>
      <c r="N18" s="112"/>
      <c r="O18" s="734"/>
      <c r="P18" s="735"/>
      <c r="Q18" s="735"/>
      <c r="R18" s="734"/>
      <c r="S18" s="734"/>
    </row>
    <row r="19" spans="1:19" s="58" customFormat="1" x14ac:dyDescent="0.2">
      <c r="A19" s="66"/>
      <c r="B19" s="712">
        <v>25</v>
      </c>
      <c r="C19" s="66"/>
      <c r="D19" s="712">
        <v>26</v>
      </c>
      <c r="E19" s="121"/>
      <c r="F19" s="712">
        <v>27</v>
      </c>
      <c r="G19" s="615" t="str">
        <f>HYPERLINK("#'3'!K1","K-Järve 14. KV ")</f>
        <v xml:space="preserve">K-Järve 14. KV </v>
      </c>
      <c r="H19" s="712">
        <v>28</v>
      </c>
      <c r="I19" s="94"/>
      <c r="J19" s="712">
        <v>29</v>
      </c>
      <c r="K19" s="122" t="str">
        <f>HYPERLINK("http://www.petanque.ee/index.php?id=103589&amp;cid=360","EPKL reiting, ")</f>
        <v xml:space="preserve">EPKL reiting, </v>
      </c>
      <c r="L19" s="712">
        <v>30</v>
      </c>
      <c r="M19" s="798" t="str">
        <f>HYPERLINK("http://www.petanque.ee/index.php?id=103589&amp;cid=361","25. Eesti MV, ")</f>
        <v xml:space="preserve">25. Eesti MV, </v>
      </c>
      <c r="N19" s="712">
        <v>31</v>
      </c>
      <c r="O19" s="734"/>
      <c r="P19" s="735"/>
      <c r="Q19" s="735"/>
      <c r="R19" s="734"/>
      <c r="S19" s="734"/>
    </row>
    <row r="20" spans="1:19" s="58" customFormat="1" x14ac:dyDescent="0.2">
      <c r="A20" s="72"/>
      <c r="B20" s="77"/>
      <c r="C20" s="72"/>
      <c r="D20" s="77"/>
      <c r="E20" s="123"/>
      <c r="F20" s="96"/>
      <c r="G20" s="109" t="s">
        <v>103</v>
      </c>
      <c r="H20" s="110"/>
      <c r="I20" s="100"/>
      <c r="J20" s="96"/>
      <c r="K20" s="101" t="s">
        <v>97</v>
      </c>
      <c r="L20" s="77"/>
      <c r="M20" s="704" t="s">
        <v>104</v>
      </c>
      <c r="N20" s="77"/>
      <c r="O20" s="734"/>
      <c r="P20" s="735"/>
      <c r="Q20" s="735"/>
      <c r="R20" s="734"/>
      <c r="S20" s="734"/>
    </row>
    <row r="21" spans="1:19" ht="13.5" thickBot="1" x14ac:dyDescent="0.25">
      <c r="A21" s="82"/>
      <c r="B21" s="87"/>
      <c r="C21" s="82"/>
      <c r="D21" s="87"/>
      <c r="E21" s="124"/>
      <c r="F21" s="103"/>
      <c r="G21" s="111" t="str">
        <f>HYPERLINK("http://kaart.delfi.ee/?bookmark=521b80d6ceeefbe3e5d227267242b576","K-Järve")</f>
        <v>K-Järve</v>
      </c>
      <c r="H21" s="112"/>
      <c r="I21" s="106"/>
      <c r="J21" s="103"/>
      <c r="K21" s="125" t="str">
        <f>HYPERLINK("http://kaart.delfi.ee/?bookmark=74c75bcac28b2fd2e8b72ec880f7ea31","Tallinn, Mustamäe")</f>
        <v>Tallinn, Mustamäe</v>
      </c>
      <c r="L21" s="87"/>
      <c r="M21" s="705" t="str">
        <f>HYPERLINK("http://kaart.delfi.ee/?bookmark=74c75bcac28b2fd2e8b72ec880f7ea31","Tallinn, Mustamäe")</f>
        <v>Tallinn, Mustamäe</v>
      </c>
      <c r="N21" s="87"/>
      <c r="O21" s="734"/>
      <c r="P21" s="735"/>
      <c r="Q21" s="735"/>
      <c r="R21" s="734"/>
      <c r="S21" s="734"/>
    </row>
    <row r="22" spans="1:19" ht="13.5" thickBot="1" x14ac:dyDescent="0.25">
      <c r="A22" s="5" t="s">
        <v>31</v>
      </c>
      <c r="B22" s="126"/>
      <c r="C22" s="63"/>
      <c r="D22" s="73"/>
      <c r="E22" s="64"/>
      <c r="F22" s="65"/>
      <c r="G22" s="64"/>
      <c r="H22" s="65"/>
      <c r="I22" s="65"/>
      <c r="J22" s="65"/>
      <c r="K22" s="74"/>
      <c r="L22" s="73"/>
      <c r="M22" s="74"/>
      <c r="N22" s="73"/>
      <c r="O22" s="737"/>
      <c r="P22" s="735"/>
      <c r="Q22" s="735"/>
    </row>
    <row r="23" spans="1:19" s="58" customFormat="1" x14ac:dyDescent="0.2">
      <c r="A23" s="66"/>
      <c r="B23" s="712">
        <v>1</v>
      </c>
      <c r="C23" s="66"/>
      <c r="D23" s="712">
        <v>2</v>
      </c>
      <c r="E23" s="92" t="str">
        <f>HYPERLINK("#'V3'!K1","Voka 2. ")</f>
        <v xml:space="preserve">Voka 2. </v>
      </c>
      <c r="F23" s="712">
        <v>3</v>
      </c>
      <c r="G23" s="93" t="str">
        <f>HYPERLINK("#'T2'!W1","Neljapäevak 2, ")</f>
        <v xml:space="preserve">Neljapäevak 2, </v>
      </c>
      <c r="H23" s="712">
        <v>4</v>
      </c>
      <c r="I23" s="94"/>
      <c r="J23" s="712">
        <v>5</v>
      </c>
      <c r="K23" s="122" t="str">
        <f>HYPERLINK("http://www.petanque.ee/index.php?id=103681&amp;cid=362","EPKL reiting, ")</f>
        <v xml:space="preserve">EPKL reiting, </v>
      </c>
      <c r="L23" s="712">
        <v>6</v>
      </c>
      <c r="M23" s="122" t="str">
        <f>HYPERLINK("http://www.petanque.ee/index.php?id=103681&amp;cid=363","EPKL reiting, ")</f>
        <v xml:space="preserve">EPKL reiting, </v>
      </c>
      <c r="N23" s="712">
        <v>7</v>
      </c>
      <c r="O23" s="733"/>
      <c r="P23" s="735"/>
      <c r="Q23" s="735"/>
      <c r="R23" s="733"/>
      <c r="S23" s="733"/>
    </row>
    <row r="24" spans="1:19" s="58" customFormat="1" x14ac:dyDescent="0.2">
      <c r="A24" s="72"/>
      <c r="B24" s="77"/>
      <c r="C24" s="72"/>
      <c r="D24" s="77"/>
      <c r="E24" s="97" t="s">
        <v>114</v>
      </c>
      <c r="F24" s="98"/>
      <c r="G24" s="99" t="s">
        <v>95</v>
      </c>
      <c r="H24" s="77"/>
      <c r="I24" s="100"/>
      <c r="J24" s="96"/>
      <c r="K24" s="101" t="s">
        <v>105</v>
      </c>
      <c r="L24" s="77"/>
      <c r="M24" s="101" t="s">
        <v>106</v>
      </c>
      <c r="N24" s="77"/>
      <c r="O24" s="734"/>
      <c r="P24" s="736"/>
      <c r="Q24" s="735"/>
      <c r="R24" s="734"/>
      <c r="S24" s="734"/>
    </row>
    <row r="25" spans="1:19" s="58" customFormat="1" x14ac:dyDescent="0.2">
      <c r="A25" s="72"/>
      <c r="B25" s="77"/>
      <c r="C25" s="72"/>
      <c r="D25" s="77"/>
      <c r="E25" s="97" t="s">
        <v>97</v>
      </c>
      <c r="F25" s="98"/>
      <c r="G25" s="99"/>
      <c r="H25" s="77"/>
      <c r="I25" s="100"/>
      <c r="J25" s="96"/>
      <c r="K25" s="101"/>
      <c r="L25" s="77"/>
      <c r="M25" s="101"/>
      <c r="N25" s="77"/>
      <c r="O25" s="734"/>
      <c r="P25" s="735"/>
      <c r="Q25" s="735"/>
      <c r="R25" s="734"/>
      <c r="S25" s="734"/>
    </row>
    <row r="26" spans="1:19" ht="13.5" thickBot="1" x14ac:dyDescent="0.25">
      <c r="A26" s="82"/>
      <c r="B26" s="87"/>
      <c r="C26" s="82"/>
      <c r="D26" s="87"/>
      <c r="E26" s="104" t="str">
        <f>HYPERLINK("http://kaart.delfi.ee/?bookmark=63ebb20d0f5732aa12acf360e2b986df","Voka")</f>
        <v>Voka</v>
      </c>
      <c r="F26" s="105"/>
      <c r="G26" s="88" t="str">
        <f>HYPERLINK("http://kaart.delfi.ee/?bookmark=521b80d6ceeefbe3e5d227267242b576","K-Järve")</f>
        <v>K-Järve</v>
      </c>
      <c r="H26" s="87"/>
      <c r="I26" s="106"/>
      <c r="J26" s="103"/>
      <c r="K26" s="125" t="str">
        <f>HYPERLINK("http://kaart.delfi.ee/?bookmark=70e300a2ddb0a2aa9ccd860e805ac254","Viljandi")</f>
        <v>Viljandi</v>
      </c>
      <c r="L26" s="87"/>
      <c r="M26" s="125" t="str">
        <f>HYPERLINK("http://kaart.delfi.ee/?bookmark=70e300a2ddb0a2aa9ccd860e805ac254","Viljandi")</f>
        <v>Viljandi</v>
      </c>
      <c r="N26" s="87"/>
      <c r="P26" s="735"/>
      <c r="Q26" s="735"/>
    </row>
    <row r="27" spans="1:19" s="58" customFormat="1" x14ac:dyDescent="0.2">
      <c r="A27" s="66"/>
      <c r="B27" s="712">
        <v>8</v>
      </c>
      <c r="C27" s="66"/>
      <c r="D27" s="712">
        <v>9</v>
      </c>
      <c r="E27" s="121"/>
      <c r="F27" s="712">
        <v>10</v>
      </c>
      <c r="G27" s="108" t="str">
        <f>HYPERLINK("#'4'!I1","Ida-Virumaa ")</f>
        <v xml:space="preserve">Ida-Virumaa </v>
      </c>
      <c r="H27" s="712">
        <v>11</v>
      </c>
      <c r="I27" s="94"/>
      <c r="J27" s="712">
        <v>12</v>
      </c>
      <c r="K27" s="747" t="str">
        <f>HYPERLINK("http://www.petanque.ee/index.php?id=103589&amp;cid=364","Katsevõistlus, ")</f>
        <v xml:space="preserve">Katsevõistlus, </v>
      </c>
      <c r="L27" s="714">
        <v>13</v>
      </c>
      <c r="M27" s="747" t="str">
        <f>HYPERLINK("http://www.petanque.ee/index.php?id=103589&amp;cid=365","Katsevõistlus, ")</f>
        <v xml:space="preserve">Katsevõistlus, </v>
      </c>
      <c r="N27" s="712">
        <v>14</v>
      </c>
      <c r="O27" s="734"/>
      <c r="P27" s="735"/>
      <c r="Q27" s="735"/>
      <c r="R27" s="734"/>
      <c r="S27" s="734"/>
    </row>
    <row r="28" spans="1:19" s="58" customFormat="1" x14ac:dyDescent="0.2">
      <c r="A28" s="72"/>
      <c r="B28" s="77"/>
      <c r="C28" s="72"/>
      <c r="D28" s="77"/>
      <c r="E28" s="123"/>
      <c r="F28" s="96"/>
      <c r="G28" s="109" t="s">
        <v>107</v>
      </c>
      <c r="H28" s="110"/>
      <c r="I28" s="100"/>
      <c r="J28" s="96"/>
      <c r="K28" s="748" t="s">
        <v>108</v>
      </c>
      <c r="L28" s="127"/>
      <c r="M28" s="748" t="s">
        <v>109</v>
      </c>
      <c r="N28" s="77"/>
      <c r="O28" s="734"/>
      <c r="P28" s="735"/>
      <c r="Q28" s="735"/>
      <c r="R28" s="734"/>
      <c r="S28" s="734"/>
    </row>
    <row r="29" spans="1:19" ht="13.5" thickBot="1" x14ac:dyDescent="0.25">
      <c r="A29" s="82"/>
      <c r="B29" s="87"/>
      <c r="C29" s="82"/>
      <c r="D29" s="87"/>
      <c r="E29" s="124"/>
      <c r="F29" s="103"/>
      <c r="G29" s="111" t="str">
        <f>HYPERLINK("http://kaart.delfi.ee/?bookmark=1582e2f00484b7a114c2e65060c8ad45","K-Nõmme")</f>
        <v>K-Nõmme</v>
      </c>
      <c r="H29" s="112"/>
      <c r="I29" s="106"/>
      <c r="J29" s="103"/>
      <c r="K29" s="749" t="str">
        <f>HYPERLINK("http://kaart.delfi.ee/?bookmark=3997edd9e42bffb3d1b01260e8774b71","Tallinn, Linnu tee 11")</f>
        <v>Tallinn, Linnu tee 11</v>
      </c>
      <c r="L29" s="128"/>
      <c r="M29" s="749" t="str">
        <f>HYPERLINK("http://kaart.delfi.ee/?bookmark=3997edd9e42bffb3d1b01260e8774b71","Tallinn, Linnu tee 11")</f>
        <v>Tallinn, Linnu tee 11</v>
      </c>
      <c r="N29" s="87"/>
      <c r="O29" s="734"/>
      <c r="P29" s="735"/>
      <c r="Q29" s="735"/>
      <c r="R29" s="734"/>
      <c r="S29" s="734"/>
    </row>
    <row r="30" spans="1:19" s="58" customFormat="1" x14ac:dyDescent="0.2">
      <c r="A30" s="66"/>
      <c r="B30" s="712">
        <v>15</v>
      </c>
      <c r="C30" s="113" t="str">
        <f>HYPERLINK("#'M2'!J1","Mäetaguse ")</f>
        <v xml:space="preserve">Mäetaguse </v>
      </c>
      <c r="D30" s="712">
        <v>16</v>
      </c>
      <c r="E30" s="92" t="str">
        <f>HYPERLINK("#'V4'!J1","Voka 2. ")</f>
        <v xml:space="preserve">Voka 2. </v>
      </c>
      <c r="F30" s="712">
        <v>17</v>
      </c>
      <c r="G30" s="66"/>
      <c r="H30" s="712">
        <v>18</v>
      </c>
      <c r="I30" s="94"/>
      <c r="J30" s="712">
        <v>19</v>
      </c>
      <c r="K30" s="798" t="str">
        <f>HYPERLINK("http://www.petanque.ee/index.php?id=103589&amp;cid=366","15. Eesti MV, ")</f>
        <v xml:space="preserve">15. Eesti MV, </v>
      </c>
      <c r="L30" s="712">
        <v>20</v>
      </c>
      <c r="M30" s="122" t="str">
        <f>HYPERLINK("http://www.petanque.ee/index.php?id=103589&amp;cid=367","EPKL reiting, ")</f>
        <v xml:space="preserve">EPKL reiting, </v>
      </c>
      <c r="N30" s="712">
        <v>21</v>
      </c>
      <c r="O30" s="734"/>
      <c r="P30" s="735"/>
      <c r="Q30" s="735"/>
      <c r="R30" s="734"/>
      <c r="S30" s="734"/>
    </row>
    <row r="31" spans="1:19" s="58" customFormat="1" x14ac:dyDescent="0.2">
      <c r="A31" s="72"/>
      <c r="B31" s="77"/>
      <c r="C31" s="730" t="s">
        <v>602</v>
      </c>
      <c r="D31" s="115"/>
      <c r="E31" s="97" t="s">
        <v>608</v>
      </c>
      <c r="F31" s="98"/>
      <c r="G31" s="72"/>
      <c r="H31" s="77"/>
      <c r="I31" s="100"/>
      <c r="J31" s="96"/>
      <c r="K31" s="704" t="s">
        <v>95</v>
      </c>
      <c r="L31" s="77"/>
      <c r="M31" s="101" t="s">
        <v>96</v>
      </c>
      <c r="N31" s="77"/>
      <c r="O31" s="734"/>
      <c r="P31" s="735"/>
      <c r="Q31" s="735"/>
      <c r="R31" s="734"/>
      <c r="S31" s="734"/>
    </row>
    <row r="32" spans="1:19" s="58" customFormat="1" x14ac:dyDescent="0.2">
      <c r="A32" s="72"/>
      <c r="B32" s="77"/>
      <c r="C32" s="114" t="s">
        <v>96</v>
      </c>
      <c r="D32" s="115"/>
      <c r="E32" s="97" t="s">
        <v>96</v>
      </c>
      <c r="F32" s="98"/>
      <c r="G32" s="72"/>
      <c r="H32" s="77"/>
      <c r="I32" s="100"/>
      <c r="J32" s="96"/>
      <c r="K32" s="706"/>
      <c r="L32" s="77"/>
      <c r="M32" s="102"/>
      <c r="N32" s="77"/>
      <c r="O32" s="733"/>
      <c r="P32" s="735"/>
      <c r="Q32" s="735"/>
      <c r="R32" s="733"/>
      <c r="S32" s="733"/>
    </row>
    <row r="33" spans="1:19" ht="13.5" thickBot="1" x14ac:dyDescent="0.25">
      <c r="A33" s="82"/>
      <c r="B33" s="87"/>
      <c r="C33" s="118" t="str">
        <f>HYPERLINK("http://kaart.delfi.ee/?bookmark=96e8ef31375c7e6041cd302dca543f69","Mäetaguse")</f>
        <v>Mäetaguse</v>
      </c>
      <c r="D33" s="119"/>
      <c r="E33" s="104" t="str">
        <f>HYPERLINK("http://kaart.delfi.ee/?bookmark=63ebb20d0f5732aa12acf360e2b986df","Voka")</f>
        <v>Voka</v>
      </c>
      <c r="F33" s="105"/>
      <c r="G33" s="82"/>
      <c r="H33" s="87"/>
      <c r="I33" s="106"/>
      <c r="J33" s="103"/>
      <c r="K33" s="705" t="str">
        <f>HYPERLINK("http://kaart.delfi.ee/?bookmark=ff3368ddb614ae245b1784a9792a2651","Tallinn, Tondi 84")</f>
        <v>Tallinn, Tondi 84</v>
      </c>
      <c r="L33" s="87"/>
      <c r="M33" s="125" t="str">
        <f>HYPERLINK("http://kaart.delfi.ee/?bookmark=3997edd9e42bffb3d1b01260e8774b71","Tallinn, Linnu tee 11")</f>
        <v>Tallinn, Linnu tee 11</v>
      </c>
      <c r="N33" s="87"/>
      <c r="O33" s="734"/>
      <c r="P33" s="736"/>
      <c r="Q33" s="735"/>
      <c r="R33" s="734"/>
      <c r="S33" s="734"/>
    </row>
    <row r="34" spans="1:19" s="58" customFormat="1" x14ac:dyDescent="0.2">
      <c r="A34" s="66"/>
      <c r="B34" s="712">
        <v>22</v>
      </c>
      <c r="C34" s="66"/>
      <c r="D34" s="713">
        <v>23</v>
      </c>
      <c r="E34" s="121"/>
      <c r="F34" s="713">
        <v>24</v>
      </c>
      <c r="G34" s="94"/>
      <c r="H34" s="712">
        <v>25</v>
      </c>
      <c r="I34" s="94"/>
      <c r="J34" s="712">
        <v>26</v>
      </c>
      <c r="K34" s="66"/>
      <c r="L34" s="712">
        <v>27</v>
      </c>
      <c r="M34" s="129" t="str">
        <f>HYPERLINK("#'Mu'!J1","Toila valla MV ")</f>
        <v xml:space="preserve">Toila valla MV </v>
      </c>
      <c r="N34" s="712">
        <v>28</v>
      </c>
      <c r="O34" s="734"/>
      <c r="P34" s="735"/>
      <c r="Q34" s="735"/>
      <c r="R34" s="734"/>
      <c r="S34" s="734"/>
    </row>
    <row r="35" spans="1:19" s="58" customFormat="1" x14ac:dyDescent="0.2">
      <c r="A35" s="72"/>
      <c r="B35" s="77"/>
      <c r="C35" s="72"/>
      <c r="D35" s="77"/>
      <c r="E35" s="72"/>
      <c r="F35" s="77"/>
      <c r="G35" s="100"/>
      <c r="H35" s="96"/>
      <c r="I35" s="100"/>
      <c r="J35" s="96"/>
      <c r="K35" s="72"/>
      <c r="L35" s="77"/>
      <c r="M35" s="130" t="s">
        <v>111</v>
      </c>
      <c r="N35" s="131"/>
      <c r="O35" s="734"/>
      <c r="P35" s="735"/>
      <c r="Q35" s="735"/>
      <c r="R35" s="734"/>
      <c r="S35" s="734"/>
    </row>
    <row r="36" spans="1:19" s="58" customFormat="1" x14ac:dyDescent="0.2">
      <c r="A36" s="72"/>
      <c r="B36" s="77"/>
      <c r="C36" s="72"/>
      <c r="D36" s="77"/>
      <c r="E36" s="72"/>
      <c r="F36" s="77"/>
      <c r="G36" s="100"/>
      <c r="H36" s="96"/>
      <c r="I36" s="100"/>
      <c r="J36" s="96"/>
      <c r="K36" s="72"/>
      <c r="L36" s="77"/>
      <c r="M36" s="130" t="s">
        <v>104</v>
      </c>
      <c r="N36" s="131"/>
      <c r="O36" s="734"/>
      <c r="P36" s="735"/>
      <c r="Q36" s="735"/>
      <c r="R36" s="734"/>
      <c r="S36" s="734"/>
    </row>
    <row r="37" spans="1:19" ht="13.5" thickBot="1" x14ac:dyDescent="0.25">
      <c r="A37" s="82"/>
      <c r="B37" s="87"/>
      <c r="C37" s="82"/>
      <c r="D37" s="103"/>
      <c r="E37" s="82"/>
      <c r="F37" s="87"/>
      <c r="G37" s="106"/>
      <c r="H37" s="103"/>
      <c r="I37" s="106"/>
      <c r="J37" s="103"/>
      <c r="K37" s="82"/>
      <c r="L37" s="87"/>
      <c r="M37" s="132" t="str">
        <f>HYPERLINK("http://kaart.delfi.ee/?bookmark=63ebb20d0f5732aa12acf360e2b986df","Voka")</f>
        <v>Voka</v>
      </c>
      <c r="N37" s="133"/>
      <c r="P37" s="735"/>
      <c r="Q37" s="735"/>
    </row>
    <row r="38" spans="1:19" ht="13.5" thickBot="1" x14ac:dyDescent="0.25">
      <c r="A38" s="5" t="s">
        <v>43</v>
      </c>
      <c r="B38" s="126"/>
      <c r="C38" s="63"/>
      <c r="D38" s="65"/>
      <c r="E38" s="74"/>
      <c r="F38" s="73"/>
      <c r="G38" s="64"/>
      <c r="H38" s="65"/>
      <c r="I38" s="65"/>
      <c r="J38" s="65"/>
      <c r="K38" s="74"/>
      <c r="L38" s="73"/>
      <c r="M38" s="134"/>
      <c r="N38" s="73"/>
      <c r="O38" s="734"/>
      <c r="P38" s="735"/>
      <c r="Q38" s="735"/>
      <c r="R38" s="734"/>
      <c r="S38" s="734"/>
    </row>
    <row r="39" spans="1:19" s="58" customFormat="1" x14ac:dyDescent="0.2">
      <c r="A39" s="66"/>
      <c r="B39" s="712">
        <v>29</v>
      </c>
      <c r="C39" s="66"/>
      <c r="D39" s="712">
        <v>30</v>
      </c>
      <c r="E39" s="92" t="str">
        <f>HYPERLINK("#'V5'!L1","Voka 2. ")</f>
        <v xml:space="preserve">Voka 2. </v>
      </c>
      <c r="F39" s="712">
        <v>1</v>
      </c>
      <c r="G39" s="93" t="str">
        <f>HYPERLINK("#'T3'!W1","Neljapäevak 3, ")</f>
        <v xml:space="preserve">Neljapäevak 3, </v>
      </c>
      <c r="H39" s="712">
        <v>2</v>
      </c>
      <c r="I39" s="94"/>
      <c r="J39" s="712">
        <v>3</v>
      </c>
      <c r="K39" s="799" t="str">
        <f>HYPERLINK("http://www.petanque.ee/index.php?id=103736&amp;cid=368","25. Eesti MV, ")</f>
        <v xml:space="preserve">25. Eesti MV, </v>
      </c>
      <c r="L39" s="712">
        <v>4</v>
      </c>
      <c r="M39" s="95" t="str">
        <f>HYPERLINK("http://www.petanque.ee/index.php?id=103736&amp;cid=369","EPKL reiting, ")</f>
        <v xml:space="preserve">EPKL reiting, </v>
      </c>
      <c r="N39" s="712">
        <v>5</v>
      </c>
      <c r="O39" s="734"/>
      <c r="P39" s="735"/>
      <c r="Q39" s="735"/>
      <c r="R39" s="734"/>
      <c r="S39" s="734"/>
    </row>
    <row r="40" spans="1:19" s="58" customFormat="1" x14ac:dyDescent="0.2">
      <c r="A40" s="72"/>
      <c r="B40" s="77"/>
      <c r="C40" s="72"/>
      <c r="D40" s="96"/>
      <c r="E40" s="97" t="s">
        <v>609</v>
      </c>
      <c r="F40" s="98"/>
      <c r="G40" s="99" t="s">
        <v>95</v>
      </c>
      <c r="H40" s="77"/>
      <c r="I40" s="100"/>
      <c r="J40" s="96"/>
      <c r="K40" s="707" t="s">
        <v>97</v>
      </c>
      <c r="L40" s="77"/>
      <c r="M40" s="135" t="s">
        <v>96</v>
      </c>
      <c r="N40" s="77"/>
      <c r="O40" s="733"/>
      <c r="P40" s="735"/>
      <c r="Q40" s="735"/>
      <c r="R40" s="733"/>
      <c r="S40" s="733"/>
    </row>
    <row r="41" spans="1:19" s="58" customFormat="1" x14ac:dyDescent="0.2">
      <c r="A41" s="72"/>
      <c r="B41" s="77"/>
      <c r="C41" s="72"/>
      <c r="D41" s="96"/>
      <c r="E41" s="97" t="s">
        <v>97</v>
      </c>
      <c r="F41" s="98"/>
      <c r="G41" s="136"/>
      <c r="H41" s="77"/>
      <c r="I41" s="100"/>
      <c r="J41" s="96"/>
      <c r="K41" s="708" t="str">
        <f>HYPERLINK("http://kaart.delfi.ee/?bookmark=0eb4bf4e7fb4b30009b7d7543818abd1","Kärdla, Nuutri 21")</f>
        <v>Kärdla, Nuutri 21</v>
      </c>
      <c r="L41" s="137"/>
      <c r="M41" s="138" t="str">
        <f>HYPERLINK("http://kaart.delfi.ee/?bookmark=0eb4bf4e7fb4b30009b7d7543818abd1","Kärdla, Nuutri 21")</f>
        <v>Kärdla, Nuutri 21</v>
      </c>
      <c r="N41" s="137"/>
      <c r="O41" s="733"/>
      <c r="P41" s="735"/>
      <c r="Q41" s="735"/>
      <c r="R41" s="733"/>
      <c r="S41" s="733"/>
    </row>
    <row r="42" spans="1:19" s="58" customFormat="1" x14ac:dyDescent="0.2">
      <c r="A42" s="72"/>
      <c r="B42" s="77"/>
      <c r="C42" s="72"/>
      <c r="D42" s="96"/>
      <c r="E42" s="139" t="str">
        <f>HYPERLINK("http://kaart.delfi.ee/?bookmark=63ebb20d0f5732aa12acf360e2b986df","Voka")</f>
        <v>Voka</v>
      </c>
      <c r="F42" s="140"/>
      <c r="G42" s="141" t="str">
        <f>HYPERLINK("http://kaart.delfi.ee/?bookmark=521b80d6ceeefbe3e5d227267242b576","K-Järve")</f>
        <v>K-Järve</v>
      </c>
      <c r="H42" s="137"/>
      <c r="I42" s="100"/>
      <c r="J42" s="96"/>
      <c r="K42" s="142" t="str">
        <f>HYPERLINK("http://www.petanque.ee/index.php?id=103681&amp;cid=371","48. ESL ")</f>
        <v xml:space="preserve">48. ESL </v>
      </c>
      <c r="L42" s="143"/>
      <c r="M42" s="618" t="str">
        <f>HYPERLINK("http://www.petanque.ee/index.php?id=103681&amp;cid=371","48. ESL ")</f>
        <v xml:space="preserve">48. ESL </v>
      </c>
      <c r="N42" s="143"/>
      <c r="O42" s="734"/>
      <c r="P42" s="735"/>
      <c r="Q42" s="735"/>
      <c r="R42" s="734"/>
      <c r="S42" s="734"/>
    </row>
    <row r="43" spans="1:19" s="58" customFormat="1" x14ac:dyDescent="0.2">
      <c r="A43" s="72"/>
      <c r="B43" s="77"/>
      <c r="C43" s="72"/>
      <c r="D43" s="96"/>
      <c r="E43" s="144"/>
      <c r="F43" s="145"/>
      <c r="G43" s="144"/>
      <c r="H43" s="145"/>
      <c r="I43" s="100"/>
      <c r="J43" s="96"/>
      <c r="K43" s="123" t="s">
        <v>112</v>
      </c>
      <c r="L43" s="146"/>
      <c r="M43" s="619" t="s">
        <v>112</v>
      </c>
      <c r="N43" s="146"/>
      <c r="O43" s="734"/>
      <c r="P43" s="735"/>
      <c r="Q43" s="735"/>
      <c r="R43" s="734"/>
      <c r="S43" s="734"/>
    </row>
    <row r="44" spans="1:19" s="58" customFormat="1" x14ac:dyDescent="0.2">
      <c r="A44" s="72"/>
      <c r="B44" s="77"/>
      <c r="C44" s="72"/>
      <c r="D44" s="96"/>
      <c r="E44" s="100"/>
      <c r="F44" s="96"/>
      <c r="G44" s="100"/>
      <c r="H44" s="96"/>
      <c r="I44" s="100"/>
      <c r="J44" s="96"/>
      <c r="K44" s="147" t="s">
        <v>113</v>
      </c>
      <c r="L44" s="146"/>
      <c r="M44" s="619" t="s">
        <v>113</v>
      </c>
      <c r="N44" s="146"/>
      <c r="O44" s="734"/>
      <c r="P44" s="735"/>
      <c r="Q44" s="735"/>
      <c r="R44" s="734"/>
      <c r="S44" s="734"/>
    </row>
    <row r="45" spans="1:19" ht="13.5" thickBot="1" x14ac:dyDescent="0.25">
      <c r="A45" s="82"/>
      <c r="B45" s="87"/>
      <c r="C45" s="82"/>
      <c r="D45" s="103"/>
      <c r="E45" s="82"/>
      <c r="F45" s="87"/>
      <c r="G45" s="106"/>
      <c r="H45" s="103"/>
      <c r="I45" s="106"/>
      <c r="J45" s="103"/>
      <c r="K45" s="90" t="str">
        <f>HYPERLINK("http://kaart.delfi.ee/?bookmark=70e300a2ddb0a2aa9ccd860e805ac254","Viljandi")</f>
        <v>Viljandi</v>
      </c>
      <c r="L45" s="120" t="str">
        <f>HYPERLINK("http://esvl.ee/uus/wp-content/uploads/2015/05/48-sm-juhend-22.06.pdf","juh")</f>
        <v>juh</v>
      </c>
      <c r="M45" s="620" t="str">
        <f>HYPERLINK("http://kaart.delfi.ee/?bookmark=70e300a2ddb0a2aa9ccd860e805ac254","Viljandi")</f>
        <v>Viljandi</v>
      </c>
      <c r="N45" s="148"/>
      <c r="O45" s="734"/>
      <c r="P45" s="735"/>
      <c r="Q45" s="735"/>
      <c r="R45" s="734"/>
      <c r="S45" s="734"/>
    </row>
    <row r="46" spans="1:19" s="58" customFormat="1" x14ac:dyDescent="0.2">
      <c r="A46" s="66"/>
      <c r="B46" s="712">
        <v>6</v>
      </c>
      <c r="C46" s="113" t="str">
        <f>HYPERLINK("#'M3'!J1","Mäetaguse ")</f>
        <v xml:space="preserve">Mäetaguse </v>
      </c>
      <c r="D46" s="712">
        <v>7</v>
      </c>
      <c r="E46" s="66"/>
      <c r="F46" s="712">
        <v>8</v>
      </c>
      <c r="G46" s="108" t="str">
        <f>HYPERLINK("#'5'!J1","Jõhvi 15. MV, ")</f>
        <v xml:space="preserve">Jõhvi 15. MV, </v>
      </c>
      <c r="H46" s="712">
        <v>9</v>
      </c>
      <c r="I46" s="149" t="str">
        <f>HYPERLINK("http://www.joud.ee/g174","14. Eestimaa ")</f>
        <v xml:space="preserve">14. Eestimaa </v>
      </c>
      <c r="J46" s="712">
        <v>10</v>
      </c>
      <c r="K46" s="149" t="str">
        <f>HYPERLINK("http://www.joud.ee/g174","14. Eestimaa ")</f>
        <v xml:space="preserve">14. Eestimaa </v>
      </c>
      <c r="L46" s="712">
        <v>11</v>
      </c>
      <c r="M46" s="66"/>
      <c r="N46" s="712">
        <v>12</v>
      </c>
      <c r="O46" s="734"/>
      <c r="P46" s="735"/>
      <c r="Q46" s="735"/>
      <c r="R46" s="734"/>
      <c r="S46" s="734"/>
    </row>
    <row r="47" spans="1:19" s="58" customFormat="1" x14ac:dyDescent="0.2">
      <c r="A47" s="72"/>
      <c r="B47" s="77"/>
      <c r="C47" s="730" t="s">
        <v>601</v>
      </c>
      <c r="D47" s="115"/>
      <c r="E47" s="731" t="s">
        <v>136</v>
      </c>
      <c r="F47" s="77"/>
      <c r="G47" s="109" t="s">
        <v>97</v>
      </c>
      <c r="H47" s="110"/>
      <c r="I47" s="147" t="s">
        <v>115</v>
      </c>
      <c r="J47" s="96"/>
      <c r="K47" s="147" t="s">
        <v>115</v>
      </c>
      <c r="L47" s="77"/>
      <c r="M47" s="72"/>
      <c r="N47" s="77"/>
      <c r="O47" s="734"/>
      <c r="P47" s="735"/>
      <c r="Q47" s="735"/>
      <c r="R47" s="734"/>
      <c r="S47" s="734"/>
    </row>
    <row r="48" spans="1:19" s="58" customFormat="1" x14ac:dyDescent="0.2">
      <c r="A48" s="72"/>
      <c r="B48" s="77"/>
      <c r="C48" s="150" t="s">
        <v>97</v>
      </c>
      <c r="D48" s="115"/>
      <c r="E48" s="72"/>
      <c r="F48" s="77"/>
      <c r="G48" s="151" t="s">
        <v>116</v>
      </c>
      <c r="H48" s="110"/>
      <c r="I48" s="72" t="s">
        <v>113</v>
      </c>
      <c r="J48" s="96"/>
      <c r="K48" s="72" t="s">
        <v>113</v>
      </c>
      <c r="L48" s="77"/>
      <c r="M48" s="72"/>
      <c r="N48" s="77"/>
      <c r="O48" s="734"/>
      <c r="P48" s="735"/>
      <c r="Q48" s="735"/>
      <c r="R48" s="734"/>
      <c r="S48" s="734"/>
    </row>
    <row r="49" spans="1:19" s="58" customFormat="1" ht="13.5" thickBot="1" x14ac:dyDescent="0.25">
      <c r="A49" s="82"/>
      <c r="B49" s="87"/>
      <c r="C49" s="118" t="str">
        <f>HYPERLINK("http://kaart.delfi.ee/?bookmark=96e8ef31375c7e6041cd302dca543f69","Mäetaguse")</f>
        <v>Mäetaguse</v>
      </c>
      <c r="D49" s="119"/>
      <c r="E49" s="82"/>
      <c r="F49" s="87"/>
      <c r="G49" s="111" t="str">
        <f>HYPERLINK("http://kaart.delfi.ee/?bookmark=4c0b1b0c24ff9f4919899a9546bf50f1","Jõhvi")</f>
        <v>Jõhvi</v>
      </c>
      <c r="H49" s="112"/>
      <c r="I49" s="152" t="str">
        <f>HYPERLINK("http://kaart.delfi.ee/?bookmark=0d9af00295cfd9533201a9797563fbdc","Kuressaare, Lossipark 1")</f>
        <v>Kuressaare, Lossipark 1</v>
      </c>
      <c r="J49" s="103"/>
      <c r="K49" s="152" t="str">
        <f>HYPERLINK("http://kaart.delfi.ee/?bookmark=0d9af00295cfd9533201a9797563fbdc","Kuressaare, Lossipark 1")</f>
        <v>Kuressaare, Lossipark 1</v>
      </c>
      <c r="L49" s="87"/>
      <c r="M49" s="82"/>
      <c r="N49" s="87"/>
      <c r="O49" s="733"/>
      <c r="P49" s="735"/>
      <c r="Q49" s="735"/>
      <c r="R49" s="733"/>
      <c r="S49" s="733"/>
    </row>
    <row r="50" spans="1:19" s="58" customFormat="1" x14ac:dyDescent="0.2">
      <c r="A50" s="66"/>
      <c r="B50" s="712">
        <v>13</v>
      </c>
      <c r="C50" s="66"/>
      <c r="D50" s="712">
        <v>14</v>
      </c>
      <c r="E50" s="92" t="str">
        <f>HYPERLINK("#'V6'!J1","Voka 2. ")</f>
        <v xml:space="preserve">Voka 2. </v>
      </c>
      <c r="F50" s="712">
        <v>15</v>
      </c>
      <c r="G50" s="66"/>
      <c r="H50" s="712">
        <v>16</v>
      </c>
      <c r="I50" s="94"/>
      <c r="J50" s="712">
        <v>17</v>
      </c>
      <c r="K50" s="95" t="str">
        <f>HYPERLINK("http://www.petanque.ee/index.php?id=103589&amp;cid=375","EPKL reiting, ")</f>
        <v xml:space="preserve">EPKL reiting, </v>
      </c>
      <c r="L50" s="712">
        <v>18</v>
      </c>
      <c r="M50" s="799" t="str">
        <f>HYPERLINK("http://www.petanque.ee/index.php?id=103589&amp;cid=376","10. Eesti MV, ")</f>
        <v xml:space="preserve">10. Eesti MV, </v>
      </c>
      <c r="N50" s="712">
        <v>19</v>
      </c>
      <c r="O50" s="734"/>
      <c r="P50" s="736"/>
      <c r="Q50" s="735"/>
      <c r="R50" s="734"/>
      <c r="S50" s="734"/>
    </row>
    <row r="51" spans="1:19" s="58" customFormat="1" x14ac:dyDescent="0.2">
      <c r="A51" s="72"/>
      <c r="B51" s="77"/>
      <c r="C51" s="72"/>
      <c r="D51" s="77"/>
      <c r="E51" s="97" t="s">
        <v>610</v>
      </c>
      <c r="F51" s="98"/>
      <c r="G51" s="72"/>
      <c r="H51" s="77"/>
      <c r="I51" s="100"/>
      <c r="J51" s="96"/>
      <c r="K51" s="101" t="s">
        <v>97</v>
      </c>
      <c r="L51" s="77"/>
      <c r="M51" s="704" t="s">
        <v>113</v>
      </c>
      <c r="N51" s="77"/>
      <c r="O51" s="734"/>
      <c r="P51" s="735"/>
      <c r="Q51" s="735"/>
      <c r="R51" s="734"/>
      <c r="S51" s="734"/>
    </row>
    <row r="52" spans="1:19" s="58" customFormat="1" x14ac:dyDescent="0.2">
      <c r="A52" s="72"/>
      <c r="B52" s="77"/>
      <c r="C52" s="72"/>
      <c r="D52" s="77"/>
      <c r="E52" s="97" t="s">
        <v>96</v>
      </c>
      <c r="F52" s="98"/>
      <c r="G52" s="72"/>
      <c r="H52" s="77"/>
      <c r="I52" s="100"/>
      <c r="J52" s="96"/>
      <c r="K52" s="138" t="str">
        <f>HYPERLINK("http://kaart.delfi.ee/?bookmark=c3bc2d791932456b66ad8adb604010c1","Haapsalu")</f>
        <v>Haapsalu</v>
      </c>
      <c r="L52" s="137"/>
      <c r="M52" s="709" t="str">
        <f>HYPERLINK("http://kaart.delfi.ee/?bookmark=c3bc2d791932456b66ad8adb604010c1","Haapsalu")</f>
        <v>Haapsalu</v>
      </c>
      <c r="N52" s="77"/>
      <c r="O52" s="734"/>
      <c r="P52" s="735"/>
      <c r="Q52" s="735"/>
      <c r="R52" s="734"/>
      <c r="S52" s="734"/>
    </row>
    <row r="53" spans="1:19" s="58" customFormat="1" x14ac:dyDescent="0.2">
      <c r="A53" s="72"/>
      <c r="B53" s="77"/>
      <c r="C53" s="72"/>
      <c r="D53" s="77"/>
      <c r="E53" s="139" t="str">
        <f>HYPERLINK("http://kaart.delfi.ee/?bookmark=63ebb20d0f5732aa12acf360e2b986df","Voka")</f>
        <v>Voka</v>
      </c>
      <c r="F53" s="140"/>
      <c r="G53" s="72"/>
      <c r="H53" s="77"/>
      <c r="I53" s="100"/>
      <c r="J53" s="96"/>
      <c r="K53" s="750" t="str">
        <f>HYPERLINK("http://www.valgapetank.ee/moodul.php?moodul=CMS&amp;Komponent=NewsFront&amp;f=viewNews&amp;id=200","Baltic Cup 3. et, TRIO")</f>
        <v>Baltic Cup 3. et, TRIO</v>
      </c>
      <c r="L53" s="143"/>
      <c r="M53" s="153"/>
      <c r="N53" s="143"/>
      <c r="O53" s="734"/>
      <c r="P53" s="736"/>
      <c r="Q53" s="735"/>
      <c r="R53" s="734"/>
      <c r="S53" s="734"/>
    </row>
    <row r="54" spans="1:19" ht="13.5" thickBot="1" x14ac:dyDescent="0.25">
      <c r="A54" s="82"/>
      <c r="B54" s="87"/>
      <c r="C54" s="82"/>
      <c r="D54" s="87"/>
      <c r="E54" s="82"/>
      <c r="F54" s="87"/>
      <c r="G54" s="82"/>
      <c r="H54" s="87"/>
      <c r="I54" s="106"/>
      <c r="J54" s="103"/>
      <c r="K54" s="751" t="str">
        <f>HYPERLINK("http://kaart.delfi.ee/?bookmark=037591353bf9698628b723dab6c5e799","Valga")</f>
        <v>Valga</v>
      </c>
      <c r="L54" s="154"/>
      <c r="M54" s="124"/>
      <c r="N54" s="148"/>
      <c r="O54" s="734"/>
      <c r="P54" s="735"/>
      <c r="Q54" s="735"/>
      <c r="R54" s="734"/>
      <c r="S54" s="734"/>
    </row>
    <row r="55" spans="1:19" s="58" customFormat="1" x14ac:dyDescent="0.2">
      <c r="A55" s="66"/>
      <c r="B55" s="712">
        <v>20</v>
      </c>
      <c r="C55" s="66"/>
      <c r="D55" s="712">
        <v>21</v>
      </c>
      <c r="E55" s="66"/>
      <c r="F55" s="712">
        <v>22</v>
      </c>
      <c r="G55" s="615" t="str">
        <f>HYPERLINK("#'6'!I1","Jõhvi 13. MV, ")</f>
        <v xml:space="preserve">Jõhvi 13. MV, </v>
      </c>
      <c r="H55" s="712">
        <v>23</v>
      </c>
      <c r="I55" s="94"/>
      <c r="J55" s="712">
        <v>24</v>
      </c>
      <c r="K55" s="94"/>
      <c r="L55" s="712">
        <v>25</v>
      </c>
      <c r="M55" s="615" t="str">
        <f>HYPERLINK("#'7'!L1","Jõhvi 15. MV, ")</f>
        <v xml:space="preserve">Jõhvi 15. MV, </v>
      </c>
      <c r="N55" s="712">
        <v>26</v>
      </c>
      <c r="O55" s="733"/>
      <c r="P55" s="735"/>
      <c r="Q55" s="735"/>
      <c r="R55" s="733"/>
      <c r="S55" s="733"/>
    </row>
    <row r="56" spans="1:19" s="58" customFormat="1" x14ac:dyDescent="0.2">
      <c r="A56" s="72"/>
      <c r="B56" s="77"/>
      <c r="C56" s="72"/>
      <c r="D56" s="77"/>
      <c r="E56" s="72"/>
      <c r="F56" s="77"/>
      <c r="G56" s="109" t="s">
        <v>96</v>
      </c>
      <c r="H56" s="110"/>
      <c r="I56" s="100"/>
      <c r="J56" s="96"/>
      <c r="K56" s="100"/>
      <c r="L56" s="77"/>
      <c r="M56" s="109" t="s">
        <v>104</v>
      </c>
      <c r="N56" s="110"/>
      <c r="O56" s="734"/>
      <c r="P56" s="736"/>
      <c r="Q56" s="735"/>
      <c r="R56" s="734"/>
      <c r="S56" s="734"/>
    </row>
    <row r="57" spans="1:19" x14ac:dyDescent="0.2">
      <c r="A57" s="72"/>
      <c r="B57" s="77"/>
      <c r="C57" s="72"/>
      <c r="D57" s="77"/>
      <c r="E57" s="72"/>
      <c r="F57" s="77"/>
      <c r="G57" s="173" t="str">
        <f>HYPERLINK("http://kaart.delfi.ee/?bookmark=4c0b1b0c24ff9f4919899a9546bf50f1","Jõhvi")</f>
        <v>Jõhvi</v>
      </c>
      <c r="H57" s="155"/>
      <c r="I57" s="156"/>
      <c r="J57" s="137"/>
      <c r="K57" s="156"/>
      <c r="L57" s="137"/>
      <c r="M57" s="173" t="str">
        <f>HYPERLINK("http://kaart.delfi.ee/?bookmark=4c0b1b0c24ff9f4919899a9546bf50f1","Jõhvi")</f>
        <v>Jõhvi</v>
      </c>
      <c r="N57" s="155"/>
      <c r="O57" s="734"/>
      <c r="P57" s="735"/>
      <c r="Q57" s="735"/>
      <c r="R57" s="734"/>
      <c r="S57" s="734"/>
    </row>
    <row r="58" spans="1:19" s="58" customFormat="1" x14ac:dyDescent="0.2">
      <c r="A58" s="100"/>
      <c r="B58" s="96"/>
      <c r="C58" s="100"/>
      <c r="D58" s="96"/>
      <c r="E58" s="100"/>
      <c r="F58" s="96"/>
      <c r="G58" s="144"/>
      <c r="H58" s="145"/>
      <c r="I58" s="806" t="str">
        <f>HYPERLINK("http://www.cep-petanque.com/eurocup.html","18. EuroCUP Qualification")</f>
        <v>18. EuroCUP Qualification</v>
      </c>
      <c r="J58" s="143"/>
      <c r="K58" s="806" t="str">
        <f>HYPERLINK("http://www.cep-petanque.com/eurocup.html","18. EuroCUP Qualification")</f>
        <v>18. EuroCUP Qualification</v>
      </c>
      <c r="L58" s="157"/>
      <c r="M58" s="806" t="str">
        <f>HYPERLINK("http://www.cep-petanque.com/eurocup.html","18. EuroCUP Qualif")</f>
        <v>18. EuroCUP Qualif</v>
      </c>
      <c r="N58" s="157"/>
      <c r="O58" s="733"/>
      <c r="P58" s="735"/>
      <c r="Q58" s="735"/>
      <c r="R58" s="733"/>
      <c r="S58" s="733"/>
    </row>
    <row r="59" spans="1:19" ht="13.5" thickBot="1" x14ac:dyDescent="0.25">
      <c r="A59" s="124"/>
      <c r="B59" s="154"/>
      <c r="C59" s="124"/>
      <c r="D59" s="154"/>
      <c r="E59" s="106"/>
      <c r="F59" s="103"/>
      <c r="G59" s="124"/>
      <c r="H59" s="154"/>
      <c r="I59" s="752" t="s">
        <v>117</v>
      </c>
      <c r="J59" s="154"/>
      <c r="K59" s="752" t="s">
        <v>117</v>
      </c>
      <c r="L59" s="87"/>
      <c r="M59" s="752" t="s">
        <v>117</v>
      </c>
      <c r="N59" s="87"/>
      <c r="O59" s="734"/>
      <c r="P59" s="735"/>
      <c r="Q59" s="735"/>
      <c r="R59" s="734"/>
      <c r="S59" s="734"/>
    </row>
    <row r="60" spans="1:19" ht="13.5" thickBot="1" x14ac:dyDescent="0.25">
      <c r="A60" s="158" t="s">
        <v>56</v>
      </c>
      <c r="B60" s="126"/>
      <c r="C60" s="63"/>
      <c r="D60" s="65"/>
      <c r="E60" s="74"/>
      <c r="F60" s="73"/>
      <c r="G60" s="64"/>
      <c r="H60" s="65"/>
      <c r="I60" s="65"/>
      <c r="J60" s="65"/>
      <c r="K60" s="74"/>
      <c r="L60" s="73"/>
      <c r="M60" s="74"/>
      <c r="N60" s="73"/>
      <c r="O60" s="734"/>
      <c r="P60" s="735"/>
      <c r="Q60" s="735"/>
      <c r="R60" s="734"/>
      <c r="S60" s="734"/>
    </row>
    <row r="61" spans="1:19" s="58" customFormat="1" x14ac:dyDescent="0.2">
      <c r="A61" s="66"/>
      <c r="B61" s="712">
        <v>27</v>
      </c>
      <c r="C61" s="66"/>
      <c r="D61" s="712">
        <v>28</v>
      </c>
      <c r="E61" s="66"/>
      <c r="F61" s="712">
        <v>29</v>
      </c>
      <c r="G61" s="66"/>
      <c r="H61" s="712">
        <v>30</v>
      </c>
      <c r="I61" s="94"/>
      <c r="J61" s="712">
        <v>31</v>
      </c>
      <c r="K61" s="799" t="str">
        <f>HYPERLINK("http://www.petanque.ee/index.php?id=103589&amp;cid=381","18. Eesti MV, ")</f>
        <v xml:space="preserve">18. Eesti MV, </v>
      </c>
      <c r="L61" s="712">
        <v>1</v>
      </c>
      <c r="M61" s="95" t="str">
        <f>HYPERLINK("http://www.petanque.ee/index.php?id=103589&amp;cid=382","EPKL reiting, ")</f>
        <v xml:space="preserve">EPKL reiting, </v>
      </c>
      <c r="N61" s="712">
        <v>2</v>
      </c>
      <c r="O61" s="734"/>
      <c r="P61" s="735"/>
      <c r="Q61" s="735"/>
      <c r="R61" s="734"/>
      <c r="S61" s="734"/>
    </row>
    <row r="62" spans="1:19" s="58" customFormat="1" x14ac:dyDescent="0.2">
      <c r="A62" s="72"/>
      <c r="B62" s="77"/>
      <c r="C62" s="72"/>
      <c r="D62" s="77"/>
      <c r="E62" s="72"/>
      <c r="F62" s="77"/>
      <c r="G62" s="72"/>
      <c r="H62" s="77"/>
      <c r="I62" s="100"/>
      <c r="J62" s="96"/>
      <c r="K62" s="704" t="s">
        <v>118</v>
      </c>
      <c r="L62" s="77"/>
      <c r="M62" s="101" t="s">
        <v>96</v>
      </c>
      <c r="N62" s="77"/>
      <c r="O62" s="734"/>
      <c r="P62" s="735"/>
      <c r="Q62" s="735"/>
      <c r="R62" s="734"/>
      <c r="S62" s="734"/>
    </row>
    <row r="63" spans="1:19" ht="13.5" thickBot="1" x14ac:dyDescent="0.25">
      <c r="A63" s="82"/>
      <c r="B63" s="87"/>
      <c r="C63" s="82"/>
      <c r="D63" s="103"/>
      <c r="E63" s="82"/>
      <c r="F63" s="87"/>
      <c r="G63" s="82"/>
      <c r="H63" s="87"/>
      <c r="I63" s="106"/>
      <c r="J63" s="103"/>
      <c r="K63" s="710" t="str">
        <f>HYPERLINK("http://kaart.delfi.ee/?bookmark=037591353bf9698628b723dab6c5e799","Valga")</f>
        <v>Valga</v>
      </c>
      <c r="L63" s="87"/>
      <c r="M63" s="107" t="str">
        <f>HYPERLINK("http://kaart.delfi.ee/?bookmark=037591353bf9698628b723dab6c5e799","Valga")</f>
        <v>Valga</v>
      </c>
      <c r="N63" s="87"/>
      <c r="P63" s="735"/>
      <c r="Q63" s="735"/>
    </row>
    <row r="64" spans="1:19" s="58" customFormat="1" x14ac:dyDescent="0.2">
      <c r="A64" s="66"/>
      <c r="B64" s="712">
        <v>3</v>
      </c>
      <c r="C64" s="66"/>
      <c r="D64" s="712">
        <v>4</v>
      </c>
      <c r="E64" s="92" t="str">
        <f>HYPERLINK("#'V7'!K1","Voka 2. ")</f>
        <v xml:space="preserve">Voka 2. </v>
      </c>
      <c r="F64" s="712">
        <v>5</v>
      </c>
      <c r="G64" s="93" t="str">
        <f>HYPERLINK("#'T4'!W1","Neljapäevak 4, ")</f>
        <v xml:space="preserve">Neljapäevak 4, </v>
      </c>
      <c r="H64" s="712">
        <v>6</v>
      </c>
      <c r="I64" s="94"/>
      <c r="J64" s="712">
        <v>7</v>
      </c>
      <c r="K64" s="66"/>
      <c r="L64" s="712">
        <v>8</v>
      </c>
      <c r="M64" s="108" t="str">
        <f>HYPERLINK("#'8'!K1","Ida-Virumaa MV, ")</f>
        <v xml:space="preserve">Ida-Virumaa MV, </v>
      </c>
      <c r="N64" s="712">
        <v>9</v>
      </c>
      <c r="O64" s="733"/>
      <c r="P64" s="735"/>
      <c r="Q64" s="735"/>
      <c r="R64" s="733"/>
      <c r="S64" s="733"/>
    </row>
    <row r="65" spans="1:19" s="58" customFormat="1" x14ac:dyDescent="0.2">
      <c r="A65" s="72"/>
      <c r="B65" s="77"/>
      <c r="C65" s="72"/>
      <c r="D65" s="77"/>
      <c r="E65" s="97" t="s">
        <v>611</v>
      </c>
      <c r="F65" s="98"/>
      <c r="G65" s="99" t="s">
        <v>95</v>
      </c>
      <c r="H65" s="96"/>
      <c r="I65" s="100"/>
      <c r="J65" s="96"/>
      <c r="K65" s="72"/>
      <c r="L65" s="77"/>
      <c r="M65" s="109" t="s">
        <v>97</v>
      </c>
      <c r="N65" s="110"/>
      <c r="O65" s="734"/>
      <c r="P65" s="736"/>
      <c r="Q65" s="735"/>
      <c r="R65" s="734"/>
      <c r="S65" s="734"/>
    </row>
    <row r="66" spans="1:19" s="58" customFormat="1" x14ac:dyDescent="0.2">
      <c r="A66" s="72"/>
      <c r="B66" s="77"/>
      <c r="C66" s="72"/>
      <c r="D66" s="77"/>
      <c r="E66" s="97" t="s">
        <v>97</v>
      </c>
      <c r="F66" s="98"/>
      <c r="G66" s="99"/>
      <c r="H66" s="96"/>
      <c r="I66" s="100"/>
      <c r="J66" s="96"/>
      <c r="K66" s="72"/>
      <c r="L66" s="77"/>
      <c r="M66" s="109"/>
      <c r="N66" s="110"/>
      <c r="O66" s="734"/>
      <c r="P66" s="735"/>
      <c r="Q66" s="735"/>
      <c r="R66" s="734"/>
      <c r="S66" s="734"/>
    </row>
    <row r="67" spans="1:19" ht="13.5" thickBot="1" x14ac:dyDescent="0.25">
      <c r="A67" s="82"/>
      <c r="B67" s="87"/>
      <c r="C67" s="82"/>
      <c r="D67" s="87"/>
      <c r="E67" s="104" t="str">
        <f>HYPERLINK("http://kaart.delfi.ee/?bookmark=63ebb20d0f5732aa12acf360e2b986df","Voka")</f>
        <v>Voka</v>
      </c>
      <c r="F67" s="105"/>
      <c r="G67" s="88" t="str">
        <f>HYPERLINK("http://kaart.delfi.ee/?bookmark=521b80d6ceeefbe3e5d227267242b576","K-Järve")</f>
        <v>K-Järve</v>
      </c>
      <c r="H67" s="103"/>
      <c r="I67" s="106"/>
      <c r="J67" s="87"/>
      <c r="K67" s="82"/>
      <c r="L67" s="87"/>
      <c r="M67" s="111" t="str">
        <f>HYPERLINK("http://kaart.delfi.ee/?bookmark=1582e2f00484b7a114c2e65060c8ad45","K-Nõmme")</f>
        <v>K-Nõmme</v>
      </c>
      <c r="N67" s="112"/>
      <c r="P67" s="735"/>
      <c r="Q67" s="735"/>
    </row>
    <row r="68" spans="1:19" s="58" customFormat="1" x14ac:dyDescent="0.2">
      <c r="A68" s="66"/>
      <c r="B68" s="712">
        <v>10</v>
      </c>
      <c r="C68" s="66"/>
      <c r="D68" s="712">
        <v>11</v>
      </c>
      <c r="E68" s="66"/>
      <c r="F68" s="712">
        <v>12</v>
      </c>
      <c r="G68" s="66"/>
      <c r="H68" s="712">
        <v>13</v>
      </c>
      <c r="I68" s="94"/>
      <c r="J68" s="712">
        <v>14</v>
      </c>
      <c r="K68" s="149" t="str">
        <f>HYPERLINK("http://www.petanque.ee/index.php?id=103681&amp;cid=383","6. Katariina ")</f>
        <v xml:space="preserve">6. Katariina </v>
      </c>
      <c r="L68" s="712">
        <v>15</v>
      </c>
      <c r="M68" s="149" t="str">
        <f>HYPERLINK("http://www.petanque.ee/index.php?id=103681&amp;cid=384","Suure Munamäe ")</f>
        <v xml:space="preserve">Suure Munamäe </v>
      </c>
      <c r="N68" s="712">
        <v>16</v>
      </c>
      <c r="O68" s="734"/>
      <c r="P68" s="736"/>
      <c r="Q68" s="74"/>
      <c r="R68" s="734"/>
      <c r="S68" s="734"/>
    </row>
    <row r="69" spans="1:19" s="58" customFormat="1" x14ac:dyDescent="0.2">
      <c r="A69" s="72"/>
      <c r="B69" s="77"/>
      <c r="C69" s="72"/>
      <c r="D69" s="77"/>
      <c r="E69" s="72"/>
      <c r="F69" s="77"/>
      <c r="G69" s="72"/>
      <c r="H69" s="77"/>
      <c r="I69" s="100"/>
      <c r="J69" s="96"/>
      <c r="K69" s="147" t="s">
        <v>119</v>
      </c>
      <c r="L69" s="77"/>
      <c r="M69" s="147" t="s">
        <v>120</v>
      </c>
      <c r="N69" s="77"/>
      <c r="O69" s="734"/>
      <c r="P69" s="735"/>
      <c r="Q69" s="735"/>
      <c r="R69" s="734"/>
      <c r="S69" s="734"/>
    </row>
    <row r="70" spans="1:19" ht="13.5" thickBot="1" x14ac:dyDescent="0.25">
      <c r="A70" s="82"/>
      <c r="B70" s="87"/>
      <c r="C70" s="82"/>
      <c r="D70" s="87"/>
      <c r="E70" s="82"/>
      <c r="F70" s="87"/>
      <c r="G70" s="82"/>
      <c r="H70" s="87"/>
      <c r="I70" s="106"/>
      <c r="J70" s="103"/>
      <c r="K70" s="82" t="s">
        <v>121</v>
      </c>
      <c r="L70" s="87"/>
      <c r="M70" s="82" t="s">
        <v>122</v>
      </c>
      <c r="N70" s="87"/>
      <c r="P70" s="735"/>
      <c r="Q70" s="735"/>
    </row>
    <row r="71" spans="1:19" s="58" customFormat="1" x14ac:dyDescent="0.2">
      <c r="A71" s="66"/>
      <c r="B71" s="712">
        <v>17</v>
      </c>
      <c r="C71" s="66"/>
      <c r="D71" s="712">
        <v>18</v>
      </c>
      <c r="E71" s="92" t="str">
        <f>HYPERLINK("#V8!J1","Voka 2. ")</f>
        <v xml:space="preserve">Voka 2. </v>
      </c>
      <c r="F71" s="712">
        <v>19</v>
      </c>
      <c r="G71" s="108" t="str">
        <f>HYPERLINK("#9!M1","Ida-Virumaa ")</f>
        <v xml:space="preserve">Ida-Virumaa </v>
      </c>
      <c r="H71" s="713">
        <v>20</v>
      </c>
      <c r="I71" s="159"/>
      <c r="J71" s="712">
        <v>21</v>
      </c>
      <c r="K71" s="799" t="str">
        <f>HYPERLINK("http://www.petanque.ee/index.php?id=103681&amp;cid=385","24. Eesti MV, ")</f>
        <v xml:space="preserve">24. Eesti MV, </v>
      </c>
      <c r="L71" s="712">
        <v>22</v>
      </c>
      <c r="M71" s="95" t="str">
        <f>HYPERLINK("http://www.petanque.ee/index.php?id=103681&amp;cid=386","EPKL reiting, ")</f>
        <v xml:space="preserve">EPKL reiting, </v>
      </c>
      <c r="N71" s="712">
        <v>23</v>
      </c>
      <c r="O71" s="734"/>
      <c r="P71" s="735"/>
      <c r="Q71" s="735"/>
      <c r="R71" s="734"/>
      <c r="S71" s="734"/>
    </row>
    <row r="72" spans="1:19" s="58" customFormat="1" x14ac:dyDescent="0.2">
      <c r="A72" s="72"/>
      <c r="B72" s="77"/>
      <c r="C72" s="72"/>
      <c r="D72" s="77"/>
      <c r="E72" s="160" t="s">
        <v>612</v>
      </c>
      <c r="F72" s="98"/>
      <c r="G72" s="109" t="s">
        <v>606</v>
      </c>
      <c r="H72" s="110"/>
      <c r="I72" s="135"/>
      <c r="J72" s="96"/>
      <c r="K72" s="704" t="s">
        <v>96</v>
      </c>
      <c r="L72" s="96"/>
      <c r="M72" s="101" t="s">
        <v>618</v>
      </c>
      <c r="N72" s="77"/>
      <c r="O72" s="734"/>
      <c r="P72" s="735"/>
      <c r="Q72" s="735"/>
      <c r="R72" s="734"/>
      <c r="S72" s="734"/>
    </row>
    <row r="73" spans="1:19" s="58" customFormat="1" x14ac:dyDescent="0.2">
      <c r="A73" s="72"/>
      <c r="B73" s="77"/>
      <c r="C73" s="72"/>
      <c r="D73" s="77"/>
      <c r="E73" s="160" t="s">
        <v>96</v>
      </c>
      <c r="F73" s="98"/>
      <c r="G73" s="109" t="s">
        <v>104</v>
      </c>
      <c r="H73" s="110"/>
      <c r="I73" s="135"/>
      <c r="J73" s="96"/>
      <c r="K73" s="621"/>
      <c r="L73" s="96"/>
      <c r="M73" s="101" t="s">
        <v>97</v>
      </c>
      <c r="N73" s="77"/>
      <c r="O73" s="734"/>
      <c r="P73" s="734"/>
      <c r="Q73" s="734"/>
      <c r="R73" s="734"/>
      <c r="S73" s="734"/>
    </row>
    <row r="74" spans="1:19" ht="13.5" thickBot="1" x14ac:dyDescent="0.25">
      <c r="A74" s="82"/>
      <c r="B74" s="87"/>
      <c r="C74" s="82"/>
      <c r="D74" s="87"/>
      <c r="E74" s="104" t="str">
        <f>HYPERLINK("http://kaart.delfi.ee/?bookmark=63ebb20d0f5732aa12acf360e2b986df","Voka")</f>
        <v>Voka</v>
      </c>
      <c r="F74" s="105"/>
      <c r="G74" s="111" t="str">
        <f>HYPERLINK("http://kaart.delfi.ee/?bookmark=521b80d6ceeefbe3e5d227267242b576","K-Järve")</f>
        <v>K-Järve</v>
      </c>
      <c r="H74" s="112"/>
      <c r="I74" s="106"/>
      <c r="J74" s="103"/>
      <c r="K74" s="622" t="str">
        <f>HYPERLINK("http://kaart.delfi.ee/?bookmark=521b80d6ceeefbe3e5d227267242b576","K-Järve")</f>
        <v>K-Järve</v>
      </c>
      <c r="L74" s="161"/>
      <c r="M74" s="162" t="str">
        <f>HYPERLINK("http://kaart.delfi.ee/?bookmark=521b80d6ceeefbe3e5d227267242b576","K-Järve")</f>
        <v>K-Järve</v>
      </c>
      <c r="N74" s="161"/>
      <c r="O74" s="734"/>
      <c r="P74" s="734"/>
      <c r="Q74" s="734"/>
      <c r="R74" s="734"/>
      <c r="S74" s="734"/>
    </row>
    <row r="75" spans="1:19" s="58" customFormat="1" x14ac:dyDescent="0.2">
      <c r="A75" s="113" t="str">
        <f>HYPERLINK("#M4!H1","Mäe- ")</f>
        <v xml:space="preserve">Mäe- </v>
      </c>
      <c r="B75" s="712">
        <v>24</v>
      </c>
      <c r="C75" s="66"/>
      <c r="D75" s="712">
        <v>25</v>
      </c>
      <c r="E75" s="66"/>
      <c r="F75" s="712">
        <v>26</v>
      </c>
      <c r="G75" s="108" t="str">
        <f>HYPERLINK("#10!J1","K-Järve 14. ")</f>
        <v xml:space="preserve">K-Järve 14. </v>
      </c>
      <c r="H75" s="712">
        <v>27</v>
      </c>
      <c r="I75" s="94"/>
      <c r="J75" s="712">
        <v>28</v>
      </c>
      <c r="K75" s="149" t="str">
        <f>HYPERLINK("http://www.petanque.ee/index.php?id=103589&amp;cid=387","Valge Daam, ")</f>
        <v xml:space="preserve">Valge Daam, </v>
      </c>
      <c r="L75" s="712">
        <v>29</v>
      </c>
      <c r="M75" s="149" t="str">
        <f>HYPERLINK("http://www.petanque.ee/index.php?id=103589&amp;cid=388","Valge Daam, ")</f>
        <v xml:space="preserve">Valge Daam, </v>
      </c>
      <c r="N75" s="712">
        <v>30</v>
      </c>
      <c r="O75" s="733"/>
      <c r="P75" s="733"/>
      <c r="Q75" s="733"/>
      <c r="R75" s="733"/>
      <c r="S75" s="733"/>
    </row>
    <row r="76" spans="1:19" s="58" customFormat="1" x14ac:dyDescent="0.2">
      <c r="A76" s="729" t="s">
        <v>600</v>
      </c>
      <c r="B76" s="163"/>
      <c r="C76" s="72"/>
      <c r="D76" s="77"/>
      <c r="E76" s="72"/>
      <c r="F76" s="77"/>
      <c r="G76" s="109" t="s">
        <v>107</v>
      </c>
      <c r="H76" s="110"/>
      <c r="I76" s="100"/>
      <c r="J76" s="96"/>
      <c r="K76" s="72" t="s">
        <v>113</v>
      </c>
      <c r="L76" s="77"/>
      <c r="M76" s="72" t="s">
        <v>113</v>
      </c>
      <c r="N76" s="146"/>
      <c r="O76" s="734"/>
      <c r="P76" s="734"/>
      <c r="Q76" s="734"/>
      <c r="R76" s="734"/>
      <c r="S76" s="734"/>
    </row>
    <row r="77" spans="1:19" s="58" customFormat="1" x14ac:dyDescent="0.2">
      <c r="A77" s="150" t="s">
        <v>123</v>
      </c>
      <c r="B77" s="115"/>
      <c r="C77" s="72"/>
      <c r="D77" s="77"/>
      <c r="E77" s="72"/>
      <c r="F77" s="77"/>
      <c r="G77" s="164"/>
      <c r="H77" s="110"/>
      <c r="I77" s="100"/>
      <c r="J77" s="96"/>
      <c r="K77" s="100"/>
      <c r="L77" s="77"/>
      <c r="M77" s="100"/>
      <c r="N77" s="96"/>
      <c r="O77" s="734"/>
      <c r="P77" s="734"/>
      <c r="Q77" s="734"/>
      <c r="R77" s="734"/>
      <c r="S77" s="734"/>
    </row>
    <row r="78" spans="1:19" ht="13.5" thickBot="1" x14ac:dyDescent="0.25">
      <c r="A78" s="118" t="str">
        <f>HYPERLINK("http://kaart.delfi.ee/?bookmark=96e8ef31375c7e6041cd302dca543f69","Mäetaguse")</f>
        <v>Mäetaguse</v>
      </c>
      <c r="B78" s="119"/>
      <c r="C78" s="82"/>
      <c r="D78" s="87"/>
      <c r="E78" s="82"/>
      <c r="F78" s="87"/>
      <c r="G78" s="111" t="str">
        <f>HYPERLINK("http://kaart.delfi.ee/?bookmark=521b80d6ceeefbe3e5d227267242b576","K-Järve")</f>
        <v>K-Järve</v>
      </c>
      <c r="H78" s="112"/>
      <c r="I78" s="106"/>
      <c r="J78" s="103"/>
      <c r="K78" s="82" t="s">
        <v>124</v>
      </c>
      <c r="L78" s="87"/>
      <c r="M78" s="82" t="s">
        <v>124</v>
      </c>
      <c r="N78" s="87"/>
    </row>
    <row r="79" spans="1:19" ht="13.5" thickBot="1" x14ac:dyDescent="0.25">
      <c r="A79" s="5" t="s">
        <v>69</v>
      </c>
      <c r="B79" s="126"/>
      <c r="C79" s="63"/>
      <c r="D79" s="73"/>
      <c r="E79" s="74"/>
      <c r="F79" s="73"/>
      <c r="G79" s="64"/>
      <c r="H79" s="65"/>
      <c r="I79" s="65"/>
      <c r="J79" s="65"/>
      <c r="K79" s="74"/>
      <c r="L79" s="73"/>
      <c r="M79" s="134"/>
      <c r="N79" s="73"/>
    </row>
    <row r="80" spans="1:19" x14ac:dyDescent="0.2">
      <c r="A80" s="66"/>
      <c r="B80" s="712">
        <v>31</v>
      </c>
      <c r="C80" s="66"/>
      <c r="D80" s="712">
        <v>1</v>
      </c>
      <c r="E80" s="92" t="str">
        <f>HYPERLINK("#V9!L1","Voka 2. ")</f>
        <v xml:space="preserve">Voka 2. </v>
      </c>
      <c r="F80" s="712">
        <v>2</v>
      </c>
      <c r="G80" s="93" t="str">
        <f>HYPERLINK("#T5!W1","Neljapäevak 5, ")</f>
        <v xml:space="preserve">Neljapäevak 5, </v>
      </c>
      <c r="H80" s="712">
        <v>3</v>
      </c>
      <c r="I80" s="159"/>
      <c r="J80" s="712">
        <v>4</v>
      </c>
      <c r="K80" s="753" t="str">
        <f>HYPERLINK("http://www.petanque.ee/index.php?id=103681&amp;cid=389","Eesti-Soome ")</f>
        <v xml:space="preserve">Eesti-Soome </v>
      </c>
      <c r="L80" s="712">
        <v>5</v>
      </c>
      <c r="M80" s="66"/>
      <c r="N80" s="715">
        <v>6</v>
      </c>
    </row>
    <row r="81" spans="1:19" x14ac:dyDescent="0.2">
      <c r="A81" s="72"/>
      <c r="B81" s="77"/>
      <c r="C81" s="72"/>
      <c r="D81" s="77"/>
      <c r="E81" s="160" t="s">
        <v>613</v>
      </c>
      <c r="F81" s="98"/>
      <c r="G81" s="99" t="s">
        <v>95</v>
      </c>
      <c r="H81" s="77"/>
      <c r="I81" s="135"/>
      <c r="J81" s="77"/>
      <c r="K81" s="748" t="s">
        <v>607</v>
      </c>
      <c r="L81" s="77"/>
      <c r="M81" s="72"/>
      <c r="N81" s="165"/>
    </row>
    <row r="82" spans="1:19" x14ac:dyDescent="0.2">
      <c r="A82" s="72"/>
      <c r="B82" s="77"/>
      <c r="C82" s="72"/>
      <c r="D82" s="77"/>
      <c r="E82" s="160" t="s">
        <v>97</v>
      </c>
      <c r="F82" s="98"/>
      <c r="G82" s="78"/>
      <c r="H82" s="77"/>
      <c r="I82" s="135"/>
      <c r="J82" s="77"/>
      <c r="K82" s="748" t="s">
        <v>96</v>
      </c>
      <c r="L82" s="77"/>
      <c r="M82" s="72"/>
      <c r="N82" s="165"/>
    </row>
    <row r="83" spans="1:19" ht="13.5" thickBot="1" x14ac:dyDescent="0.25">
      <c r="A83" s="82"/>
      <c r="B83" s="87"/>
      <c r="C83" s="82"/>
      <c r="D83" s="87"/>
      <c r="E83" s="104" t="str">
        <f>HYPERLINK("http://kaart.delfi.ee/?bookmark=63ebb20d0f5732aa12acf360e2b986df","Voka")</f>
        <v>Voka</v>
      </c>
      <c r="F83" s="105"/>
      <c r="G83" s="88" t="str">
        <f>HYPERLINK("http://kaart.delfi.ee/?bookmark=521b80d6ceeefbe3e5d227267242b576","K-Järve")</f>
        <v>K-Järve</v>
      </c>
      <c r="H83" s="87"/>
      <c r="I83" s="166"/>
      <c r="J83" s="87"/>
      <c r="K83" s="751" t="str">
        <f>HYPERLINK("http://kaart.delfi.ee/?bookmark=fe8345aadbbb857f009aae03c00eea11","Tallinn, Kadriorg")</f>
        <v>Tallinn, Kadriorg</v>
      </c>
      <c r="L83" s="87"/>
      <c r="M83" s="82"/>
      <c r="N83" s="167"/>
    </row>
    <row r="84" spans="1:19" x14ac:dyDescent="0.2">
      <c r="A84" s="66"/>
      <c r="B84" s="712">
        <v>7</v>
      </c>
      <c r="C84" s="66"/>
      <c r="D84" s="712">
        <v>8</v>
      </c>
      <c r="E84" s="66"/>
      <c r="F84" s="712">
        <v>9</v>
      </c>
      <c r="G84" s="108" t="str">
        <f>HYPERLINK("#11!J1","K-Järve 16. ")</f>
        <v xml:space="preserve">K-Järve 16. </v>
      </c>
      <c r="H84" s="712">
        <v>10</v>
      </c>
      <c r="I84" s="159"/>
      <c r="J84" s="712">
        <v>11</v>
      </c>
      <c r="K84" s="801" t="str">
        <f>HYPERLINK("http://www.petanque.ee/index.php?id=103681&amp;cid=390","12. Klubide karikas")</f>
        <v>12. Klubide karikas</v>
      </c>
      <c r="L84" s="712">
        <v>12</v>
      </c>
      <c r="M84" s="800" t="s">
        <v>623</v>
      </c>
      <c r="N84" s="715">
        <v>13</v>
      </c>
    </row>
    <row r="85" spans="1:19" x14ac:dyDescent="0.2">
      <c r="A85" s="72"/>
      <c r="B85" s="77"/>
      <c r="C85" s="72"/>
      <c r="D85" s="77"/>
      <c r="E85" s="72"/>
      <c r="F85" s="77"/>
      <c r="G85" s="109" t="s">
        <v>125</v>
      </c>
      <c r="H85" s="110"/>
      <c r="I85" s="135"/>
      <c r="J85" s="77"/>
      <c r="K85" s="147" t="s">
        <v>126</v>
      </c>
      <c r="L85" s="77"/>
      <c r="M85" s="147" t="s">
        <v>126</v>
      </c>
      <c r="N85" s="165"/>
    </row>
    <row r="86" spans="1:19" ht="13.5" thickBot="1" x14ac:dyDescent="0.25">
      <c r="A86" s="82"/>
      <c r="B86" s="87"/>
      <c r="C86" s="82"/>
      <c r="D86" s="87"/>
      <c r="E86" s="82"/>
      <c r="F86" s="87"/>
      <c r="G86" s="111" t="str">
        <f>HYPERLINK("http://kaart.delfi.ee/?bookmark=521b80d6ceeefbe3e5d227267242b576","K-Järve")</f>
        <v>K-Järve</v>
      </c>
      <c r="H86" s="112"/>
      <c r="I86" s="166"/>
      <c r="J86" s="87"/>
      <c r="K86" s="152" t="str">
        <f>HYPERLINK("http://kaart.delfi.ee/?bookmark=fe8345aadbbb857f009aae03c00eea11","Tallinn, Kadriorg")</f>
        <v>Tallinn, Kadriorg</v>
      </c>
      <c r="L86" s="87"/>
      <c r="M86" s="152" t="str">
        <f>HYPERLINK("http://kaart.delfi.ee/?bookmark=fe8345aadbbb857f009aae03c00eea11","Tallinn, Kadriorg")</f>
        <v>Tallinn, Kadriorg</v>
      </c>
      <c r="N86" s="167"/>
    </row>
    <row r="87" spans="1:19" x14ac:dyDescent="0.2">
      <c r="A87" s="66"/>
      <c r="B87" s="712">
        <v>14</v>
      </c>
      <c r="C87" s="66"/>
      <c r="D87" s="712">
        <v>15</v>
      </c>
      <c r="E87" s="739" t="str">
        <f>HYPERLINK("#V10!I1","Voka 2. ")</f>
        <v xml:space="preserve">Voka 2. </v>
      </c>
      <c r="F87" s="712">
        <v>16</v>
      </c>
      <c r="G87" s="66"/>
      <c r="H87" s="712">
        <v>17</v>
      </c>
      <c r="I87" s="159"/>
      <c r="J87" s="712">
        <v>18</v>
      </c>
      <c r="K87" s="66"/>
      <c r="L87" s="712">
        <v>19</v>
      </c>
      <c r="M87" s="744" t="str">
        <f>HYPERLINK("#'12,T6'!W1","Neljapäevak 6, ")</f>
        <v xml:space="preserve">Neljapäevak 6, </v>
      </c>
      <c r="N87" s="715">
        <v>20</v>
      </c>
    </row>
    <row r="88" spans="1:19" x14ac:dyDescent="0.2">
      <c r="A88" s="72"/>
      <c r="B88" s="77"/>
      <c r="C88" s="72"/>
      <c r="D88" s="77"/>
      <c r="E88" s="160" t="s">
        <v>614</v>
      </c>
      <c r="F88" s="168"/>
      <c r="G88" s="731" t="s">
        <v>154</v>
      </c>
      <c r="H88" s="77"/>
      <c r="I88" s="135"/>
      <c r="J88" s="77"/>
      <c r="K88" s="72"/>
      <c r="L88" s="77"/>
      <c r="M88" s="164" t="s">
        <v>127</v>
      </c>
      <c r="N88" s="169"/>
    </row>
    <row r="89" spans="1:19" x14ac:dyDescent="0.2">
      <c r="A89" s="72"/>
      <c r="B89" s="77"/>
      <c r="C89" s="72"/>
      <c r="D89" s="77"/>
      <c r="E89" s="160" t="s">
        <v>96</v>
      </c>
      <c r="F89" s="98"/>
      <c r="G89" s="72"/>
      <c r="H89" s="77"/>
      <c r="I89" s="135"/>
      <c r="J89" s="77"/>
      <c r="K89" s="72"/>
      <c r="L89" s="77"/>
      <c r="M89" s="164" t="s">
        <v>95</v>
      </c>
      <c r="N89" s="169"/>
    </row>
    <row r="90" spans="1:19" ht="13.5" thickBot="1" x14ac:dyDescent="0.25">
      <c r="A90" s="82"/>
      <c r="B90" s="87"/>
      <c r="C90" s="82"/>
      <c r="D90" s="87"/>
      <c r="E90" s="104" t="str">
        <f>HYPERLINK("http://kaart.delfi.ee/?bookmark=63ebb20d0f5732aa12acf360e2b986df","Voka")</f>
        <v>Voka</v>
      </c>
      <c r="F90" s="105"/>
      <c r="G90" s="82"/>
      <c r="H90" s="87"/>
      <c r="I90" s="166"/>
      <c r="J90" s="87"/>
      <c r="K90" s="82"/>
      <c r="L90" s="87"/>
      <c r="M90" s="111" t="str">
        <f>HYPERLINK("http://kaart.delfi.ee/?bookmark=521b80d6ceeefbe3e5d227267242b576","K-Järve")</f>
        <v>K-Järve</v>
      </c>
      <c r="N90" s="170"/>
    </row>
    <row r="91" spans="1:19" x14ac:dyDescent="0.2">
      <c r="A91" s="66"/>
      <c r="B91" s="712">
        <v>21</v>
      </c>
      <c r="C91" s="66"/>
      <c r="D91" s="712">
        <v>22</v>
      </c>
      <c r="E91" s="66"/>
      <c r="F91" s="712">
        <v>23</v>
      </c>
      <c r="G91" s="66"/>
      <c r="H91" s="712">
        <v>24</v>
      </c>
      <c r="I91" s="66"/>
      <c r="J91" s="712">
        <v>25</v>
      </c>
      <c r="K91" s="66"/>
      <c r="L91" s="712">
        <v>26</v>
      </c>
      <c r="M91" s="108" t="str">
        <f>HYPERLINK("#13!M1","K-Järve 16. MV, ")</f>
        <v xml:space="preserve">K-Järve 16. MV, </v>
      </c>
      <c r="N91" s="715">
        <v>27</v>
      </c>
    </row>
    <row r="92" spans="1:19" x14ac:dyDescent="0.2">
      <c r="A92" s="72"/>
      <c r="B92" s="77"/>
      <c r="C92" s="72"/>
      <c r="D92" s="77"/>
      <c r="E92" s="72"/>
      <c r="F92" s="77"/>
      <c r="G92" s="72"/>
      <c r="H92" s="77"/>
      <c r="I92" s="72"/>
      <c r="J92" s="77"/>
      <c r="K92" s="72"/>
      <c r="L92" s="77"/>
      <c r="M92" s="109" t="s">
        <v>104</v>
      </c>
      <c r="N92" s="169"/>
    </row>
    <row r="93" spans="1:19" x14ac:dyDescent="0.2">
      <c r="A93" s="72"/>
      <c r="B93" s="77"/>
      <c r="C93" s="72"/>
      <c r="D93" s="77"/>
      <c r="E93" s="72"/>
      <c r="F93" s="77"/>
      <c r="G93" s="171"/>
      <c r="H93" s="172"/>
      <c r="I93" s="171"/>
      <c r="J93" s="137"/>
      <c r="K93" s="171"/>
      <c r="L93" s="137"/>
      <c r="M93" s="173" t="str">
        <f>HYPERLINK("http://kaart.delfi.ee/?bookmark=521b80d6ceeefbe3e5d227267242b576","K-Järve")</f>
        <v>K-Järve</v>
      </c>
      <c r="N93" s="174"/>
      <c r="O93" s="64"/>
      <c r="P93" s="64"/>
      <c r="Q93" s="64"/>
      <c r="R93" s="64"/>
      <c r="S93" s="64"/>
    </row>
    <row r="94" spans="1:19" x14ac:dyDescent="0.2">
      <c r="A94" s="72"/>
      <c r="B94" s="77"/>
      <c r="C94" s="72"/>
      <c r="D94" s="77"/>
      <c r="E94" s="72"/>
      <c r="F94" s="77"/>
      <c r="G94" s="754" t="s">
        <v>624</v>
      </c>
      <c r="H94" s="157"/>
      <c r="I94" s="754" t="s">
        <v>624</v>
      </c>
      <c r="J94" s="175"/>
      <c r="K94" s="806" t="str">
        <f>HYPERLINK("http://www.cep-petanque.com/triplesmen.html","4. EM mehed, TRIO,TUL")</f>
        <v>4. EM mehed, TRIO,TUL</v>
      </c>
      <c r="L94" s="157"/>
      <c r="M94" s="806" t="str">
        <f>HYPERLINK("http://petanquealbena.com/","4.EMmehed,TRIO,TUL")</f>
        <v>4.EMmehed,TRIO,TUL</v>
      </c>
      <c r="N94" s="176"/>
    </row>
    <row r="95" spans="1:19" ht="13.5" thickBot="1" x14ac:dyDescent="0.25">
      <c r="A95" s="82"/>
      <c r="B95" s="148"/>
      <c r="C95" s="82"/>
      <c r="D95" s="87"/>
      <c r="E95" s="82"/>
      <c r="F95" s="87"/>
      <c r="G95" s="752" t="s">
        <v>128</v>
      </c>
      <c r="H95" s="87"/>
      <c r="I95" s="752" t="s">
        <v>128</v>
      </c>
      <c r="J95" s="177"/>
      <c r="K95" s="752" t="s">
        <v>128</v>
      </c>
      <c r="L95" s="87"/>
      <c r="M95" s="752" t="s">
        <v>128</v>
      </c>
      <c r="N95" s="167"/>
    </row>
    <row r="96" spans="1:19" s="64" customFormat="1" ht="13.5" thickBot="1" x14ac:dyDescent="0.25">
      <c r="A96" s="158" t="s">
        <v>79</v>
      </c>
      <c r="B96" s="126"/>
      <c r="C96" s="178"/>
      <c r="D96" s="73"/>
      <c r="E96" s="74"/>
      <c r="F96" s="73"/>
      <c r="G96" s="74"/>
      <c r="H96" s="73"/>
      <c r="I96" s="73"/>
      <c r="J96" s="73"/>
      <c r="K96" s="74"/>
      <c r="L96" s="73"/>
      <c r="M96" s="74"/>
      <c r="N96" s="73"/>
      <c r="O96" s="733"/>
      <c r="P96" s="733"/>
      <c r="Q96" s="733"/>
      <c r="R96" s="733"/>
      <c r="S96" s="733"/>
    </row>
    <row r="97" spans="1:19" x14ac:dyDescent="0.2">
      <c r="A97" s="66"/>
      <c r="B97" s="712">
        <v>28</v>
      </c>
      <c r="C97" s="66"/>
      <c r="D97" s="712">
        <v>29</v>
      </c>
      <c r="E97" s="66"/>
      <c r="F97" s="712">
        <v>30</v>
      </c>
      <c r="G97" s="159"/>
      <c r="H97" s="712">
        <v>1</v>
      </c>
      <c r="I97" s="159"/>
      <c r="J97" s="712">
        <v>2</v>
      </c>
      <c r="K97" s="728" t="str">
        <f>HYPERLINK("#M5MI1","Mäetaguse 6. KV ")</f>
        <v xml:space="preserve">Mäetaguse 6. KV </v>
      </c>
      <c r="L97" s="712">
        <v>3</v>
      </c>
      <c r="M97" s="739" t="str">
        <f>HYPERLINK("#'V Fin'!J1","Voka 2. KV ")</f>
        <v xml:space="preserve">Voka 2. KV </v>
      </c>
      <c r="N97" s="712">
        <v>4</v>
      </c>
    </row>
    <row r="98" spans="1:19" x14ac:dyDescent="0.2">
      <c r="A98" s="72"/>
      <c r="B98" s="77"/>
      <c r="C98" s="72"/>
      <c r="D98" s="77"/>
      <c r="E98" s="72"/>
      <c r="F98" s="77"/>
      <c r="G98" s="135"/>
      <c r="H98" s="77"/>
      <c r="I98" s="135"/>
      <c r="J98" s="77"/>
      <c r="K98" s="114" t="s">
        <v>129</v>
      </c>
      <c r="L98" s="115"/>
      <c r="M98" s="97" t="s">
        <v>130</v>
      </c>
      <c r="N98" s="98"/>
      <c r="O98" s="738"/>
      <c r="P98" s="738"/>
      <c r="Q98" s="738"/>
      <c r="R98" s="738"/>
      <c r="S98" s="738"/>
    </row>
    <row r="99" spans="1:19" ht="13.5" thickBot="1" x14ac:dyDescent="0.25">
      <c r="A99" s="82"/>
      <c r="B99" s="87"/>
      <c r="C99" s="82"/>
      <c r="D99" s="87"/>
      <c r="E99" s="82"/>
      <c r="F99" s="87"/>
      <c r="G99" s="166"/>
      <c r="H99" s="87"/>
      <c r="I99" s="166"/>
      <c r="J99" s="87"/>
      <c r="K99" s="118" t="str">
        <f>HYPERLINK("http://kaart.delfi.ee/?bookmark=96e8ef31375c7e6041cd302dca543f69","Mäetaguse")</f>
        <v>Mäetaguse</v>
      </c>
      <c r="L99" s="119"/>
      <c r="M99" s="104" t="str">
        <f>HYPERLINK("http://kaart.delfi.ee/?bookmark=63ebb20d0f5732aa12acf360e2b986df","Voka")</f>
        <v>Voka</v>
      </c>
      <c r="N99" s="105"/>
      <c r="O99" s="738"/>
      <c r="P99" s="738"/>
      <c r="Q99" s="738"/>
      <c r="R99" s="738"/>
      <c r="S99" s="738"/>
    </row>
    <row r="100" spans="1:19" x14ac:dyDescent="0.2">
      <c r="A100" s="66"/>
      <c r="B100" s="712">
        <v>5</v>
      </c>
      <c r="C100" s="66"/>
      <c r="D100" s="712">
        <v>6</v>
      </c>
      <c r="E100" s="66"/>
      <c r="F100" s="712">
        <v>7</v>
      </c>
      <c r="G100" s="159"/>
      <c r="H100" s="712">
        <v>8</v>
      </c>
      <c r="I100" s="70"/>
      <c r="J100" s="712">
        <v>9</v>
      </c>
      <c r="K100" s="66"/>
      <c r="L100" s="712">
        <v>10</v>
      </c>
      <c r="M100" s="66"/>
      <c r="N100" s="712">
        <v>11</v>
      </c>
    </row>
    <row r="101" spans="1:19" x14ac:dyDescent="0.2">
      <c r="A101" s="72"/>
      <c r="B101" s="77"/>
      <c r="C101" s="72"/>
      <c r="D101" s="77"/>
      <c r="E101" s="72"/>
      <c r="F101" s="77"/>
      <c r="G101" s="135"/>
      <c r="H101" s="77"/>
      <c r="I101" s="78" t="str">
        <f>HYPERLINK("#L!I1","Hooaja ")</f>
        <v xml:space="preserve">Hooaja </v>
      </c>
      <c r="J101" s="179"/>
      <c r="K101" s="136"/>
      <c r="L101" s="77"/>
      <c r="M101" s="72"/>
      <c r="N101" s="77"/>
    </row>
    <row r="102" spans="1:19" x14ac:dyDescent="0.2">
      <c r="A102" s="72"/>
      <c r="B102" s="77"/>
      <c r="C102" s="72"/>
      <c r="D102" s="77"/>
      <c r="E102" s="72"/>
      <c r="F102" s="77"/>
      <c r="G102" s="135"/>
      <c r="H102" s="77"/>
      <c r="I102" s="136" t="s">
        <v>131</v>
      </c>
      <c r="J102" s="179"/>
      <c r="K102" s="136"/>
      <c r="L102" s="77"/>
      <c r="M102" s="72"/>
      <c r="N102" s="77"/>
    </row>
    <row r="103" spans="1:19" ht="13.5" thickBot="1" x14ac:dyDescent="0.25">
      <c r="A103" s="82"/>
      <c r="B103" s="87"/>
      <c r="C103" s="82"/>
      <c r="D103" s="87"/>
      <c r="E103" s="82"/>
      <c r="F103" s="148"/>
      <c r="G103" s="166"/>
      <c r="H103" s="87"/>
      <c r="I103" s="88" t="str">
        <f>HYPERLINK("http://kaart.delfi.ee/?bookmark=521b80d6ceeefbe3e5d227267242b576","K-Järve")</f>
        <v>K-Järve</v>
      </c>
      <c r="J103" s="161"/>
      <c r="K103" s="82"/>
      <c r="L103" s="87"/>
      <c r="M103" s="82"/>
      <c r="N103" s="87"/>
    </row>
    <row r="104" spans="1:19" s="64" customFormat="1" ht="13.5" thickBot="1" x14ac:dyDescent="0.25">
      <c r="A104" s="5" t="s">
        <v>132</v>
      </c>
      <c r="B104" s="126"/>
      <c r="C104" s="63"/>
      <c r="D104" s="73"/>
      <c r="E104" s="74"/>
      <c r="F104" s="73"/>
      <c r="G104" s="74"/>
      <c r="H104" s="73"/>
      <c r="I104" s="73"/>
      <c r="J104" s="73"/>
      <c r="K104" s="74"/>
      <c r="L104" s="73"/>
      <c r="M104" s="74"/>
      <c r="N104" s="73"/>
      <c r="O104" s="733"/>
      <c r="P104" s="733"/>
      <c r="Q104" s="733"/>
      <c r="R104" s="733"/>
      <c r="S104" s="733"/>
    </row>
    <row r="105" spans="1:19" x14ac:dyDescent="0.2">
      <c r="A105" s="755" t="s">
        <v>625</v>
      </c>
      <c r="B105" s="712">
        <v>2</v>
      </c>
      <c r="C105" s="807" t="str">
        <f>HYPERLINK("http://www.fipjp.com/userfiles/file/ChM_Thailand2015_FJ_program.pdf","15. Juunioride")</f>
        <v>15. Juunioride</v>
      </c>
      <c r="D105" s="712">
        <v>3</v>
      </c>
      <c r="E105" s="755" t="s">
        <v>625</v>
      </c>
      <c r="F105" s="712">
        <v>4</v>
      </c>
      <c r="G105" s="159"/>
      <c r="H105" s="712">
        <v>5</v>
      </c>
      <c r="I105" s="755" t="s">
        <v>626</v>
      </c>
      <c r="J105" s="712">
        <v>6</v>
      </c>
      <c r="K105" s="807" t="str">
        <f>HYPERLINK("http://www.fipjp.com/userfiles/file/ChM_Thailand2015_FJ_program.pdf","15. Naiste MM, ")</f>
        <v xml:space="preserve">15. Naiste MM, </v>
      </c>
      <c r="L105" s="712">
        <v>7</v>
      </c>
      <c r="M105" s="755" t="s">
        <v>626</v>
      </c>
      <c r="N105" s="715">
        <v>8</v>
      </c>
    </row>
    <row r="106" spans="1:19" x14ac:dyDescent="0.2">
      <c r="A106" s="756" t="s">
        <v>133</v>
      </c>
      <c r="B106" s="77"/>
      <c r="C106" s="756" t="s">
        <v>133</v>
      </c>
      <c r="D106" s="77"/>
      <c r="E106" s="758" t="s">
        <v>133</v>
      </c>
      <c r="F106" s="77"/>
      <c r="G106" s="135"/>
      <c r="H106" s="77"/>
      <c r="I106" s="758" t="s">
        <v>134</v>
      </c>
      <c r="J106" s="77"/>
      <c r="K106" s="756" t="s">
        <v>134</v>
      </c>
      <c r="L106" s="77"/>
      <c r="M106" s="758" t="s">
        <v>134</v>
      </c>
      <c r="N106" s="165"/>
    </row>
    <row r="107" spans="1:19" ht="13.5" thickBot="1" x14ac:dyDescent="0.25">
      <c r="A107" s="752" t="s">
        <v>135</v>
      </c>
      <c r="B107" s="87"/>
      <c r="C107" s="757" t="s">
        <v>135</v>
      </c>
      <c r="D107" s="180"/>
      <c r="E107" s="752" t="s">
        <v>135</v>
      </c>
      <c r="F107" s="87"/>
      <c r="G107" s="166" t="s">
        <v>136</v>
      </c>
      <c r="H107" s="87"/>
      <c r="I107" s="752" t="s">
        <v>137</v>
      </c>
      <c r="J107" s="148"/>
      <c r="K107" s="752" t="s">
        <v>135</v>
      </c>
      <c r="L107" s="180"/>
      <c r="M107" s="752" t="s">
        <v>135</v>
      </c>
      <c r="N107" s="167"/>
    </row>
    <row r="109" spans="1:19" x14ac:dyDescent="0.2">
      <c r="A109" s="181" t="s">
        <v>590</v>
      </c>
      <c r="B109" s="182"/>
      <c r="C109" s="183"/>
      <c r="D109" s="183"/>
      <c r="E109" s="182"/>
      <c r="F109" s="182"/>
      <c r="G109" s="183"/>
      <c r="H109" s="183"/>
      <c r="I109" s="183"/>
      <c r="J109" s="183"/>
      <c r="K109" s="183"/>
      <c r="L109" s="183"/>
      <c r="M109" s="183"/>
      <c r="N109" s="182"/>
    </row>
    <row r="110" spans="1:19" x14ac:dyDescent="0.2">
      <c r="A110" s="184" t="s">
        <v>584</v>
      </c>
      <c r="B110" s="182"/>
      <c r="C110" s="183"/>
      <c r="D110" s="183"/>
      <c r="E110" s="182"/>
      <c r="F110" s="182"/>
      <c r="G110" s="183"/>
      <c r="H110" s="183"/>
      <c r="I110" s="183"/>
      <c r="J110" s="183"/>
      <c r="K110" s="183"/>
      <c r="L110" s="183"/>
      <c r="M110" s="183"/>
      <c r="N110" s="182"/>
    </row>
    <row r="111" spans="1:19" x14ac:dyDescent="0.2">
      <c r="A111" s="716" t="s">
        <v>585</v>
      </c>
      <c r="B111" s="51"/>
      <c r="C111" s="51"/>
      <c r="D111" s="51"/>
      <c r="E111" s="185"/>
      <c r="F111" s="185"/>
      <c r="G111" s="51"/>
      <c r="H111" s="51"/>
      <c r="I111" s="51"/>
      <c r="J111" s="51"/>
      <c r="K111" s="51"/>
      <c r="L111" s="51"/>
      <c r="M111" s="51"/>
      <c r="N111" s="185"/>
    </row>
    <row r="112" spans="1:19" x14ac:dyDescent="0.2">
      <c r="A112" s="717" t="s">
        <v>594</v>
      </c>
      <c r="B112" s="54"/>
      <c r="C112" s="54"/>
      <c r="D112" s="54"/>
      <c r="E112" s="54"/>
      <c r="F112" s="54"/>
      <c r="G112" s="54"/>
      <c r="H112" s="54"/>
      <c r="I112" s="54"/>
      <c r="J112" s="53"/>
      <c r="K112" s="53"/>
      <c r="L112" s="53"/>
      <c r="M112" s="53"/>
      <c r="N112" s="186"/>
    </row>
    <row r="113" spans="1:19" s="2" customFormat="1" x14ac:dyDescent="0.2">
      <c r="A113" s="718" t="s">
        <v>587</v>
      </c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64"/>
      <c r="P113" s="64"/>
      <c r="Q113" s="64"/>
      <c r="R113" s="64"/>
      <c r="S113" s="64"/>
    </row>
    <row r="114" spans="1:19" s="134" customFormat="1" x14ac:dyDescent="0.2">
      <c r="A114" s="188" t="s">
        <v>589</v>
      </c>
      <c r="E114" s="188"/>
      <c r="F114" s="188"/>
      <c r="N114" s="188"/>
      <c r="O114" s="733"/>
      <c r="P114" s="733"/>
      <c r="Q114" s="733"/>
      <c r="R114" s="733"/>
      <c r="S114" s="733"/>
    </row>
    <row r="115" spans="1:19" s="134" customFormat="1" x14ac:dyDescent="0.2">
      <c r="A115" s="56" t="s">
        <v>85</v>
      </c>
      <c r="E115" s="188"/>
      <c r="F115" s="188"/>
      <c r="I115" s="719" t="s">
        <v>588</v>
      </c>
      <c r="N115" s="188"/>
      <c r="O115" s="733"/>
      <c r="P115" s="733"/>
      <c r="Q115" s="733"/>
      <c r="R115" s="733"/>
      <c r="S115" s="733"/>
    </row>
    <row r="117" spans="1:19" x14ac:dyDescent="0.2">
      <c r="O117" s="64"/>
      <c r="P117" s="64"/>
      <c r="Q117" s="64"/>
      <c r="R117" s="64"/>
      <c r="S117" s="64"/>
    </row>
    <row r="120" spans="1:19" x14ac:dyDescent="0.2">
      <c r="S120" s="64"/>
    </row>
    <row r="126" spans="1:19" x14ac:dyDescent="0.2">
      <c r="O126" s="738"/>
      <c r="P126" s="738"/>
      <c r="Q126" s="738"/>
      <c r="R126" s="738"/>
      <c r="S126" s="738"/>
    </row>
    <row r="127" spans="1:19" x14ac:dyDescent="0.2">
      <c r="O127" s="738"/>
      <c r="P127" s="738"/>
      <c r="Q127" s="738"/>
      <c r="R127" s="738"/>
      <c r="S127" s="738"/>
    </row>
    <row r="128" spans="1:19" x14ac:dyDescent="0.2">
      <c r="O128" s="738"/>
      <c r="P128" s="738"/>
      <c r="Q128" s="738"/>
      <c r="R128" s="738"/>
      <c r="S128" s="738"/>
    </row>
  </sheetData>
  <pageMargins left="0.39370078740157483" right="0.39370078740157483" top="0.59055118110236227" bottom="0.39370078740157483" header="0.39370078740157483" footer="0"/>
  <pageSetup paperSize="9" fitToHeight="0" orientation="portrait" r:id="rId1"/>
  <headerFooter>
    <oddHeader>&amp;R&amp;"Arial,Regular"&amp;9Page &amp;P of &amp;N</oddHeader>
  </headerFooter>
  <rowBreaks count="1" manualBreakCount="1">
    <brk id="5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V74"/>
  <sheetViews>
    <sheetView showGridLines="0" showRowColHeaders="0" zoomScaleNormal="100" workbookViewId="0">
      <pane ySplit="7" topLeftCell="A8" activePane="bottomLeft" state="frozen"/>
      <selection activeCell="E5" sqref="E5"/>
      <selection pane="bottomLeft" activeCell="I1" sqref="I1"/>
    </sheetView>
  </sheetViews>
  <sheetFormatPr defaultRowHeight="12.75" x14ac:dyDescent="0.2"/>
  <cols>
    <col min="1" max="1" width="4" style="192" customWidth="1"/>
    <col min="2" max="2" width="3.28515625" style="192" customWidth="1"/>
    <col min="3" max="3" width="3.28515625" style="236" customWidth="1"/>
    <col min="4" max="4" width="21.7109375" style="192" customWidth="1"/>
    <col min="5" max="5" width="4" style="220" bestFit="1" customWidth="1"/>
    <col min="6" max="6" width="4" style="220" customWidth="1"/>
    <col min="7" max="17" width="3.28515625" style="236" customWidth="1"/>
    <col min="18" max="18" width="4.5703125" style="236" customWidth="1"/>
    <col min="19" max="19" width="3.28515625" style="236" customWidth="1"/>
    <col min="20" max="22" width="3.28515625" style="192" bestFit="1" customWidth="1"/>
    <col min="23" max="23" width="3.85546875" style="192" customWidth="1"/>
    <col min="24" max="16384" width="9.140625" style="192"/>
  </cols>
  <sheetData>
    <row r="1" spans="1:22" x14ac:dyDescent="0.2">
      <c r="B1" s="189"/>
      <c r="C1" s="57" t="s">
        <v>138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S1" s="697" t="s">
        <v>582</v>
      </c>
      <c r="U1" s="191" t="s">
        <v>139</v>
      </c>
      <c r="V1" s="191"/>
    </row>
    <row r="2" spans="1:22" x14ac:dyDescent="0.2">
      <c r="B2" s="193"/>
      <c r="C2" s="193" t="s">
        <v>584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U2" s="194" t="s">
        <v>140</v>
      </c>
      <c r="V2" s="194"/>
    </row>
    <row r="3" spans="1:22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U3" s="195" t="s">
        <v>141</v>
      </c>
      <c r="V3" s="195"/>
    </row>
    <row r="4" spans="1:22" ht="87.75" customHeight="1" x14ac:dyDescent="0.2">
      <c r="A4" s="196"/>
      <c r="B4" s="196"/>
      <c r="C4" s="196"/>
      <c r="D4" s="196"/>
      <c r="E4" s="196"/>
      <c r="F4" s="196"/>
      <c r="G4" s="732" t="s">
        <v>559</v>
      </c>
      <c r="H4" s="732" t="s">
        <v>561</v>
      </c>
      <c r="I4" s="732" t="s">
        <v>560</v>
      </c>
      <c r="J4" s="732" t="s">
        <v>615</v>
      </c>
      <c r="K4" s="197" t="s">
        <v>53</v>
      </c>
      <c r="L4" s="614" t="s">
        <v>55</v>
      </c>
      <c r="M4" s="614" t="s">
        <v>53</v>
      </c>
      <c r="N4" s="732" t="s">
        <v>615</v>
      </c>
      <c r="O4" s="732" t="s">
        <v>616</v>
      </c>
      <c r="P4" s="197" t="s">
        <v>68</v>
      </c>
      <c r="Q4" s="197" t="s">
        <v>74</v>
      </c>
      <c r="R4" s="635" t="s">
        <v>566</v>
      </c>
      <c r="S4" s="197" t="s">
        <v>74</v>
      </c>
    </row>
    <row r="5" spans="1:22" ht="29.25" customHeight="1" x14ac:dyDescent="0.2">
      <c r="A5" s="198"/>
      <c r="B5" s="198"/>
      <c r="C5" s="198"/>
      <c r="D5" s="198"/>
      <c r="E5" s="198"/>
      <c r="F5" s="198"/>
      <c r="G5" s="199" t="str">
        <f>MID(Kalend!A8,4,5)</f>
        <v>14.05</v>
      </c>
      <c r="H5" s="199" t="str">
        <f>MID(Kalend!A11,4,5)</f>
        <v>24.05</v>
      </c>
      <c r="I5" s="199" t="str">
        <f>MID(Kalend!A12,4,5)</f>
        <v>28.05</v>
      </c>
      <c r="J5" s="199" t="str">
        <f>MID(Kalend!A16,4,5)</f>
        <v>11.06</v>
      </c>
      <c r="K5" s="199" t="str">
        <f>MID(Kalend!A24,4,5)</f>
        <v>09.07</v>
      </c>
      <c r="L5" s="199" t="str">
        <f>MID(Kalend!A26,4,5)</f>
        <v>23.07</v>
      </c>
      <c r="M5" s="199" t="str">
        <f>MID(Kalend!A27,4,5)</f>
        <v>26.07</v>
      </c>
      <c r="N5" s="199" t="str">
        <f>MID(Kalend!A31,4,5)</f>
        <v>09.08</v>
      </c>
      <c r="O5" s="199" t="str">
        <f>MID(Kalend!A33,4,5)</f>
        <v>20.08</v>
      </c>
      <c r="P5" s="199" t="str">
        <f>MID(Kalend!A37,4,5)</f>
        <v>27.08</v>
      </c>
      <c r="Q5" s="199" t="str">
        <f>MID(Kalend!A41,4,5)</f>
        <v>10.09</v>
      </c>
      <c r="R5" s="200" t="str">
        <f>MID(Kalend!A43,4,5)</f>
        <v>20.09</v>
      </c>
      <c r="S5" s="199" t="str">
        <f>MID(Kalend!A44,4,5)</f>
        <v>27.09</v>
      </c>
      <c r="T5" s="802" t="s">
        <v>142</v>
      </c>
      <c r="U5" s="803" t="s">
        <v>143</v>
      </c>
      <c r="V5" s="804" t="s">
        <v>144</v>
      </c>
    </row>
    <row r="6" spans="1:22" x14ac:dyDescent="0.2">
      <c r="A6" s="777" t="s">
        <v>620</v>
      </c>
      <c r="B6" s="778"/>
      <c r="C6" s="779"/>
      <c r="D6" s="198"/>
      <c r="E6" s="781" t="s">
        <v>621</v>
      </c>
      <c r="F6" s="782"/>
      <c r="G6" s="202" t="str">
        <f>HYPERLINK("#1!I1"," 1 ")</f>
        <v xml:space="preserve"> 1 </v>
      </c>
      <c r="H6" s="202" t="str">
        <f>HYPERLINK("#2!J1"," 2 ")</f>
        <v xml:space="preserve"> 2 </v>
      </c>
      <c r="I6" s="202" t="str">
        <f>HYPERLINK("#3!K1"," 3 ")</f>
        <v xml:space="preserve"> 3 </v>
      </c>
      <c r="J6" s="202" t="str">
        <f>HYPERLINK("#4!I1"," 4 ")</f>
        <v xml:space="preserve"> 4 </v>
      </c>
      <c r="K6" s="202" t="str">
        <f>HYPERLINK("#5!J1","5 ")</f>
        <v xml:space="preserve">5 </v>
      </c>
      <c r="L6" s="202" t="str">
        <f>HYPERLINK("#6!I1"," 6 ")</f>
        <v xml:space="preserve"> 6 </v>
      </c>
      <c r="M6" s="202" t="str">
        <f>HYPERLINK("#7!L1"," 7 ")</f>
        <v xml:space="preserve"> 7 </v>
      </c>
      <c r="N6" s="202" t="str">
        <f>HYPERLINK("#8!K1"," 8 ")</f>
        <v xml:space="preserve"> 8 </v>
      </c>
      <c r="O6" s="202" t="str">
        <f>HYPERLINK("#9!M1"," 9 ")</f>
        <v xml:space="preserve"> 9 </v>
      </c>
      <c r="P6" s="203" t="str">
        <f>HYPERLINK("#10!J1","10")</f>
        <v>10</v>
      </c>
      <c r="Q6" s="203" t="str">
        <f>HYPERLINK("#11!J1","11")</f>
        <v>11</v>
      </c>
      <c r="R6" s="745" t="str">
        <f>HYPERLINK("#'12,T6'!W1","12")</f>
        <v>12</v>
      </c>
      <c r="S6" s="203" t="str">
        <f>HYPERLINK("#13!M1","13")</f>
        <v>13</v>
      </c>
      <c r="T6" s="802"/>
      <c r="U6" s="803"/>
      <c r="V6" s="804"/>
    </row>
    <row r="7" spans="1:22" x14ac:dyDescent="0.2">
      <c r="A7" s="783" t="s">
        <v>619</v>
      </c>
      <c r="B7" s="701" t="s">
        <v>145</v>
      </c>
      <c r="C7" s="702" t="s">
        <v>146</v>
      </c>
      <c r="D7" s="201" t="s">
        <v>147</v>
      </c>
      <c r="E7" s="780" t="s">
        <v>148</v>
      </c>
      <c r="F7" s="205" t="s">
        <v>149</v>
      </c>
      <c r="G7" s="761" t="s">
        <v>150</v>
      </c>
      <c r="H7" s="761" t="s">
        <v>151</v>
      </c>
      <c r="I7" s="761" t="s">
        <v>152</v>
      </c>
      <c r="J7" s="761" t="s">
        <v>150</v>
      </c>
      <c r="K7" s="761" t="s">
        <v>151</v>
      </c>
      <c r="L7" s="761" t="s">
        <v>150</v>
      </c>
      <c r="M7" s="761" t="s">
        <v>152</v>
      </c>
      <c r="N7" s="761" t="s">
        <v>151</v>
      </c>
      <c r="O7" s="761" t="s">
        <v>152</v>
      </c>
      <c r="P7" s="761" t="s">
        <v>150</v>
      </c>
      <c r="Q7" s="761" t="s">
        <v>151</v>
      </c>
      <c r="R7" s="761" t="s">
        <v>95</v>
      </c>
      <c r="S7" s="761" t="s">
        <v>152</v>
      </c>
      <c r="T7" s="206"/>
      <c r="U7" s="207"/>
      <c r="V7" s="190"/>
    </row>
    <row r="8" spans="1:22" x14ac:dyDescent="0.2">
      <c r="A8" s="783">
        <v>1</v>
      </c>
      <c r="B8" s="222"/>
      <c r="C8" s="699"/>
      <c r="D8" s="773" t="s">
        <v>153</v>
      </c>
      <c r="E8" s="784">
        <v>332</v>
      </c>
      <c r="F8" s="209">
        <f t="array" ref="F8">(IF(COUNT(H8,K8,N8,Q8)&lt;3,SUM(H8,K8,N8,Q8),SUM(LARGE((H8,K8,N8,Q8),{1;2;3}))))+(IF(COUNT(G8,J8,L8,P8)&lt;3,SUM(G8,J8,L8,P8),SUM(LARGE((G8,J8,L8,P8),{1;2;3}))))+(IF(COUNT(I8,M8,O8,R8,S8)&lt;3,SUM(I8,M8,O8,R8,S8),SUM(LARGE((I8,M8,O8,R8,S8),{1;2;3}))))</f>
        <v>332</v>
      </c>
      <c r="G8" s="759">
        <v>40</v>
      </c>
      <c r="H8" s="760">
        <v>6</v>
      </c>
      <c r="I8" s="759">
        <v>34</v>
      </c>
      <c r="J8" s="212">
        <v>40</v>
      </c>
      <c r="K8" s="212">
        <v>24</v>
      </c>
      <c r="L8" s="212">
        <v>40</v>
      </c>
      <c r="M8" s="760" t="s">
        <v>154</v>
      </c>
      <c r="N8" s="212">
        <v>34</v>
      </c>
      <c r="O8" s="212">
        <v>40</v>
      </c>
      <c r="P8" s="212">
        <v>40</v>
      </c>
      <c r="Q8" s="212">
        <v>34</v>
      </c>
      <c r="R8" s="212">
        <v>40</v>
      </c>
      <c r="S8" s="212">
        <v>40</v>
      </c>
      <c r="T8" s="213">
        <f t="shared" ref="T8:T55" si="0">COUNTIF(G8:S8,"&gt;=0")</f>
        <v>12</v>
      </c>
      <c r="U8" s="214">
        <f t="shared" ref="U8:U55" si="1">COUNTIF(G8:S8,"&gt;=30")</f>
        <v>10</v>
      </c>
      <c r="V8" s="214">
        <f t="shared" ref="V8:V55" si="2">COUNTIF(G8:S8,"=40")</f>
        <v>7</v>
      </c>
    </row>
    <row r="9" spans="1:22" x14ac:dyDescent="0.2">
      <c r="A9" s="783">
        <v>2</v>
      </c>
      <c r="B9" s="222"/>
      <c r="C9" s="699"/>
      <c r="D9" s="215" t="s">
        <v>155</v>
      </c>
      <c r="E9" s="784">
        <v>312</v>
      </c>
      <c r="F9" s="209">
        <f t="array" ref="F9">(IF(COUNT(H9,K9,N9,Q9)&lt;3,SUM(H9,K9,N9,Q9),SUM(LARGE((H9,K9,N9,Q9),{1;2;3}))))+(IF(COUNT(G9,J9,L9,P9)&lt;3,SUM(G9,J9,L9,P9),SUM(LARGE((G9,J9,L9,P9),{1;2;3}))))+(IF(COUNT(I9,M9,O9,R9,S9)&lt;3,SUM(I9,M9,O9,R9,S9),SUM(LARGE((I9,M9,O9,R9,S9),{1;2;3}))))</f>
        <v>312</v>
      </c>
      <c r="G9" s="759">
        <v>40</v>
      </c>
      <c r="H9" s="760">
        <v>6</v>
      </c>
      <c r="I9" s="759">
        <v>14</v>
      </c>
      <c r="J9" s="212">
        <v>40</v>
      </c>
      <c r="K9" s="212">
        <v>24</v>
      </c>
      <c r="L9" s="212">
        <v>40</v>
      </c>
      <c r="M9" s="212">
        <v>40</v>
      </c>
      <c r="N9" s="212">
        <v>34</v>
      </c>
      <c r="O9" s="212">
        <v>34</v>
      </c>
      <c r="P9" s="212">
        <v>40</v>
      </c>
      <c r="Q9" s="212">
        <v>34</v>
      </c>
      <c r="R9" s="760">
        <v>8</v>
      </c>
      <c r="S9" s="212">
        <v>26</v>
      </c>
      <c r="T9" s="214">
        <f t="shared" si="0"/>
        <v>13</v>
      </c>
      <c r="U9" s="214">
        <f t="shared" si="1"/>
        <v>8</v>
      </c>
      <c r="V9" s="214">
        <f t="shared" si="2"/>
        <v>5</v>
      </c>
    </row>
    <row r="10" spans="1:22" x14ac:dyDescent="0.2">
      <c r="A10" s="783">
        <v>3</v>
      </c>
      <c r="B10" s="222"/>
      <c r="C10" s="699"/>
      <c r="D10" s="216" t="s">
        <v>156</v>
      </c>
      <c r="E10" s="784">
        <v>262</v>
      </c>
      <c r="F10" s="209">
        <f t="array" ref="F10">(IF(COUNT(H10,K10,N10,Q10)&lt;3,SUM(H10,K10,N10,Q10),SUM(LARGE((H10,K10,N10,Q10),{1;2;3}))))+(IF(COUNT(G10,J10,L10,P10)&lt;3,SUM(G10,J10,L10,P10),SUM(LARGE((G10,J10,L10,P10),{1;2;3}))))+(IF(COUNT(I10,M10,O10,R10,S10)&lt;3,SUM(I10,M10,O10,R10,S10),SUM(LARGE((I10,M10,O10,R10,S10),{1;2;3}))))</f>
        <v>262</v>
      </c>
      <c r="G10" s="759">
        <v>20</v>
      </c>
      <c r="H10" s="212">
        <v>40</v>
      </c>
      <c r="I10" s="217">
        <v>40</v>
      </c>
      <c r="J10" s="212">
        <v>34</v>
      </c>
      <c r="K10" s="217">
        <v>26</v>
      </c>
      <c r="L10" s="212">
        <v>30</v>
      </c>
      <c r="M10" s="212">
        <v>24</v>
      </c>
      <c r="N10" s="760">
        <v>24</v>
      </c>
      <c r="O10" s="212">
        <v>18</v>
      </c>
      <c r="P10" s="212">
        <v>26</v>
      </c>
      <c r="Q10" s="212">
        <v>24</v>
      </c>
      <c r="R10" s="760" t="s">
        <v>154</v>
      </c>
      <c r="S10" s="760">
        <v>14</v>
      </c>
      <c r="T10" s="214">
        <f t="shared" si="0"/>
        <v>12</v>
      </c>
      <c r="U10" s="214">
        <f t="shared" si="1"/>
        <v>4</v>
      </c>
      <c r="V10" s="214">
        <f t="shared" si="2"/>
        <v>2</v>
      </c>
    </row>
    <row r="11" spans="1:22" x14ac:dyDescent="0.2">
      <c r="A11" s="783">
        <v>4</v>
      </c>
      <c r="B11" s="222"/>
      <c r="C11" s="699"/>
      <c r="D11" s="198" t="s">
        <v>157</v>
      </c>
      <c r="E11" s="784">
        <v>258</v>
      </c>
      <c r="F11" s="209">
        <f t="array" ref="F11">(IF(COUNT(H11,K11,N11,Q11)&lt;3,SUM(H11,K11,N11,Q11),SUM(LARGE((H11,K11,N11,Q11),{1;2;3}))))+(IF(COUNT(G11,J11,L11,P11)&lt;3,SUM(G11,J11,L11,P11),SUM(LARGE((G11,J11,L11,P11),{1;2;3}))))+(IF(COUNT(I11,M11,O11,R11,S11)&lt;3,SUM(I11,M11,O11,R11,S11),SUM(LARGE((I11,M11,O11,R11,S11),{1;2;3}))))</f>
        <v>258</v>
      </c>
      <c r="G11" s="759">
        <v>22</v>
      </c>
      <c r="H11" s="760">
        <v>20</v>
      </c>
      <c r="I11" s="217">
        <v>30</v>
      </c>
      <c r="J11" s="212">
        <v>22</v>
      </c>
      <c r="K11" s="212">
        <v>34</v>
      </c>
      <c r="L11" s="212">
        <v>34</v>
      </c>
      <c r="M11" s="759">
        <v>2</v>
      </c>
      <c r="N11" s="212">
        <v>26</v>
      </c>
      <c r="O11" s="212">
        <v>30</v>
      </c>
      <c r="P11" s="212">
        <v>34</v>
      </c>
      <c r="Q11" s="212">
        <v>26</v>
      </c>
      <c r="R11" s="760">
        <v>10</v>
      </c>
      <c r="S11" s="212">
        <v>22</v>
      </c>
      <c r="T11" s="214">
        <f t="shared" si="0"/>
        <v>13</v>
      </c>
      <c r="U11" s="214">
        <f t="shared" si="1"/>
        <v>5</v>
      </c>
      <c r="V11" s="214">
        <f t="shared" si="2"/>
        <v>0</v>
      </c>
    </row>
    <row r="12" spans="1:22" x14ac:dyDescent="0.2">
      <c r="A12" s="783">
        <v>5</v>
      </c>
      <c r="B12" s="222"/>
      <c r="C12" s="699"/>
      <c r="D12" s="198" t="s">
        <v>158</v>
      </c>
      <c r="E12" s="784">
        <v>256</v>
      </c>
      <c r="F12" s="209">
        <f t="array" ref="F12">(IF(COUNT(H12,K12,N12,Q12)&lt;3,SUM(H12,K12,N12,Q12),SUM(LARGE((H12,K12,N12,Q12),{1;2;3}))))+(IF(COUNT(G12,J12,L12,P12)&lt;3,SUM(G12,J12,L12,P12),SUM(LARGE((G12,J12,L12,P12),{1;2;3}))))+(IF(COUNT(I12,M12,O12,R12,S12)&lt;3,SUM(I12,M12,O12,R12,S12),SUM(LARGE((I12,M12,O12,R12,S12),{1;2;3}))))</f>
        <v>256</v>
      </c>
      <c r="G12" s="759">
        <v>14</v>
      </c>
      <c r="H12" s="212">
        <v>26</v>
      </c>
      <c r="I12" s="217">
        <v>12</v>
      </c>
      <c r="J12" s="217">
        <v>34</v>
      </c>
      <c r="K12" s="759">
        <v>20</v>
      </c>
      <c r="L12" s="212">
        <v>26</v>
      </c>
      <c r="M12" s="217">
        <v>30</v>
      </c>
      <c r="N12" s="217">
        <v>40</v>
      </c>
      <c r="O12" s="212">
        <v>22</v>
      </c>
      <c r="P12" s="212">
        <v>26</v>
      </c>
      <c r="Q12" s="212">
        <v>40</v>
      </c>
      <c r="R12" s="760">
        <v>6</v>
      </c>
      <c r="S12" s="760">
        <v>2</v>
      </c>
      <c r="T12" s="214">
        <f t="shared" si="0"/>
        <v>13</v>
      </c>
      <c r="U12" s="214">
        <f t="shared" si="1"/>
        <v>4</v>
      </c>
      <c r="V12" s="214">
        <f t="shared" si="2"/>
        <v>2</v>
      </c>
    </row>
    <row r="13" spans="1:22" x14ac:dyDescent="0.2">
      <c r="A13" s="783">
        <v>6</v>
      </c>
      <c r="B13" s="222"/>
      <c r="C13" s="699"/>
      <c r="D13" s="198" t="s">
        <v>159</v>
      </c>
      <c r="E13" s="784">
        <v>232</v>
      </c>
      <c r="F13" s="209">
        <f t="array" ref="F13">(IF(COUNT(H13,K13,N13,Q13)&lt;3,SUM(H13,K13,N13,Q13),SUM(LARGE((H13,K13,N13,Q13),{1;2;3}))))+(IF(COUNT(G13,J13,L13,P13)&lt;3,SUM(G13,J13,L13,P13),SUM(LARGE((G13,J13,L13,P13),{1;2;3}))))+(IF(COUNT(I13,M13,O13,R13,S13)&lt;3,SUM(I13,M13,O13,R13,S13),SUM(LARGE((I13,M13,O13,R13,S13),{1;2;3}))))</f>
        <v>232</v>
      </c>
      <c r="G13" s="760" t="s">
        <v>154</v>
      </c>
      <c r="H13" s="212">
        <v>34</v>
      </c>
      <c r="I13" s="217">
        <v>16</v>
      </c>
      <c r="J13" s="217">
        <v>18</v>
      </c>
      <c r="K13" s="217">
        <v>30</v>
      </c>
      <c r="L13" s="212">
        <v>22</v>
      </c>
      <c r="M13" s="759">
        <v>4</v>
      </c>
      <c r="N13" s="217">
        <v>30</v>
      </c>
      <c r="O13" s="760">
        <v>10</v>
      </c>
      <c r="P13" s="212">
        <v>30</v>
      </c>
      <c r="Q13" s="760">
        <v>14</v>
      </c>
      <c r="R13" s="212">
        <v>34</v>
      </c>
      <c r="S13" s="212">
        <v>18</v>
      </c>
      <c r="T13" s="214">
        <f t="shared" si="0"/>
        <v>12</v>
      </c>
      <c r="U13" s="214">
        <f t="shared" si="1"/>
        <v>5</v>
      </c>
      <c r="V13" s="214">
        <f t="shared" si="2"/>
        <v>0</v>
      </c>
    </row>
    <row r="14" spans="1:22" x14ac:dyDescent="0.2">
      <c r="A14" s="783">
        <v>7</v>
      </c>
      <c r="B14" s="222"/>
      <c r="C14" s="699"/>
      <c r="D14" s="198" t="s">
        <v>160</v>
      </c>
      <c r="E14" s="784">
        <v>228</v>
      </c>
      <c r="F14" s="209">
        <f t="array" ref="F14">(IF(COUNT(H14,K14,N14,Q14)&lt;3,SUM(H14,K14,N14,Q14),SUM(LARGE((H14,K14,N14,Q14),{1;2;3}))))+(IF(COUNT(G14,J14,L14,P14)&lt;3,SUM(G14,J14,L14,P14),SUM(LARGE((G14,J14,L14,P14),{1;2;3}))))+(IF(COUNT(I14,M14,O14,R14,S14)&lt;3,SUM(I14,M14,O14,R14,S14),SUM(LARGE((I14,M14,O14,R14,S14),{1;2;3}))))</f>
        <v>228</v>
      </c>
      <c r="G14" s="217">
        <v>30</v>
      </c>
      <c r="H14" s="760">
        <v>12</v>
      </c>
      <c r="I14" s="759">
        <v>20</v>
      </c>
      <c r="J14" s="212">
        <v>24</v>
      </c>
      <c r="K14" s="212">
        <v>18</v>
      </c>
      <c r="L14" s="760" t="s">
        <v>154</v>
      </c>
      <c r="M14" s="212">
        <v>22</v>
      </c>
      <c r="N14" s="212">
        <v>40</v>
      </c>
      <c r="O14" s="212">
        <v>24</v>
      </c>
      <c r="P14" s="212"/>
      <c r="Q14" s="217">
        <v>40</v>
      </c>
      <c r="R14" s="217">
        <v>30</v>
      </c>
      <c r="S14" s="759">
        <v>16</v>
      </c>
      <c r="T14" s="214">
        <f t="shared" si="0"/>
        <v>11</v>
      </c>
      <c r="U14" s="214">
        <f t="shared" si="1"/>
        <v>4</v>
      </c>
      <c r="V14" s="214">
        <f t="shared" si="2"/>
        <v>2</v>
      </c>
    </row>
    <row r="15" spans="1:22" x14ac:dyDescent="0.2">
      <c r="A15" s="783">
        <v>8</v>
      </c>
      <c r="B15" s="222"/>
      <c r="C15" s="699"/>
      <c r="D15" s="198" t="s">
        <v>161</v>
      </c>
      <c r="E15" s="784">
        <v>218</v>
      </c>
      <c r="F15" s="209">
        <f t="array" ref="F15">(IF(COUNT(H15,K15,N15,Q15)&lt;3,SUM(H15,K15,N15,Q15),SUM(LARGE((H15,K15,N15,Q15),{1;2;3}))))+(IF(COUNT(G15,J15,L15,P15)&lt;3,SUM(G15,J15,L15,P15),SUM(LARGE((G15,J15,L15,P15),{1;2;3}))))+(IF(COUNT(I15,M15,O15,R15,S15)&lt;3,SUM(I15,M15,O15,R15,S15),SUM(LARGE((I15,M15,O15,R15,S15),{1;2;3}))))</f>
        <v>218</v>
      </c>
      <c r="G15" s="217">
        <v>34</v>
      </c>
      <c r="H15" s="212">
        <v>24</v>
      </c>
      <c r="I15" s="217">
        <v>22</v>
      </c>
      <c r="J15" s="760">
        <v>20</v>
      </c>
      <c r="K15" s="212">
        <v>34</v>
      </c>
      <c r="L15" s="212">
        <v>20</v>
      </c>
      <c r="M15" s="760" t="s">
        <v>154</v>
      </c>
      <c r="N15" s="760">
        <v>20</v>
      </c>
      <c r="O15" s="760">
        <v>1</v>
      </c>
      <c r="P15" s="212">
        <v>24</v>
      </c>
      <c r="Q15" s="212">
        <v>30</v>
      </c>
      <c r="R15" s="212">
        <v>18</v>
      </c>
      <c r="S15" s="212">
        <v>12</v>
      </c>
      <c r="T15" s="214">
        <f t="shared" si="0"/>
        <v>12</v>
      </c>
      <c r="U15" s="214">
        <f t="shared" si="1"/>
        <v>3</v>
      </c>
      <c r="V15" s="214">
        <f t="shared" si="2"/>
        <v>0</v>
      </c>
    </row>
    <row r="16" spans="1:22" x14ac:dyDescent="0.2">
      <c r="A16" s="783">
        <v>9</v>
      </c>
      <c r="B16" s="222"/>
      <c r="C16" s="699">
        <v>1</v>
      </c>
      <c r="D16" s="218" t="s">
        <v>162</v>
      </c>
      <c r="E16" s="784">
        <v>216</v>
      </c>
      <c r="F16" s="209">
        <f t="array" ref="F16">(IF(COUNT(H16,K16,N16,Q16)&lt;3,SUM(H16,K16,N16,Q16),SUM(LARGE((H16,K16,N16,Q16),{1;2;3}))))+(IF(COUNT(G16,J16,L16,P16)&lt;3,SUM(G16,J16,L16,P16),SUM(LARGE((G16,J16,L16,P16),{1;2;3}))))+(IF(COUNT(I16,M16,O16,R16,S16)&lt;3,SUM(I16,M16,O16,R16,S16),SUM(LARGE((I16,M16,O16,R16,S16),{1;2;3}))))</f>
        <v>216</v>
      </c>
      <c r="G16" s="759">
        <v>22</v>
      </c>
      <c r="H16" s="212">
        <v>20</v>
      </c>
      <c r="I16" s="759">
        <v>1</v>
      </c>
      <c r="J16" s="212">
        <v>22</v>
      </c>
      <c r="K16" s="760" t="s">
        <v>154</v>
      </c>
      <c r="L16" s="212">
        <v>34</v>
      </c>
      <c r="M16" s="212">
        <v>18</v>
      </c>
      <c r="N16" s="212">
        <v>26</v>
      </c>
      <c r="O16" s="760" t="s">
        <v>154</v>
      </c>
      <c r="P16" s="212">
        <v>34</v>
      </c>
      <c r="Q16" s="212">
        <v>26</v>
      </c>
      <c r="R16" s="212">
        <v>12</v>
      </c>
      <c r="S16" s="212">
        <v>24</v>
      </c>
      <c r="T16" s="214">
        <f t="shared" si="0"/>
        <v>11</v>
      </c>
      <c r="U16" s="214">
        <f t="shared" si="1"/>
        <v>2</v>
      </c>
      <c r="V16" s="214">
        <f t="shared" si="2"/>
        <v>0</v>
      </c>
    </row>
    <row r="17" spans="1:22" x14ac:dyDescent="0.2">
      <c r="A17" s="783">
        <v>10</v>
      </c>
      <c r="B17" s="222"/>
      <c r="C17" s="699"/>
      <c r="D17" s="198" t="s">
        <v>163</v>
      </c>
      <c r="E17" s="784">
        <v>216</v>
      </c>
      <c r="F17" s="209">
        <f t="array" ref="F17">(IF(COUNT(H17,K17,N17,Q17)&lt;3,SUM(H17,K17,N17,Q17),SUM(LARGE((H17,K17,N17,Q17),{1;2;3}))))+(IF(COUNT(G17,J17,L17,P17)&lt;3,SUM(G17,J17,L17,P17),SUM(LARGE((G17,J17,L17,P17),{1;2;3}))))+(IF(COUNT(I17,M17,O17,R17,S17)&lt;3,SUM(I17,M17,O17,R17,S17),SUM(LARGE((I17,M17,O17,R17,S17),{1;2;3}))))</f>
        <v>216</v>
      </c>
      <c r="G17" s="759">
        <v>24</v>
      </c>
      <c r="H17" s="217">
        <v>22</v>
      </c>
      <c r="I17" s="759">
        <v>1</v>
      </c>
      <c r="J17" s="212">
        <v>26</v>
      </c>
      <c r="K17" s="760">
        <v>14</v>
      </c>
      <c r="L17" s="217">
        <v>24</v>
      </c>
      <c r="M17" s="217">
        <v>34</v>
      </c>
      <c r="N17" s="212">
        <v>14</v>
      </c>
      <c r="O17" s="212">
        <v>20</v>
      </c>
      <c r="P17" s="212">
        <v>24</v>
      </c>
      <c r="Q17" s="212">
        <v>22</v>
      </c>
      <c r="R17" s="760" t="s">
        <v>154</v>
      </c>
      <c r="S17" s="212">
        <v>30</v>
      </c>
      <c r="T17" s="214">
        <f t="shared" si="0"/>
        <v>12</v>
      </c>
      <c r="U17" s="214">
        <f t="shared" si="1"/>
        <v>2</v>
      </c>
      <c r="V17" s="214">
        <f t="shared" si="2"/>
        <v>0</v>
      </c>
    </row>
    <row r="18" spans="1:22" x14ac:dyDescent="0.2">
      <c r="A18" s="783">
        <v>11</v>
      </c>
      <c r="B18" s="641"/>
      <c r="C18" s="699"/>
      <c r="D18" s="198" t="s">
        <v>164</v>
      </c>
      <c r="E18" s="784">
        <v>207</v>
      </c>
      <c r="F18" s="209">
        <f t="array" ref="F18">(IF(COUNT(H18,K18,N18,Q18)&lt;3,SUM(H18,K18,N18,Q18),SUM(LARGE((H18,K18,N18,Q18),{1;2;3}))))+(IF(COUNT(G18,J18,L18,P18)&lt;3,SUM(G18,J18,L18,P18),SUM(LARGE((G18,J18,L18,P18),{1;2;3}))))+(IF(COUNT(I18,M18,O18,R18,S18)&lt;3,SUM(I18,M18,O18,R18,S18),SUM(LARGE((I18,M18,O18,R18,S18),{1;2;3}))))</f>
        <v>207</v>
      </c>
      <c r="G18" s="759">
        <v>18</v>
      </c>
      <c r="H18" s="217">
        <v>34</v>
      </c>
      <c r="I18" s="760" t="s">
        <v>154</v>
      </c>
      <c r="J18" s="217">
        <v>18</v>
      </c>
      <c r="K18" s="212">
        <v>30</v>
      </c>
      <c r="L18" s="212">
        <v>22</v>
      </c>
      <c r="M18" s="212">
        <v>16</v>
      </c>
      <c r="N18" s="212">
        <v>30</v>
      </c>
      <c r="O18" s="212">
        <v>3</v>
      </c>
      <c r="P18" s="212">
        <v>30</v>
      </c>
      <c r="Q18" s="760">
        <v>14</v>
      </c>
      <c r="R18" s="212">
        <v>24</v>
      </c>
      <c r="S18" s="212"/>
      <c r="T18" s="214">
        <f t="shared" si="0"/>
        <v>11</v>
      </c>
      <c r="U18" s="214">
        <f t="shared" si="1"/>
        <v>4</v>
      </c>
      <c r="V18" s="214">
        <f t="shared" si="2"/>
        <v>0</v>
      </c>
    </row>
    <row r="19" spans="1:22" x14ac:dyDescent="0.2">
      <c r="A19" s="783">
        <v>12</v>
      </c>
      <c r="B19" s="222"/>
      <c r="C19" s="699"/>
      <c r="D19" s="219" t="s">
        <v>165</v>
      </c>
      <c r="E19" s="784">
        <v>200</v>
      </c>
      <c r="F19" s="209">
        <f t="array" ref="F19">(IF(COUNT(H19,K19,N19,Q19)&lt;3,SUM(H19,K19,N19,Q19),SUM(LARGE((H19,K19,N19,Q19),{1;2;3}))))+(IF(COUNT(G19,J19,L19,P19)&lt;3,SUM(G19,J19,L19,P19),SUM(LARGE((G19,J19,L19,P19),{1;2;3}))))+(IF(COUNT(I19,M19,O19,R19,S19)&lt;3,SUM(I19,M19,O19,R19,S19),SUM(LARGE((I19,M19,O19,R19,S19),{1;2;3}))))</f>
        <v>200</v>
      </c>
      <c r="G19" s="759">
        <v>22</v>
      </c>
      <c r="H19" s="212">
        <v>26</v>
      </c>
      <c r="I19" s="217">
        <v>24</v>
      </c>
      <c r="J19" s="212">
        <v>22</v>
      </c>
      <c r="K19" s="212">
        <v>20</v>
      </c>
      <c r="L19" s="212">
        <v>34</v>
      </c>
      <c r="M19" s="212">
        <v>10</v>
      </c>
      <c r="N19" s="760" t="s">
        <v>154</v>
      </c>
      <c r="O19" s="760" t="s">
        <v>154</v>
      </c>
      <c r="P19" s="212">
        <v>34</v>
      </c>
      <c r="Q19" s="212">
        <v>26</v>
      </c>
      <c r="R19" s="212">
        <v>4</v>
      </c>
      <c r="S19" s="212"/>
      <c r="T19" s="214">
        <f t="shared" si="0"/>
        <v>10</v>
      </c>
      <c r="U19" s="214">
        <f t="shared" si="1"/>
        <v>2</v>
      </c>
      <c r="V19" s="214">
        <f t="shared" si="2"/>
        <v>0</v>
      </c>
    </row>
    <row r="20" spans="1:22" x14ac:dyDescent="0.2">
      <c r="A20" s="783">
        <v>13</v>
      </c>
      <c r="B20" s="641"/>
      <c r="C20" s="699"/>
      <c r="D20" s="219" t="s">
        <v>166</v>
      </c>
      <c r="E20" s="784">
        <v>196</v>
      </c>
      <c r="F20" s="209">
        <f t="array" ref="F20">(IF(COUNT(H20,K20,N20,Q20)&lt;3,SUM(H20,K20,N20,Q20),SUM(LARGE((H20,K20,N20,Q20),{1;2;3}))))+(IF(COUNT(G20,J20,L20,P20)&lt;3,SUM(G20,J20,L20,P20),SUM(LARGE((G20,J20,L20,P20),{1;2;3}))))+(IF(COUNT(I20,M20,O20,R20,S20)&lt;3,SUM(I20,M20,O20,R20,S20),SUM(LARGE((I20,M20,O20,R20,S20),{1;2;3}))))</f>
        <v>196</v>
      </c>
      <c r="G20" s="217">
        <v>18</v>
      </c>
      <c r="H20" s="217">
        <v>18</v>
      </c>
      <c r="I20" s="759">
        <v>4</v>
      </c>
      <c r="J20" s="217">
        <v>30</v>
      </c>
      <c r="K20" s="760">
        <v>12</v>
      </c>
      <c r="L20" s="212">
        <v>26</v>
      </c>
      <c r="M20" s="759">
        <v>1</v>
      </c>
      <c r="N20" s="212">
        <v>22</v>
      </c>
      <c r="O20" s="212">
        <v>14</v>
      </c>
      <c r="P20" s="759" t="s">
        <v>154</v>
      </c>
      <c r="Q20" s="212">
        <v>20</v>
      </c>
      <c r="R20" s="212">
        <v>14</v>
      </c>
      <c r="S20" s="212">
        <v>34</v>
      </c>
      <c r="T20" s="214">
        <f t="shared" si="0"/>
        <v>12</v>
      </c>
      <c r="U20" s="214">
        <f t="shared" si="1"/>
        <v>2</v>
      </c>
      <c r="V20" s="214">
        <f t="shared" si="2"/>
        <v>0</v>
      </c>
    </row>
    <row r="21" spans="1:22" x14ac:dyDescent="0.2">
      <c r="A21" s="783">
        <v>14</v>
      </c>
      <c r="B21" s="222"/>
      <c r="C21" s="699"/>
      <c r="D21" s="198" t="s">
        <v>167</v>
      </c>
      <c r="E21" s="784">
        <v>192</v>
      </c>
      <c r="F21" s="209">
        <f t="array" ref="F21">(IF(COUNT(H21,K21,N21,Q21)&lt;3,SUM(H21,K21,N21,Q21),SUM(LARGE((H21,K21,N21,Q21),{1;2;3}))))+(IF(COUNT(G21,J21,L21,P21)&lt;3,SUM(G21,J21,L21,P21),SUM(LARGE((G21,J21,L21,P21),{1;2;3}))))+(IF(COUNT(I21,M21,O21,R21,S21)&lt;3,SUM(I21,M21,O21,R21,S21),SUM(LARGE((I21,M21,O21,R21,S21),{1;2;3}))))</f>
        <v>192</v>
      </c>
      <c r="G21" s="217">
        <v>20</v>
      </c>
      <c r="H21" s="760">
        <v>2</v>
      </c>
      <c r="I21" s="217">
        <v>26</v>
      </c>
      <c r="J21" s="760" t="s">
        <v>154</v>
      </c>
      <c r="K21" s="212">
        <v>22</v>
      </c>
      <c r="L21" s="212">
        <v>30</v>
      </c>
      <c r="M21" s="217">
        <v>20</v>
      </c>
      <c r="N21" s="212">
        <v>24</v>
      </c>
      <c r="O21" s="760" t="s">
        <v>154</v>
      </c>
      <c r="P21" s="212">
        <v>26</v>
      </c>
      <c r="Q21" s="217">
        <v>24</v>
      </c>
      <c r="R21" s="760" t="s">
        <v>154</v>
      </c>
      <c r="S21" s="217"/>
      <c r="T21" s="214">
        <f t="shared" si="0"/>
        <v>9</v>
      </c>
      <c r="U21" s="214">
        <f t="shared" si="1"/>
        <v>1</v>
      </c>
      <c r="V21" s="214">
        <f t="shared" si="2"/>
        <v>0</v>
      </c>
    </row>
    <row r="22" spans="1:22" x14ac:dyDescent="0.2">
      <c r="A22" s="783">
        <v>15</v>
      </c>
      <c r="B22" s="222"/>
      <c r="C22" s="699"/>
      <c r="D22" s="198" t="s">
        <v>168</v>
      </c>
      <c r="E22" s="784">
        <v>186</v>
      </c>
      <c r="F22" s="209">
        <f t="array" ref="F22">(IF(COUNT(H22,K22,N22,Q22)&lt;3,SUM(H22,K22,N22,Q22),SUM(LARGE((H22,K22,N22,Q22),{1;2;3}))))+(IF(COUNT(G22,J22,L22,P22)&lt;3,SUM(G22,J22,L22,P22),SUM(LARGE((G22,J22,L22,P22),{1;2;3}))))+(IF(COUNT(I22,M22,O22,R22,S22)&lt;3,SUM(I22,M22,O22,R22,S22),SUM(LARGE((I22,M22,O22,R22,S22),{1;2;3}))))</f>
        <v>186</v>
      </c>
      <c r="G22" s="759">
        <v>18</v>
      </c>
      <c r="H22" s="217">
        <v>24</v>
      </c>
      <c r="I22" s="760" t="s">
        <v>154</v>
      </c>
      <c r="J22" s="212">
        <v>18</v>
      </c>
      <c r="K22" s="760">
        <v>18</v>
      </c>
      <c r="L22" s="212">
        <v>22</v>
      </c>
      <c r="M22" s="217">
        <v>12</v>
      </c>
      <c r="N22" s="212">
        <v>18</v>
      </c>
      <c r="O22" s="212">
        <v>12</v>
      </c>
      <c r="P22" s="217">
        <v>30</v>
      </c>
      <c r="Q22" s="212">
        <v>30</v>
      </c>
      <c r="R22" s="760" t="s">
        <v>154</v>
      </c>
      <c r="S22" s="212">
        <v>20</v>
      </c>
      <c r="T22" s="214">
        <f t="shared" si="0"/>
        <v>11</v>
      </c>
      <c r="U22" s="214">
        <f t="shared" si="1"/>
        <v>2</v>
      </c>
      <c r="V22" s="214">
        <f t="shared" si="2"/>
        <v>0</v>
      </c>
    </row>
    <row r="23" spans="1:22" x14ac:dyDescent="0.2">
      <c r="A23" s="783">
        <v>16</v>
      </c>
      <c r="B23" s="222"/>
      <c r="C23" s="699"/>
      <c r="D23" s="198" t="s">
        <v>169</v>
      </c>
      <c r="E23" s="784">
        <v>184</v>
      </c>
      <c r="F23" s="209">
        <f t="array" ref="F23">(IF(COUNT(H23,K23,N23,Q23)&lt;3,SUM(H23,K23,N23,Q23),SUM(LARGE((H23,K23,N23,Q23),{1;2;3}))))+(IF(COUNT(G23,J23,L23,P23)&lt;3,SUM(G23,J23,L23,P23),SUM(LARGE((G23,J23,L23,P23),{1;2;3}))))+(IF(COUNT(I23,M23,O23,R23,S23)&lt;3,SUM(I23,M23,O23,R23,S23),SUM(LARGE((I23,M23,O23,R23,S23),{1;2;3}))))</f>
        <v>184</v>
      </c>
      <c r="G23" s="217">
        <v>20</v>
      </c>
      <c r="H23" s="212">
        <v>40</v>
      </c>
      <c r="I23" s="217">
        <v>6</v>
      </c>
      <c r="J23" s="212">
        <v>34</v>
      </c>
      <c r="K23" s="212">
        <v>26</v>
      </c>
      <c r="L23" s="212">
        <v>30</v>
      </c>
      <c r="M23" s="217">
        <v>8</v>
      </c>
      <c r="N23" s="760" t="s">
        <v>154</v>
      </c>
      <c r="O23" s="760" t="s">
        <v>154</v>
      </c>
      <c r="P23" s="760" t="s">
        <v>154</v>
      </c>
      <c r="Q23" s="212"/>
      <c r="R23" s="212">
        <v>20</v>
      </c>
      <c r="S23" s="760" t="s">
        <v>154</v>
      </c>
      <c r="T23" s="214">
        <f t="shared" si="0"/>
        <v>8</v>
      </c>
      <c r="U23" s="214">
        <f t="shared" si="1"/>
        <v>3</v>
      </c>
      <c r="V23" s="214">
        <f t="shared" si="2"/>
        <v>1</v>
      </c>
    </row>
    <row r="24" spans="1:22" x14ac:dyDescent="0.2">
      <c r="A24" s="783">
        <v>17</v>
      </c>
      <c r="B24" s="222"/>
      <c r="C24" s="699"/>
      <c r="D24" s="198" t="s">
        <v>170</v>
      </c>
      <c r="E24" s="784">
        <v>162</v>
      </c>
      <c r="F24" s="209">
        <f t="array" ref="F24">(IF(COUNT(H24,K24,N24,Q24)&lt;3,SUM(H24,K24,N24,Q24),SUM(LARGE((H24,K24,N24,Q24),{1;2;3}))))+(IF(COUNT(G24,J24,L24,P24)&lt;3,SUM(G24,J24,L24,P24),SUM(LARGE((G24,J24,L24,P24),{1;2;3}))))+(IF(COUNT(I24,M24,O24,R24,S24)&lt;3,SUM(I24,M24,O24,R24,S24),SUM(LARGE((I24,M24,O24,R24,S24),{1;2;3}))))</f>
        <v>162</v>
      </c>
      <c r="G24" s="217">
        <v>34</v>
      </c>
      <c r="H24" s="212">
        <v>30</v>
      </c>
      <c r="I24" s="217">
        <v>2</v>
      </c>
      <c r="J24" s="760">
        <v>20</v>
      </c>
      <c r="K24" s="760">
        <v>10</v>
      </c>
      <c r="L24" s="212">
        <v>20</v>
      </c>
      <c r="M24" s="760" t="s">
        <v>154</v>
      </c>
      <c r="N24" s="212">
        <v>12</v>
      </c>
      <c r="O24" s="760" t="s">
        <v>154</v>
      </c>
      <c r="P24" s="212">
        <v>22</v>
      </c>
      <c r="Q24" s="212">
        <v>16</v>
      </c>
      <c r="R24" s="212">
        <v>26</v>
      </c>
      <c r="S24" s="212"/>
      <c r="T24" s="214">
        <f t="shared" si="0"/>
        <v>10</v>
      </c>
      <c r="U24" s="214">
        <f t="shared" si="1"/>
        <v>2</v>
      </c>
      <c r="V24" s="214">
        <f t="shared" si="2"/>
        <v>0</v>
      </c>
    </row>
    <row r="25" spans="1:22" s="220" customFormat="1" x14ac:dyDescent="0.2">
      <c r="A25" s="783">
        <v>18</v>
      </c>
      <c r="B25" s="222"/>
      <c r="C25" s="699"/>
      <c r="D25" s="198" t="s">
        <v>171</v>
      </c>
      <c r="E25" s="784">
        <v>156</v>
      </c>
      <c r="F25" s="209">
        <f t="array" ref="F25">(IF(COUNT(H25,K25,N25,Q25)&lt;3,SUM(H25,K25,N25,Q25),SUM(LARGE((H25,K25,N25,Q25),{1;2;3}))))+(IF(COUNT(G25,J25,L25,P25)&lt;3,SUM(G25,J25,L25,P25),SUM(LARGE((G25,J25,L25,P25),{1;2;3}))))+(IF(COUNT(I25,M25,O25,R25,S25)&lt;3,SUM(I25,M25,O25,R25,S25),SUM(LARGE((I25,M25,O25,R25,S25),{1;2;3}))))</f>
        <v>156</v>
      </c>
      <c r="G25" s="759">
        <v>24</v>
      </c>
      <c r="H25" s="212">
        <v>22</v>
      </c>
      <c r="I25" s="217">
        <v>8</v>
      </c>
      <c r="J25" s="212">
        <v>26</v>
      </c>
      <c r="K25" s="760">
        <v>14</v>
      </c>
      <c r="L25" s="212">
        <v>24</v>
      </c>
      <c r="M25" s="760" t="s">
        <v>154</v>
      </c>
      <c r="N25" s="212">
        <v>14</v>
      </c>
      <c r="O25" s="212">
        <v>8</v>
      </c>
      <c r="P25" s="217">
        <v>24</v>
      </c>
      <c r="Q25" s="212">
        <v>22</v>
      </c>
      <c r="R25" s="760" t="s">
        <v>154</v>
      </c>
      <c r="S25" s="212">
        <v>8</v>
      </c>
      <c r="T25" s="214">
        <f t="shared" si="0"/>
        <v>11</v>
      </c>
      <c r="U25" s="214">
        <f t="shared" si="1"/>
        <v>0</v>
      </c>
      <c r="V25" s="214">
        <f t="shared" si="2"/>
        <v>0</v>
      </c>
    </row>
    <row r="26" spans="1:22" s="220" customFormat="1" x14ac:dyDescent="0.2">
      <c r="A26" s="783">
        <v>19</v>
      </c>
      <c r="B26" s="222"/>
      <c r="C26" s="699"/>
      <c r="D26" s="198" t="s">
        <v>172</v>
      </c>
      <c r="E26" s="784">
        <v>145</v>
      </c>
      <c r="F26" s="209">
        <f t="array" ref="F26">(IF(COUNT(H26,K26,N26,Q26)&lt;3,SUM(H26,K26,N26,Q26),SUM(LARGE((H26,K26,N26,Q26),{1;2;3}))))+(IF(COUNT(G26,J26,L26,P26)&lt;3,SUM(G26,J26,L26,P26),SUM(LARGE((G26,J26,L26,P26),{1;2;3}))))+(IF(COUNT(I26,M26,O26,R26,S26)&lt;3,SUM(I26,M26,O26,R26,S26),SUM(LARGE((I26,M26,O26,R26,S26),{1;2;3}))))</f>
        <v>145</v>
      </c>
      <c r="G26" s="217">
        <v>16</v>
      </c>
      <c r="H26" s="212">
        <v>14</v>
      </c>
      <c r="I26" s="217">
        <v>18</v>
      </c>
      <c r="J26" s="217">
        <v>30</v>
      </c>
      <c r="K26" s="760" t="s">
        <v>154</v>
      </c>
      <c r="L26" s="760" t="s">
        <v>154</v>
      </c>
      <c r="M26" s="759">
        <v>1</v>
      </c>
      <c r="N26" s="217">
        <v>22</v>
      </c>
      <c r="O26" s="217">
        <v>3</v>
      </c>
      <c r="P26" s="217"/>
      <c r="Q26" s="212">
        <v>20</v>
      </c>
      <c r="R26" s="212">
        <v>22</v>
      </c>
      <c r="S26" s="212"/>
      <c r="T26" s="214">
        <f t="shared" si="0"/>
        <v>9</v>
      </c>
      <c r="U26" s="214">
        <f t="shared" si="1"/>
        <v>1</v>
      </c>
      <c r="V26" s="214">
        <f t="shared" si="2"/>
        <v>0</v>
      </c>
    </row>
    <row r="27" spans="1:22" x14ac:dyDescent="0.2">
      <c r="A27" s="783">
        <v>20</v>
      </c>
      <c r="B27" s="222">
        <v>1</v>
      </c>
      <c r="C27" s="699"/>
      <c r="D27" s="221" t="s">
        <v>173</v>
      </c>
      <c r="E27" s="784">
        <v>137</v>
      </c>
      <c r="F27" s="209">
        <f t="array" ref="F27">(IF(COUNT(H27,K27,N27,Q27)&lt;3,SUM(H27,K27,N27,Q27),SUM(LARGE((H27,K27,N27,Q27),{1;2;3}))))+(IF(COUNT(G27,J27,L27,P27)&lt;3,SUM(G27,J27,L27,P27),SUM(LARGE((G27,J27,L27,P27),{1;2;3}))))+(IF(COUNT(I27,M27,O27,R27,S27)&lt;3,SUM(I27,M27,O27,R27,S27),SUM(LARGE((I27,M27,O27,R27,S27),{1;2;3}))))</f>
        <v>137</v>
      </c>
      <c r="G27" s="217">
        <v>34</v>
      </c>
      <c r="H27" s="212">
        <v>30</v>
      </c>
      <c r="I27" s="217">
        <v>1</v>
      </c>
      <c r="J27" s="760">
        <v>20</v>
      </c>
      <c r="K27" s="759">
        <v>10</v>
      </c>
      <c r="L27" s="212">
        <v>20</v>
      </c>
      <c r="M27" s="760" t="s">
        <v>154</v>
      </c>
      <c r="N27" s="212">
        <v>12</v>
      </c>
      <c r="O27" s="760" t="s">
        <v>154</v>
      </c>
      <c r="P27" s="212">
        <v>22</v>
      </c>
      <c r="Q27" s="212">
        <v>16</v>
      </c>
      <c r="R27" s="212">
        <v>2</v>
      </c>
      <c r="S27" s="212"/>
      <c r="T27" s="214">
        <f t="shared" si="0"/>
        <v>10</v>
      </c>
      <c r="U27" s="214">
        <f t="shared" si="1"/>
        <v>2</v>
      </c>
      <c r="V27" s="214">
        <f t="shared" si="2"/>
        <v>0</v>
      </c>
    </row>
    <row r="28" spans="1:22" s="220" customFormat="1" x14ac:dyDescent="0.2">
      <c r="A28" s="783">
        <v>21</v>
      </c>
      <c r="B28" s="222">
        <v>2</v>
      </c>
      <c r="C28" s="699"/>
      <c r="D28" s="222" t="s">
        <v>174</v>
      </c>
      <c r="E28" s="784">
        <v>118</v>
      </c>
      <c r="F28" s="209">
        <f t="array" ref="F28">(IF(COUNT(H28,K28,N28,Q28)&lt;3,SUM(H28,K28,N28,Q28),SUM(LARGE((H28,K28,N28,Q28),{1;2;3}))))+(IF(COUNT(G28,J28,L28,P28)&lt;3,SUM(G28,J28,L28,P28),SUM(LARGE((G28,J28,L28,P28),{1;2;3}))))+(IF(COUNT(I28,M28,O28,R28,S28)&lt;3,SUM(I28,M28,O28,R28,S28),SUM(LARGE((I28,M28,O28,R28,S28),{1;2;3}))))</f>
        <v>118</v>
      </c>
      <c r="G28" s="217">
        <v>26</v>
      </c>
      <c r="H28" s="760" t="s">
        <v>154</v>
      </c>
      <c r="I28" s="217">
        <v>10</v>
      </c>
      <c r="J28" s="760" t="s">
        <v>154</v>
      </c>
      <c r="K28" s="212">
        <v>40</v>
      </c>
      <c r="L28" s="212"/>
      <c r="M28" s="760" t="s">
        <v>154</v>
      </c>
      <c r="N28" s="212">
        <v>16</v>
      </c>
      <c r="O28" s="212">
        <v>26</v>
      </c>
      <c r="P28" s="212"/>
      <c r="Q28" s="212"/>
      <c r="R28" s="760" t="s">
        <v>154</v>
      </c>
      <c r="S28" s="212"/>
      <c r="T28" s="214">
        <f t="shared" si="0"/>
        <v>5</v>
      </c>
      <c r="U28" s="214">
        <f t="shared" si="1"/>
        <v>1</v>
      </c>
      <c r="V28" s="214">
        <f t="shared" si="2"/>
        <v>1</v>
      </c>
    </row>
    <row r="29" spans="1:22" x14ac:dyDescent="0.2">
      <c r="A29" s="783">
        <v>22</v>
      </c>
      <c r="B29" s="222"/>
      <c r="C29" s="699"/>
      <c r="D29" s="219" t="s">
        <v>175</v>
      </c>
      <c r="E29" s="784">
        <v>109</v>
      </c>
      <c r="F29" s="209">
        <f t="array" ref="F29">(IF(COUNT(H29,K29,N29,Q29)&lt;3,SUM(H29,K29,N29,Q29),SUM(LARGE((H29,K29,N29,Q29),{1;2;3}))))+(IF(COUNT(G29,J29,L29,P29)&lt;3,SUM(G29,J29,L29,P29),SUM(LARGE((G29,J29,L29,P29),{1;2;3}))))+(IF(COUNT(I29,M29,O29,R29,S29)&lt;3,SUM(I29,M29,O29,R29,S29),SUM(LARGE((I29,M29,O29,R29,S29),{1;2;3}))))</f>
        <v>109</v>
      </c>
      <c r="G29" s="217">
        <v>26</v>
      </c>
      <c r="H29" s="212">
        <v>10</v>
      </c>
      <c r="I29" s="217">
        <v>1</v>
      </c>
      <c r="J29" s="760" t="s">
        <v>154</v>
      </c>
      <c r="K29" s="212">
        <v>40</v>
      </c>
      <c r="L29" s="212"/>
      <c r="M29" s="760" t="s">
        <v>154</v>
      </c>
      <c r="N29" s="212">
        <v>16</v>
      </c>
      <c r="O29" s="212">
        <v>16</v>
      </c>
      <c r="P29" s="212"/>
      <c r="Q29" s="760" t="s">
        <v>154</v>
      </c>
      <c r="R29" s="760" t="s">
        <v>154</v>
      </c>
      <c r="S29" s="212"/>
      <c r="T29" s="214">
        <f t="shared" si="0"/>
        <v>6</v>
      </c>
      <c r="U29" s="214">
        <f t="shared" si="1"/>
        <v>1</v>
      </c>
      <c r="V29" s="214">
        <f t="shared" si="2"/>
        <v>1</v>
      </c>
    </row>
    <row r="30" spans="1:22" x14ac:dyDescent="0.2">
      <c r="A30" s="783">
        <v>23</v>
      </c>
      <c r="B30" s="222"/>
      <c r="C30" s="699"/>
      <c r="D30" s="219" t="s">
        <v>176</v>
      </c>
      <c r="E30" s="784">
        <v>104</v>
      </c>
      <c r="F30" s="209">
        <f t="array" ref="F30">(IF(COUNT(H30,K30,N30,Q30)&lt;3,SUM(H30,K30,N30,Q30),SUM(LARGE((H30,K30,N30,Q30),{1;2;3}))))+(IF(COUNT(G30,J30,L30,P30)&lt;3,SUM(G30,J30,L30,P30),SUM(LARGE((G30,J30,L30,P30),{1;2;3}))))+(IF(COUNT(I30,M30,O30,R30,S30)&lt;3,SUM(I30,M30,O30,R30,S30),SUM(LARGE((I30,M30,O30,R30,S30),{1;2;3}))))</f>
        <v>104</v>
      </c>
      <c r="G30" s="217">
        <v>16</v>
      </c>
      <c r="H30" s="217">
        <v>18</v>
      </c>
      <c r="I30" s="760" t="s">
        <v>154</v>
      </c>
      <c r="J30" s="212">
        <v>30</v>
      </c>
      <c r="K30" s="212">
        <v>12</v>
      </c>
      <c r="L30" s="760" t="s">
        <v>154</v>
      </c>
      <c r="M30" s="760" t="s">
        <v>154</v>
      </c>
      <c r="N30" s="759" t="s">
        <v>154</v>
      </c>
      <c r="O30" s="212"/>
      <c r="P30" s="217"/>
      <c r="Q30" s="212">
        <v>18</v>
      </c>
      <c r="R30" s="212"/>
      <c r="S30" s="212">
        <v>10</v>
      </c>
      <c r="T30" s="214">
        <f t="shared" si="0"/>
        <v>6</v>
      </c>
      <c r="U30" s="214">
        <f t="shared" si="1"/>
        <v>1</v>
      </c>
      <c r="V30" s="214">
        <f t="shared" si="2"/>
        <v>0</v>
      </c>
    </row>
    <row r="31" spans="1:22" x14ac:dyDescent="0.2">
      <c r="A31" s="783">
        <v>24</v>
      </c>
      <c r="B31" s="641">
        <v>3</v>
      </c>
      <c r="C31" s="699"/>
      <c r="D31" s="222" t="s">
        <v>177</v>
      </c>
      <c r="E31" s="784">
        <v>100</v>
      </c>
      <c r="F31" s="209">
        <f t="array" ref="F31">(IF(COUNT(H31,K31,N31,Q31)&lt;3,SUM(H31,K31,N31,Q31),SUM(LARGE((H31,K31,N31,Q31),{1;2;3}))))+(IF(COUNT(G31,J31,L31,P31)&lt;3,SUM(G31,J31,L31,P31),SUM(LARGE((G31,J31,L31,P31),{1;2;3}))))+(IF(COUNT(I31,M31,O31,R31,S31)&lt;3,SUM(I31,M31,O31,R31,S31),SUM(LARGE((I31,M31,O31,R31,S31),{1;2;3}))))</f>
        <v>100</v>
      </c>
      <c r="G31" s="760" t="s">
        <v>154</v>
      </c>
      <c r="H31" s="760" t="s">
        <v>154</v>
      </c>
      <c r="I31" s="760" t="s">
        <v>154</v>
      </c>
      <c r="J31" s="217"/>
      <c r="K31" s="760"/>
      <c r="L31" s="217">
        <v>40</v>
      </c>
      <c r="M31" s="760" t="s">
        <v>154</v>
      </c>
      <c r="N31" s="212">
        <v>20</v>
      </c>
      <c r="O31" s="212"/>
      <c r="P31" s="212">
        <v>40</v>
      </c>
      <c r="Q31" s="212"/>
      <c r="R31" s="212"/>
      <c r="S31" s="212"/>
      <c r="T31" s="214">
        <f t="shared" si="0"/>
        <v>3</v>
      </c>
      <c r="U31" s="214">
        <f t="shared" si="1"/>
        <v>2</v>
      </c>
      <c r="V31" s="214">
        <f t="shared" si="2"/>
        <v>2</v>
      </c>
    </row>
    <row r="32" spans="1:22" s="220" customFormat="1" x14ac:dyDescent="0.2">
      <c r="A32" s="783">
        <v>25</v>
      </c>
      <c r="B32" s="222"/>
      <c r="C32" s="699"/>
      <c r="D32" s="198" t="s">
        <v>178</v>
      </c>
      <c r="E32" s="784">
        <v>94</v>
      </c>
      <c r="F32" s="209">
        <f t="array" ref="F32">(IF(COUNT(H32,K32,N32,Q32)&lt;3,SUM(H32,K32,N32,Q32),SUM(LARGE((H32,K32,N32,Q32),{1;2;3}))))+(IF(COUNT(G32,J32,L32,P32)&lt;3,SUM(G32,J32,L32,P32),SUM(LARGE((G32,J32,L32,P32),{1;2;3}))))+(IF(COUNT(I32,M32,O32,R32,S32)&lt;3,SUM(I32,M32,O32,R32,S32),SUM(LARGE((I32,M32,O32,R32,S32),{1;2;3}))))</f>
        <v>94</v>
      </c>
      <c r="G32" s="217">
        <v>30</v>
      </c>
      <c r="H32" s="760" t="s">
        <v>154</v>
      </c>
      <c r="I32" s="760" t="s">
        <v>154</v>
      </c>
      <c r="J32" s="760" t="s">
        <v>154</v>
      </c>
      <c r="K32" s="212">
        <v>16</v>
      </c>
      <c r="L32" s="212"/>
      <c r="M32" s="217">
        <v>26</v>
      </c>
      <c r="N32" s="212"/>
      <c r="O32" s="760" t="s">
        <v>154</v>
      </c>
      <c r="P32" s="212">
        <v>22</v>
      </c>
      <c r="Q32" s="217"/>
      <c r="R32" s="212"/>
      <c r="S32" s="217"/>
      <c r="T32" s="214">
        <f t="shared" si="0"/>
        <v>4</v>
      </c>
      <c r="U32" s="214">
        <f t="shared" si="1"/>
        <v>1</v>
      </c>
      <c r="V32" s="214">
        <f t="shared" si="2"/>
        <v>0</v>
      </c>
    </row>
    <row r="33" spans="1:22" s="220" customFormat="1" x14ac:dyDescent="0.2">
      <c r="A33" s="783">
        <v>26</v>
      </c>
      <c r="B33" s="222"/>
      <c r="C33" s="699"/>
      <c r="D33" s="198" t="s">
        <v>179</v>
      </c>
      <c r="E33" s="784">
        <v>80</v>
      </c>
      <c r="F33" s="209">
        <f t="array" ref="F33">(IF(COUNT(H33,K33,N33,Q33)&lt;3,SUM(H33,K33,N33,Q33),SUM(LARGE((H33,K33,N33,Q33),{1;2;3}))))+(IF(COUNT(G33,J33,L33,P33)&lt;3,SUM(G33,J33,L33,P33),SUM(LARGE((G33,J33,L33,P33),{1;2;3}))))+(IF(COUNT(I33,M33,O33,R33,S33)&lt;3,SUM(I33,M33,O33,R33,S33),SUM(LARGE((I33,M33,O33,R33,S33),{1;2;3}))))</f>
        <v>80</v>
      </c>
      <c r="G33" s="217">
        <v>40</v>
      </c>
      <c r="H33" s="760" t="s">
        <v>154</v>
      </c>
      <c r="I33" s="760" t="s">
        <v>154</v>
      </c>
      <c r="J33" s="212">
        <v>40</v>
      </c>
      <c r="K33" s="212"/>
      <c r="L33" s="760" t="s">
        <v>154</v>
      </c>
      <c r="M33" s="760" t="s">
        <v>154</v>
      </c>
      <c r="N33" s="212"/>
      <c r="O33" s="212"/>
      <c r="P33" s="212"/>
      <c r="Q33" s="212"/>
      <c r="R33" s="212"/>
      <c r="S33" s="212"/>
      <c r="T33" s="214">
        <f t="shared" si="0"/>
        <v>2</v>
      </c>
      <c r="U33" s="214">
        <f t="shared" si="1"/>
        <v>2</v>
      </c>
      <c r="V33" s="214">
        <f t="shared" si="2"/>
        <v>2</v>
      </c>
    </row>
    <row r="34" spans="1:22" s="220" customFormat="1" x14ac:dyDescent="0.2">
      <c r="A34" s="783">
        <v>27</v>
      </c>
      <c r="B34" s="222">
        <v>4</v>
      </c>
      <c r="C34" s="699"/>
      <c r="D34" s="221" t="s">
        <v>180</v>
      </c>
      <c r="E34" s="784">
        <v>67</v>
      </c>
      <c r="F34" s="209">
        <f t="array" ref="F34">(IF(COUNT(H34,K34,N34,Q34)&lt;3,SUM(H34,K34,N34,Q34),SUM(LARGE((H34,K34,N34,Q34),{1;2;3}))))+(IF(COUNT(G34,J34,L34,P34)&lt;3,SUM(G34,J34,L34,P34),SUM(LARGE((G34,J34,L34,P34),{1;2;3}))))+(IF(COUNT(I34,M34,O34,R34,S34)&lt;3,SUM(I34,M34,O34,R34,S34),SUM(LARGE((I34,M34,O34,R34,S34),{1;2;3}))))</f>
        <v>67</v>
      </c>
      <c r="G34" s="217">
        <v>30</v>
      </c>
      <c r="H34" s="212">
        <v>12</v>
      </c>
      <c r="I34" s="217">
        <v>1</v>
      </c>
      <c r="J34" s="217">
        <v>24</v>
      </c>
      <c r="K34" s="760" t="s">
        <v>154</v>
      </c>
      <c r="L34" s="760" t="s">
        <v>154</v>
      </c>
      <c r="M34" s="760" t="s">
        <v>154</v>
      </c>
      <c r="N34" s="217"/>
      <c r="O34" s="760" t="s">
        <v>154</v>
      </c>
      <c r="P34" s="212"/>
      <c r="Q34" s="212"/>
      <c r="R34" s="212"/>
      <c r="S34" s="212"/>
      <c r="T34" s="214">
        <f t="shared" si="0"/>
        <v>4</v>
      </c>
      <c r="U34" s="214">
        <f t="shared" si="1"/>
        <v>1</v>
      </c>
      <c r="V34" s="214">
        <f t="shared" si="2"/>
        <v>0</v>
      </c>
    </row>
    <row r="35" spans="1:22" x14ac:dyDescent="0.2">
      <c r="A35" s="783">
        <v>28</v>
      </c>
      <c r="B35" s="641"/>
      <c r="C35" s="699"/>
      <c r="D35" s="198" t="s">
        <v>181</v>
      </c>
      <c r="E35" s="784">
        <v>63</v>
      </c>
      <c r="F35" s="209">
        <f t="array" ref="F35">(IF(COUNT(H35,K35,N35,Q35)&lt;3,SUM(H35,K35,N35,Q35),SUM(LARGE((H35,K35,N35,Q35),{1;2;3}))))+(IF(COUNT(G35,J35,L35,P35)&lt;3,SUM(G35,J35,L35,P35),SUM(LARGE((G35,J35,L35,P35),{1;2;3}))))+(IF(COUNT(I35,M35,O35,R35,S35)&lt;3,SUM(I35,M35,O35,R35,S35),SUM(LARGE((I35,M35,O35,R35,S35),{1;2;3}))))</f>
        <v>63</v>
      </c>
      <c r="G35" s="760" t="s">
        <v>154</v>
      </c>
      <c r="H35" s="217">
        <v>2</v>
      </c>
      <c r="I35" s="217">
        <v>1</v>
      </c>
      <c r="J35" s="217"/>
      <c r="K35" s="760" t="s">
        <v>154</v>
      </c>
      <c r="L35" s="217">
        <v>26</v>
      </c>
      <c r="M35" s="760" t="s">
        <v>154</v>
      </c>
      <c r="N35" s="212">
        <v>18</v>
      </c>
      <c r="O35" s="760" t="s">
        <v>154</v>
      </c>
      <c r="P35" s="212"/>
      <c r="Q35" s="212"/>
      <c r="R35" s="212">
        <v>16</v>
      </c>
      <c r="S35" s="212"/>
      <c r="T35" s="214">
        <f t="shared" si="0"/>
        <v>5</v>
      </c>
      <c r="U35" s="214">
        <f t="shared" si="1"/>
        <v>0</v>
      </c>
      <c r="V35" s="214">
        <f t="shared" si="2"/>
        <v>0</v>
      </c>
    </row>
    <row r="36" spans="1:22" x14ac:dyDescent="0.2">
      <c r="A36" s="783">
        <v>29</v>
      </c>
      <c r="B36" s="222"/>
      <c r="C36" s="699"/>
      <c r="D36" s="219" t="s">
        <v>19</v>
      </c>
      <c r="E36" s="784">
        <v>57</v>
      </c>
      <c r="F36" s="209">
        <f t="array" ref="F36">(IF(COUNT(H36,K36,N36,Q36)&lt;3,SUM(H36,K36,N36,Q36),SUM(LARGE((H36,K36,N36,Q36),{1;2;3}))))+(IF(COUNT(G36,J36,L36,P36)&lt;3,SUM(G36,J36,L36,P36),SUM(LARGE((G36,J36,L36,P36),{1;2;3}))))+(IF(COUNT(I36,M36,O36,R36,S36)&lt;3,SUM(I36,M36,O36,R36,S36),SUM(LARGE((I36,M36,O36,R36,S36),{1;2;3}))))</f>
        <v>57</v>
      </c>
      <c r="G36" s="217">
        <v>24</v>
      </c>
      <c r="H36" s="212">
        <v>8</v>
      </c>
      <c r="I36" s="760" t="s">
        <v>154</v>
      </c>
      <c r="J36" s="212">
        <v>24</v>
      </c>
      <c r="K36" s="760" t="s">
        <v>154</v>
      </c>
      <c r="L36" s="760" t="s">
        <v>154</v>
      </c>
      <c r="M36" s="212">
        <v>1</v>
      </c>
      <c r="N36" s="212"/>
      <c r="O36" s="760" t="s">
        <v>154</v>
      </c>
      <c r="P36" s="212"/>
      <c r="Q36" s="212"/>
      <c r="R36" s="212"/>
      <c r="S36" s="212"/>
      <c r="T36" s="214">
        <f t="shared" si="0"/>
        <v>4</v>
      </c>
      <c r="U36" s="214">
        <f t="shared" si="1"/>
        <v>0</v>
      </c>
      <c r="V36" s="214">
        <f t="shared" si="2"/>
        <v>0</v>
      </c>
    </row>
    <row r="37" spans="1:22" x14ac:dyDescent="0.2">
      <c r="A37" s="783">
        <v>30</v>
      </c>
      <c r="B37" s="641"/>
      <c r="C37" s="699"/>
      <c r="D37" s="223" t="s">
        <v>182</v>
      </c>
      <c r="E37" s="784">
        <v>56</v>
      </c>
      <c r="F37" s="209">
        <f t="array" ref="F37">(IF(COUNT(H37,K37,N37,Q37)&lt;3,SUM(H37,K37,N37,Q37),SUM(LARGE((H37,K37,N37,Q37),{1;2;3}))))+(IF(COUNT(G37,J37,L37,P37)&lt;3,SUM(G37,J37,L37,P37),SUM(LARGE((G37,J37,L37,P37),{1;2;3}))))+(IF(COUNT(I37,M37,O37,R37,S37)&lt;3,SUM(I37,M37,O37,R37,S37),SUM(LARGE((I37,M37,O37,R37,S37),{1;2;3}))))</f>
        <v>56</v>
      </c>
      <c r="G37" s="760" t="s">
        <v>154</v>
      </c>
      <c r="H37" s="760" t="s">
        <v>154</v>
      </c>
      <c r="I37" s="217">
        <v>1</v>
      </c>
      <c r="J37" s="217">
        <v>26</v>
      </c>
      <c r="K37" s="212"/>
      <c r="L37" s="217">
        <v>24</v>
      </c>
      <c r="M37" s="760" t="s">
        <v>154</v>
      </c>
      <c r="N37" s="212"/>
      <c r="O37" s="212">
        <v>1</v>
      </c>
      <c r="P37" s="212"/>
      <c r="Q37" s="212"/>
      <c r="R37" s="760" t="s">
        <v>154</v>
      </c>
      <c r="S37" s="212">
        <v>4</v>
      </c>
      <c r="T37" s="214">
        <f t="shared" si="0"/>
        <v>5</v>
      </c>
      <c r="U37" s="214">
        <f t="shared" si="1"/>
        <v>0</v>
      </c>
      <c r="V37" s="214">
        <f t="shared" si="2"/>
        <v>0</v>
      </c>
    </row>
    <row r="38" spans="1:22" x14ac:dyDescent="0.2">
      <c r="A38" s="783">
        <v>31</v>
      </c>
      <c r="B38" s="222"/>
      <c r="C38" s="700"/>
      <c r="D38" s="198" t="s">
        <v>183</v>
      </c>
      <c r="E38" s="784">
        <v>40</v>
      </c>
      <c r="F38" s="209">
        <f t="array" ref="F38">(IF(COUNT(H38,K38,N38,Q38)&lt;3,SUM(H38,K38,N38,Q38),SUM(LARGE((H38,K38,N38,Q38),{1;2;3}))))+(IF(COUNT(G38,J38,L38,P38)&lt;3,SUM(G38,J38,L38,P38),SUM(LARGE((G38,J38,L38,P38),{1;2;3}))))+(IF(COUNT(I38,M38,O38,R38,S38)&lt;3,SUM(I38,M38,O38,R38,S38),SUM(LARGE((I38,M38,O38,R38,S38),{1;2;3}))))</f>
        <v>40</v>
      </c>
      <c r="G38" s="217">
        <v>26</v>
      </c>
      <c r="H38" s="212">
        <v>14</v>
      </c>
      <c r="I38" s="760" t="s">
        <v>154</v>
      </c>
      <c r="J38" s="760" t="s">
        <v>154</v>
      </c>
      <c r="K38" s="760" t="s">
        <v>154</v>
      </c>
      <c r="L38" s="212"/>
      <c r="M38" s="760" t="s">
        <v>154</v>
      </c>
      <c r="N38" s="212"/>
      <c r="O38" s="212"/>
      <c r="P38" s="212"/>
      <c r="Q38" s="212"/>
      <c r="R38" s="212"/>
      <c r="S38" s="212"/>
      <c r="T38" s="214">
        <f t="shared" si="0"/>
        <v>2</v>
      </c>
      <c r="U38" s="214">
        <f t="shared" si="1"/>
        <v>0</v>
      </c>
      <c r="V38" s="214">
        <f t="shared" si="2"/>
        <v>0</v>
      </c>
    </row>
    <row r="39" spans="1:22" x14ac:dyDescent="0.2">
      <c r="A39" s="783">
        <v>32</v>
      </c>
      <c r="B39" s="641"/>
      <c r="C39" s="699"/>
      <c r="D39" s="198" t="s">
        <v>184</v>
      </c>
      <c r="E39" s="784">
        <v>32</v>
      </c>
      <c r="F39" s="209">
        <f t="array" ref="F39">(IF(COUNT(H39,K39,N39,Q39)&lt;3,SUM(H39,K39,N39,Q39),SUM(LARGE((H39,K39,N39,Q39),{1;2;3}))))+(IF(COUNT(G39,J39,L39,P39)&lt;3,SUM(G39,J39,L39,P39),SUM(LARGE((G39,J39,L39,P39),{1;2;3}))))+(IF(COUNT(I39,M39,O39,R39,S39)&lt;3,SUM(I39,M39,O39,R39,S39),SUM(LARGE((I39,M39,O39,R39,S39),{1;2;3}))))</f>
        <v>32</v>
      </c>
      <c r="G39" s="760" t="s">
        <v>154</v>
      </c>
      <c r="H39" s="217">
        <v>16</v>
      </c>
      <c r="I39" s="760" t="s">
        <v>154</v>
      </c>
      <c r="J39" s="217"/>
      <c r="K39" s="212">
        <v>16</v>
      </c>
      <c r="L39" s="217"/>
      <c r="M39" s="760" t="s">
        <v>154</v>
      </c>
      <c r="N39" s="760" t="s">
        <v>154</v>
      </c>
      <c r="O39" s="212"/>
      <c r="P39" s="212"/>
      <c r="Q39" s="212"/>
      <c r="R39" s="212"/>
      <c r="S39" s="212"/>
      <c r="T39" s="214">
        <f t="shared" si="0"/>
        <v>2</v>
      </c>
      <c r="U39" s="214">
        <f t="shared" si="1"/>
        <v>0</v>
      </c>
      <c r="V39" s="214">
        <f t="shared" si="2"/>
        <v>0</v>
      </c>
    </row>
    <row r="40" spans="1:22" x14ac:dyDescent="0.2">
      <c r="A40" s="783">
        <v>33</v>
      </c>
      <c r="B40" s="641"/>
      <c r="C40" s="699"/>
      <c r="D40" s="198" t="s">
        <v>185</v>
      </c>
      <c r="E40" s="784">
        <v>28</v>
      </c>
      <c r="F40" s="209">
        <f t="array" ref="F40">(IF(COUNT(H40,K40,N40,Q40)&lt;3,SUM(H40,K40,N40,Q40),SUM(LARGE((H40,K40,N40,Q40),{1;2;3}))))+(IF(COUNT(G40,J40,L40,P40)&lt;3,SUM(G40,J40,L40,P40),SUM(LARGE((G40,J40,L40,P40),{1;2;3}))))+(IF(COUNT(I40,M40,O40,R40,S40)&lt;3,SUM(I40,M40,O40,R40,S40),SUM(LARGE((I40,M40,O40,R40,S40),{1;2;3}))))</f>
        <v>28</v>
      </c>
      <c r="G40" s="760" t="s">
        <v>154</v>
      </c>
      <c r="H40" s="760" t="s">
        <v>154</v>
      </c>
      <c r="I40" s="760" t="s">
        <v>154</v>
      </c>
      <c r="J40" s="217"/>
      <c r="K40" s="212">
        <v>22</v>
      </c>
      <c r="L40" s="217"/>
      <c r="M40" s="212">
        <v>6</v>
      </c>
      <c r="N40" s="212"/>
      <c r="O40" s="760" t="s">
        <v>154</v>
      </c>
      <c r="P40" s="212"/>
      <c r="Q40" s="212"/>
      <c r="R40" s="212"/>
      <c r="S40" s="212"/>
      <c r="T40" s="214">
        <f t="shared" si="0"/>
        <v>2</v>
      </c>
      <c r="U40" s="214">
        <f t="shared" si="1"/>
        <v>0</v>
      </c>
      <c r="V40" s="214">
        <f t="shared" si="2"/>
        <v>0</v>
      </c>
    </row>
    <row r="41" spans="1:22" x14ac:dyDescent="0.2">
      <c r="A41" s="783">
        <v>34</v>
      </c>
      <c r="B41" s="222"/>
      <c r="C41" s="699"/>
      <c r="D41" s="204" t="s">
        <v>186</v>
      </c>
      <c r="E41" s="784">
        <v>23</v>
      </c>
      <c r="F41" s="209">
        <f t="array" ref="F41">(IF(COUNT(H41,K41,N41,Q41)&lt;3,SUM(H41,K41,N41,Q41),SUM(LARGE((H41,K41,N41,Q41),{1;2;3}))))+(IF(COUNT(G41,J41,L41,P41)&lt;3,SUM(G41,J41,L41,P41),SUM(LARGE((G41,J41,L41,P41),{1;2;3}))))+(IF(COUNT(I41,M41,O41,R41,S41)&lt;3,SUM(I41,M41,O41,R41,S41),SUM(LARGE((I41,M41,O41,R41,S41),{1;2;3}))))</f>
        <v>23</v>
      </c>
      <c r="G41" s="760" t="s">
        <v>154</v>
      </c>
      <c r="H41" s="212">
        <v>8</v>
      </c>
      <c r="I41" s="760" t="s">
        <v>154</v>
      </c>
      <c r="J41" s="217"/>
      <c r="K41" s="760" t="s">
        <v>154</v>
      </c>
      <c r="L41" s="217"/>
      <c r="M41" s="212">
        <v>14</v>
      </c>
      <c r="N41" s="212"/>
      <c r="O41" s="212">
        <v>1</v>
      </c>
      <c r="P41" s="212"/>
      <c r="Q41" s="212"/>
      <c r="R41" s="760" t="s">
        <v>154</v>
      </c>
      <c r="S41" s="212"/>
      <c r="T41" s="214">
        <f t="shared" si="0"/>
        <v>3</v>
      </c>
      <c r="U41" s="214">
        <f t="shared" si="1"/>
        <v>0</v>
      </c>
      <c r="V41" s="214">
        <f t="shared" si="2"/>
        <v>0</v>
      </c>
    </row>
    <row r="42" spans="1:22" x14ac:dyDescent="0.2">
      <c r="A42" s="783">
        <v>35</v>
      </c>
      <c r="B42" s="641">
        <v>5</v>
      </c>
      <c r="C42" s="699"/>
      <c r="D42" s="224" t="s">
        <v>187</v>
      </c>
      <c r="E42" s="784">
        <v>19</v>
      </c>
      <c r="F42" s="209">
        <f t="array" ref="F42">(IF(COUNT(H42,K42,N42,Q42)&lt;3,SUM(H42,K42,N42,Q42),SUM(LARGE((H42,K42,N42,Q42),{1;2;3}))))+(IF(COUNT(G42,J42,L42,P42)&lt;3,SUM(G42,J42,L42,P42),SUM(LARGE((G42,J42,L42,P42),{1;2;3}))))+(IF(COUNT(I42,M42,O42,R42,S42)&lt;3,SUM(I42,M42,O42,R42,S42),SUM(LARGE((I42,M42,O42,R42,S42),{1;2;3}))))</f>
        <v>19</v>
      </c>
      <c r="G42" s="760" t="s">
        <v>154</v>
      </c>
      <c r="H42" s="760" t="s">
        <v>154</v>
      </c>
      <c r="I42" s="760" t="s">
        <v>154</v>
      </c>
      <c r="J42" s="217"/>
      <c r="K42" s="760"/>
      <c r="L42" s="217"/>
      <c r="M42" s="760" t="s">
        <v>154</v>
      </c>
      <c r="N42" s="212"/>
      <c r="O42" s="212"/>
      <c r="P42" s="212"/>
      <c r="Q42" s="212">
        <v>18</v>
      </c>
      <c r="R42" s="212"/>
      <c r="S42" s="212">
        <v>1</v>
      </c>
      <c r="T42" s="214">
        <f t="shared" si="0"/>
        <v>2</v>
      </c>
      <c r="U42" s="214">
        <f t="shared" si="1"/>
        <v>0</v>
      </c>
      <c r="V42" s="214">
        <f t="shared" si="2"/>
        <v>0</v>
      </c>
    </row>
    <row r="43" spans="1:22" x14ac:dyDescent="0.2">
      <c r="A43" s="783">
        <v>36</v>
      </c>
      <c r="B43" s="641"/>
      <c r="C43" s="699"/>
      <c r="D43" s="204" t="s">
        <v>188</v>
      </c>
      <c r="E43" s="784">
        <v>16</v>
      </c>
      <c r="F43" s="209">
        <f t="array" ref="F43">(IF(COUNT(H43,K43,N43,Q43)&lt;3,SUM(H43,K43,N43,Q43),SUM(LARGE((H43,K43,N43,Q43),{1;2;3}))))+(IF(COUNT(G43,J43,L43,P43)&lt;3,SUM(G43,J43,L43,P43),SUM(LARGE((G43,J43,L43,P43),{1;2;3}))))+(IF(COUNT(I43,M43,O43,R43,S43)&lt;3,SUM(I43,M43,O43,R43,S43),SUM(LARGE((I43,M43,O43,R43,S43),{1;2;3}))))</f>
        <v>16</v>
      </c>
      <c r="G43" s="760" t="s">
        <v>154</v>
      </c>
      <c r="H43" s="217">
        <v>16</v>
      </c>
      <c r="I43" s="760" t="s">
        <v>154</v>
      </c>
      <c r="J43" s="217"/>
      <c r="K43" s="760" t="s">
        <v>154</v>
      </c>
      <c r="L43" s="217"/>
      <c r="M43" s="760" t="s">
        <v>154</v>
      </c>
      <c r="N43" s="212"/>
      <c r="O43" s="212"/>
      <c r="P43" s="212"/>
      <c r="Q43" s="212"/>
      <c r="R43" s="212"/>
      <c r="S43" s="212"/>
      <c r="T43" s="214">
        <f t="shared" si="0"/>
        <v>1</v>
      </c>
      <c r="U43" s="214">
        <f t="shared" si="1"/>
        <v>0</v>
      </c>
      <c r="V43" s="214">
        <f t="shared" si="2"/>
        <v>0</v>
      </c>
    </row>
    <row r="44" spans="1:22" x14ac:dyDescent="0.2">
      <c r="A44" s="783">
        <v>37</v>
      </c>
      <c r="B44" s="641"/>
      <c r="C44" s="699"/>
      <c r="D44" s="219" t="s">
        <v>189</v>
      </c>
      <c r="E44" s="784">
        <v>14</v>
      </c>
      <c r="F44" s="209">
        <f t="array" ref="F44">(IF(COUNT(H44,K44,N44,Q44)&lt;3,SUM(H44,K44,N44,Q44),SUM(LARGE((H44,K44,N44,Q44),{1;2;3}))))+(IF(COUNT(G44,J44,L44,P44)&lt;3,SUM(G44,J44,L44,P44),SUM(LARGE((G44,J44,L44,P44),{1;2;3}))))+(IF(COUNT(I44,M44,O44,R44,S44)&lt;3,SUM(I44,M44,O44,R44,S44),SUM(LARGE((I44,M44,O44,R44,S44),{1;2;3}))))</f>
        <v>14</v>
      </c>
      <c r="G44" s="217">
        <v>14</v>
      </c>
      <c r="H44" s="760" t="s">
        <v>154</v>
      </c>
      <c r="I44" s="760" t="s">
        <v>154</v>
      </c>
      <c r="J44" s="760" t="s">
        <v>154</v>
      </c>
      <c r="K44" s="212"/>
      <c r="L44" s="212"/>
      <c r="M44" s="760" t="s">
        <v>154</v>
      </c>
      <c r="N44" s="212"/>
      <c r="O44" s="212"/>
      <c r="P44" s="212"/>
      <c r="Q44" s="212"/>
      <c r="R44" s="212"/>
      <c r="S44" s="212"/>
      <c r="T44" s="214">
        <f t="shared" si="0"/>
        <v>1</v>
      </c>
      <c r="U44" s="214">
        <f t="shared" si="1"/>
        <v>0</v>
      </c>
      <c r="V44" s="214">
        <f t="shared" si="2"/>
        <v>0</v>
      </c>
    </row>
    <row r="45" spans="1:22" x14ac:dyDescent="0.2">
      <c r="A45" s="783">
        <v>37</v>
      </c>
      <c r="B45" s="222"/>
      <c r="C45" s="699"/>
      <c r="D45" s="204" t="s">
        <v>190</v>
      </c>
      <c r="E45" s="784">
        <v>14</v>
      </c>
      <c r="F45" s="209">
        <f t="array" ref="F45">(IF(COUNT(H45,K45,N45,Q45)&lt;3,SUM(H45,K45,N45,Q45),SUM(LARGE((H45,K45,N45,Q45),{1;2;3}))))+(IF(COUNT(G45,J45,L45,P45)&lt;3,SUM(G45,J45,L45,P45),SUM(LARGE((G45,J45,L45,P45),{1;2;3}))))+(IF(COUNT(I45,M45,O45,R45,S45)&lt;3,SUM(I45,M45,O45,R45,S45),SUM(LARGE((I45,M45,O45,R45,S45),{1;2;3}))))</f>
        <v>14</v>
      </c>
      <c r="G45" s="217">
        <v>14</v>
      </c>
      <c r="H45" s="760" t="s">
        <v>154</v>
      </c>
      <c r="I45" s="760" t="s">
        <v>154</v>
      </c>
      <c r="J45" s="760" t="s">
        <v>154</v>
      </c>
      <c r="K45" s="212"/>
      <c r="L45" s="217"/>
      <c r="M45" s="760" t="s">
        <v>154</v>
      </c>
      <c r="N45" s="212"/>
      <c r="O45" s="217"/>
      <c r="P45" s="217"/>
      <c r="Q45" s="217"/>
      <c r="R45" s="212"/>
      <c r="S45" s="217"/>
      <c r="T45" s="214">
        <f t="shared" si="0"/>
        <v>1</v>
      </c>
      <c r="U45" s="214">
        <f t="shared" si="1"/>
        <v>0</v>
      </c>
      <c r="V45" s="214">
        <f t="shared" si="2"/>
        <v>0</v>
      </c>
    </row>
    <row r="46" spans="1:22" x14ac:dyDescent="0.2">
      <c r="A46" s="783">
        <v>39</v>
      </c>
      <c r="B46" s="222">
        <v>6</v>
      </c>
      <c r="C46" s="699"/>
      <c r="D46" s="225" t="s">
        <v>191</v>
      </c>
      <c r="E46" s="784">
        <v>13</v>
      </c>
      <c r="F46" s="209">
        <f t="array" ref="F46">(IF(COUNT(H46,K46,N46,Q46)&lt;3,SUM(H46,K46,N46,Q46),SUM(LARGE((H46,K46,N46,Q46),{1;2;3}))))+(IF(COUNT(G46,J46,L46,P46)&lt;3,SUM(G46,J46,L46,P46),SUM(LARGE((G46,J46,L46,P46),{1;2;3}))))+(IF(COUNT(I46,M46,O46,R46,S46)&lt;3,SUM(I46,M46,O46,R46,S46),SUM(LARGE((I46,M46,O46,R46,S46),{1;2;3}))))</f>
        <v>13</v>
      </c>
      <c r="G46" s="217">
        <v>12</v>
      </c>
      <c r="H46" s="760" t="s">
        <v>154</v>
      </c>
      <c r="I46" s="217">
        <v>1</v>
      </c>
      <c r="J46" s="760" t="s">
        <v>154</v>
      </c>
      <c r="K46" s="212"/>
      <c r="L46" s="217"/>
      <c r="M46" s="760" t="s">
        <v>154</v>
      </c>
      <c r="N46" s="212"/>
      <c r="O46" s="760" t="s">
        <v>154</v>
      </c>
      <c r="P46" s="212"/>
      <c r="Q46" s="212"/>
      <c r="R46" s="212"/>
      <c r="S46" s="212"/>
      <c r="T46" s="214">
        <f t="shared" si="0"/>
        <v>2</v>
      </c>
      <c r="U46" s="214">
        <f t="shared" si="1"/>
        <v>0</v>
      </c>
      <c r="V46" s="214">
        <f t="shared" si="2"/>
        <v>0</v>
      </c>
    </row>
    <row r="47" spans="1:22" x14ac:dyDescent="0.2">
      <c r="A47" s="783">
        <v>40</v>
      </c>
      <c r="B47" s="222"/>
      <c r="C47" s="699"/>
      <c r="D47" s="204" t="s">
        <v>192</v>
      </c>
      <c r="E47" s="784">
        <v>12</v>
      </c>
      <c r="F47" s="209">
        <f t="array" ref="F47">(IF(COUNT(H47,K47,N47,Q47)&lt;3,SUM(H47,K47,N47,Q47),SUM(LARGE((H47,K47,N47,Q47),{1;2;3}))))+(IF(COUNT(G47,J47,L47,P47)&lt;3,SUM(G47,J47,L47,P47),SUM(LARGE((G47,J47,L47,P47),{1;2;3}))))+(IF(COUNT(I47,M47,O47,R47,S47)&lt;3,SUM(I47,M47,O47,R47,S47),SUM(LARGE((I47,M47,O47,R47,S47),{1;2;3}))))</f>
        <v>12</v>
      </c>
      <c r="G47" s="217">
        <v>12</v>
      </c>
      <c r="H47" s="760" t="s">
        <v>154</v>
      </c>
      <c r="I47" s="760" t="s">
        <v>154</v>
      </c>
      <c r="J47" s="760" t="s">
        <v>154</v>
      </c>
      <c r="K47" s="212"/>
      <c r="L47" s="217"/>
      <c r="M47" s="760" t="s">
        <v>154</v>
      </c>
      <c r="N47" s="212"/>
      <c r="O47" s="212"/>
      <c r="P47" s="212"/>
      <c r="Q47" s="212"/>
      <c r="R47" s="212"/>
      <c r="S47" s="212"/>
      <c r="T47" s="214">
        <f t="shared" si="0"/>
        <v>1</v>
      </c>
      <c r="U47" s="214">
        <f t="shared" si="1"/>
        <v>0</v>
      </c>
      <c r="V47" s="214">
        <f t="shared" si="2"/>
        <v>0</v>
      </c>
    </row>
    <row r="48" spans="1:22" x14ac:dyDescent="0.2">
      <c r="A48" s="783">
        <v>40</v>
      </c>
      <c r="B48" s="222"/>
      <c r="C48" s="699"/>
      <c r="D48" s="204" t="s">
        <v>193</v>
      </c>
      <c r="E48" s="784">
        <v>12</v>
      </c>
      <c r="F48" s="209">
        <f t="array" ref="F48">(IF(COUNT(H48,K48,N48,Q48)&lt;3,SUM(H48,K48,N48,Q48),SUM(LARGE((H48,K48,N48,Q48),{1;2;3}))))+(IF(COUNT(G48,J48,L48,P48)&lt;3,SUM(G48,J48,L48,P48),SUM(LARGE((G48,J48,L48,P48),{1;2;3}))))+(IF(COUNT(I48,M48,O48,R48,S48)&lt;3,SUM(I48,M48,O48,R48,S48),SUM(LARGE((I48,M48,O48,R48,S48),{1;2;3}))))</f>
        <v>12</v>
      </c>
      <c r="G48" s="217">
        <v>12</v>
      </c>
      <c r="H48" s="760" t="s">
        <v>154</v>
      </c>
      <c r="I48" s="760" t="s">
        <v>154</v>
      </c>
      <c r="J48" s="760" t="s">
        <v>154</v>
      </c>
      <c r="K48" s="217"/>
      <c r="L48" s="212"/>
      <c r="M48" s="760" t="s">
        <v>154</v>
      </c>
      <c r="N48" s="217"/>
      <c r="O48" s="212"/>
      <c r="P48" s="212"/>
      <c r="Q48" s="212"/>
      <c r="R48" s="212"/>
      <c r="S48" s="212"/>
      <c r="T48" s="214">
        <f t="shared" si="0"/>
        <v>1</v>
      </c>
      <c r="U48" s="214">
        <f t="shared" si="1"/>
        <v>0</v>
      </c>
      <c r="V48" s="214">
        <f t="shared" si="2"/>
        <v>0</v>
      </c>
    </row>
    <row r="49" spans="1:22" x14ac:dyDescent="0.2">
      <c r="A49" s="783">
        <v>42</v>
      </c>
      <c r="B49" s="641"/>
      <c r="C49" s="699"/>
      <c r="D49" s="198" t="s">
        <v>194</v>
      </c>
      <c r="E49" s="784">
        <v>10</v>
      </c>
      <c r="F49" s="209">
        <f t="array" ref="F49">(IF(COUNT(H49,K49,N49,Q49)&lt;3,SUM(H49,K49,N49,Q49),SUM(LARGE((H49,K49,N49,Q49),{1;2;3}))))+(IF(COUNT(G49,J49,L49,P49)&lt;3,SUM(G49,J49,L49,P49),SUM(LARGE((G49,J49,L49,P49),{1;2;3}))))+(IF(COUNT(I49,M49,O49,R49,S49)&lt;3,SUM(I49,M49,O49,R49,S49),SUM(LARGE((I49,M49,O49,R49,S49),{1;2;3}))))</f>
        <v>10</v>
      </c>
      <c r="G49" s="760" t="s">
        <v>154</v>
      </c>
      <c r="H49" s="217">
        <v>10</v>
      </c>
      <c r="I49" s="760" t="s">
        <v>154</v>
      </c>
      <c r="J49" s="217"/>
      <c r="K49" s="760" t="s">
        <v>154</v>
      </c>
      <c r="L49" s="212"/>
      <c r="M49" s="760" t="s">
        <v>154</v>
      </c>
      <c r="N49" s="212"/>
      <c r="O49" s="212"/>
      <c r="P49" s="212"/>
      <c r="Q49" s="212"/>
      <c r="R49" s="212"/>
      <c r="S49" s="212"/>
      <c r="T49" s="214">
        <f t="shared" si="0"/>
        <v>1</v>
      </c>
      <c r="U49" s="214">
        <f t="shared" si="1"/>
        <v>0</v>
      </c>
      <c r="V49" s="214">
        <f t="shared" si="2"/>
        <v>0</v>
      </c>
    </row>
    <row r="50" spans="1:22" x14ac:dyDescent="0.2">
      <c r="A50" s="783">
        <v>43</v>
      </c>
      <c r="B50" s="641"/>
      <c r="C50" s="699"/>
      <c r="D50" s="204" t="s">
        <v>195</v>
      </c>
      <c r="E50" s="784">
        <v>6</v>
      </c>
      <c r="F50" s="209">
        <f t="array" ref="F50">(IF(COUNT(H50,K50,N50,Q50)&lt;3,SUM(H50,K50,N50,Q50),SUM(LARGE((H50,K50,N50,Q50),{1;2;3}))))+(IF(COUNT(G50,J50,L50,P50)&lt;3,SUM(G50,J50,L50,P50),SUM(LARGE((G50,J50,L50,P50),{1;2;3}))))+(IF(COUNT(I50,M50,O50,R50,S50)&lt;3,SUM(I50,M50,O50,R50,S50),SUM(LARGE((I50,M50,O50,R50,S50),{1;2;3}))))</f>
        <v>6</v>
      </c>
      <c r="G50" s="760" t="s">
        <v>154</v>
      </c>
      <c r="H50" s="760" t="s">
        <v>154</v>
      </c>
      <c r="I50" s="760" t="s">
        <v>154</v>
      </c>
      <c r="J50" s="217"/>
      <c r="K50" s="760"/>
      <c r="L50" s="217"/>
      <c r="M50" s="760" t="s">
        <v>154</v>
      </c>
      <c r="N50" s="212"/>
      <c r="O50" s="212">
        <v>6</v>
      </c>
      <c r="P50" s="212"/>
      <c r="Q50" s="212"/>
      <c r="R50" s="212"/>
      <c r="S50" s="212"/>
      <c r="T50" s="214">
        <f t="shared" si="0"/>
        <v>1</v>
      </c>
      <c r="U50" s="214">
        <f t="shared" si="1"/>
        <v>0</v>
      </c>
      <c r="V50" s="214">
        <f t="shared" si="2"/>
        <v>0</v>
      </c>
    </row>
    <row r="51" spans="1:22" x14ac:dyDescent="0.2">
      <c r="A51" s="783">
        <v>43</v>
      </c>
      <c r="B51" s="641">
        <v>7</v>
      </c>
      <c r="C51" s="699"/>
      <c r="D51" s="226" t="s">
        <v>196</v>
      </c>
      <c r="E51" s="784">
        <v>6</v>
      </c>
      <c r="F51" s="209">
        <f t="array" ref="F51">(IF(COUNT(H51,K51,N51,Q51)&lt;3,SUM(H51,K51,N51,Q51),SUM(LARGE((H51,K51,N51,Q51),{1;2;3}))))+(IF(COUNT(G51,J51,L51,P51)&lt;3,SUM(G51,J51,L51,P51),SUM(LARGE((G51,J51,L51,P51),{1;2;3}))))+(IF(COUNT(I51,M51,O51,R51,S51)&lt;3,SUM(I51,M51,O51,R51,S51),SUM(LARGE((I51,M51,O51,R51,S51),{1;2;3}))))</f>
        <v>6</v>
      </c>
      <c r="G51" s="760" t="s">
        <v>154</v>
      </c>
      <c r="H51" s="760" t="s">
        <v>154</v>
      </c>
      <c r="I51" s="760" t="s">
        <v>154</v>
      </c>
      <c r="J51" s="217"/>
      <c r="K51" s="760"/>
      <c r="L51" s="217"/>
      <c r="M51" s="760" t="s">
        <v>154</v>
      </c>
      <c r="N51" s="212"/>
      <c r="O51" s="212"/>
      <c r="P51" s="212"/>
      <c r="Q51" s="212"/>
      <c r="R51" s="212"/>
      <c r="S51" s="212">
        <v>6</v>
      </c>
      <c r="T51" s="214">
        <f t="shared" si="0"/>
        <v>1</v>
      </c>
      <c r="U51" s="214">
        <f t="shared" si="1"/>
        <v>0</v>
      </c>
      <c r="V51" s="214">
        <f t="shared" si="2"/>
        <v>0</v>
      </c>
    </row>
    <row r="52" spans="1:22" x14ac:dyDescent="0.2">
      <c r="A52" s="783">
        <v>45</v>
      </c>
      <c r="B52" s="641">
        <v>8</v>
      </c>
      <c r="C52" s="699">
        <v>2</v>
      </c>
      <c r="D52" s="227" t="s">
        <v>197</v>
      </c>
      <c r="E52" s="784">
        <v>4</v>
      </c>
      <c r="F52" s="209">
        <f t="array" ref="F52">(IF(COUNT(H52,K52,N52,Q52)&lt;3,SUM(H52,K52,N52,Q52),SUM(LARGE((H52,K52,N52,Q52),{1;2;3}))))+(IF(COUNT(G52,J52,L52,P52)&lt;3,SUM(G52,J52,L52,P52),SUM(LARGE((G52,J52,L52,P52),{1;2;3}))))+(IF(COUNT(I52,M52,O52,R52,S52)&lt;3,SUM(I52,M52,O52,R52,S52),SUM(LARGE((I52,M52,O52,R52,S52),{1;2;3}))))</f>
        <v>4</v>
      </c>
      <c r="G52" s="760" t="s">
        <v>154</v>
      </c>
      <c r="H52" s="217">
        <v>4</v>
      </c>
      <c r="I52" s="760" t="s">
        <v>154</v>
      </c>
      <c r="J52" s="217"/>
      <c r="K52" s="760" t="s">
        <v>154</v>
      </c>
      <c r="L52" s="217"/>
      <c r="M52" s="760" t="s">
        <v>154</v>
      </c>
      <c r="N52" s="212"/>
      <c r="O52" s="212"/>
      <c r="P52" s="212"/>
      <c r="Q52" s="212"/>
      <c r="R52" s="212"/>
      <c r="S52" s="212"/>
      <c r="T52" s="214">
        <f t="shared" si="0"/>
        <v>1</v>
      </c>
      <c r="U52" s="214">
        <f t="shared" si="1"/>
        <v>0</v>
      </c>
      <c r="V52" s="214">
        <f t="shared" si="2"/>
        <v>0</v>
      </c>
    </row>
    <row r="53" spans="1:22" x14ac:dyDescent="0.2">
      <c r="A53" s="783">
        <v>45</v>
      </c>
      <c r="B53" s="641"/>
      <c r="C53" s="699">
        <v>2</v>
      </c>
      <c r="D53" s="228" t="s">
        <v>198</v>
      </c>
      <c r="E53" s="784">
        <v>4</v>
      </c>
      <c r="F53" s="209">
        <f t="array" ref="F53">(IF(COUNT(H53,K53,N53,Q53)&lt;3,SUM(H53,K53,N53,Q53),SUM(LARGE((H53,K53,N53,Q53),{1;2;3}))))+(IF(COUNT(G53,J53,L53,P53)&lt;3,SUM(G53,J53,L53,P53),SUM(LARGE((G53,J53,L53,P53),{1;2;3}))))+(IF(COUNT(I53,M53,O53,R53,S53)&lt;3,SUM(I53,M53,O53,R53,S53),SUM(LARGE((I53,M53,O53,R53,S53),{1;2;3}))))</f>
        <v>4</v>
      </c>
      <c r="G53" s="760" t="s">
        <v>154</v>
      </c>
      <c r="H53" s="217">
        <v>4</v>
      </c>
      <c r="I53" s="760" t="s">
        <v>154</v>
      </c>
      <c r="J53" s="217"/>
      <c r="K53" s="760" t="s">
        <v>154</v>
      </c>
      <c r="L53" s="217"/>
      <c r="M53" s="760" t="s">
        <v>154</v>
      </c>
      <c r="N53" s="212"/>
      <c r="O53" s="212"/>
      <c r="P53" s="212"/>
      <c r="Q53" s="212"/>
      <c r="R53" s="212"/>
      <c r="S53" s="212"/>
      <c r="T53" s="214">
        <f t="shared" si="0"/>
        <v>1</v>
      </c>
      <c r="U53" s="214">
        <f t="shared" si="1"/>
        <v>0</v>
      </c>
      <c r="V53" s="214">
        <f t="shared" si="2"/>
        <v>0</v>
      </c>
    </row>
    <row r="54" spans="1:22" x14ac:dyDescent="0.2">
      <c r="A54" s="783">
        <v>47</v>
      </c>
      <c r="B54" s="641"/>
      <c r="C54" s="699"/>
      <c r="D54" s="204" t="s">
        <v>199</v>
      </c>
      <c r="E54" s="784">
        <v>1</v>
      </c>
      <c r="F54" s="209">
        <f t="array" ref="F54">(IF(COUNT(H54,K54,N54,Q54)&lt;3,SUM(H54,K54,N54,Q54),SUM(LARGE((H54,K54,N54,Q54),{1;2;3}))))+(IF(COUNT(G54,J54,L54,P54)&lt;3,SUM(G54,J54,L54,P54),SUM(LARGE((G54,J54,L54,P54),{1;2;3}))))+(IF(COUNT(I54,M54,O54,R54,S54)&lt;3,SUM(I54,M54,O54,R54,S54),SUM(LARGE((I54,M54,O54,R54,S54),{1;2;3}))))</f>
        <v>1</v>
      </c>
      <c r="G54" s="760" t="s">
        <v>154</v>
      </c>
      <c r="H54" s="760" t="s">
        <v>154</v>
      </c>
      <c r="I54" s="760" t="s">
        <v>154</v>
      </c>
      <c r="J54" s="217"/>
      <c r="K54" s="760"/>
      <c r="L54" s="217"/>
      <c r="M54" s="760" t="s">
        <v>154</v>
      </c>
      <c r="N54" s="212"/>
      <c r="O54" s="212">
        <v>1</v>
      </c>
      <c r="P54" s="212"/>
      <c r="Q54" s="212"/>
      <c r="R54" s="212"/>
      <c r="S54" s="212"/>
      <c r="T54" s="214">
        <f t="shared" si="0"/>
        <v>1</v>
      </c>
      <c r="U54" s="214">
        <f t="shared" si="1"/>
        <v>0</v>
      </c>
      <c r="V54" s="214">
        <f t="shared" si="2"/>
        <v>0</v>
      </c>
    </row>
    <row r="55" spans="1:22" x14ac:dyDescent="0.2">
      <c r="A55" s="783">
        <v>47</v>
      </c>
      <c r="B55" s="641"/>
      <c r="C55" s="699"/>
      <c r="D55" s="204" t="s">
        <v>200</v>
      </c>
      <c r="E55" s="784">
        <v>1</v>
      </c>
      <c r="F55" s="209">
        <f t="array" ref="F55">(IF(COUNT(H55,K55,N55,Q55)&lt;3,SUM(H55,K55,N55,Q55),SUM(LARGE((H55,K55,N55,Q55),{1;2;3}))))+(IF(COUNT(G55,J55,L55,P55)&lt;3,SUM(G55,J55,L55,P55),SUM(LARGE((G55,J55,L55,P55),{1;2;3}))))+(IF(COUNT(I55,M55,O55,R55,S55)&lt;3,SUM(I55,M55,O55,R55,S55),SUM(LARGE((I55,M55,O55,R55,S55),{1;2;3}))))</f>
        <v>1</v>
      </c>
      <c r="G55" s="760" t="s">
        <v>154</v>
      </c>
      <c r="H55" s="760" t="s">
        <v>154</v>
      </c>
      <c r="I55" s="760" t="s">
        <v>154</v>
      </c>
      <c r="J55" s="217"/>
      <c r="K55" s="212"/>
      <c r="L55" s="212"/>
      <c r="M55" s="760" t="s">
        <v>154</v>
      </c>
      <c r="N55" s="212"/>
      <c r="O55" s="212"/>
      <c r="P55" s="212"/>
      <c r="Q55" s="212"/>
      <c r="R55" s="212"/>
      <c r="S55" s="212">
        <v>1</v>
      </c>
      <c r="T55" s="214">
        <f t="shared" si="0"/>
        <v>1</v>
      </c>
      <c r="U55" s="214">
        <f t="shared" si="1"/>
        <v>0</v>
      </c>
      <c r="V55" s="214">
        <f t="shared" si="2"/>
        <v>0</v>
      </c>
    </row>
    <row r="56" spans="1:22" x14ac:dyDescent="0.2">
      <c r="A56" s="229">
        <f>COUNT(A8:A55)</f>
        <v>48</v>
      </c>
      <c r="B56" s="642">
        <f>COUNT(B8:B55)</f>
        <v>8</v>
      </c>
      <c r="C56" s="639">
        <f>COUNT(C8:C55)</f>
        <v>3</v>
      </c>
      <c r="D56" s="230" t="s">
        <v>201</v>
      </c>
      <c r="E56" s="231"/>
      <c r="F56" s="231"/>
      <c r="G56" s="232">
        <f t="shared" ref="G56:S56" si="3">COUNTIF(G8:G55,"&gt;=0")</f>
        <v>32</v>
      </c>
      <c r="H56" s="232">
        <f t="shared" si="3"/>
        <v>32</v>
      </c>
      <c r="I56" s="232">
        <f t="shared" si="3"/>
        <v>24</v>
      </c>
      <c r="J56" s="232">
        <f t="shared" si="3"/>
        <v>24</v>
      </c>
      <c r="K56" s="232">
        <f t="shared" si="3"/>
        <v>24</v>
      </c>
      <c r="L56" s="232">
        <f t="shared" si="3"/>
        <v>21</v>
      </c>
      <c r="M56" s="232">
        <f t="shared" si="3"/>
        <v>19</v>
      </c>
      <c r="N56" s="232">
        <f t="shared" si="3"/>
        <v>22</v>
      </c>
      <c r="O56" s="232">
        <f t="shared" si="3"/>
        <v>20</v>
      </c>
      <c r="P56" s="232">
        <f t="shared" si="3"/>
        <v>18</v>
      </c>
      <c r="Q56" s="232">
        <f t="shared" si="3"/>
        <v>21</v>
      </c>
      <c r="R56" s="232">
        <f t="shared" si="3"/>
        <v>16</v>
      </c>
      <c r="S56" s="232">
        <f t="shared" si="3"/>
        <v>18</v>
      </c>
      <c r="T56" s="194"/>
      <c r="U56" s="233">
        <f>SUM(U8:U55)</f>
        <v>75</v>
      </c>
      <c r="V56" s="233">
        <f>SUM(V8:V55)</f>
        <v>25</v>
      </c>
    </row>
    <row r="57" spans="1:22" x14ac:dyDescent="0.2">
      <c r="A57" s="194"/>
      <c r="B57" s="194"/>
      <c r="C57" s="234"/>
      <c r="D57" s="230" t="s">
        <v>202</v>
      </c>
      <c r="E57" s="231"/>
      <c r="F57" s="231"/>
      <c r="G57" s="234">
        <v>11</v>
      </c>
      <c r="H57" s="234">
        <v>16</v>
      </c>
      <c r="I57" s="234"/>
      <c r="J57" s="234">
        <v>8</v>
      </c>
      <c r="K57" s="234">
        <v>12</v>
      </c>
      <c r="L57" s="234">
        <v>7</v>
      </c>
      <c r="M57" s="234"/>
      <c r="N57" s="234">
        <v>11</v>
      </c>
      <c r="O57" s="234"/>
      <c r="P57" s="234">
        <v>6</v>
      </c>
      <c r="Q57" s="234">
        <v>10</v>
      </c>
      <c r="R57" s="234"/>
      <c r="S57" s="234"/>
      <c r="T57" s="194"/>
      <c r="U57" s="194"/>
      <c r="V57" s="194"/>
    </row>
    <row r="59" spans="1:22" x14ac:dyDescent="0.2">
      <c r="A59" s="235" t="s">
        <v>203</v>
      </c>
      <c r="E59" s="236"/>
      <c r="F59" s="236"/>
    </row>
    <row r="60" spans="1:22" x14ac:dyDescent="0.2">
      <c r="A60" s="237" t="s">
        <v>204</v>
      </c>
      <c r="E60" s="236"/>
      <c r="F60" s="236"/>
    </row>
    <row r="61" spans="1:22" x14ac:dyDescent="0.2">
      <c r="A61" s="237" t="s">
        <v>205</v>
      </c>
      <c r="E61" s="236"/>
      <c r="F61" s="236"/>
    </row>
    <row r="62" spans="1:22" x14ac:dyDescent="0.2">
      <c r="E62" s="236"/>
      <c r="F62" s="236"/>
    </row>
    <row r="63" spans="1:22" x14ac:dyDescent="0.2">
      <c r="A63" s="238" t="s">
        <v>206</v>
      </c>
    </row>
    <row r="64" spans="1:22" x14ac:dyDescent="0.2">
      <c r="D64" s="192" t="s">
        <v>155</v>
      </c>
      <c r="E64" s="192" t="s">
        <v>185</v>
      </c>
      <c r="F64" s="192"/>
      <c r="G64" s="192"/>
      <c r="L64" s="192" t="s">
        <v>164</v>
      </c>
      <c r="R64" s="192" t="s">
        <v>183</v>
      </c>
    </row>
    <row r="65" spans="4:19" x14ac:dyDescent="0.2">
      <c r="D65" s="192" t="s">
        <v>173</v>
      </c>
      <c r="E65" s="192" t="s">
        <v>207</v>
      </c>
      <c r="F65" s="192"/>
      <c r="G65" s="192"/>
      <c r="L65" s="192" t="s">
        <v>178</v>
      </c>
      <c r="R65" s="192" t="s">
        <v>208</v>
      </c>
    </row>
    <row r="66" spans="4:19" x14ac:dyDescent="0.2">
      <c r="D66" s="192" t="s">
        <v>166</v>
      </c>
      <c r="E66" s="192" t="s">
        <v>209</v>
      </c>
      <c r="F66" s="192"/>
      <c r="G66" s="192"/>
      <c r="L66" s="192" t="s">
        <v>171</v>
      </c>
      <c r="M66" s="192"/>
      <c r="R66" s="192" t="s">
        <v>167</v>
      </c>
    </row>
    <row r="67" spans="4:19" x14ac:dyDescent="0.2">
      <c r="D67" s="192" t="s">
        <v>210</v>
      </c>
      <c r="E67" s="192" t="s">
        <v>179</v>
      </c>
      <c r="F67" s="192"/>
      <c r="G67" s="192"/>
      <c r="L67" s="192" t="s">
        <v>163</v>
      </c>
      <c r="M67" s="192"/>
      <c r="R67" s="192" t="s">
        <v>158</v>
      </c>
    </row>
    <row r="68" spans="4:19" x14ac:dyDescent="0.2">
      <c r="D68" s="192" t="s">
        <v>211</v>
      </c>
      <c r="E68" s="192" t="s">
        <v>153</v>
      </c>
      <c r="F68" s="192"/>
      <c r="G68" s="192"/>
      <c r="L68" s="192" t="s">
        <v>162</v>
      </c>
      <c r="M68" s="192"/>
      <c r="R68" s="192" t="s">
        <v>194</v>
      </c>
    </row>
    <row r="69" spans="4:19" x14ac:dyDescent="0.2">
      <c r="D69" s="192" t="s">
        <v>165</v>
      </c>
      <c r="E69" s="192" t="s">
        <v>157</v>
      </c>
      <c r="F69" s="192"/>
      <c r="G69" s="192"/>
      <c r="L69" s="192" t="s">
        <v>161</v>
      </c>
      <c r="M69" s="192"/>
      <c r="R69" s="192" t="s">
        <v>212</v>
      </c>
    </row>
    <row r="70" spans="4:19" x14ac:dyDescent="0.2">
      <c r="D70" s="192" t="s">
        <v>213</v>
      </c>
      <c r="E70" s="192" t="s">
        <v>159</v>
      </c>
      <c r="F70" s="192"/>
      <c r="G70" s="192"/>
      <c r="L70" s="192" t="s">
        <v>214</v>
      </c>
      <c r="R70" s="192" t="s">
        <v>215</v>
      </c>
    </row>
    <row r="71" spans="4:19" x14ac:dyDescent="0.2">
      <c r="D71" s="192" t="s">
        <v>181</v>
      </c>
      <c r="E71" s="192" t="s">
        <v>19</v>
      </c>
      <c r="F71" s="192"/>
      <c r="G71" s="192"/>
      <c r="L71" s="192" t="s">
        <v>177</v>
      </c>
      <c r="R71" s="192" t="s">
        <v>169</v>
      </c>
      <c r="S71" s="192"/>
    </row>
    <row r="72" spans="4:19" x14ac:dyDescent="0.2">
      <c r="D72" s="192" t="s">
        <v>176</v>
      </c>
      <c r="E72" s="192" t="s">
        <v>170</v>
      </c>
      <c r="F72" s="192"/>
      <c r="L72" s="192" t="s">
        <v>174</v>
      </c>
      <c r="Q72" s="192"/>
      <c r="R72" s="192" t="s">
        <v>160</v>
      </c>
      <c r="S72" s="192"/>
    </row>
    <row r="73" spans="4:19" x14ac:dyDescent="0.2">
      <c r="D73" s="192" t="s">
        <v>156</v>
      </c>
      <c r="E73" s="192" t="s">
        <v>168</v>
      </c>
      <c r="F73" s="192"/>
      <c r="L73" s="192" t="s">
        <v>216</v>
      </c>
      <c r="Q73" s="192"/>
      <c r="R73" s="192"/>
      <c r="S73" s="192"/>
    </row>
    <row r="74" spans="4:19" x14ac:dyDescent="0.2">
      <c r="D74" s="192" t="s">
        <v>172</v>
      </c>
      <c r="E74" s="192" t="s">
        <v>180</v>
      </c>
      <c r="F74" s="192"/>
      <c r="L74" s="192" t="s">
        <v>189</v>
      </c>
    </row>
  </sheetData>
  <autoFilter ref="T7:V7"/>
  <mergeCells count="3">
    <mergeCell ref="T5:T6"/>
    <mergeCell ref="U5:U6"/>
    <mergeCell ref="V5:V6"/>
  </mergeCells>
  <conditionalFormatting sqref="G56:S56">
    <cfRule type="top10" dxfId="226" priority="4" stopIfTrue="1" rank="1"/>
  </conditionalFormatting>
  <conditionalFormatting sqref="U8:U55">
    <cfRule type="top10" dxfId="225" priority="5" stopIfTrue="1" rank="1"/>
  </conditionalFormatting>
  <conditionalFormatting sqref="V8:V55">
    <cfRule type="top10" dxfId="224" priority="6" stopIfTrue="1" rank="1"/>
  </conditionalFormatting>
  <conditionalFormatting sqref="T8:T55">
    <cfRule type="top10" dxfId="223" priority="7" stopIfTrue="1" rank="1"/>
  </conditionalFormatting>
  <conditionalFormatting sqref="D8:D55">
    <cfRule type="duplicateValues" dxfId="222" priority="8" stopIfTrue="1"/>
  </conditionalFormatting>
  <conditionalFormatting sqref="G8:S55">
    <cfRule type="cellIs" dxfId="221" priority="1" stopIfTrue="1" operator="equal">
      <formula>30</formula>
    </cfRule>
    <cfRule type="cellIs" dxfId="220" priority="2" stopIfTrue="1" operator="equal">
      <formula>34</formula>
    </cfRule>
    <cfRule type="cellIs" dxfId="219" priority="3" stopIfTrue="1" operator="equal">
      <formula>40</formula>
    </cfRule>
  </conditionalFormatting>
  <pageMargins left="0.59055118110236227" right="0.39370078740157483" top="0.51181102362204722" bottom="0.27559055118110237" header="0.35433070866141736" footer="0"/>
  <pageSetup paperSize="9" fitToHeight="0" orientation="portrait" useFirstPageNumber="1" verticalDpi="300" r:id="rId1"/>
  <headerFooter alignWithMargins="0">
    <oddHeader>&amp;R&amp;"Arial,Regular"&amp;9Page &amp;P of &amp;N</oddHeader>
  </headerFooter>
  <rowBreaks count="1" manualBreakCount="1">
    <brk id="57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2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M1" sqref="M1"/>
    </sheetView>
  </sheetViews>
  <sheetFormatPr defaultColWidth="9.42578125" defaultRowHeight="12.75" x14ac:dyDescent="0.2"/>
  <cols>
    <col min="1" max="1" width="3.28515625" style="59" customWidth="1"/>
    <col min="2" max="2" width="18.7109375" style="59" bestFit="1" customWidth="1"/>
    <col min="3" max="3" width="7.28515625" style="59" bestFit="1" customWidth="1"/>
    <col min="4" max="4" width="7.42578125" style="59" bestFit="1" customWidth="1"/>
    <col min="5" max="5" width="9.140625" style="59" bestFit="1" customWidth="1"/>
    <col min="6" max="6" width="6.7109375" style="59" bestFit="1" customWidth="1"/>
    <col min="7" max="7" width="5.140625" style="59" customWidth="1"/>
    <col min="8" max="8" width="6.42578125" style="59" customWidth="1"/>
    <col min="9" max="9" width="7" style="59" customWidth="1"/>
    <col min="10" max="10" width="18.7109375" style="59" customWidth="1"/>
    <col min="11" max="11" width="7.28515625" style="59" bestFit="1" customWidth="1"/>
    <col min="12" max="12" width="7.42578125" style="59" bestFit="1" customWidth="1"/>
    <col min="13" max="13" width="9.140625" style="59" bestFit="1" customWidth="1"/>
    <col min="14" max="14" width="6.7109375" style="59" bestFit="1" customWidth="1"/>
    <col min="15" max="15" width="5.140625" style="59" bestFit="1" customWidth="1"/>
    <col min="16" max="238" width="9.140625" style="59" customWidth="1"/>
    <col min="239" max="16384" width="9.42578125" style="59"/>
  </cols>
  <sheetData>
    <row r="1" spans="1:16" x14ac:dyDescent="0.2">
      <c r="A1" s="58" t="str">
        <f>UPPER((Kalend!E5)&amp;" - "&amp;(Kalend!C5)&amp;" - "&amp;(Kalend!D5))</f>
        <v>A - VÄLISHOOAJA AVAVÕISTLUS - ÜKSIK</v>
      </c>
      <c r="I1" s="239" t="str">
        <f>HYPERLINK("#'Kalend'!I1","Kalender")</f>
        <v>Kalender</v>
      </c>
      <c r="K1" s="239" t="str">
        <f>HYPERLINK("#'Reit'!G1","Reiting")</f>
        <v>Reiting</v>
      </c>
    </row>
    <row r="2" spans="1:16" x14ac:dyDescent="0.2">
      <c r="A2" s="59" t="str">
        <f>"Toimumisaeg: "&amp;(Kalend!A5)&amp;" kell "&amp;(Kalend!B5)</f>
        <v>Toimumisaeg: R, 01.05.2015 kell 11:00</v>
      </c>
    </row>
    <row r="3" spans="1:16" x14ac:dyDescent="0.2">
      <c r="A3" s="59" t="str">
        <f>"Toimumiskoht: "&amp;(Kalend!F5)</f>
        <v>Toimumiskoht: K-Järve spordihoone</v>
      </c>
    </row>
    <row r="4" spans="1:16" x14ac:dyDescent="0.2">
      <c r="A4" s="59" t="str">
        <f>"Korraldaja: "&amp;(Kalend!G5)</f>
        <v>Korraldaja: K-Järve SHK, Ivar Viljaste</v>
      </c>
    </row>
    <row r="6" spans="1:16" x14ac:dyDescent="0.2">
      <c r="A6" s="240" t="s">
        <v>217</v>
      </c>
      <c r="B6" s="240"/>
      <c r="C6" s="240" t="s">
        <v>218</v>
      </c>
      <c r="D6" s="240" t="s">
        <v>219</v>
      </c>
      <c r="E6" s="240" t="s">
        <v>220</v>
      </c>
      <c r="F6" s="240" t="s">
        <v>221</v>
      </c>
      <c r="G6" s="240" t="s">
        <v>222</v>
      </c>
      <c r="I6" s="240" t="s">
        <v>223</v>
      </c>
      <c r="J6" s="240"/>
      <c r="K6" s="240" t="s">
        <v>218</v>
      </c>
      <c r="L6" s="240" t="s">
        <v>219</v>
      </c>
      <c r="M6" s="240" t="s">
        <v>220</v>
      </c>
      <c r="N6" s="240" t="s">
        <v>221</v>
      </c>
      <c r="O6" s="240" t="s">
        <v>222</v>
      </c>
      <c r="P6" s="64"/>
    </row>
    <row r="7" spans="1:16" x14ac:dyDescent="0.2">
      <c r="A7" s="240">
        <v>1</v>
      </c>
      <c r="B7" s="241" t="s">
        <v>210</v>
      </c>
      <c r="C7" s="14">
        <v>13</v>
      </c>
      <c r="D7" s="14">
        <v>13</v>
      </c>
      <c r="E7" s="242"/>
      <c r="F7" s="242"/>
      <c r="G7" s="243" t="s">
        <v>224</v>
      </c>
      <c r="I7" s="240">
        <v>1</v>
      </c>
      <c r="J7" s="244" t="s">
        <v>158</v>
      </c>
      <c r="K7" s="242">
        <v>13</v>
      </c>
      <c r="L7" s="242">
        <v>6</v>
      </c>
      <c r="M7" s="242"/>
      <c r="N7" s="242">
        <v>9</v>
      </c>
      <c r="O7" s="243" t="s">
        <v>225</v>
      </c>
      <c r="P7" s="246"/>
    </row>
    <row r="8" spans="1:16" x14ac:dyDescent="0.2">
      <c r="A8" s="240">
        <v>2</v>
      </c>
      <c r="B8" s="219" t="s">
        <v>161</v>
      </c>
      <c r="C8" s="14">
        <v>13</v>
      </c>
      <c r="D8" s="14">
        <v>5</v>
      </c>
      <c r="E8" s="242"/>
      <c r="F8" s="242">
        <v>13</v>
      </c>
      <c r="G8" s="243" t="s">
        <v>226</v>
      </c>
      <c r="I8" s="240">
        <v>2</v>
      </c>
      <c r="J8" s="244" t="s">
        <v>168</v>
      </c>
      <c r="K8" s="242">
        <v>13</v>
      </c>
      <c r="L8" s="242">
        <v>13</v>
      </c>
      <c r="M8" s="242"/>
      <c r="N8" s="242"/>
      <c r="O8" s="243" t="s">
        <v>224</v>
      </c>
      <c r="P8" s="246"/>
    </row>
    <row r="9" spans="1:16" x14ac:dyDescent="0.2">
      <c r="A9" s="240">
        <v>3</v>
      </c>
      <c r="B9" s="219" t="s">
        <v>159</v>
      </c>
      <c r="C9" s="14">
        <v>9</v>
      </c>
      <c r="D9" s="242"/>
      <c r="E9" s="242">
        <v>13</v>
      </c>
      <c r="F9" s="242">
        <v>12</v>
      </c>
      <c r="G9" s="243" t="s">
        <v>225</v>
      </c>
      <c r="I9" s="240">
        <v>3</v>
      </c>
      <c r="J9" s="244" t="s">
        <v>176</v>
      </c>
      <c r="K9" s="242">
        <v>3</v>
      </c>
      <c r="L9" s="242"/>
      <c r="M9" s="242">
        <v>13</v>
      </c>
      <c r="N9" s="242">
        <v>13</v>
      </c>
      <c r="O9" s="243" t="s">
        <v>226</v>
      </c>
      <c r="P9" s="246"/>
    </row>
    <row r="10" spans="1:16" x14ac:dyDescent="0.2">
      <c r="A10" s="240">
        <v>4</v>
      </c>
      <c r="B10" s="9"/>
      <c r="C10" s="14">
        <v>0</v>
      </c>
      <c r="D10" s="242"/>
      <c r="E10" s="242">
        <v>0</v>
      </c>
      <c r="F10" s="242"/>
      <c r="G10" s="243"/>
      <c r="I10" s="240">
        <v>4</v>
      </c>
      <c r="J10" s="9"/>
      <c r="K10" s="242">
        <v>0</v>
      </c>
      <c r="L10" s="242"/>
      <c r="M10" s="242">
        <v>0</v>
      </c>
      <c r="N10" s="242"/>
      <c r="O10" s="243"/>
      <c r="P10" s="246"/>
    </row>
    <row r="11" spans="1:16" x14ac:dyDescent="0.2">
      <c r="A11" s="65"/>
      <c r="B11" s="64"/>
      <c r="C11" s="247"/>
      <c r="D11" s="247"/>
      <c r="E11" s="247"/>
      <c r="F11" s="248"/>
      <c r="G11" s="249"/>
      <c r="I11" s="65"/>
      <c r="J11" s="64"/>
      <c r="K11" s="247"/>
      <c r="L11" s="247"/>
      <c r="M11" s="247"/>
      <c r="N11" s="248"/>
      <c r="O11" s="249"/>
      <c r="P11" s="250"/>
    </row>
    <row r="12" spans="1:16" x14ac:dyDescent="0.2">
      <c r="A12" s="240" t="s">
        <v>227</v>
      </c>
      <c r="B12" s="240"/>
      <c r="C12" s="240" t="s">
        <v>218</v>
      </c>
      <c r="D12" s="240" t="s">
        <v>219</v>
      </c>
      <c r="E12" s="240" t="s">
        <v>220</v>
      </c>
      <c r="F12" s="240" t="s">
        <v>221</v>
      </c>
      <c r="G12" s="240" t="s">
        <v>222</v>
      </c>
      <c r="I12" s="240" t="s">
        <v>228</v>
      </c>
      <c r="J12" s="240"/>
      <c r="K12" s="240" t="s">
        <v>218</v>
      </c>
      <c r="L12" s="240" t="s">
        <v>219</v>
      </c>
      <c r="M12" s="240" t="s">
        <v>220</v>
      </c>
      <c r="N12" s="240" t="s">
        <v>221</v>
      </c>
      <c r="O12" s="240" t="s">
        <v>222</v>
      </c>
      <c r="P12" s="64"/>
    </row>
    <row r="13" spans="1:16" x14ac:dyDescent="0.2">
      <c r="A13" s="240">
        <v>1</v>
      </c>
      <c r="B13" s="198" t="s">
        <v>162</v>
      </c>
      <c r="C13" s="242">
        <v>13</v>
      </c>
      <c r="D13" s="242">
        <v>3</v>
      </c>
      <c r="E13" s="242"/>
      <c r="F13" s="242">
        <v>6</v>
      </c>
      <c r="G13" s="243" t="s">
        <v>225</v>
      </c>
      <c r="I13" s="240">
        <v>1</v>
      </c>
      <c r="J13" s="198" t="s">
        <v>166</v>
      </c>
      <c r="K13" s="242">
        <v>13</v>
      </c>
      <c r="L13" s="242">
        <v>3</v>
      </c>
      <c r="M13" s="242"/>
      <c r="N13" s="242">
        <v>2</v>
      </c>
      <c r="O13" s="243" t="s">
        <v>225</v>
      </c>
      <c r="P13" s="246"/>
    </row>
    <row r="14" spans="1:16" x14ac:dyDescent="0.2">
      <c r="A14" s="240">
        <v>2</v>
      </c>
      <c r="B14" s="198" t="s">
        <v>169</v>
      </c>
      <c r="C14" s="242">
        <v>13</v>
      </c>
      <c r="D14" s="242">
        <v>13</v>
      </c>
      <c r="E14" s="242"/>
      <c r="F14" s="242"/>
      <c r="G14" s="243" t="s">
        <v>224</v>
      </c>
      <c r="I14" s="240">
        <v>2</v>
      </c>
      <c r="J14" s="198" t="s">
        <v>174</v>
      </c>
      <c r="K14" s="242">
        <v>9</v>
      </c>
      <c r="L14" s="242"/>
      <c r="M14" s="242">
        <v>13</v>
      </c>
      <c r="N14" s="242">
        <v>13</v>
      </c>
      <c r="O14" s="243" t="s">
        <v>226</v>
      </c>
      <c r="P14" s="246"/>
    </row>
    <row r="15" spans="1:16" x14ac:dyDescent="0.2">
      <c r="A15" s="240">
        <v>3</v>
      </c>
      <c r="B15" s="198" t="s">
        <v>165</v>
      </c>
      <c r="C15" s="242">
        <v>6</v>
      </c>
      <c r="D15" s="242"/>
      <c r="E15" s="242">
        <v>13</v>
      </c>
      <c r="F15" s="242">
        <v>13</v>
      </c>
      <c r="G15" s="243" t="s">
        <v>226</v>
      </c>
      <c r="I15" s="240">
        <v>3</v>
      </c>
      <c r="J15" s="244" t="s">
        <v>153</v>
      </c>
      <c r="K15" s="242">
        <v>13</v>
      </c>
      <c r="L15" s="242">
        <v>13</v>
      </c>
      <c r="M15" s="242"/>
      <c r="N15" s="242"/>
      <c r="O15" s="243" t="s">
        <v>224</v>
      </c>
      <c r="P15" s="246"/>
    </row>
    <row r="16" spans="1:16" x14ac:dyDescent="0.2">
      <c r="A16" s="240">
        <v>4</v>
      </c>
      <c r="B16" s="9"/>
      <c r="C16" s="242">
        <v>0</v>
      </c>
      <c r="D16" s="242"/>
      <c r="E16" s="242">
        <v>0</v>
      </c>
      <c r="F16" s="242"/>
      <c r="G16" s="243"/>
      <c r="I16" s="240">
        <v>4</v>
      </c>
      <c r="J16" s="9"/>
      <c r="K16" s="242">
        <v>0</v>
      </c>
      <c r="L16" s="242"/>
      <c r="M16" s="242">
        <v>0</v>
      </c>
      <c r="N16" s="242"/>
      <c r="O16" s="243"/>
      <c r="P16" s="246"/>
    </row>
    <row r="17" spans="1:16" x14ac:dyDescent="0.2">
      <c r="A17" s="65"/>
      <c r="B17" s="64"/>
      <c r="C17" s="247"/>
      <c r="D17" s="247"/>
      <c r="E17" s="247"/>
      <c r="F17" s="248"/>
      <c r="G17" s="249"/>
      <c r="P17" s="64"/>
    </row>
    <row r="18" spans="1:16" x14ac:dyDescent="0.2">
      <c r="A18" s="240" t="s">
        <v>229</v>
      </c>
      <c r="B18" s="240"/>
      <c r="C18" s="240" t="s">
        <v>218</v>
      </c>
      <c r="D18" s="240" t="s">
        <v>219</v>
      </c>
      <c r="E18" s="240" t="s">
        <v>220</v>
      </c>
      <c r="F18" s="240" t="s">
        <v>221</v>
      </c>
      <c r="G18" s="240" t="s">
        <v>222</v>
      </c>
      <c r="I18" s="240" t="s">
        <v>230</v>
      </c>
      <c r="J18" s="240"/>
      <c r="K18" s="240" t="s">
        <v>218</v>
      </c>
      <c r="L18" s="240" t="s">
        <v>219</v>
      </c>
      <c r="M18" s="240" t="s">
        <v>220</v>
      </c>
      <c r="N18" s="240" t="s">
        <v>221</v>
      </c>
      <c r="O18" s="240" t="s">
        <v>222</v>
      </c>
      <c r="P18" s="64"/>
    </row>
    <row r="19" spans="1:16" x14ac:dyDescent="0.2">
      <c r="A19" s="240">
        <v>1</v>
      </c>
      <c r="B19" s="244" t="s">
        <v>181</v>
      </c>
      <c r="C19" s="242">
        <v>13</v>
      </c>
      <c r="D19" s="242">
        <v>13</v>
      </c>
      <c r="E19" s="242"/>
      <c r="F19" s="242"/>
      <c r="G19" s="243" t="s">
        <v>224</v>
      </c>
      <c r="I19" s="240">
        <v>1</v>
      </c>
      <c r="J19" s="198" t="s">
        <v>156</v>
      </c>
      <c r="K19" s="242">
        <v>13</v>
      </c>
      <c r="L19" s="242">
        <v>13</v>
      </c>
      <c r="M19" s="242"/>
      <c r="N19" s="242"/>
      <c r="O19" s="243" t="s">
        <v>224</v>
      </c>
      <c r="P19" s="246"/>
    </row>
    <row r="20" spans="1:16" x14ac:dyDescent="0.2">
      <c r="A20" s="240">
        <v>2</v>
      </c>
      <c r="B20" s="244" t="s">
        <v>157</v>
      </c>
      <c r="C20" s="242">
        <v>8</v>
      </c>
      <c r="D20" s="242"/>
      <c r="E20" s="242">
        <v>13</v>
      </c>
      <c r="F20" s="242">
        <v>8</v>
      </c>
      <c r="G20" s="243" t="s">
        <v>225</v>
      </c>
      <c r="I20" s="240">
        <v>2</v>
      </c>
      <c r="J20" s="244" t="s">
        <v>160</v>
      </c>
      <c r="K20" s="242">
        <v>13</v>
      </c>
      <c r="L20" s="242">
        <v>10</v>
      </c>
      <c r="M20" s="242"/>
      <c r="N20" s="242">
        <v>13</v>
      </c>
      <c r="O20" s="243" t="s">
        <v>226</v>
      </c>
      <c r="P20" s="246"/>
    </row>
    <row r="21" spans="1:16" x14ac:dyDescent="0.2">
      <c r="A21" s="240">
        <v>3</v>
      </c>
      <c r="B21" s="244" t="s">
        <v>155</v>
      </c>
      <c r="C21" s="242">
        <v>13</v>
      </c>
      <c r="D21" s="242">
        <v>11</v>
      </c>
      <c r="E21" s="242"/>
      <c r="F21" s="242">
        <v>13</v>
      </c>
      <c r="G21" s="243" t="s">
        <v>226</v>
      </c>
      <c r="I21" s="240">
        <v>3</v>
      </c>
      <c r="J21" s="244" t="s">
        <v>180</v>
      </c>
      <c r="K21" s="242">
        <v>0</v>
      </c>
      <c r="L21" s="242"/>
      <c r="M21" s="242">
        <v>13</v>
      </c>
      <c r="N21" s="242">
        <v>3</v>
      </c>
      <c r="O21" s="243" t="s">
        <v>225</v>
      </c>
      <c r="P21" s="246"/>
    </row>
    <row r="22" spans="1:16" x14ac:dyDescent="0.2">
      <c r="A22" s="240">
        <v>4</v>
      </c>
      <c r="B22" s="9"/>
      <c r="C22" s="242">
        <v>0</v>
      </c>
      <c r="D22" s="242"/>
      <c r="E22" s="242">
        <v>0</v>
      </c>
      <c r="F22" s="242"/>
      <c r="G22" s="243"/>
      <c r="I22" s="240">
        <v>4</v>
      </c>
      <c r="J22" s="9"/>
      <c r="K22" s="242">
        <v>0</v>
      </c>
      <c r="L22" s="242"/>
      <c r="M22" s="242">
        <v>0</v>
      </c>
      <c r="N22" s="242"/>
      <c r="O22" s="243"/>
      <c r="P22" s="246"/>
    </row>
    <row r="23" spans="1:16" x14ac:dyDescent="0.2">
      <c r="I23" s="64"/>
      <c r="J23" s="64"/>
      <c r="K23" s="64"/>
      <c r="L23" s="64"/>
      <c r="M23" s="64"/>
      <c r="N23" s="64"/>
      <c r="O23" s="74"/>
      <c r="P23" s="250"/>
    </row>
    <row r="24" spans="1:16" x14ac:dyDescent="0.2">
      <c r="A24" s="251" t="s">
        <v>231</v>
      </c>
      <c r="B24" s="64"/>
      <c r="C24" s="247"/>
      <c r="D24" s="247"/>
      <c r="E24" s="247"/>
      <c r="F24" s="248"/>
      <c r="G24" s="249"/>
    </row>
    <row r="26" spans="1:16" x14ac:dyDescent="0.2">
      <c r="A26" s="252" t="s">
        <v>232</v>
      </c>
      <c r="B26" s="59" t="s">
        <v>169</v>
      </c>
      <c r="C26" s="253">
        <v>3</v>
      </c>
    </row>
    <row r="27" spans="1:16" x14ac:dyDescent="0.2">
      <c r="A27" s="254"/>
      <c r="B27" s="255"/>
      <c r="C27" s="256" t="s">
        <v>161</v>
      </c>
      <c r="D27" s="257"/>
      <c r="F27" s="253">
        <v>13</v>
      </c>
    </row>
    <row r="28" spans="1:16" x14ac:dyDescent="0.2">
      <c r="A28" s="254" t="s">
        <v>233</v>
      </c>
      <c r="B28" s="257" t="s">
        <v>161</v>
      </c>
      <c r="C28" s="265">
        <v>13</v>
      </c>
      <c r="E28" s="258"/>
    </row>
    <row r="29" spans="1:16" x14ac:dyDescent="0.2">
      <c r="A29" s="254"/>
      <c r="D29" s="64"/>
      <c r="E29" s="259"/>
      <c r="F29" s="260" t="s">
        <v>161</v>
      </c>
      <c r="I29" s="253">
        <v>13</v>
      </c>
    </row>
    <row r="30" spans="1:16" x14ac:dyDescent="0.2">
      <c r="A30" s="254" t="s">
        <v>234</v>
      </c>
      <c r="B30" s="59" t="s">
        <v>168</v>
      </c>
      <c r="C30" s="263">
        <v>13</v>
      </c>
      <c r="E30" s="259"/>
      <c r="F30" s="261"/>
      <c r="G30" s="255"/>
      <c r="H30" s="258"/>
    </row>
    <row r="31" spans="1:16" x14ac:dyDescent="0.2">
      <c r="A31" s="254"/>
      <c r="B31" s="255"/>
      <c r="C31" s="260" t="s">
        <v>168</v>
      </c>
      <c r="E31" s="262"/>
      <c r="F31" s="263">
        <v>1</v>
      </c>
      <c r="G31" s="64"/>
      <c r="H31" s="259"/>
    </row>
    <row r="32" spans="1:16" x14ac:dyDescent="0.2">
      <c r="A32" s="254"/>
      <c r="B32" s="257" t="s">
        <v>235</v>
      </c>
      <c r="C32" s="264">
        <v>0</v>
      </c>
      <c r="D32" s="255"/>
      <c r="F32" s="64"/>
      <c r="G32" s="64"/>
      <c r="H32" s="259"/>
    </row>
    <row r="33" spans="1:13" x14ac:dyDescent="0.2">
      <c r="A33" s="58"/>
      <c r="F33" s="64"/>
      <c r="G33" s="64"/>
      <c r="H33" s="259"/>
      <c r="I33" s="260" t="s">
        <v>161</v>
      </c>
      <c r="K33" s="253">
        <v>13</v>
      </c>
    </row>
    <row r="34" spans="1:13" x14ac:dyDescent="0.2">
      <c r="A34" s="252" t="s">
        <v>236</v>
      </c>
      <c r="B34" s="59" t="s">
        <v>155</v>
      </c>
      <c r="C34" s="253">
        <v>13</v>
      </c>
      <c r="F34" s="64"/>
      <c r="G34" s="64"/>
      <c r="H34" s="259"/>
      <c r="I34" s="255"/>
      <c r="J34" s="258"/>
    </row>
    <row r="35" spans="1:13" x14ac:dyDescent="0.2">
      <c r="A35" s="254"/>
      <c r="B35" s="255"/>
      <c r="C35" s="256" t="s">
        <v>155</v>
      </c>
      <c r="D35" s="257"/>
      <c r="F35" s="263">
        <v>13</v>
      </c>
      <c r="G35" s="64"/>
      <c r="H35" s="259"/>
      <c r="I35" s="64"/>
      <c r="J35" s="259"/>
    </row>
    <row r="36" spans="1:13" x14ac:dyDescent="0.2">
      <c r="A36" s="254" t="s">
        <v>237</v>
      </c>
      <c r="B36" s="257" t="s">
        <v>174</v>
      </c>
      <c r="C36" s="265">
        <v>12</v>
      </c>
      <c r="E36" s="258"/>
      <c r="F36" s="64"/>
      <c r="G36" s="64"/>
      <c r="H36" s="259"/>
      <c r="I36" s="64"/>
      <c r="J36" s="259"/>
    </row>
    <row r="37" spans="1:13" x14ac:dyDescent="0.2">
      <c r="A37" s="254"/>
      <c r="D37" s="64"/>
      <c r="E37" s="259"/>
      <c r="F37" s="257" t="s">
        <v>155</v>
      </c>
      <c r="G37" s="257"/>
      <c r="H37" s="262"/>
      <c r="I37" s="263"/>
      <c r="J37" s="259"/>
    </row>
    <row r="38" spans="1:13" x14ac:dyDescent="0.2">
      <c r="A38" s="254" t="s">
        <v>238</v>
      </c>
      <c r="B38" s="59" t="s">
        <v>156</v>
      </c>
      <c r="C38" s="263">
        <v>13</v>
      </c>
      <c r="E38" s="259"/>
      <c r="F38" s="260"/>
      <c r="G38" s="64"/>
      <c r="H38" s="64"/>
      <c r="I38" s="64"/>
      <c r="J38" s="259"/>
    </row>
    <row r="39" spans="1:13" x14ac:dyDescent="0.2">
      <c r="A39" s="254"/>
      <c r="B39" s="255"/>
      <c r="C39" s="260" t="s">
        <v>156</v>
      </c>
      <c r="E39" s="262"/>
      <c r="F39" s="263">
        <v>10</v>
      </c>
      <c r="I39" s="64"/>
      <c r="J39" s="259"/>
    </row>
    <row r="40" spans="1:13" x14ac:dyDescent="0.2">
      <c r="A40" s="254"/>
      <c r="B40" s="257" t="s">
        <v>235</v>
      </c>
      <c r="C40" s="264">
        <v>0</v>
      </c>
      <c r="D40" s="255"/>
      <c r="F40" s="64"/>
      <c r="G40" s="64"/>
      <c r="H40" s="64"/>
      <c r="I40" s="64"/>
      <c r="J40" s="259"/>
    </row>
    <row r="41" spans="1:13" ht="13.5" thickBot="1" x14ac:dyDescent="0.25">
      <c r="I41" s="64"/>
      <c r="J41" s="259"/>
      <c r="L41" s="59" t="s">
        <v>161</v>
      </c>
    </row>
    <row r="42" spans="1:13" x14ac:dyDescent="0.2">
      <c r="A42" s="252" t="s">
        <v>239</v>
      </c>
      <c r="B42" s="59" t="s">
        <v>153</v>
      </c>
      <c r="C42" s="253">
        <v>13</v>
      </c>
      <c r="I42" s="64"/>
      <c r="J42" s="259"/>
      <c r="K42" s="266"/>
      <c r="L42" s="267" t="s">
        <v>240</v>
      </c>
      <c r="M42" s="268"/>
    </row>
    <row r="43" spans="1:13" x14ac:dyDescent="0.2">
      <c r="A43" s="254"/>
      <c r="B43" s="255"/>
      <c r="C43" s="256" t="s">
        <v>153</v>
      </c>
      <c r="D43" s="257"/>
      <c r="F43" s="253">
        <v>3</v>
      </c>
      <c r="I43" s="64"/>
      <c r="J43" s="259"/>
    </row>
    <row r="44" spans="1:13" x14ac:dyDescent="0.2">
      <c r="A44" s="254"/>
      <c r="B44" s="257" t="s">
        <v>235</v>
      </c>
      <c r="C44" s="265">
        <v>0</v>
      </c>
      <c r="E44" s="258"/>
      <c r="I44" s="64"/>
      <c r="J44" s="259"/>
    </row>
    <row r="45" spans="1:13" x14ac:dyDescent="0.2">
      <c r="A45" s="254"/>
      <c r="D45" s="64"/>
      <c r="E45" s="259"/>
      <c r="F45" s="59" t="s">
        <v>210</v>
      </c>
      <c r="I45" s="263">
        <v>13</v>
      </c>
      <c r="J45" s="259"/>
    </row>
    <row r="46" spans="1:13" x14ac:dyDescent="0.2">
      <c r="A46" s="254" t="s">
        <v>241</v>
      </c>
      <c r="B46" s="59" t="s">
        <v>210</v>
      </c>
      <c r="C46" s="263">
        <v>13</v>
      </c>
      <c r="E46" s="259"/>
      <c r="F46" s="261"/>
      <c r="G46" s="255"/>
      <c r="H46" s="258"/>
      <c r="I46" s="64"/>
      <c r="J46" s="259"/>
    </row>
    <row r="47" spans="1:13" x14ac:dyDescent="0.2">
      <c r="A47" s="254"/>
      <c r="B47" s="255"/>
      <c r="C47" s="260" t="s">
        <v>210</v>
      </c>
      <c r="E47" s="262"/>
      <c r="F47" s="263">
        <v>13</v>
      </c>
      <c r="G47" s="64"/>
      <c r="H47" s="259"/>
      <c r="I47" s="64"/>
      <c r="J47" s="259"/>
    </row>
    <row r="48" spans="1:13" x14ac:dyDescent="0.2">
      <c r="A48" s="254" t="s">
        <v>242</v>
      </c>
      <c r="B48" s="257" t="s">
        <v>165</v>
      </c>
      <c r="C48" s="264">
        <v>2</v>
      </c>
      <c r="D48" s="255"/>
      <c r="F48" s="64"/>
      <c r="G48" s="64"/>
      <c r="H48" s="259"/>
      <c r="I48" s="64"/>
      <c r="J48" s="259"/>
    </row>
    <row r="49" spans="1:13" x14ac:dyDescent="0.2">
      <c r="F49" s="64"/>
      <c r="G49" s="64"/>
      <c r="H49" s="259"/>
      <c r="I49" s="257" t="s">
        <v>210</v>
      </c>
      <c r="J49" s="262"/>
      <c r="K49" s="253">
        <v>12</v>
      </c>
    </row>
    <row r="50" spans="1:13" ht="13.5" thickBot="1" x14ac:dyDescent="0.25">
      <c r="A50" s="252" t="s">
        <v>243</v>
      </c>
      <c r="B50" s="59" t="s">
        <v>160</v>
      </c>
      <c r="C50" s="253">
        <v>9</v>
      </c>
      <c r="F50" s="64"/>
      <c r="G50" s="64"/>
      <c r="H50" s="259"/>
      <c r="L50" s="64" t="s">
        <v>210</v>
      </c>
      <c r="M50" s="269"/>
    </row>
    <row r="51" spans="1:13" x14ac:dyDescent="0.2">
      <c r="A51" s="254"/>
      <c r="B51" s="255"/>
      <c r="C51" s="256" t="s">
        <v>176</v>
      </c>
      <c r="D51" s="257"/>
      <c r="F51" s="263">
        <v>7</v>
      </c>
      <c r="G51" s="64"/>
      <c r="H51" s="259"/>
      <c r="L51" s="267" t="s">
        <v>244</v>
      </c>
      <c r="M51" s="64"/>
    </row>
    <row r="52" spans="1:13" x14ac:dyDescent="0.2">
      <c r="A52" s="254" t="s">
        <v>245</v>
      </c>
      <c r="B52" s="257" t="s">
        <v>176</v>
      </c>
      <c r="C52" s="265">
        <v>13</v>
      </c>
      <c r="E52" s="258"/>
      <c r="F52" s="64"/>
      <c r="G52" s="64"/>
      <c r="H52" s="259"/>
    </row>
    <row r="53" spans="1:13" x14ac:dyDescent="0.2">
      <c r="A53" s="254"/>
      <c r="D53" s="64"/>
      <c r="E53" s="259"/>
      <c r="F53" s="257" t="s">
        <v>181</v>
      </c>
      <c r="G53" s="257"/>
      <c r="H53" s="262"/>
      <c r="I53" s="253">
        <v>11</v>
      </c>
    </row>
    <row r="54" spans="1:13" x14ac:dyDescent="0.2">
      <c r="A54" s="254" t="s">
        <v>246</v>
      </c>
      <c r="B54" s="59" t="s">
        <v>181</v>
      </c>
      <c r="C54" s="263">
        <v>13</v>
      </c>
      <c r="E54" s="259"/>
      <c r="F54" s="260"/>
      <c r="G54" s="64"/>
      <c r="H54" s="64"/>
    </row>
    <row r="55" spans="1:13" x14ac:dyDescent="0.2">
      <c r="A55" s="254"/>
      <c r="B55" s="255"/>
      <c r="C55" s="260" t="s">
        <v>181</v>
      </c>
      <c r="E55" s="262"/>
      <c r="F55" s="263">
        <v>13</v>
      </c>
      <c r="I55" s="59" t="s">
        <v>155</v>
      </c>
      <c r="K55" s="263">
        <v>0</v>
      </c>
    </row>
    <row r="56" spans="1:13" ht="13.5" thickBot="1" x14ac:dyDescent="0.25">
      <c r="A56" s="254"/>
      <c r="B56" s="257" t="s">
        <v>235</v>
      </c>
      <c r="C56" s="264">
        <v>0</v>
      </c>
      <c r="D56" s="255"/>
      <c r="F56" s="64"/>
      <c r="G56" s="64"/>
      <c r="H56" s="64"/>
      <c r="I56" s="255"/>
      <c r="J56" s="258"/>
      <c r="K56" s="269"/>
      <c r="L56" s="269" t="s">
        <v>181</v>
      </c>
      <c r="M56" s="269"/>
    </row>
    <row r="57" spans="1:13" x14ac:dyDescent="0.2">
      <c r="H57" s="64"/>
      <c r="I57" s="257" t="s">
        <v>181</v>
      </c>
      <c r="J57" s="262"/>
      <c r="K57" s="253">
        <v>13</v>
      </c>
      <c r="L57" s="65" t="s">
        <v>247</v>
      </c>
      <c r="M57" s="64"/>
    </row>
    <row r="58" spans="1:13" x14ac:dyDescent="0.2">
      <c r="H58" s="64"/>
      <c r="L58" s="64"/>
      <c r="M58" s="64"/>
    </row>
    <row r="59" spans="1:13" ht="13.5" thickBot="1" x14ac:dyDescent="0.25">
      <c r="H59" s="64"/>
      <c r="I59" s="64"/>
      <c r="J59" s="64"/>
      <c r="L59" s="269" t="s">
        <v>155</v>
      </c>
      <c r="M59" s="269"/>
    </row>
    <row r="60" spans="1:13" x14ac:dyDescent="0.2">
      <c r="I60" s="64"/>
      <c r="J60" s="64"/>
      <c r="L60" s="58" t="s">
        <v>248</v>
      </c>
    </row>
    <row r="61" spans="1:13" x14ac:dyDescent="0.2">
      <c r="I61" s="64"/>
      <c r="J61" s="64"/>
      <c r="L61" s="58"/>
    </row>
    <row r="62" spans="1:13" x14ac:dyDescent="0.2">
      <c r="A62" s="270" t="s">
        <v>249</v>
      </c>
      <c r="I62" s="64"/>
      <c r="J62" s="64"/>
      <c r="L62" s="58"/>
    </row>
    <row r="63" spans="1:13" x14ac:dyDescent="0.2">
      <c r="A63" s="270"/>
      <c r="I63" s="64"/>
      <c r="J63" s="64"/>
      <c r="L63" s="58"/>
    </row>
    <row r="64" spans="1:13" x14ac:dyDescent="0.2">
      <c r="F64" s="271" t="s">
        <v>168</v>
      </c>
      <c r="G64" s="253"/>
      <c r="H64" s="253"/>
      <c r="I64" s="253" t="s">
        <v>235</v>
      </c>
      <c r="J64" s="253"/>
      <c r="K64" s="253"/>
    </row>
    <row r="65" spans="1:13" x14ac:dyDescent="0.2">
      <c r="F65" s="272"/>
      <c r="G65" s="272"/>
      <c r="H65" s="273"/>
      <c r="I65" s="274" t="s">
        <v>156</v>
      </c>
      <c r="J65" s="253"/>
      <c r="K65" s="253">
        <v>8</v>
      </c>
    </row>
    <row r="66" spans="1:13" x14ac:dyDescent="0.2">
      <c r="F66" s="274" t="s">
        <v>156</v>
      </c>
      <c r="G66" s="274"/>
      <c r="H66" s="275"/>
      <c r="I66" s="253">
        <v>13</v>
      </c>
      <c r="J66" s="273"/>
      <c r="K66" s="253"/>
    </row>
    <row r="67" spans="1:13" ht="13.5" thickBot="1" x14ac:dyDescent="0.25">
      <c r="F67" s="253"/>
      <c r="G67" s="253"/>
      <c r="H67" s="253"/>
      <c r="I67" s="263"/>
      <c r="J67" s="276"/>
      <c r="K67" s="253"/>
      <c r="L67" s="59" t="s">
        <v>153</v>
      </c>
    </row>
    <row r="68" spans="1:13" x14ac:dyDescent="0.2">
      <c r="F68" s="253" t="s">
        <v>153</v>
      </c>
      <c r="G68" s="253"/>
      <c r="H68" s="253"/>
      <c r="I68" s="253">
        <v>13</v>
      </c>
      <c r="J68" s="276"/>
      <c r="K68" s="277"/>
      <c r="L68" s="267" t="s">
        <v>250</v>
      </c>
      <c r="M68" s="268"/>
    </row>
    <row r="69" spans="1:13" x14ac:dyDescent="0.2">
      <c r="F69" s="272"/>
      <c r="G69" s="272"/>
      <c r="H69" s="273"/>
      <c r="I69" s="253" t="s">
        <v>153</v>
      </c>
      <c r="J69" s="275"/>
      <c r="K69" s="263">
        <v>13</v>
      </c>
    </row>
    <row r="70" spans="1:13" ht="13.5" thickBot="1" x14ac:dyDescent="0.25">
      <c r="F70" s="274" t="s">
        <v>176</v>
      </c>
      <c r="G70" s="274"/>
      <c r="H70" s="275"/>
      <c r="I70" s="272"/>
      <c r="J70" s="253"/>
      <c r="K70" s="263"/>
      <c r="L70" s="64" t="s">
        <v>156</v>
      </c>
      <c r="M70" s="269"/>
    </row>
    <row r="71" spans="1:13" x14ac:dyDescent="0.2">
      <c r="F71" s="253"/>
      <c r="G71" s="253"/>
      <c r="H71" s="253"/>
      <c r="I71" s="253"/>
      <c r="J71" s="253"/>
      <c r="K71" s="263"/>
      <c r="L71" s="267" t="s">
        <v>251</v>
      </c>
      <c r="M71" s="64"/>
    </row>
    <row r="72" spans="1:13" x14ac:dyDescent="0.2">
      <c r="F72" s="253"/>
      <c r="G72" s="253"/>
      <c r="H72" s="263"/>
      <c r="I72" s="253" t="s">
        <v>168</v>
      </c>
      <c r="J72" s="253"/>
      <c r="K72" s="263">
        <v>13</v>
      </c>
      <c r="L72" s="64"/>
      <c r="M72" s="64"/>
    </row>
    <row r="73" spans="1:13" ht="13.5" thickBot="1" x14ac:dyDescent="0.25">
      <c r="F73" s="253"/>
      <c r="G73" s="253"/>
      <c r="H73" s="263"/>
      <c r="I73" s="272"/>
      <c r="J73" s="273"/>
      <c r="K73" s="278"/>
      <c r="L73" s="269" t="s">
        <v>168</v>
      </c>
      <c r="M73" s="269"/>
    </row>
    <row r="74" spans="1:13" x14ac:dyDescent="0.2">
      <c r="F74" s="253"/>
      <c r="G74" s="253"/>
      <c r="H74" s="263"/>
      <c r="I74" s="274" t="s">
        <v>176</v>
      </c>
      <c r="J74" s="275"/>
      <c r="K74" s="253"/>
      <c r="L74" s="65" t="s">
        <v>252</v>
      </c>
      <c r="M74" s="64"/>
    </row>
    <row r="75" spans="1:13" x14ac:dyDescent="0.2">
      <c r="H75" s="64"/>
      <c r="L75" s="64"/>
      <c r="M75" s="64"/>
    </row>
    <row r="76" spans="1:13" ht="13.5" thickBot="1" x14ac:dyDescent="0.25">
      <c r="I76" s="64"/>
      <c r="J76" s="64"/>
      <c r="L76" s="269" t="s">
        <v>176</v>
      </c>
      <c r="M76" s="269"/>
    </row>
    <row r="77" spans="1:13" x14ac:dyDescent="0.2">
      <c r="I77" s="64"/>
      <c r="J77" s="64"/>
      <c r="L77" s="65" t="s">
        <v>253</v>
      </c>
    </row>
    <row r="78" spans="1:13" x14ac:dyDescent="0.2">
      <c r="I78" s="64"/>
      <c r="J78" s="64"/>
      <c r="L78" s="65"/>
    </row>
    <row r="79" spans="1:13" x14ac:dyDescent="0.2">
      <c r="A79" s="279" t="s">
        <v>254</v>
      </c>
    </row>
    <row r="80" spans="1:13" x14ac:dyDescent="0.2">
      <c r="A80" s="279"/>
    </row>
    <row r="81" spans="1:13" x14ac:dyDescent="0.2">
      <c r="F81" s="271" t="s">
        <v>169</v>
      </c>
      <c r="G81" s="253"/>
      <c r="H81" s="253"/>
      <c r="I81" s="253">
        <v>10</v>
      </c>
      <c r="J81" s="253"/>
      <c r="K81" s="253"/>
    </row>
    <row r="82" spans="1:13" x14ac:dyDescent="0.2">
      <c r="F82" s="272"/>
      <c r="G82" s="272"/>
      <c r="H82" s="273"/>
      <c r="I82" s="274" t="s">
        <v>174</v>
      </c>
      <c r="J82" s="253"/>
      <c r="K82" s="253">
        <v>1</v>
      </c>
    </row>
    <row r="83" spans="1:13" x14ac:dyDescent="0.2">
      <c r="F83" s="274" t="s">
        <v>174</v>
      </c>
      <c r="G83" s="274"/>
      <c r="H83" s="275"/>
      <c r="I83" s="253">
        <v>13</v>
      </c>
      <c r="J83" s="273"/>
      <c r="K83" s="253"/>
    </row>
    <row r="84" spans="1:13" ht="13.5" thickBot="1" x14ac:dyDescent="0.25">
      <c r="F84" s="253"/>
      <c r="G84" s="253"/>
      <c r="H84" s="253"/>
      <c r="I84" s="263"/>
      <c r="J84" s="276"/>
      <c r="K84" s="253"/>
      <c r="L84" s="59" t="s">
        <v>160</v>
      </c>
    </row>
    <row r="85" spans="1:13" x14ac:dyDescent="0.2">
      <c r="F85" s="253" t="s">
        <v>165</v>
      </c>
      <c r="G85" s="253"/>
      <c r="H85" s="253"/>
      <c r="I85" s="253">
        <v>6</v>
      </c>
      <c r="J85" s="276"/>
      <c r="K85" s="277"/>
      <c r="L85" s="267" t="s">
        <v>255</v>
      </c>
      <c r="M85" s="268"/>
    </row>
    <row r="86" spans="1:13" x14ac:dyDescent="0.2">
      <c r="F86" s="272"/>
      <c r="G86" s="272"/>
      <c r="H86" s="273"/>
      <c r="I86" s="253" t="s">
        <v>160</v>
      </c>
      <c r="J86" s="275"/>
      <c r="K86" s="263">
        <v>13</v>
      </c>
    </row>
    <row r="87" spans="1:13" ht="13.5" thickBot="1" x14ac:dyDescent="0.25">
      <c r="F87" s="274" t="s">
        <v>160</v>
      </c>
      <c r="G87" s="274"/>
      <c r="H87" s="275"/>
      <c r="I87" s="272">
        <v>13</v>
      </c>
      <c r="J87" s="253"/>
      <c r="K87" s="263"/>
      <c r="L87" s="64" t="s">
        <v>174</v>
      </c>
      <c r="M87" s="269"/>
    </row>
    <row r="88" spans="1:13" x14ac:dyDescent="0.2">
      <c r="F88" s="253"/>
      <c r="G88" s="253"/>
      <c r="H88" s="253"/>
      <c r="I88" s="253"/>
      <c r="J88" s="253"/>
      <c r="K88" s="263"/>
      <c r="L88" s="267" t="s">
        <v>256</v>
      </c>
      <c r="M88" s="64"/>
    </row>
    <row r="89" spans="1:13" x14ac:dyDescent="0.2">
      <c r="F89" s="253"/>
      <c r="G89" s="253"/>
      <c r="H89" s="263"/>
      <c r="I89" s="253" t="s">
        <v>169</v>
      </c>
      <c r="J89" s="253"/>
      <c r="K89" s="263">
        <v>13</v>
      </c>
      <c r="L89" s="64"/>
      <c r="M89" s="64"/>
    </row>
    <row r="90" spans="1:13" ht="13.5" thickBot="1" x14ac:dyDescent="0.25">
      <c r="F90" s="253"/>
      <c r="G90" s="253"/>
      <c r="H90" s="263"/>
      <c r="I90" s="272"/>
      <c r="J90" s="273"/>
      <c r="K90" s="278"/>
      <c r="L90" s="269" t="s">
        <v>169</v>
      </c>
      <c r="M90" s="269"/>
    </row>
    <row r="91" spans="1:13" x14ac:dyDescent="0.2">
      <c r="F91" s="253"/>
      <c r="G91" s="253"/>
      <c r="H91" s="263"/>
      <c r="I91" s="274" t="s">
        <v>165</v>
      </c>
      <c r="J91" s="275"/>
      <c r="K91" s="253"/>
      <c r="L91" s="65" t="s">
        <v>257</v>
      </c>
      <c r="M91" s="64"/>
    </row>
    <row r="92" spans="1:13" x14ac:dyDescent="0.2">
      <c r="H92" s="64"/>
      <c r="L92" s="64"/>
      <c r="M92" s="64"/>
    </row>
    <row r="93" spans="1:13" ht="13.5" thickBot="1" x14ac:dyDescent="0.25">
      <c r="I93" s="64"/>
      <c r="J93" s="64"/>
      <c r="L93" s="269" t="s">
        <v>165</v>
      </c>
      <c r="M93" s="269"/>
    </row>
    <row r="94" spans="1:13" x14ac:dyDescent="0.2">
      <c r="I94" s="64"/>
      <c r="J94" s="64"/>
      <c r="L94" s="65" t="s">
        <v>258</v>
      </c>
    </row>
    <row r="95" spans="1:13" x14ac:dyDescent="0.2">
      <c r="H95" s="64"/>
      <c r="I95" s="64"/>
      <c r="J95" s="64"/>
      <c r="L95" s="64"/>
      <c r="M95" s="64"/>
    </row>
    <row r="96" spans="1:13" x14ac:dyDescent="0.2">
      <c r="A96" s="270" t="s">
        <v>259</v>
      </c>
    </row>
    <row r="97" spans="2:13" x14ac:dyDescent="0.2">
      <c r="C97" s="633"/>
    </row>
    <row r="98" spans="2:13" x14ac:dyDescent="0.2">
      <c r="B98" s="254" t="s">
        <v>260</v>
      </c>
      <c r="C98" s="134" t="s">
        <v>166</v>
      </c>
      <c r="F98" s="253">
        <v>8</v>
      </c>
    </row>
    <row r="99" spans="2:13" x14ac:dyDescent="0.2">
      <c r="B99" s="280"/>
      <c r="C99" s="255"/>
      <c r="D99" s="255"/>
      <c r="E99" s="258"/>
      <c r="F99" s="64" t="s">
        <v>180</v>
      </c>
      <c r="I99" s="253">
        <v>13</v>
      </c>
    </row>
    <row r="100" spans="2:13" x14ac:dyDescent="0.2">
      <c r="B100" s="254" t="s">
        <v>261</v>
      </c>
      <c r="C100" s="257" t="s">
        <v>180</v>
      </c>
      <c r="D100" s="257"/>
      <c r="E100" s="281"/>
      <c r="F100" s="272">
        <v>13</v>
      </c>
      <c r="G100" s="255"/>
      <c r="H100" s="258"/>
    </row>
    <row r="101" spans="2:13" x14ac:dyDescent="0.2">
      <c r="B101" s="280"/>
      <c r="F101" s="64"/>
      <c r="G101" s="64"/>
      <c r="H101" s="259"/>
      <c r="I101" s="59" t="s">
        <v>180</v>
      </c>
      <c r="K101" s="253">
        <v>4</v>
      </c>
    </row>
    <row r="102" spans="2:13" x14ac:dyDescent="0.2">
      <c r="B102" s="254" t="s">
        <v>262</v>
      </c>
      <c r="C102" s="134" t="s">
        <v>159</v>
      </c>
      <c r="E102" s="282"/>
      <c r="F102" s="263">
        <v>13</v>
      </c>
      <c r="G102" s="64"/>
      <c r="H102" s="259"/>
      <c r="I102" s="255"/>
      <c r="J102" s="258"/>
    </row>
    <row r="103" spans="2:13" x14ac:dyDescent="0.2">
      <c r="B103" s="280"/>
      <c r="C103" s="283"/>
      <c r="D103" s="255"/>
      <c r="E103" s="258"/>
      <c r="F103" s="257" t="s">
        <v>235</v>
      </c>
      <c r="G103" s="257"/>
      <c r="H103" s="262"/>
      <c r="I103" s="263"/>
      <c r="J103" s="259"/>
    </row>
    <row r="104" spans="2:13" x14ac:dyDescent="0.2">
      <c r="B104" s="254"/>
      <c r="C104" s="284" t="s">
        <v>235</v>
      </c>
      <c r="D104" s="257"/>
      <c r="E104" s="281"/>
      <c r="F104" s="64"/>
      <c r="I104" s="64"/>
      <c r="J104" s="259"/>
    </row>
    <row r="105" spans="2:13" ht="13.5" thickBot="1" x14ac:dyDescent="0.25">
      <c r="B105" s="280"/>
      <c r="C105" s="134"/>
      <c r="I105" s="64"/>
      <c r="J105" s="259"/>
      <c r="L105" s="59" t="s">
        <v>158</v>
      </c>
    </row>
    <row r="106" spans="2:13" x14ac:dyDescent="0.2">
      <c r="B106" s="254"/>
      <c r="C106" s="134" t="s">
        <v>235</v>
      </c>
      <c r="I106" s="64"/>
      <c r="J106" s="259"/>
      <c r="K106" s="266"/>
      <c r="L106" s="267" t="s">
        <v>263</v>
      </c>
      <c r="M106" s="268"/>
    </row>
    <row r="107" spans="2:13" x14ac:dyDescent="0.2">
      <c r="B107" s="280"/>
      <c r="C107" s="283"/>
      <c r="D107" s="255"/>
      <c r="E107" s="258"/>
      <c r="F107" s="64" t="s">
        <v>235</v>
      </c>
      <c r="I107" s="263"/>
      <c r="J107" s="259"/>
    </row>
    <row r="108" spans="2:13" ht="13.5" thickBot="1" x14ac:dyDescent="0.25">
      <c r="B108" s="254" t="s">
        <v>264</v>
      </c>
      <c r="C108" s="284" t="s">
        <v>157</v>
      </c>
      <c r="D108" s="257"/>
      <c r="E108" s="262"/>
      <c r="F108" s="272">
        <v>13</v>
      </c>
      <c r="G108" s="255"/>
      <c r="H108" s="258"/>
      <c r="I108" s="64"/>
      <c r="J108" s="259"/>
      <c r="L108" s="269" t="s">
        <v>180</v>
      </c>
      <c r="M108" s="269"/>
    </row>
    <row r="109" spans="2:13" x14ac:dyDescent="0.2">
      <c r="B109" s="280"/>
      <c r="F109" s="64"/>
      <c r="G109" s="64"/>
      <c r="H109" s="259"/>
      <c r="I109" s="257" t="s">
        <v>158</v>
      </c>
      <c r="J109" s="262"/>
      <c r="K109" s="253">
        <v>13</v>
      </c>
      <c r="L109" s="267" t="s">
        <v>265</v>
      </c>
    </row>
    <row r="110" spans="2:13" x14ac:dyDescent="0.2">
      <c r="B110" s="254" t="s">
        <v>266</v>
      </c>
      <c r="C110" s="59" t="s">
        <v>158</v>
      </c>
      <c r="F110" s="263">
        <v>13</v>
      </c>
      <c r="G110" s="64"/>
      <c r="H110" s="259"/>
    </row>
    <row r="111" spans="2:13" x14ac:dyDescent="0.2">
      <c r="B111" s="280"/>
      <c r="C111" s="255"/>
      <c r="D111" s="255"/>
      <c r="E111" s="258"/>
      <c r="F111" s="257" t="s">
        <v>158</v>
      </c>
      <c r="G111" s="257"/>
      <c r="H111" s="262"/>
      <c r="I111" s="253">
        <v>13</v>
      </c>
    </row>
    <row r="112" spans="2:13" x14ac:dyDescent="0.2">
      <c r="B112" s="254" t="s">
        <v>267</v>
      </c>
      <c r="C112" s="284" t="s">
        <v>162</v>
      </c>
      <c r="D112" s="257"/>
      <c r="E112" s="262"/>
      <c r="F112" s="263">
        <v>0</v>
      </c>
    </row>
    <row r="113" spans="1:13" x14ac:dyDescent="0.2">
      <c r="E113" s="64"/>
      <c r="F113" s="64"/>
    </row>
    <row r="114" spans="1:13" x14ac:dyDescent="0.2">
      <c r="I114" s="59" t="s">
        <v>166</v>
      </c>
      <c r="K114" s="263">
        <v>9</v>
      </c>
      <c r="L114" s="64"/>
      <c r="M114" s="64"/>
    </row>
    <row r="115" spans="1:13" ht="13.5" thickBot="1" x14ac:dyDescent="0.25">
      <c r="A115" s="240">
        <v>1</v>
      </c>
      <c r="B115" s="285" t="s">
        <v>161</v>
      </c>
      <c r="I115" s="255"/>
      <c r="J115" s="258"/>
      <c r="K115" s="269"/>
      <c r="L115" s="59" t="s">
        <v>162</v>
      </c>
      <c r="M115" s="64"/>
    </row>
    <row r="116" spans="1:13" x14ac:dyDescent="0.2">
      <c r="A116" s="240">
        <v>2</v>
      </c>
      <c r="B116" s="215" t="s">
        <v>210</v>
      </c>
      <c r="I116" s="257" t="s">
        <v>162</v>
      </c>
      <c r="J116" s="262"/>
      <c r="K116" s="253">
        <v>13</v>
      </c>
      <c r="L116" s="267" t="s">
        <v>268</v>
      </c>
      <c r="M116" s="268"/>
    </row>
    <row r="117" spans="1:13" x14ac:dyDescent="0.2">
      <c r="A117" s="240">
        <v>3</v>
      </c>
      <c r="B117" s="216" t="s">
        <v>181</v>
      </c>
      <c r="L117" s="64"/>
      <c r="M117" s="64"/>
    </row>
    <row r="118" spans="1:13" ht="13.5" thickBot="1" x14ac:dyDescent="0.25">
      <c r="A118" s="240">
        <v>4</v>
      </c>
      <c r="B118" s="219" t="s">
        <v>155</v>
      </c>
      <c r="I118" s="64"/>
      <c r="J118" s="64"/>
      <c r="L118" s="269" t="s">
        <v>166</v>
      </c>
      <c r="M118" s="269"/>
    </row>
    <row r="119" spans="1:13" x14ac:dyDescent="0.2">
      <c r="A119" s="240">
        <v>5</v>
      </c>
      <c r="B119" s="219" t="s">
        <v>153</v>
      </c>
      <c r="I119" s="64"/>
      <c r="J119" s="64"/>
      <c r="L119" s="58" t="s">
        <v>269</v>
      </c>
    </row>
    <row r="120" spans="1:13" x14ac:dyDescent="0.2">
      <c r="A120" s="240">
        <v>6</v>
      </c>
      <c r="B120" s="219" t="s">
        <v>156</v>
      </c>
      <c r="E120" s="64"/>
      <c r="F120" s="64"/>
      <c r="G120" s="64"/>
      <c r="H120" s="64"/>
      <c r="I120" s="263"/>
      <c r="J120" s="64"/>
      <c r="K120" s="64"/>
    </row>
    <row r="121" spans="1:13" ht="13.5" thickBot="1" x14ac:dyDescent="0.25">
      <c r="A121" s="240">
        <v>7</v>
      </c>
      <c r="B121" s="219" t="s">
        <v>168</v>
      </c>
      <c r="E121" s="64"/>
      <c r="F121" s="64"/>
      <c r="G121" s="64"/>
      <c r="H121" s="64"/>
      <c r="I121" s="64"/>
      <c r="J121" s="64"/>
      <c r="K121" s="263"/>
      <c r="L121" s="269" t="s">
        <v>157</v>
      </c>
      <c r="M121" s="269"/>
    </row>
    <row r="122" spans="1:13" x14ac:dyDescent="0.2">
      <c r="A122" s="240">
        <v>8</v>
      </c>
      <c r="B122" s="219" t="s">
        <v>176</v>
      </c>
      <c r="E122" s="64"/>
      <c r="F122" s="64"/>
      <c r="G122" s="64"/>
      <c r="H122" s="64"/>
      <c r="I122" s="263"/>
      <c r="J122" s="64"/>
      <c r="K122" s="64"/>
      <c r="L122" s="267" t="s">
        <v>270</v>
      </c>
      <c r="M122" s="64"/>
    </row>
    <row r="123" spans="1:13" x14ac:dyDescent="0.2">
      <c r="A123" s="240">
        <v>9</v>
      </c>
      <c r="B123" s="219" t="s">
        <v>160</v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 ht="13.5" thickBot="1" x14ac:dyDescent="0.25">
      <c r="A124" s="240">
        <v>10</v>
      </c>
      <c r="B124" s="219" t="s">
        <v>174</v>
      </c>
      <c r="E124" s="64"/>
      <c r="F124" s="64"/>
      <c r="G124" s="64"/>
      <c r="H124" s="64"/>
      <c r="I124" s="263"/>
      <c r="J124" s="64"/>
      <c r="K124" s="64"/>
      <c r="L124" s="269" t="s">
        <v>159</v>
      </c>
      <c r="M124" s="269"/>
    </row>
    <row r="125" spans="1:13" x14ac:dyDescent="0.2">
      <c r="A125" s="240">
        <v>11</v>
      </c>
      <c r="B125" s="219" t="s">
        <v>169</v>
      </c>
      <c r="E125" s="64"/>
      <c r="F125" s="64"/>
      <c r="G125" s="64"/>
      <c r="H125" s="64"/>
      <c r="I125" s="64"/>
      <c r="J125" s="64"/>
      <c r="K125" s="263"/>
      <c r="L125" s="267" t="s">
        <v>270</v>
      </c>
    </row>
    <row r="126" spans="1:13" x14ac:dyDescent="0.2">
      <c r="A126" s="240">
        <v>12</v>
      </c>
      <c r="B126" s="219" t="s">
        <v>165</v>
      </c>
    </row>
    <row r="127" spans="1:13" x14ac:dyDescent="0.2">
      <c r="A127" s="240">
        <v>13</v>
      </c>
      <c r="B127" s="219" t="s">
        <v>158</v>
      </c>
    </row>
    <row r="128" spans="1:13" x14ac:dyDescent="0.2">
      <c r="A128" s="240">
        <v>14</v>
      </c>
      <c r="B128" s="219" t="s">
        <v>180</v>
      </c>
    </row>
    <row r="129" spans="1:2" x14ac:dyDescent="0.2">
      <c r="A129" s="240">
        <v>15</v>
      </c>
      <c r="B129" s="219" t="s">
        <v>162</v>
      </c>
    </row>
    <row r="130" spans="1:2" x14ac:dyDescent="0.2">
      <c r="A130" s="240">
        <v>16</v>
      </c>
      <c r="B130" s="219" t="s">
        <v>166</v>
      </c>
    </row>
    <row r="131" spans="1:2" x14ac:dyDescent="0.2">
      <c r="A131" s="240">
        <v>17</v>
      </c>
      <c r="B131" s="219" t="s">
        <v>157</v>
      </c>
    </row>
    <row r="132" spans="1:2" x14ac:dyDescent="0.2">
      <c r="A132" s="240">
        <v>17</v>
      </c>
      <c r="B132" s="219" t="s">
        <v>159</v>
      </c>
    </row>
  </sheetData>
  <conditionalFormatting sqref="C7:N116">
    <cfRule type="cellIs" dxfId="218" priority="1" stopIfTrue="1" operator="equal">
      <formula>13</formula>
    </cfRule>
  </conditionalFormatting>
  <pageMargins left="0.78740157480314965" right="0.39370078740157483" top="0.59055118110236227" bottom="0.39370078740157483" header="0.39370078740157483" footer="0"/>
  <pageSetup paperSize="9" fitToHeight="0" orientation="landscape" r:id="rId1"/>
  <headerFooter>
    <oddHeader>&amp;R&amp;"Arial,Regular"&amp;9Page &amp;P of &amp;N</oddHeader>
  </headerFooter>
  <rowBreaks count="3" manualBreakCount="3">
    <brk id="22" max="16383" man="1"/>
    <brk id="60" max="16383" man="1"/>
    <brk id="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94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I1" sqref="I1"/>
    </sheetView>
  </sheetViews>
  <sheetFormatPr defaultColWidth="9.42578125" defaultRowHeight="12.75" x14ac:dyDescent="0.2"/>
  <cols>
    <col min="1" max="1" width="3.28515625" style="59" customWidth="1"/>
    <col min="2" max="2" width="43.140625" style="59" bestFit="1" customWidth="1"/>
    <col min="3" max="3" width="7.28515625" style="59" customWidth="1"/>
    <col min="4" max="4" width="7.42578125" style="59" bestFit="1" customWidth="1"/>
    <col min="5" max="5" width="9.140625" style="59" bestFit="1" customWidth="1"/>
    <col min="6" max="6" width="6.7109375" style="59" bestFit="1" customWidth="1"/>
    <col min="7" max="7" width="5.140625" style="59" bestFit="1" customWidth="1"/>
    <col min="8" max="11" width="6.7109375" style="59" customWidth="1"/>
    <col min="12" max="20" width="3.7109375" style="59" customWidth="1"/>
    <col min="21" max="222" width="9.140625" style="59" customWidth="1"/>
    <col min="223" max="16384" width="9.42578125" style="59"/>
  </cols>
  <sheetData>
    <row r="1" spans="1:7" x14ac:dyDescent="0.2">
      <c r="A1" s="58" t="str">
        <f>UPPER((Kalend!E8)&amp;" - "&amp;(Kalend!C8)&amp;" - "&amp;(Kalend!D8))</f>
        <v>1 - K-JÄRVE 14. KV 1. ETAPP - TRIO</v>
      </c>
      <c r="E1" s="239" t="str">
        <f>HYPERLINK("#'Kalend'!I1","Kalender")</f>
        <v>Kalender</v>
      </c>
      <c r="G1" s="239" t="str">
        <f>HYPERLINK("#'Reit'!G1","Reiting")</f>
        <v>Reiting</v>
      </c>
    </row>
    <row r="2" spans="1:7" x14ac:dyDescent="0.2">
      <c r="A2" s="59" t="str">
        <f>"Toimumisaeg: "&amp;(Kalend!A8)&amp;" kell "&amp;(Kalend!B8)</f>
        <v>Toimumisaeg: N, 14.05.2015 kell 18:00</v>
      </c>
    </row>
    <row r="3" spans="1:7" x14ac:dyDescent="0.2">
      <c r="A3" s="59" t="str">
        <f>"Toimumiskoht: "&amp;(Kalend!F8)</f>
        <v>Toimumiskoht: K-Järve spordihoone</v>
      </c>
    </row>
    <row r="4" spans="1:7" x14ac:dyDescent="0.2">
      <c r="A4" s="59" t="str">
        <f>"Korraldaja: "&amp;(Kalend!G8)</f>
        <v>Korraldaja: K-Järve SHK, Ivar Viljaste</v>
      </c>
    </row>
    <row r="6" spans="1:7" x14ac:dyDescent="0.2">
      <c r="A6" s="286" t="s">
        <v>271</v>
      </c>
    </row>
    <row r="7" spans="1:7" x14ac:dyDescent="0.2">
      <c r="A7" s="286"/>
    </row>
    <row r="8" spans="1:7" x14ac:dyDescent="0.2">
      <c r="A8" s="240" t="s">
        <v>217</v>
      </c>
      <c r="B8" s="240"/>
      <c r="C8" s="287" t="s">
        <v>218</v>
      </c>
      <c r="D8" s="287" t="s">
        <v>219</v>
      </c>
      <c r="E8" s="287" t="s">
        <v>220</v>
      </c>
      <c r="F8" s="287" t="s">
        <v>221</v>
      </c>
      <c r="G8" s="287" t="s">
        <v>222</v>
      </c>
    </row>
    <row r="9" spans="1:7" x14ac:dyDescent="0.2">
      <c r="A9" s="240">
        <v>1</v>
      </c>
      <c r="B9" s="198" t="s">
        <v>272</v>
      </c>
      <c r="C9" s="242">
        <v>13</v>
      </c>
      <c r="D9" s="242">
        <v>9</v>
      </c>
      <c r="E9" s="242"/>
      <c r="F9" s="245">
        <v>12</v>
      </c>
      <c r="G9" s="243" t="s">
        <v>226</v>
      </c>
    </row>
    <row r="10" spans="1:7" x14ac:dyDescent="0.2">
      <c r="A10" s="240">
        <v>2</v>
      </c>
      <c r="B10" s="198" t="s">
        <v>273</v>
      </c>
      <c r="C10" s="242">
        <v>13</v>
      </c>
      <c r="D10" s="245">
        <v>11</v>
      </c>
      <c r="E10" s="242"/>
      <c r="F10" s="242"/>
      <c r="G10" s="243" t="s">
        <v>224</v>
      </c>
    </row>
    <row r="11" spans="1:7" x14ac:dyDescent="0.2">
      <c r="A11" s="240">
        <v>3</v>
      </c>
      <c r="B11" s="198" t="s">
        <v>274</v>
      </c>
      <c r="C11" s="242">
        <v>11</v>
      </c>
      <c r="D11" s="242"/>
      <c r="E11" s="242">
        <v>13</v>
      </c>
      <c r="F11" s="242">
        <v>7</v>
      </c>
      <c r="G11" s="243" t="s">
        <v>225</v>
      </c>
    </row>
    <row r="12" spans="1:7" x14ac:dyDescent="0.2">
      <c r="A12" s="240">
        <v>4</v>
      </c>
      <c r="B12" s="219" t="s">
        <v>275</v>
      </c>
      <c r="C12" s="242">
        <v>3</v>
      </c>
      <c r="D12" s="242"/>
      <c r="E12" s="242">
        <v>1</v>
      </c>
      <c r="F12" s="242"/>
      <c r="G12" s="243" t="s">
        <v>276</v>
      </c>
    </row>
    <row r="13" spans="1:7" x14ac:dyDescent="0.2">
      <c r="A13" s="65"/>
      <c r="B13" s="64"/>
      <c r="C13" s="247"/>
      <c r="D13" s="247"/>
      <c r="E13" s="247"/>
      <c r="F13" s="248"/>
      <c r="G13" s="249"/>
    </row>
    <row r="14" spans="1:7" x14ac:dyDescent="0.2">
      <c r="A14" s="240" t="s">
        <v>227</v>
      </c>
      <c r="B14" s="240"/>
      <c r="C14" s="287" t="s">
        <v>218</v>
      </c>
      <c r="D14" s="287" t="s">
        <v>219</v>
      </c>
      <c r="E14" s="287" t="s">
        <v>220</v>
      </c>
      <c r="F14" s="287" t="s">
        <v>221</v>
      </c>
      <c r="G14" s="287" t="s">
        <v>222</v>
      </c>
    </row>
    <row r="15" spans="1:7" x14ac:dyDescent="0.2">
      <c r="A15" s="240">
        <v>1</v>
      </c>
      <c r="B15" s="198" t="s">
        <v>277</v>
      </c>
      <c r="C15" s="242">
        <v>13</v>
      </c>
      <c r="D15" s="242">
        <v>6</v>
      </c>
      <c r="E15" s="242"/>
      <c r="F15" s="242">
        <v>13</v>
      </c>
      <c r="G15" s="243" t="s">
        <v>226</v>
      </c>
    </row>
    <row r="16" spans="1:7" x14ac:dyDescent="0.2">
      <c r="A16" s="240">
        <v>2</v>
      </c>
      <c r="B16" s="198" t="s">
        <v>278</v>
      </c>
      <c r="C16" s="242">
        <v>6</v>
      </c>
      <c r="D16" s="242"/>
      <c r="E16" s="242">
        <v>13</v>
      </c>
      <c r="F16" s="242">
        <v>3</v>
      </c>
      <c r="G16" s="243" t="s">
        <v>225</v>
      </c>
    </row>
    <row r="17" spans="1:9" x14ac:dyDescent="0.2">
      <c r="A17" s="240">
        <v>3</v>
      </c>
      <c r="B17" s="198" t="s">
        <v>279</v>
      </c>
      <c r="C17" s="242">
        <v>13</v>
      </c>
      <c r="D17" s="242">
        <v>13</v>
      </c>
      <c r="E17" s="242"/>
      <c r="F17" s="242"/>
      <c r="G17" s="243" t="s">
        <v>224</v>
      </c>
    </row>
    <row r="18" spans="1:9" x14ac:dyDescent="0.2">
      <c r="A18" s="240">
        <v>4</v>
      </c>
      <c r="B18" s="288"/>
      <c r="C18" s="242">
        <v>0</v>
      </c>
      <c r="D18" s="242"/>
      <c r="E18" s="242">
        <v>0</v>
      </c>
      <c r="F18" s="242"/>
      <c r="G18" s="243"/>
    </row>
    <row r="19" spans="1:9" x14ac:dyDescent="0.2">
      <c r="A19" s="65"/>
      <c r="B19" s="64"/>
      <c r="C19" s="247"/>
      <c r="D19" s="247"/>
      <c r="E19" s="247"/>
      <c r="F19" s="248"/>
      <c r="G19" s="249"/>
    </row>
    <row r="20" spans="1:9" x14ac:dyDescent="0.2">
      <c r="A20" s="240" t="s">
        <v>229</v>
      </c>
      <c r="B20" s="240"/>
      <c r="C20" s="287" t="s">
        <v>218</v>
      </c>
      <c r="D20" s="287" t="s">
        <v>219</v>
      </c>
      <c r="E20" s="287" t="s">
        <v>220</v>
      </c>
      <c r="F20" s="287" t="s">
        <v>221</v>
      </c>
      <c r="G20" s="287" t="s">
        <v>222</v>
      </c>
    </row>
    <row r="21" spans="1:9" x14ac:dyDescent="0.2">
      <c r="A21" s="240">
        <v>1</v>
      </c>
      <c r="B21" s="198" t="s">
        <v>280</v>
      </c>
      <c r="C21" s="242">
        <v>13</v>
      </c>
      <c r="D21" s="242">
        <v>6</v>
      </c>
      <c r="E21" s="242"/>
      <c r="F21" s="242">
        <v>5</v>
      </c>
      <c r="G21" s="243" t="s">
        <v>225</v>
      </c>
    </row>
    <row r="22" spans="1:9" x14ac:dyDescent="0.2">
      <c r="A22" s="240">
        <v>2</v>
      </c>
      <c r="B22" s="198" t="s">
        <v>281</v>
      </c>
      <c r="C22" s="242">
        <v>9</v>
      </c>
      <c r="D22" s="242"/>
      <c r="E22" s="242">
        <v>13</v>
      </c>
      <c r="F22" s="242">
        <v>13</v>
      </c>
      <c r="G22" s="243" t="s">
        <v>226</v>
      </c>
    </row>
    <row r="23" spans="1:9" x14ac:dyDescent="0.2">
      <c r="A23" s="240">
        <v>3</v>
      </c>
      <c r="B23" s="198" t="s">
        <v>282</v>
      </c>
      <c r="C23" s="245">
        <v>10</v>
      </c>
      <c r="D23" s="242">
        <v>13</v>
      </c>
      <c r="E23" s="242"/>
      <c r="F23" s="242"/>
      <c r="G23" s="243" t="s">
        <v>224</v>
      </c>
    </row>
    <row r="24" spans="1:9" x14ac:dyDescent="0.2">
      <c r="A24" s="240">
        <v>4</v>
      </c>
      <c r="B24" s="198" t="s">
        <v>283</v>
      </c>
      <c r="C24" s="242">
        <v>7</v>
      </c>
      <c r="D24" s="242"/>
      <c r="E24" s="242">
        <v>2</v>
      </c>
      <c r="F24" s="242"/>
      <c r="G24" s="243" t="s">
        <v>276</v>
      </c>
    </row>
    <row r="26" spans="1:9" s="290" customFormat="1" x14ac:dyDescent="0.2">
      <c r="A26" s="289" t="s">
        <v>284</v>
      </c>
    </row>
    <row r="27" spans="1:9" s="290" customFormat="1" x14ac:dyDescent="0.2">
      <c r="A27" s="289"/>
    </row>
    <row r="28" spans="1:9" s="290" customFormat="1" x14ac:dyDescent="0.2">
      <c r="A28" s="291" t="s">
        <v>241</v>
      </c>
      <c r="B28" s="290" t="s">
        <v>273</v>
      </c>
      <c r="C28" s="296">
        <v>13</v>
      </c>
    </row>
    <row r="29" spans="1:9" s="290" customFormat="1" x14ac:dyDescent="0.2">
      <c r="A29" s="292"/>
      <c r="B29" s="293"/>
      <c r="C29" s="294" t="s">
        <v>273</v>
      </c>
      <c r="D29" s="295"/>
      <c r="F29" s="296">
        <v>11</v>
      </c>
    </row>
    <row r="30" spans="1:9" s="290" customFormat="1" x14ac:dyDescent="0.2">
      <c r="A30" s="291"/>
      <c r="B30" s="281" t="s">
        <v>235</v>
      </c>
      <c r="C30" s="297">
        <v>0</v>
      </c>
      <c r="E30" s="298"/>
    </row>
    <row r="31" spans="1:9" s="290" customFormat="1" x14ac:dyDescent="0.2">
      <c r="A31" s="292"/>
      <c r="D31" s="299"/>
      <c r="E31" s="300"/>
      <c r="F31" s="290" t="s">
        <v>281</v>
      </c>
      <c r="I31" s="296">
        <v>13</v>
      </c>
    </row>
    <row r="32" spans="1:9" s="290" customFormat="1" x14ac:dyDescent="0.2">
      <c r="A32" s="291" t="s">
        <v>232</v>
      </c>
      <c r="B32" s="282" t="s">
        <v>279</v>
      </c>
      <c r="C32" s="301" t="s">
        <v>136</v>
      </c>
      <c r="E32" s="300"/>
      <c r="F32" s="293"/>
      <c r="G32" s="293"/>
      <c r="H32" s="298"/>
    </row>
    <row r="33" spans="1:11" s="290" customFormat="1" x14ac:dyDescent="0.2">
      <c r="A33" s="292"/>
      <c r="B33" s="293"/>
      <c r="C33" s="302" t="s">
        <v>281</v>
      </c>
      <c r="E33" s="303"/>
      <c r="F33" s="301">
        <v>12</v>
      </c>
      <c r="G33" s="299"/>
      <c r="H33" s="300"/>
    </row>
    <row r="34" spans="1:11" s="290" customFormat="1" x14ac:dyDescent="0.2">
      <c r="A34" s="291" t="s">
        <v>236</v>
      </c>
      <c r="B34" s="281" t="s">
        <v>281</v>
      </c>
      <c r="C34" s="310">
        <v>13</v>
      </c>
      <c r="D34" s="293"/>
      <c r="F34" s="299"/>
      <c r="G34" s="299"/>
      <c r="H34" s="300"/>
    </row>
    <row r="35" spans="1:11" s="290" customFormat="1" ht="13.5" thickBot="1" x14ac:dyDescent="0.25">
      <c r="A35" s="292"/>
      <c r="F35" s="299"/>
      <c r="G35" s="299"/>
      <c r="H35" s="300"/>
      <c r="J35" s="290" t="s">
        <v>281</v>
      </c>
    </row>
    <row r="36" spans="1:11" s="290" customFormat="1" x14ac:dyDescent="0.2">
      <c r="A36" s="291" t="s">
        <v>233</v>
      </c>
      <c r="B36" s="290" t="s">
        <v>272</v>
      </c>
      <c r="C36" s="296">
        <v>13</v>
      </c>
      <c r="F36" s="299"/>
      <c r="G36" s="299"/>
      <c r="H36" s="300"/>
      <c r="I36" s="304"/>
      <c r="J36" s="305" t="s">
        <v>240</v>
      </c>
      <c r="K36" s="306"/>
    </row>
    <row r="37" spans="1:11" s="290" customFormat="1" x14ac:dyDescent="0.2">
      <c r="A37" s="292"/>
      <c r="B37" s="293"/>
      <c r="C37" s="294" t="s">
        <v>272</v>
      </c>
      <c r="D37" s="295"/>
      <c r="F37" s="301">
        <v>13</v>
      </c>
      <c r="G37" s="299"/>
      <c r="H37" s="300"/>
    </row>
    <row r="38" spans="1:11" s="290" customFormat="1" ht="13.5" thickBot="1" x14ac:dyDescent="0.25">
      <c r="A38" s="291" t="s">
        <v>242</v>
      </c>
      <c r="B38" s="295" t="s">
        <v>277</v>
      </c>
      <c r="C38" s="297" t="s">
        <v>136</v>
      </c>
      <c r="E38" s="298"/>
      <c r="F38" s="299"/>
      <c r="G38" s="299"/>
      <c r="H38" s="300"/>
      <c r="J38" s="307" t="s">
        <v>272</v>
      </c>
      <c r="K38" s="307"/>
    </row>
    <row r="39" spans="1:11" s="290" customFormat="1" x14ac:dyDescent="0.2">
      <c r="A39" s="292"/>
      <c r="D39" s="299"/>
      <c r="E39" s="300"/>
      <c r="F39" s="295" t="s">
        <v>272</v>
      </c>
      <c r="G39" s="295"/>
      <c r="H39" s="303"/>
      <c r="I39" s="296" t="s">
        <v>136</v>
      </c>
      <c r="J39" s="305" t="s">
        <v>244</v>
      </c>
    </row>
    <row r="40" spans="1:11" s="290" customFormat="1" x14ac:dyDescent="0.2">
      <c r="A40" s="291"/>
      <c r="B40" s="290" t="s">
        <v>235</v>
      </c>
      <c r="C40" s="301">
        <v>0</v>
      </c>
      <c r="E40" s="300"/>
    </row>
    <row r="41" spans="1:11" s="290" customFormat="1" x14ac:dyDescent="0.2">
      <c r="A41" s="292"/>
      <c r="B41" s="293"/>
      <c r="C41" s="302" t="s">
        <v>282</v>
      </c>
      <c r="E41" s="303"/>
      <c r="F41" s="296">
        <v>9</v>
      </c>
    </row>
    <row r="42" spans="1:11" s="290" customFormat="1" x14ac:dyDescent="0.2">
      <c r="A42" s="291" t="s">
        <v>246</v>
      </c>
      <c r="B42" s="295" t="s">
        <v>282</v>
      </c>
      <c r="C42" s="310">
        <v>13</v>
      </c>
      <c r="D42" s="293"/>
    </row>
    <row r="43" spans="1:11" s="290" customFormat="1" x14ac:dyDescent="0.2">
      <c r="F43" s="290" t="s">
        <v>273</v>
      </c>
      <c r="I43" s="301">
        <v>13</v>
      </c>
      <c r="J43" s="299"/>
      <c r="K43" s="299"/>
    </row>
    <row r="44" spans="1:11" s="290" customFormat="1" ht="13.5" thickBot="1" x14ac:dyDescent="0.25">
      <c r="F44" s="293"/>
      <c r="G44" s="293"/>
      <c r="H44" s="298"/>
      <c r="I44" s="307"/>
      <c r="J44" s="307" t="s">
        <v>273</v>
      </c>
      <c r="K44" s="307"/>
    </row>
    <row r="45" spans="1:11" s="290" customFormat="1" x14ac:dyDescent="0.2">
      <c r="F45" s="295" t="s">
        <v>282</v>
      </c>
      <c r="G45" s="295"/>
      <c r="H45" s="303"/>
      <c r="I45" s="296">
        <v>11</v>
      </c>
      <c r="J45" s="308" t="s">
        <v>247</v>
      </c>
      <c r="K45" s="299"/>
    </row>
    <row r="46" spans="1:11" s="290" customFormat="1" x14ac:dyDescent="0.2">
      <c r="J46" s="299"/>
      <c r="K46" s="299"/>
    </row>
    <row r="47" spans="1:11" s="290" customFormat="1" ht="13.5" thickBot="1" x14ac:dyDescent="0.25">
      <c r="G47" s="299"/>
      <c r="H47" s="299"/>
      <c r="J47" s="307" t="s">
        <v>282</v>
      </c>
      <c r="K47" s="307"/>
    </row>
    <row r="48" spans="1:11" s="290" customFormat="1" x14ac:dyDescent="0.2">
      <c r="G48" s="299"/>
      <c r="H48" s="299"/>
      <c r="J48" s="309" t="s">
        <v>248</v>
      </c>
    </row>
    <row r="49" spans="1:11" s="290" customFormat="1" x14ac:dyDescent="0.2">
      <c r="C49" s="290" t="s">
        <v>235</v>
      </c>
      <c r="F49" s="296">
        <v>0</v>
      </c>
    </row>
    <row r="50" spans="1:11" s="290" customFormat="1" x14ac:dyDescent="0.2">
      <c r="C50" s="293"/>
      <c r="D50" s="293"/>
      <c r="E50" s="298"/>
      <c r="F50" s="294" t="s">
        <v>279</v>
      </c>
      <c r="G50" s="295"/>
      <c r="H50" s="295"/>
      <c r="I50" s="296">
        <v>11</v>
      </c>
    </row>
    <row r="51" spans="1:11" s="290" customFormat="1" x14ac:dyDescent="0.2">
      <c r="C51" s="295" t="s">
        <v>279</v>
      </c>
      <c r="D51" s="295"/>
      <c r="E51" s="303"/>
      <c r="F51" s="297">
        <v>13</v>
      </c>
      <c r="H51" s="300"/>
    </row>
    <row r="52" spans="1:11" s="290" customFormat="1" ht="13.5" thickBot="1" x14ac:dyDescent="0.25">
      <c r="F52" s="299"/>
      <c r="H52" s="300"/>
      <c r="J52" s="290" t="s">
        <v>277</v>
      </c>
    </row>
    <row r="53" spans="1:11" s="290" customFormat="1" x14ac:dyDescent="0.2">
      <c r="C53" s="290" t="s">
        <v>277</v>
      </c>
      <c r="F53" s="301">
        <v>13</v>
      </c>
      <c r="H53" s="300"/>
      <c r="I53" s="304"/>
      <c r="J53" s="305" t="s">
        <v>250</v>
      </c>
      <c r="K53" s="306"/>
    </row>
    <row r="54" spans="1:11" s="290" customFormat="1" x14ac:dyDescent="0.2">
      <c r="C54" s="293"/>
      <c r="D54" s="293"/>
      <c r="E54" s="298"/>
      <c r="F54" s="302" t="s">
        <v>277</v>
      </c>
      <c r="H54" s="303"/>
      <c r="I54" s="301">
        <v>13</v>
      </c>
    </row>
    <row r="55" spans="1:11" s="290" customFormat="1" ht="13.5" thickBot="1" x14ac:dyDescent="0.25">
      <c r="C55" s="295" t="s">
        <v>235</v>
      </c>
      <c r="D55" s="295"/>
      <c r="E55" s="303"/>
      <c r="F55" s="310">
        <v>0</v>
      </c>
      <c r="G55" s="293"/>
      <c r="I55" s="299"/>
      <c r="J55" s="299" t="s">
        <v>279</v>
      </c>
      <c r="K55" s="307"/>
    </row>
    <row r="56" spans="1:11" s="290" customFormat="1" x14ac:dyDescent="0.2">
      <c r="I56" s="299"/>
      <c r="J56" s="305" t="s">
        <v>251</v>
      </c>
      <c r="K56" s="299"/>
    </row>
    <row r="58" spans="1:11" s="290" customFormat="1" x14ac:dyDescent="0.2">
      <c r="A58" s="289" t="s">
        <v>285</v>
      </c>
    </row>
    <row r="59" spans="1:11" s="290" customFormat="1" x14ac:dyDescent="0.2">
      <c r="A59" s="289"/>
    </row>
    <row r="60" spans="1:11" s="290" customFormat="1" x14ac:dyDescent="0.2">
      <c r="A60" s="291" t="s">
        <v>262</v>
      </c>
      <c r="B60" s="290" t="s">
        <v>274</v>
      </c>
      <c r="C60" s="296">
        <v>13</v>
      </c>
    </row>
    <row r="61" spans="1:11" s="290" customFormat="1" x14ac:dyDescent="0.2">
      <c r="A61" s="292"/>
      <c r="B61" s="293"/>
      <c r="C61" s="294" t="s">
        <v>274</v>
      </c>
      <c r="D61" s="295"/>
      <c r="F61" s="296" t="s">
        <v>235</v>
      </c>
    </row>
    <row r="62" spans="1:11" s="290" customFormat="1" x14ac:dyDescent="0.2">
      <c r="A62" s="291"/>
      <c r="B62" s="281" t="s">
        <v>235</v>
      </c>
      <c r="C62" s="297">
        <v>0</v>
      </c>
      <c r="E62" s="298"/>
    </row>
    <row r="63" spans="1:11" s="290" customFormat="1" x14ac:dyDescent="0.2">
      <c r="A63" s="292"/>
      <c r="D63" s="299"/>
      <c r="E63" s="300"/>
      <c r="F63" s="290" t="s">
        <v>278</v>
      </c>
      <c r="I63" s="296">
        <v>6</v>
      </c>
    </row>
    <row r="64" spans="1:11" s="290" customFormat="1" x14ac:dyDescent="0.2">
      <c r="A64" s="291" t="s">
        <v>267</v>
      </c>
      <c r="B64" s="282" t="s">
        <v>278</v>
      </c>
      <c r="C64" s="301">
        <v>13</v>
      </c>
      <c r="E64" s="300"/>
      <c r="F64" s="293"/>
      <c r="G64" s="293"/>
      <c r="H64" s="298"/>
    </row>
    <row r="65" spans="1:11" s="290" customFormat="1" x14ac:dyDescent="0.2">
      <c r="A65" s="292"/>
      <c r="B65" s="293"/>
      <c r="C65" s="302" t="s">
        <v>278</v>
      </c>
      <c r="E65" s="303"/>
      <c r="F65" s="301">
        <v>13</v>
      </c>
      <c r="G65" s="299"/>
      <c r="H65" s="300"/>
    </row>
    <row r="66" spans="1:11" s="290" customFormat="1" x14ac:dyDescent="0.2">
      <c r="A66" s="291" t="s">
        <v>286</v>
      </c>
      <c r="B66" s="281" t="s">
        <v>283</v>
      </c>
      <c r="C66" s="310">
        <v>2</v>
      </c>
      <c r="D66" s="293"/>
      <c r="F66" s="299"/>
      <c r="G66" s="299"/>
      <c r="H66" s="300"/>
    </row>
    <row r="67" spans="1:11" s="290" customFormat="1" ht="13.5" thickBot="1" x14ac:dyDescent="0.25">
      <c r="A67" s="292"/>
      <c r="F67" s="299"/>
      <c r="G67" s="299"/>
      <c r="H67" s="300"/>
      <c r="J67" s="290" t="s">
        <v>280</v>
      </c>
    </row>
    <row r="68" spans="1:11" s="290" customFormat="1" x14ac:dyDescent="0.2">
      <c r="A68" s="291" t="s">
        <v>287</v>
      </c>
      <c r="B68" s="290" t="s">
        <v>275</v>
      </c>
      <c r="C68" s="296">
        <v>13</v>
      </c>
      <c r="F68" s="299"/>
      <c r="G68" s="299"/>
      <c r="H68" s="300"/>
      <c r="I68" s="304"/>
      <c r="J68" s="305" t="s">
        <v>252</v>
      </c>
      <c r="K68" s="306"/>
    </row>
    <row r="69" spans="1:11" s="290" customFormat="1" x14ac:dyDescent="0.2">
      <c r="A69" s="292"/>
      <c r="B69" s="293"/>
      <c r="C69" s="294" t="s">
        <v>275</v>
      </c>
      <c r="D69" s="295"/>
      <c r="F69" s="301">
        <v>5</v>
      </c>
      <c r="G69" s="299"/>
      <c r="H69" s="300"/>
    </row>
    <row r="70" spans="1:11" s="290" customFormat="1" ht="13.5" thickBot="1" x14ac:dyDescent="0.25">
      <c r="A70" s="291"/>
      <c r="B70" s="295" t="s">
        <v>235</v>
      </c>
      <c r="C70" s="297">
        <v>0</v>
      </c>
      <c r="E70" s="298"/>
      <c r="F70" s="299"/>
      <c r="G70" s="299"/>
      <c r="H70" s="300"/>
      <c r="J70" s="307" t="s">
        <v>278</v>
      </c>
      <c r="K70" s="307"/>
    </row>
    <row r="71" spans="1:11" s="290" customFormat="1" x14ac:dyDescent="0.2">
      <c r="A71" s="292"/>
      <c r="D71" s="299"/>
      <c r="E71" s="300"/>
      <c r="F71" s="295" t="s">
        <v>280</v>
      </c>
      <c r="G71" s="295"/>
      <c r="H71" s="303"/>
      <c r="I71" s="296">
        <v>13</v>
      </c>
      <c r="J71" s="305" t="s">
        <v>253</v>
      </c>
    </row>
    <row r="72" spans="1:11" s="290" customFormat="1" x14ac:dyDescent="0.2">
      <c r="A72" s="291"/>
      <c r="B72" s="290" t="s">
        <v>235</v>
      </c>
      <c r="C72" s="301">
        <v>0</v>
      </c>
      <c r="E72" s="300"/>
    </row>
    <row r="73" spans="1:11" s="290" customFormat="1" x14ac:dyDescent="0.2">
      <c r="A73" s="292"/>
      <c r="B73" s="293"/>
      <c r="C73" s="302" t="s">
        <v>280</v>
      </c>
      <c r="E73" s="303"/>
      <c r="F73" s="296">
        <v>13</v>
      </c>
    </row>
    <row r="74" spans="1:11" s="290" customFormat="1" x14ac:dyDescent="0.2">
      <c r="A74" s="291" t="s">
        <v>264</v>
      </c>
      <c r="B74" s="295" t="s">
        <v>280</v>
      </c>
      <c r="C74" s="310">
        <v>13</v>
      </c>
      <c r="D74" s="293"/>
    </row>
    <row r="75" spans="1:11" s="290" customFormat="1" x14ac:dyDescent="0.2">
      <c r="F75" s="290" t="s">
        <v>274</v>
      </c>
      <c r="I75" s="301" t="s">
        <v>235</v>
      </c>
      <c r="J75" s="299"/>
      <c r="K75" s="299"/>
    </row>
    <row r="76" spans="1:11" s="290" customFormat="1" ht="13.5" thickBot="1" x14ac:dyDescent="0.25">
      <c r="F76" s="293"/>
      <c r="G76" s="293"/>
      <c r="H76" s="298"/>
      <c r="I76" s="307"/>
      <c r="J76" s="307" t="s">
        <v>275</v>
      </c>
      <c r="K76" s="307"/>
    </row>
    <row r="77" spans="1:11" s="290" customFormat="1" x14ac:dyDescent="0.2">
      <c r="F77" s="295" t="s">
        <v>275</v>
      </c>
      <c r="G77" s="295"/>
      <c r="H77" s="303"/>
      <c r="I77" s="296">
        <v>13</v>
      </c>
      <c r="J77" s="308" t="s">
        <v>255</v>
      </c>
      <c r="K77" s="299"/>
    </row>
    <row r="78" spans="1:11" s="290" customFormat="1" x14ac:dyDescent="0.2">
      <c r="J78" s="299"/>
      <c r="K78" s="299"/>
    </row>
    <row r="79" spans="1:11" s="290" customFormat="1" ht="13.5" thickBot="1" x14ac:dyDescent="0.25">
      <c r="G79" s="299"/>
      <c r="H79" s="299"/>
      <c r="J79" s="307" t="s">
        <v>274</v>
      </c>
      <c r="K79" s="307"/>
    </row>
    <row r="80" spans="1:11" s="290" customFormat="1" x14ac:dyDescent="0.2">
      <c r="C80" s="290" t="s">
        <v>235</v>
      </c>
      <c r="F80" s="290">
        <v>0</v>
      </c>
      <c r="G80" s="299"/>
      <c r="H80" s="299"/>
      <c r="J80" s="309" t="s">
        <v>256</v>
      </c>
    </row>
    <row r="81" spans="1:11" s="290" customFormat="1" x14ac:dyDescent="0.2">
      <c r="C81" s="293"/>
      <c r="D81" s="293"/>
      <c r="E81" s="298"/>
      <c r="F81" s="294" t="s">
        <v>283</v>
      </c>
      <c r="G81" s="295"/>
      <c r="H81" s="295"/>
      <c r="I81" s="296">
        <v>13</v>
      </c>
    </row>
    <row r="82" spans="1:11" s="290" customFormat="1" x14ac:dyDescent="0.2">
      <c r="C82" s="295" t="s">
        <v>283</v>
      </c>
      <c r="D82" s="295"/>
      <c r="E82" s="303"/>
      <c r="F82" s="297">
        <v>13</v>
      </c>
      <c r="H82" s="300"/>
    </row>
    <row r="83" spans="1:11" s="290" customFormat="1" ht="13.5" thickBot="1" x14ac:dyDescent="0.25">
      <c r="F83" s="299"/>
      <c r="H83" s="300"/>
      <c r="J83" s="290" t="s">
        <v>283</v>
      </c>
    </row>
    <row r="84" spans="1:11" s="290" customFormat="1" x14ac:dyDescent="0.2">
      <c r="A84" s="240">
        <v>1</v>
      </c>
      <c r="B84" s="285" t="s">
        <v>281</v>
      </c>
      <c r="D84" s="290" t="s">
        <v>235</v>
      </c>
      <c r="F84" s="301"/>
      <c r="H84" s="300"/>
      <c r="I84" s="304"/>
      <c r="J84" s="305" t="s">
        <v>257</v>
      </c>
      <c r="K84" s="306"/>
    </row>
    <row r="85" spans="1:11" s="290" customFormat="1" x14ac:dyDescent="0.2">
      <c r="A85" s="240">
        <v>2</v>
      </c>
      <c r="B85" s="215" t="s">
        <v>272</v>
      </c>
      <c r="C85" s="299"/>
      <c r="D85" s="293"/>
      <c r="E85" s="298"/>
      <c r="F85" s="302" t="s">
        <v>235</v>
      </c>
      <c r="H85" s="303"/>
      <c r="I85" s="301">
        <v>0</v>
      </c>
    </row>
    <row r="86" spans="1:11" s="290" customFormat="1" ht="13.5" thickBot="1" x14ac:dyDescent="0.25">
      <c r="A86" s="240">
        <v>3</v>
      </c>
      <c r="B86" s="216" t="s">
        <v>273</v>
      </c>
      <c r="C86" s="299"/>
      <c r="D86" s="295" t="s">
        <v>235</v>
      </c>
      <c r="E86" s="303"/>
      <c r="F86" s="310"/>
      <c r="G86" s="293"/>
      <c r="I86" s="299"/>
      <c r="K86" s="307"/>
    </row>
    <row r="87" spans="1:11" s="290" customFormat="1" x14ac:dyDescent="0.2">
      <c r="A87" s="240">
        <v>4</v>
      </c>
      <c r="B87" s="219" t="s">
        <v>282</v>
      </c>
      <c r="J87" s="305"/>
    </row>
    <row r="88" spans="1:11" s="290" customFormat="1" x14ac:dyDescent="0.2">
      <c r="A88" s="240">
        <v>5</v>
      </c>
      <c r="B88" s="219" t="s">
        <v>277</v>
      </c>
      <c r="I88" s="299"/>
      <c r="K88" s="299"/>
    </row>
    <row r="89" spans="1:11" s="290" customFormat="1" x14ac:dyDescent="0.2">
      <c r="A89" s="240">
        <v>6</v>
      </c>
      <c r="B89" s="219" t="s">
        <v>279</v>
      </c>
      <c r="G89" s="299"/>
      <c r="H89" s="299"/>
      <c r="J89" s="309"/>
    </row>
    <row r="90" spans="1:11" x14ac:dyDescent="0.2">
      <c r="A90" s="240">
        <v>7</v>
      </c>
      <c r="B90" s="219" t="s">
        <v>280</v>
      </c>
    </row>
    <row r="91" spans="1:11" x14ac:dyDescent="0.2">
      <c r="A91" s="240">
        <v>8</v>
      </c>
      <c r="B91" s="219" t="s">
        <v>278</v>
      </c>
    </row>
    <row r="92" spans="1:11" x14ac:dyDescent="0.2">
      <c r="A92" s="240">
        <v>9</v>
      </c>
      <c r="B92" s="219" t="s">
        <v>275</v>
      </c>
    </row>
    <row r="93" spans="1:11" x14ac:dyDescent="0.2">
      <c r="A93" s="240">
        <v>10</v>
      </c>
      <c r="B93" s="219" t="s">
        <v>274</v>
      </c>
    </row>
    <row r="94" spans="1:11" x14ac:dyDescent="0.2">
      <c r="A94" s="240">
        <v>11</v>
      </c>
      <c r="B94" s="219" t="s">
        <v>283</v>
      </c>
    </row>
  </sheetData>
  <conditionalFormatting sqref="C9:I86">
    <cfRule type="cellIs" dxfId="217" priority="1" stopIfTrue="1" operator="equal">
      <formula>13</formula>
    </cfRule>
  </conditionalFormatting>
  <pageMargins left="0.39370078740157483" right="0.39370078740157483" top="0.59055118110236227" bottom="0.39370078740157483" header="0.39370078740157483" footer="0"/>
  <pageSetup paperSize="9" fitToHeight="0" orientation="landscape" r:id="rId1"/>
  <headerFooter>
    <oddHeader>&amp;R&amp;"Arial,Regular"&amp;9Page &amp;P of &amp;N</oddHeader>
  </headerFooter>
  <rowBreaks count="2" manualBreakCount="2">
    <brk id="24" max="16383" man="1"/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19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J1" sqref="J1"/>
    </sheetView>
  </sheetViews>
  <sheetFormatPr defaultRowHeight="12.75" x14ac:dyDescent="0.2"/>
  <cols>
    <col min="1" max="1" width="3.28515625" style="59" customWidth="1"/>
    <col min="2" max="2" width="34.140625" style="59" bestFit="1" customWidth="1"/>
    <col min="3" max="3" width="7.28515625" style="59" customWidth="1"/>
    <col min="4" max="4" width="7.42578125" style="59" customWidth="1"/>
    <col min="5" max="5" width="9.140625" style="59"/>
    <col min="6" max="6" width="6.7109375" style="59" customWidth="1"/>
    <col min="7" max="7" width="5.140625" style="59" bestFit="1" customWidth="1"/>
    <col min="8" max="11" width="9.140625" style="59"/>
    <col min="12" max="17" width="4.7109375" style="59" customWidth="1"/>
    <col min="18" max="16384" width="9.140625" style="59"/>
  </cols>
  <sheetData>
    <row r="1" spans="1:15" x14ac:dyDescent="0.2">
      <c r="A1" s="58" t="str">
        <f>UPPER((Kalend!E11)&amp;" - "&amp;(Kalend!C11)&amp;" - "&amp;(Kalend!D11))</f>
        <v>2 - K-JÄRVE 14. KV 2. ETAPP - DUO</v>
      </c>
      <c r="F1" s="239" t="str">
        <f>HYPERLINK("#'Kalend'!I1","Kalender")</f>
        <v>Kalender</v>
      </c>
      <c r="H1" s="239" t="str">
        <f>HYPERLINK("#'Reit'!G1","Reiting")</f>
        <v>Reiting</v>
      </c>
    </row>
    <row r="2" spans="1:15" x14ac:dyDescent="0.2">
      <c r="A2" s="59" t="str">
        <f>"Toimumisaeg: "&amp;(Kalend!A11)&amp;" kell "&amp;(Kalend!B11)</f>
        <v>Toimumisaeg: P, 24.05.2015 kell 12:00</v>
      </c>
    </row>
    <row r="3" spans="1:15" x14ac:dyDescent="0.2">
      <c r="A3" s="59" t="str">
        <f>"Toimumiskoht: "&amp;(Kalend!F11)</f>
        <v>Toimumiskoht: K-Järve spordihoone</v>
      </c>
    </row>
    <row r="4" spans="1:15" x14ac:dyDescent="0.2">
      <c r="A4" s="59" t="str">
        <f>"Korraldaja: "&amp;(Kalend!G11)</f>
        <v>Korraldaja: K-Järve SHK, Ivar Viljaste</v>
      </c>
    </row>
    <row r="6" spans="1:15" x14ac:dyDescent="0.2">
      <c r="A6" s="240" t="s">
        <v>217</v>
      </c>
      <c r="B6" s="240"/>
      <c r="C6" s="287" t="s">
        <v>218</v>
      </c>
      <c r="D6" s="287" t="s">
        <v>219</v>
      </c>
      <c r="E6" s="287" t="s">
        <v>220</v>
      </c>
      <c r="F6" s="287" t="s">
        <v>221</v>
      </c>
      <c r="G6" s="287" t="s">
        <v>222</v>
      </c>
      <c r="I6" s="64"/>
      <c r="J6" s="64"/>
      <c r="K6" s="247"/>
      <c r="L6" s="247"/>
      <c r="M6" s="247"/>
      <c r="N6" s="247"/>
      <c r="O6" s="247"/>
    </row>
    <row r="7" spans="1:15" x14ac:dyDescent="0.2">
      <c r="A7" s="240">
        <v>1</v>
      </c>
      <c r="B7" s="198" t="s">
        <v>288</v>
      </c>
      <c r="C7" s="242">
        <v>3</v>
      </c>
      <c r="D7" s="242"/>
      <c r="E7" s="242">
        <v>5</v>
      </c>
      <c r="F7" s="242"/>
      <c r="G7" s="243" t="s">
        <v>276</v>
      </c>
      <c r="I7" s="64"/>
      <c r="J7" s="311"/>
      <c r="K7" s="248"/>
      <c r="L7" s="248"/>
      <c r="M7" s="248"/>
      <c r="N7" s="248"/>
      <c r="O7" s="312"/>
    </row>
    <row r="8" spans="1:15" x14ac:dyDescent="0.2">
      <c r="A8" s="240">
        <v>2</v>
      </c>
      <c r="B8" s="198" t="s">
        <v>289</v>
      </c>
      <c r="C8" s="242">
        <v>9</v>
      </c>
      <c r="D8" s="242"/>
      <c r="E8" s="242">
        <v>13</v>
      </c>
      <c r="F8" s="242">
        <v>13</v>
      </c>
      <c r="G8" s="243" t="s">
        <v>226</v>
      </c>
      <c r="I8" s="64"/>
      <c r="J8" s="74"/>
      <c r="K8" s="248"/>
      <c r="L8" s="248"/>
      <c r="M8" s="248"/>
      <c r="N8" s="248"/>
      <c r="O8" s="312"/>
    </row>
    <row r="9" spans="1:15" x14ac:dyDescent="0.2">
      <c r="A9" s="240">
        <v>3</v>
      </c>
      <c r="B9" s="198" t="s">
        <v>290</v>
      </c>
      <c r="C9" s="242">
        <v>13</v>
      </c>
      <c r="D9" s="242">
        <v>13</v>
      </c>
      <c r="E9" s="242"/>
      <c r="F9" s="242"/>
      <c r="G9" s="243" t="s">
        <v>224</v>
      </c>
      <c r="I9" s="64"/>
      <c r="J9" s="311"/>
      <c r="K9" s="248"/>
      <c r="L9" s="248"/>
      <c r="M9" s="248"/>
      <c r="N9" s="248"/>
      <c r="O9" s="312"/>
    </row>
    <row r="10" spans="1:15" x14ac:dyDescent="0.2">
      <c r="A10" s="240">
        <v>4</v>
      </c>
      <c r="B10" s="219" t="s">
        <v>291</v>
      </c>
      <c r="C10" s="242">
        <v>13</v>
      </c>
      <c r="D10" s="242">
        <v>11</v>
      </c>
      <c r="E10" s="242"/>
      <c r="F10" s="242">
        <v>4</v>
      </c>
      <c r="G10" s="243" t="s">
        <v>225</v>
      </c>
      <c r="I10" s="64"/>
      <c r="J10" s="74"/>
      <c r="K10" s="248"/>
      <c r="L10" s="248"/>
      <c r="M10" s="248"/>
      <c r="N10" s="248"/>
      <c r="O10" s="312"/>
    </row>
    <row r="11" spans="1:15" x14ac:dyDescent="0.2">
      <c r="A11" s="65"/>
      <c r="B11" s="64"/>
      <c r="C11" s="247"/>
      <c r="D11" s="247"/>
      <c r="E11" s="247"/>
      <c r="F11" s="248"/>
      <c r="G11" s="249"/>
      <c r="I11" s="64"/>
      <c r="J11" s="64"/>
      <c r="K11" s="247"/>
      <c r="L11" s="247"/>
      <c r="M11" s="247"/>
      <c r="N11" s="248"/>
      <c r="O11" s="249"/>
    </row>
    <row r="12" spans="1:15" x14ac:dyDescent="0.2">
      <c r="A12" s="240" t="s">
        <v>227</v>
      </c>
      <c r="B12" s="240"/>
      <c r="C12" s="287" t="s">
        <v>218</v>
      </c>
      <c r="D12" s="287" t="s">
        <v>219</v>
      </c>
      <c r="E12" s="287" t="s">
        <v>220</v>
      </c>
      <c r="F12" s="287" t="s">
        <v>221</v>
      </c>
      <c r="G12" s="287" t="s">
        <v>222</v>
      </c>
      <c r="I12" s="64"/>
      <c r="J12" s="64"/>
      <c r="K12" s="247"/>
      <c r="L12" s="247"/>
      <c r="M12" s="247"/>
      <c r="N12" s="247"/>
      <c r="O12" s="247"/>
    </row>
    <row r="13" spans="1:15" x14ac:dyDescent="0.2">
      <c r="A13" s="240">
        <v>1</v>
      </c>
      <c r="B13" s="198" t="s">
        <v>292</v>
      </c>
      <c r="C13" s="242">
        <v>13</v>
      </c>
      <c r="D13" s="242">
        <v>7</v>
      </c>
      <c r="E13" s="242"/>
      <c r="F13" s="242">
        <v>13</v>
      </c>
      <c r="G13" s="243" t="s">
        <v>226</v>
      </c>
      <c r="I13" s="64"/>
      <c r="J13" s="311"/>
      <c r="K13" s="248"/>
      <c r="L13" s="248"/>
      <c r="M13" s="248"/>
      <c r="N13" s="248"/>
      <c r="O13" s="312"/>
    </row>
    <row r="14" spans="1:15" x14ac:dyDescent="0.2">
      <c r="A14" s="240">
        <v>2</v>
      </c>
      <c r="B14" s="198" t="s">
        <v>293</v>
      </c>
      <c r="C14" s="242">
        <v>8</v>
      </c>
      <c r="D14" s="242"/>
      <c r="E14" s="242">
        <v>13</v>
      </c>
      <c r="F14" s="242">
        <v>4</v>
      </c>
      <c r="G14" s="243" t="s">
        <v>225</v>
      </c>
      <c r="I14" s="64"/>
      <c r="J14" s="311"/>
      <c r="K14" s="248"/>
      <c r="L14" s="248"/>
      <c r="M14" s="248"/>
      <c r="N14" s="248"/>
      <c r="O14" s="312"/>
    </row>
    <row r="15" spans="1:15" x14ac:dyDescent="0.2">
      <c r="A15" s="240">
        <v>3</v>
      </c>
      <c r="B15" s="198" t="s">
        <v>294</v>
      </c>
      <c r="C15" s="242">
        <v>13</v>
      </c>
      <c r="D15" s="242">
        <v>13</v>
      </c>
      <c r="E15" s="242"/>
      <c r="F15" s="242"/>
      <c r="G15" s="243" t="s">
        <v>224</v>
      </c>
      <c r="I15" s="64"/>
      <c r="J15" s="74"/>
      <c r="K15" s="248"/>
      <c r="L15" s="248"/>
      <c r="M15" s="248"/>
      <c r="N15" s="248"/>
      <c r="O15" s="312"/>
    </row>
    <row r="16" spans="1:15" x14ac:dyDescent="0.2">
      <c r="A16" s="240">
        <v>4</v>
      </c>
      <c r="B16" s="288" t="s">
        <v>295</v>
      </c>
      <c r="C16" s="242">
        <v>0</v>
      </c>
      <c r="D16" s="242"/>
      <c r="E16" s="242">
        <v>0</v>
      </c>
      <c r="F16" s="242"/>
      <c r="G16" s="243" t="s">
        <v>276</v>
      </c>
      <c r="I16" s="64"/>
      <c r="J16" s="74"/>
      <c r="K16" s="248"/>
      <c r="L16" s="248"/>
      <c r="M16" s="248"/>
      <c r="N16" s="248"/>
      <c r="O16" s="312"/>
    </row>
    <row r="17" spans="1:15" x14ac:dyDescent="0.2">
      <c r="A17" s="65"/>
      <c r="B17" s="64"/>
      <c r="C17" s="247"/>
      <c r="D17" s="247"/>
      <c r="E17" s="247"/>
      <c r="F17" s="248"/>
      <c r="G17" s="249"/>
      <c r="I17" s="64"/>
      <c r="J17" s="64"/>
      <c r="K17" s="64"/>
      <c r="L17" s="64"/>
      <c r="M17" s="64"/>
      <c r="N17" s="64"/>
      <c r="O17" s="64"/>
    </row>
    <row r="18" spans="1:15" x14ac:dyDescent="0.2">
      <c r="A18" s="240" t="s">
        <v>229</v>
      </c>
      <c r="B18" s="240"/>
      <c r="C18" s="287" t="s">
        <v>218</v>
      </c>
      <c r="D18" s="287" t="s">
        <v>219</v>
      </c>
      <c r="E18" s="287" t="s">
        <v>220</v>
      </c>
      <c r="F18" s="287" t="s">
        <v>221</v>
      </c>
      <c r="G18" s="287" t="s">
        <v>222</v>
      </c>
      <c r="I18" s="64"/>
      <c r="J18" s="64"/>
      <c r="K18" s="247"/>
      <c r="L18" s="247"/>
      <c r="M18" s="247"/>
      <c r="N18" s="247"/>
      <c r="O18" s="247"/>
    </row>
    <row r="19" spans="1:15" x14ac:dyDescent="0.2">
      <c r="A19" s="240">
        <v>1</v>
      </c>
      <c r="B19" s="198" t="s">
        <v>296</v>
      </c>
      <c r="C19" s="242">
        <v>13</v>
      </c>
      <c r="D19" s="242">
        <v>13</v>
      </c>
      <c r="E19" s="242"/>
      <c r="F19" s="242"/>
      <c r="G19" s="243" t="s">
        <v>224</v>
      </c>
      <c r="I19" s="64"/>
      <c r="J19" s="74"/>
      <c r="K19" s="248"/>
      <c r="L19" s="248"/>
      <c r="M19" s="248"/>
      <c r="N19" s="248"/>
      <c r="O19" s="312"/>
    </row>
    <row r="20" spans="1:15" x14ac:dyDescent="0.2">
      <c r="A20" s="240">
        <v>2</v>
      </c>
      <c r="B20" s="198" t="s">
        <v>297</v>
      </c>
      <c r="C20" s="242">
        <v>13</v>
      </c>
      <c r="D20" s="242">
        <v>7</v>
      </c>
      <c r="E20" s="242"/>
      <c r="F20" s="242">
        <v>13</v>
      </c>
      <c r="G20" s="243" t="s">
        <v>226</v>
      </c>
      <c r="I20" s="64"/>
      <c r="J20" s="311"/>
      <c r="K20" s="248"/>
      <c r="L20" s="248"/>
      <c r="M20" s="248"/>
      <c r="N20" s="248"/>
      <c r="O20" s="312"/>
    </row>
    <row r="21" spans="1:15" x14ac:dyDescent="0.2">
      <c r="A21" s="240">
        <v>3</v>
      </c>
      <c r="B21" s="198" t="s">
        <v>298</v>
      </c>
      <c r="C21" s="242">
        <v>0</v>
      </c>
      <c r="D21" s="242"/>
      <c r="E21" s="242">
        <v>2</v>
      </c>
      <c r="F21" s="242"/>
      <c r="G21" s="243" t="s">
        <v>276</v>
      </c>
      <c r="I21" s="64"/>
      <c r="J21" s="311"/>
      <c r="K21" s="248"/>
      <c r="L21" s="248"/>
      <c r="M21" s="248"/>
      <c r="N21" s="248"/>
      <c r="O21" s="312"/>
    </row>
    <row r="22" spans="1:15" x14ac:dyDescent="0.2">
      <c r="A22" s="240">
        <v>4</v>
      </c>
      <c r="B22" s="198" t="s">
        <v>299</v>
      </c>
      <c r="C22" s="242">
        <v>8</v>
      </c>
      <c r="D22" s="242"/>
      <c r="E22" s="242">
        <v>13</v>
      </c>
      <c r="F22" s="242">
        <v>6</v>
      </c>
      <c r="G22" s="243" t="s">
        <v>225</v>
      </c>
      <c r="I22" s="64"/>
      <c r="J22" s="74"/>
      <c r="K22" s="248"/>
      <c r="L22" s="248"/>
      <c r="M22" s="248"/>
      <c r="N22" s="248"/>
      <c r="O22" s="312"/>
    </row>
    <row r="23" spans="1:15" x14ac:dyDescent="0.2">
      <c r="I23" s="64"/>
      <c r="J23" s="64"/>
      <c r="K23" s="247"/>
      <c r="L23" s="247"/>
      <c r="M23" s="247"/>
      <c r="N23" s="248"/>
      <c r="O23" s="249"/>
    </row>
    <row r="24" spans="1:15" x14ac:dyDescent="0.2">
      <c r="A24" s="240" t="s">
        <v>223</v>
      </c>
      <c r="B24" s="240"/>
      <c r="C24" s="287" t="s">
        <v>218</v>
      </c>
      <c r="D24" s="287" t="s">
        <v>219</v>
      </c>
      <c r="E24" s="287" t="s">
        <v>220</v>
      </c>
      <c r="F24" s="287" t="s">
        <v>221</v>
      </c>
      <c r="G24" s="287" t="s">
        <v>222</v>
      </c>
      <c r="I24" s="64"/>
      <c r="J24" s="64"/>
      <c r="K24" s="247"/>
      <c r="L24" s="247"/>
      <c r="M24" s="247"/>
      <c r="N24" s="247"/>
      <c r="O24" s="247"/>
    </row>
    <row r="25" spans="1:15" x14ac:dyDescent="0.2">
      <c r="A25" s="240">
        <v>1</v>
      </c>
      <c r="B25" s="198" t="s">
        <v>300</v>
      </c>
      <c r="C25" s="242">
        <v>12</v>
      </c>
      <c r="D25" s="242"/>
      <c r="E25" s="242">
        <v>10</v>
      </c>
      <c r="F25" s="242"/>
      <c r="G25" s="243" t="s">
        <v>276</v>
      </c>
      <c r="I25" s="64"/>
      <c r="J25" s="311"/>
      <c r="K25" s="248"/>
      <c r="L25" s="248"/>
      <c r="M25" s="248"/>
      <c r="N25" s="248"/>
      <c r="O25" s="312"/>
    </row>
    <row r="26" spans="1:15" x14ac:dyDescent="0.2">
      <c r="A26" s="240">
        <v>2</v>
      </c>
      <c r="B26" s="198" t="s">
        <v>301</v>
      </c>
      <c r="C26" s="242">
        <v>13</v>
      </c>
      <c r="D26" s="242">
        <v>13</v>
      </c>
      <c r="E26" s="242"/>
      <c r="F26" s="242"/>
      <c r="G26" s="243" t="s">
        <v>224</v>
      </c>
      <c r="I26" s="64"/>
      <c r="J26" s="74"/>
      <c r="K26" s="248"/>
      <c r="L26" s="248"/>
      <c r="M26" s="248"/>
      <c r="N26" s="248"/>
      <c r="O26" s="312"/>
    </row>
    <row r="27" spans="1:15" x14ac:dyDescent="0.2">
      <c r="A27" s="240">
        <v>3</v>
      </c>
      <c r="B27" s="198" t="s">
        <v>302</v>
      </c>
      <c r="C27" s="242">
        <v>10</v>
      </c>
      <c r="D27" s="242"/>
      <c r="E27" s="242">
        <v>13</v>
      </c>
      <c r="F27" s="242">
        <v>10</v>
      </c>
      <c r="G27" s="243" t="s">
        <v>225</v>
      </c>
      <c r="I27" s="64"/>
      <c r="J27" s="311"/>
      <c r="K27" s="248"/>
      <c r="L27" s="248"/>
      <c r="M27" s="248"/>
      <c r="N27" s="248"/>
      <c r="O27" s="312"/>
    </row>
    <row r="28" spans="1:15" x14ac:dyDescent="0.2">
      <c r="A28" s="240">
        <v>4</v>
      </c>
      <c r="B28" s="288" t="s">
        <v>303</v>
      </c>
      <c r="C28" s="242">
        <v>13</v>
      </c>
      <c r="D28" s="242">
        <v>5</v>
      </c>
      <c r="E28" s="242"/>
      <c r="F28" s="242">
        <v>13</v>
      </c>
      <c r="G28" s="243" t="s">
        <v>226</v>
      </c>
      <c r="I28" s="64"/>
      <c r="J28" s="74"/>
      <c r="K28" s="248"/>
      <c r="L28" s="248"/>
      <c r="M28" s="248"/>
      <c r="N28" s="248"/>
      <c r="O28" s="312"/>
    </row>
    <row r="30" spans="1:15" s="290" customFormat="1" x14ac:dyDescent="0.2">
      <c r="A30" s="289" t="s">
        <v>284</v>
      </c>
    </row>
    <row r="31" spans="1:15" s="290" customFormat="1" x14ac:dyDescent="0.2">
      <c r="A31" s="289"/>
    </row>
    <row r="32" spans="1:15" s="290" customFormat="1" x14ac:dyDescent="0.2">
      <c r="A32" s="291" t="s">
        <v>241</v>
      </c>
      <c r="B32" s="290" t="s">
        <v>290</v>
      </c>
      <c r="C32" s="296">
        <v>7</v>
      </c>
    </row>
    <row r="33" spans="1:11" s="290" customFormat="1" x14ac:dyDescent="0.2">
      <c r="A33" s="292"/>
      <c r="B33" s="293"/>
      <c r="C33" s="294" t="s">
        <v>303</v>
      </c>
      <c r="D33" s="295"/>
      <c r="F33" s="296">
        <v>13</v>
      </c>
    </row>
    <row r="34" spans="1:11" s="290" customFormat="1" x14ac:dyDescent="0.2">
      <c r="A34" s="291" t="s">
        <v>245</v>
      </c>
      <c r="B34" s="281" t="s">
        <v>303</v>
      </c>
      <c r="C34" s="297">
        <v>13</v>
      </c>
      <c r="E34" s="298"/>
    </row>
    <row r="35" spans="1:11" s="290" customFormat="1" x14ac:dyDescent="0.2">
      <c r="A35" s="292"/>
      <c r="D35" s="299"/>
      <c r="E35" s="300"/>
      <c r="F35" s="290" t="s">
        <v>303</v>
      </c>
      <c r="I35" s="296">
        <v>2</v>
      </c>
    </row>
    <row r="36" spans="1:11" s="290" customFormat="1" x14ac:dyDescent="0.2">
      <c r="A36" s="291" t="s">
        <v>232</v>
      </c>
      <c r="B36" s="282" t="s">
        <v>294</v>
      </c>
      <c r="C36" s="301">
        <v>13</v>
      </c>
      <c r="E36" s="300"/>
      <c r="F36" s="293"/>
      <c r="G36" s="293"/>
      <c r="H36" s="298"/>
    </row>
    <row r="37" spans="1:11" s="290" customFormat="1" x14ac:dyDescent="0.2">
      <c r="A37" s="292"/>
      <c r="B37" s="293"/>
      <c r="C37" s="302" t="s">
        <v>294</v>
      </c>
      <c r="E37" s="303"/>
      <c r="F37" s="301">
        <v>9</v>
      </c>
      <c r="G37" s="299"/>
      <c r="H37" s="300"/>
    </row>
    <row r="38" spans="1:11" s="290" customFormat="1" x14ac:dyDescent="0.2">
      <c r="A38" s="291" t="s">
        <v>236</v>
      </c>
      <c r="B38" s="281" t="s">
        <v>297</v>
      </c>
      <c r="C38" s="310">
        <v>12</v>
      </c>
      <c r="D38" s="293"/>
      <c r="F38" s="299"/>
      <c r="G38" s="299"/>
      <c r="H38" s="300"/>
    </row>
    <row r="39" spans="1:11" s="290" customFormat="1" ht="13.5" thickBot="1" x14ac:dyDescent="0.25">
      <c r="A39" s="292"/>
      <c r="F39" s="299"/>
      <c r="G39" s="299"/>
      <c r="H39" s="300"/>
      <c r="J39" s="290" t="s">
        <v>301</v>
      </c>
    </row>
    <row r="40" spans="1:11" s="290" customFormat="1" x14ac:dyDescent="0.2">
      <c r="A40" s="291" t="s">
        <v>242</v>
      </c>
      <c r="B40" s="290" t="s">
        <v>292</v>
      </c>
      <c r="C40" s="296">
        <v>12</v>
      </c>
      <c r="F40" s="299"/>
      <c r="G40" s="299"/>
      <c r="H40" s="300"/>
      <c r="I40" s="304"/>
      <c r="J40" s="305" t="s">
        <v>240</v>
      </c>
      <c r="K40" s="306"/>
    </row>
    <row r="41" spans="1:11" s="290" customFormat="1" x14ac:dyDescent="0.2">
      <c r="A41" s="292"/>
      <c r="B41" s="293"/>
      <c r="C41" s="294" t="s">
        <v>296</v>
      </c>
      <c r="D41" s="295"/>
      <c r="F41" s="301">
        <v>10</v>
      </c>
      <c r="G41" s="299"/>
      <c r="H41" s="300"/>
    </row>
    <row r="42" spans="1:11" s="290" customFormat="1" ht="13.5" thickBot="1" x14ac:dyDescent="0.25">
      <c r="A42" s="291" t="s">
        <v>246</v>
      </c>
      <c r="B42" s="295" t="s">
        <v>296</v>
      </c>
      <c r="C42" s="297">
        <v>13</v>
      </c>
      <c r="E42" s="298"/>
      <c r="F42" s="299"/>
      <c r="G42" s="299"/>
      <c r="H42" s="300"/>
      <c r="J42" s="307" t="s">
        <v>303</v>
      </c>
      <c r="K42" s="307"/>
    </row>
    <row r="43" spans="1:11" s="290" customFormat="1" x14ac:dyDescent="0.2">
      <c r="A43" s="292"/>
      <c r="D43" s="299"/>
      <c r="E43" s="300"/>
      <c r="F43" s="295" t="s">
        <v>301</v>
      </c>
      <c r="G43" s="295"/>
      <c r="H43" s="303"/>
      <c r="I43" s="296">
        <v>13</v>
      </c>
      <c r="J43" s="305" t="s">
        <v>244</v>
      </c>
    </row>
    <row r="44" spans="1:11" s="290" customFormat="1" x14ac:dyDescent="0.2">
      <c r="A44" s="291" t="s">
        <v>234</v>
      </c>
      <c r="B44" s="290" t="s">
        <v>301</v>
      </c>
      <c r="C44" s="301">
        <v>13</v>
      </c>
      <c r="E44" s="300"/>
    </row>
    <row r="45" spans="1:11" s="290" customFormat="1" x14ac:dyDescent="0.2">
      <c r="A45" s="292"/>
      <c r="B45" s="293"/>
      <c r="C45" s="302" t="s">
        <v>301</v>
      </c>
      <c r="E45" s="303"/>
      <c r="F45" s="296">
        <v>13</v>
      </c>
    </row>
    <row r="46" spans="1:11" s="290" customFormat="1" x14ac:dyDescent="0.2">
      <c r="A46" s="291" t="s">
        <v>233</v>
      </c>
      <c r="B46" s="295" t="s">
        <v>289</v>
      </c>
      <c r="C46" s="310">
        <v>8</v>
      </c>
      <c r="D46" s="293"/>
    </row>
    <row r="47" spans="1:11" s="290" customFormat="1" x14ac:dyDescent="0.2">
      <c r="F47" s="290" t="s">
        <v>294</v>
      </c>
      <c r="I47" s="301">
        <v>11</v>
      </c>
      <c r="J47" s="299"/>
      <c r="K47" s="299"/>
    </row>
    <row r="48" spans="1:11" s="290" customFormat="1" ht="13.5" thickBot="1" x14ac:dyDescent="0.25">
      <c r="F48" s="293"/>
      <c r="G48" s="293"/>
      <c r="H48" s="298"/>
      <c r="I48" s="307"/>
      <c r="J48" s="307" t="s">
        <v>296</v>
      </c>
      <c r="K48" s="307"/>
    </row>
    <row r="49" spans="3:11" s="290" customFormat="1" x14ac:dyDescent="0.2">
      <c r="F49" s="295" t="s">
        <v>296</v>
      </c>
      <c r="G49" s="295"/>
      <c r="H49" s="303"/>
      <c r="I49" s="296">
        <v>13</v>
      </c>
      <c r="J49" s="308" t="s">
        <v>247</v>
      </c>
      <c r="K49" s="299"/>
    </row>
    <row r="50" spans="3:11" s="290" customFormat="1" x14ac:dyDescent="0.2">
      <c r="J50" s="299"/>
      <c r="K50" s="299"/>
    </row>
    <row r="51" spans="3:11" s="290" customFormat="1" ht="13.5" thickBot="1" x14ac:dyDescent="0.25">
      <c r="G51" s="299"/>
      <c r="H51" s="299"/>
      <c r="J51" s="307" t="s">
        <v>294</v>
      </c>
      <c r="K51" s="307"/>
    </row>
    <row r="52" spans="3:11" s="290" customFormat="1" x14ac:dyDescent="0.2">
      <c r="C52" s="290" t="s">
        <v>290</v>
      </c>
      <c r="F52" s="296">
        <v>8</v>
      </c>
      <c r="J52" s="309" t="s">
        <v>248</v>
      </c>
    </row>
    <row r="53" spans="3:11" s="290" customFormat="1" x14ac:dyDescent="0.2">
      <c r="C53" s="293"/>
      <c r="D53" s="293"/>
      <c r="E53" s="298"/>
      <c r="F53" s="294" t="s">
        <v>297</v>
      </c>
      <c r="G53" s="295"/>
      <c r="H53" s="295"/>
      <c r="I53" s="296">
        <v>5</v>
      </c>
    </row>
    <row r="54" spans="3:11" s="290" customFormat="1" x14ac:dyDescent="0.2">
      <c r="C54" s="295" t="s">
        <v>297</v>
      </c>
      <c r="D54" s="295"/>
      <c r="E54" s="303"/>
      <c r="F54" s="297">
        <v>13</v>
      </c>
      <c r="H54" s="300"/>
    </row>
    <row r="55" spans="3:11" s="290" customFormat="1" ht="13.5" thickBot="1" x14ac:dyDescent="0.25">
      <c r="F55" s="299"/>
      <c r="H55" s="300"/>
      <c r="J55" s="290" t="s">
        <v>292</v>
      </c>
    </row>
    <row r="56" spans="3:11" s="290" customFormat="1" x14ac:dyDescent="0.2">
      <c r="C56" s="290" t="s">
        <v>292</v>
      </c>
      <c r="F56" s="301">
        <v>13</v>
      </c>
      <c r="H56" s="300"/>
      <c r="I56" s="304"/>
      <c r="J56" s="305" t="s">
        <v>250</v>
      </c>
      <c r="K56" s="306"/>
    </row>
    <row r="57" spans="3:11" s="290" customFormat="1" x14ac:dyDescent="0.2">
      <c r="C57" s="293"/>
      <c r="D57" s="293"/>
      <c r="E57" s="298"/>
      <c r="F57" s="302" t="s">
        <v>292</v>
      </c>
      <c r="H57" s="303"/>
      <c r="I57" s="301">
        <v>13</v>
      </c>
    </row>
    <row r="58" spans="3:11" s="290" customFormat="1" ht="13.5" thickBot="1" x14ac:dyDescent="0.25">
      <c r="C58" s="295" t="s">
        <v>289</v>
      </c>
      <c r="D58" s="295"/>
      <c r="E58" s="303"/>
      <c r="F58" s="310">
        <v>9</v>
      </c>
      <c r="G58" s="293"/>
      <c r="I58" s="299"/>
      <c r="J58" s="299" t="s">
        <v>297</v>
      </c>
      <c r="K58" s="307"/>
    </row>
    <row r="59" spans="3:11" s="290" customFormat="1" x14ac:dyDescent="0.2">
      <c r="I59" s="299"/>
      <c r="J59" s="305" t="s">
        <v>251</v>
      </c>
      <c r="K59" s="299"/>
    </row>
    <row r="60" spans="3:11" s="290" customFormat="1" x14ac:dyDescent="0.2">
      <c r="F60" s="290" t="s">
        <v>290</v>
      </c>
      <c r="I60" s="301" t="s">
        <v>136</v>
      </c>
      <c r="J60" s="299"/>
      <c r="K60" s="299"/>
    </row>
    <row r="61" spans="3:11" s="290" customFormat="1" ht="13.5" thickBot="1" x14ac:dyDescent="0.25">
      <c r="F61" s="293"/>
      <c r="G61" s="293"/>
      <c r="H61" s="298"/>
      <c r="I61" s="307"/>
      <c r="J61" s="307" t="s">
        <v>289</v>
      </c>
      <c r="K61" s="307"/>
    </row>
    <row r="62" spans="3:11" s="290" customFormat="1" x14ac:dyDescent="0.2">
      <c r="F62" s="295" t="s">
        <v>289</v>
      </c>
      <c r="G62" s="295"/>
      <c r="H62" s="303"/>
      <c r="I62" s="296">
        <v>13</v>
      </c>
      <c r="J62" s="308" t="s">
        <v>252</v>
      </c>
      <c r="K62" s="299"/>
    </row>
    <row r="63" spans="3:11" s="290" customFormat="1" x14ac:dyDescent="0.2">
      <c r="J63" s="299"/>
      <c r="K63" s="299"/>
    </row>
    <row r="64" spans="3:11" s="290" customFormat="1" ht="13.5" thickBot="1" x14ac:dyDescent="0.25">
      <c r="G64" s="299"/>
      <c r="H64" s="299"/>
      <c r="J64" s="307" t="s">
        <v>290</v>
      </c>
      <c r="K64" s="307"/>
    </row>
    <row r="65" spans="1:11" s="290" customFormat="1" x14ac:dyDescent="0.2">
      <c r="G65" s="299"/>
      <c r="H65" s="299"/>
      <c r="J65" s="309" t="s">
        <v>253</v>
      </c>
    </row>
    <row r="67" spans="1:11" s="290" customFormat="1" x14ac:dyDescent="0.2">
      <c r="A67" s="289" t="s">
        <v>304</v>
      </c>
    </row>
    <row r="68" spans="1:11" s="290" customFormat="1" x14ac:dyDescent="0.2">
      <c r="A68" s="289"/>
    </row>
    <row r="69" spans="1:11" s="290" customFormat="1" x14ac:dyDescent="0.2">
      <c r="A69" s="291" t="s">
        <v>262</v>
      </c>
      <c r="B69" s="290" t="s">
        <v>291</v>
      </c>
      <c r="C69" s="296" t="s">
        <v>235</v>
      </c>
    </row>
    <row r="70" spans="1:11" s="290" customFormat="1" x14ac:dyDescent="0.2">
      <c r="A70" s="292"/>
      <c r="B70" s="293"/>
      <c r="C70" s="294" t="s">
        <v>300</v>
      </c>
      <c r="D70" s="295"/>
      <c r="F70" s="296" t="s">
        <v>235</v>
      </c>
    </row>
    <row r="71" spans="1:11" s="290" customFormat="1" x14ac:dyDescent="0.2">
      <c r="A71" s="291" t="s">
        <v>305</v>
      </c>
      <c r="B71" s="281" t="s">
        <v>300</v>
      </c>
      <c r="C71" s="297">
        <v>13</v>
      </c>
      <c r="E71" s="298"/>
    </row>
    <row r="72" spans="1:11" s="290" customFormat="1" x14ac:dyDescent="0.2">
      <c r="A72" s="292"/>
      <c r="D72" s="299"/>
      <c r="E72" s="300"/>
      <c r="F72" s="290" t="s">
        <v>293</v>
      </c>
      <c r="I72" s="296">
        <v>4</v>
      </c>
    </row>
    <row r="73" spans="1:11" s="290" customFormat="1" x14ac:dyDescent="0.2">
      <c r="A73" s="291" t="s">
        <v>267</v>
      </c>
      <c r="B73" s="282" t="s">
        <v>293</v>
      </c>
      <c r="C73" s="301">
        <v>13</v>
      </c>
      <c r="E73" s="300"/>
      <c r="F73" s="293"/>
      <c r="G73" s="293"/>
      <c r="H73" s="298"/>
    </row>
    <row r="74" spans="1:11" s="290" customFormat="1" x14ac:dyDescent="0.2">
      <c r="A74" s="292"/>
      <c r="B74" s="293"/>
      <c r="C74" s="302" t="s">
        <v>293</v>
      </c>
      <c r="E74" s="303"/>
      <c r="F74" s="301">
        <v>13</v>
      </c>
      <c r="G74" s="299"/>
      <c r="H74" s="300"/>
    </row>
    <row r="75" spans="1:11" s="290" customFormat="1" x14ac:dyDescent="0.2">
      <c r="A75" s="291" t="s">
        <v>286</v>
      </c>
      <c r="B75" s="281" t="s">
        <v>298</v>
      </c>
      <c r="C75" s="310">
        <v>7</v>
      </c>
      <c r="D75" s="293"/>
      <c r="F75" s="299"/>
      <c r="G75" s="299"/>
      <c r="H75" s="300"/>
    </row>
    <row r="76" spans="1:11" s="290" customFormat="1" ht="13.5" thickBot="1" x14ac:dyDescent="0.25">
      <c r="A76" s="292"/>
      <c r="F76" s="299"/>
      <c r="G76" s="299"/>
      <c r="H76" s="300"/>
      <c r="J76" s="290" t="s">
        <v>299</v>
      </c>
    </row>
    <row r="77" spans="1:11" s="290" customFormat="1" x14ac:dyDescent="0.2">
      <c r="A77" s="291" t="s">
        <v>306</v>
      </c>
      <c r="B77" s="290" t="s">
        <v>295</v>
      </c>
      <c r="C77" s="296"/>
      <c r="F77" s="299"/>
      <c r="G77" s="299"/>
      <c r="H77" s="300"/>
      <c r="I77" s="304"/>
      <c r="J77" s="305" t="s">
        <v>255</v>
      </c>
      <c r="K77" s="306"/>
    </row>
    <row r="78" spans="1:11" s="290" customFormat="1" x14ac:dyDescent="0.2">
      <c r="A78" s="292"/>
      <c r="B78" s="293"/>
      <c r="C78" s="294" t="s">
        <v>299</v>
      </c>
      <c r="D78" s="295"/>
      <c r="F78" s="301">
        <v>13</v>
      </c>
      <c r="G78" s="299"/>
      <c r="H78" s="300"/>
    </row>
    <row r="79" spans="1:11" s="290" customFormat="1" ht="13.5" thickBot="1" x14ac:dyDescent="0.25">
      <c r="A79" s="291" t="s">
        <v>264</v>
      </c>
      <c r="B79" s="295" t="s">
        <v>299</v>
      </c>
      <c r="C79" s="297">
        <v>13</v>
      </c>
      <c r="E79" s="298"/>
      <c r="F79" s="299"/>
      <c r="G79" s="299"/>
      <c r="H79" s="300"/>
      <c r="J79" s="307" t="s">
        <v>293</v>
      </c>
      <c r="K79" s="307"/>
    </row>
    <row r="80" spans="1:11" s="290" customFormat="1" x14ac:dyDescent="0.2">
      <c r="A80" s="292"/>
      <c r="D80" s="299"/>
      <c r="E80" s="300"/>
      <c r="F80" s="295" t="s">
        <v>299</v>
      </c>
      <c r="G80" s="295"/>
      <c r="H80" s="303"/>
      <c r="I80" s="296">
        <v>13</v>
      </c>
      <c r="J80" s="305" t="s">
        <v>256</v>
      </c>
    </row>
    <row r="81" spans="1:11" s="290" customFormat="1" x14ac:dyDescent="0.2">
      <c r="A81" s="291" t="s">
        <v>266</v>
      </c>
      <c r="B81" s="290" t="s">
        <v>302</v>
      </c>
      <c r="C81" s="301">
        <v>13</v>
      </c>
      <c r="E81" s="300"/>
    </row>
    <row r="82" spans="1:11" s="290" customFormat="1" x14ac:dyDescent="0.2">
      <c r="A82" s="292"/>
      <c r="B82" s="293"/>
      <c r="C82" s="302" t="s">
        <v>302</v>
      </c>
      <c r="E82" s="303"/>
      <c r="F82" s="296">
        <v>8</v>
      </c>
    </row>
    <row r="83" spans="1:11" s="290" customFormat="1" x14ac:dyDescent="0.2">
      <c r="A83" s="291" t="s">
        <v>287</v>
      </c>
      <c r="B83" s="295" t="s">
        <v>307</v>
      </c>
      <c r="C83" s="310">
        <v>4</v>
      </c>
      <c r="D83" s="293"/>
    </row>
    <row r="84" spans="1:11" s="290" customFormat="1" x14ac:dyDescent="0.2">
      <c r="F84" s="290" t="s">
        <v>300</v>
      </c>
      <c r="I84" s="301">
        <v>13</v>
      </c>
      <c r="J84" s="299"/>
      <c r="K84" s="299"/>
    </row>
    <row r="85" spans="1:11" s="290" customFormat="1" ht="13.5" thickBot="1" x14ac:dyDescent="0.25">
      <c r="F85" s="293"/>
      <c r="G85" s="293"/>
      <c r="H85" s="298"/>
      <c r="I85" s="307"/>
      <c r="J85" s="307" t="s">
        <v>300</v>
      </c>
      <c r="K85" s="307"/>
    </row>
    <row r="86" spans="1:11" s="290" customFormat="1" x14ac:dyDescent="0.2">
      <c r="F86" s="295" t="s">
        <v>302</v>
      </c>
      <c r="G86" s="295"/>
      <c r="H86" s="303"/>
      <c r="I86" s="296" t="s">
        <v>235</v>
      </c>
      <c r="J86" s="308" t="s">
        <v>257</v>
      </c>
      <c r="K86" s="299"/>
    </row>
    <row r="87" spans="1:11" s="290" customFormat="1" x14ac:dyDescent="0.2">
      <c r="J87" s="299"/>
      <c r="K87" s="299"/>
    </row>
    <row r="88" spans="1:11" s="290" customFormat="1" ht="13.5" thickBot="1" x14ac:dyDescent="0.25">
      <c r="G88" s="299"/>
      <c r="H88" s="299"/>
      <c r="J88" s="307" t="s">
        <v>302</v>
      </c>
      <c r="K88" s="307"/>
    </row>
    <row r="89" spans="1:11" s="290" customFormat="1" x14ac:dyDescent="0.2">
      <c r="C89" s="290" t="s">
        <v>291</v>
      </c>
      <c r="F89" s="296" t="s">
        <v>235</v>
      </c>
      <c r="J89" s="309" t="s">
        <v>258</v>
      </c>
    </row>
    <row r="90" spans="1:11" s="290" customFormat="1" x14ac:dyDescent="0.2">
      <c r="C90" s="293"/>
      <c r="D90" s="293"/>
      <c r="E90" s="298"/>
      <c r="F90" s="294" t="s">
        <v>298</v>
      </c>
      <c r="G90" s="295"/>
      <c r="H90" s="295"/>
      <c r="I90" s="296">
        <v>13</v>
      </c>
    </row>
    <row r="91" spans="1:11" s="290" customFormat="1" x14ac:dyDescent="0.2">
      <c r="C91" s="295" t="s">
        <v>298</v>
      </c>
      <c r="D91" s="295"/>
      <c r="E91" s="303"/>
      <c r="F91" s="297">
        <v>13</v>
      </c>
      <c r="H91" s="300"/>
    </row>
    <row r="92" spans="1:11" s="290" customFormat="1" ht="13.5" thickBot="1" x14ac:dyDescent="0.25">
      <c r="F92" s="299"/>
      <c r="H92" s="300"/>
      <c r="J92" s="290" t="s">
        <v>298</v>
      </c>
    </row>
    <row r="93" spans="1:11" s="290" customFormat="1" x14ac:dyDescent="0.2">
      <c r="C93" s="290" t="s">
        <v>295</v>
      </c>
      <c r="F93" s="301" t="s">
        <v>136</v>
      </c>
      <c r="H93" s="300"/>
      <c r="I93" s="304"/>
      <c r="J93" s="305" t="s">
        <v>263</v>
      </c>
      <c r="K93" s="306"/>
    </row>
    <row r="94" spans="1:11" s="290" customFormat="1" x14ac:dyDescent="0.2">
      <c r="C94" s="293"/>
      <c r="D94" s="293"/>
      <c r="E94" s="298"/>
      <c r="F94" s="302" t="s">
        <v>565</v>
      </c>
      <c r="H94" s="303"/>
      <c r="I94" s="301">
        <v>5</v>
      </c>
    </row>
    <row r="95" spans="1:11" s="290" customFormat="1" ht="13.5" thickBot="1" x14ac:dyDescent="0.25">
      <c r="C95" s="295" t="s">
        <v>565</v>
      </c>
      <c r="D95" s="295"/>
      <c r="E95" s="303"/>
      <c r="F95" s="310">
        <v>13</v>
      </c>
      <c r="G95" s="293"/>
      <c r="I95" s="299"/>
      <c r="J95" s="299" t="s">
        <v>307</v>
      </c>
      <c r="K95" s="307"/>
    </row>
    <row r="96" spans="1:11" s="290" customFormat="1" x14ac:dyDescent="0.2">
      <c r="I96" s="299"/>
      <c r="J96" s="305" t="s">
        <v>265</v>
      </c>
      <c r="K96" s="299"/>
    </row>
    <row r="97" spans="1:11" s="290" customFormat="1" x14ac:dyDescent="0.2">
      <c r="F97" s="290" t="s">
        <v>291</v>
      </c>
      <c r="I97" s="301" t="s">
        <v>235</v>
      </c>
      <c r="J97" s="299"/>
      <c r="K97" s="299"/>
    </row>
    <row r="98" spans="1:11" s="290" customFormat="1" ht="13.5" thickBot="1" x14ac:dyDescent="0.25">
      <c r="F98" s="293"/>
      <c r="G98" s="293"/>
      <c r="H98" s="298"/>
      <c r="I98" s="307"/>
      <c r="J98" s="307" t="s">
        <v>295</v>
      </c>
      <c r="K98" s="307"/>
    </row>
    <row r="99" spans="1:11" s="290" customFormat="1" x14ac:dyDescent="0.2">
      <c r="F99" s="295" t="s">
        <v>295</v>
      </c>
      <c r="G99" s="295"/>
      <c r="H99" s="303"/>
      <c r="I99" s="296">
        <v>13</v>
      </c>
      <c r="J99" s="308" t="s">
        <v>268</v>
      </c>
      <c r="K99" s="299"/>
    </row>
    <row r="100" spans="1:11" s="290" customFormat="1" x14ac:dyDescent="0.2">
      <c r="J100" s="299"/>
      <c r="K100" s="299"/>
    </row>
    <row r="101" spans="1:11" s="290" customFormat="1" ht="13.5" thickBot="1" x14ac:dyDescent="0.25">
      <c r="G101" s="299"/>
      <c r="H101" s="299"/>
      <c r="J101" s="307" t="s">
        <v>291</v>
      </c>
      <c r="K101" s="307"/>
    </row>
    <row r="102" spans="1:11" s="290" customFormat="1" x14ac:dyDescent="0.2">
      <c r="G102" s="299"/>
      <c r="H102" s="299"/>
      <c r="J102" s="309" t="s">
        <v>269</v>
      </c>
    </row>
    <row r="103" spans="1:11" s="290" customFormat="1" x14ac:dyDescent="0.2"/>
    <row r="104" spans="1:11" x14ac:dyDescent="0.2">
      <c r="A104" s="240">
        <v>1</v>
      </c>
      <c r="B104" s="285" t="s">
        <v>301</v>
      </c>
    </row>
    <row r="105" spans="1:11" x14ac:dyDescent="0.2">
      <c r="A105" s="240">
        <v>2</v>
      </c>
      <c r="B105" s="215" t="s">
        <v>303</v>
      </c>
    </row>
    <row r="106" spans="1:11" x14ac:dyDescent="0.2">
      <c r="A106" s="240">
        <v>3</v>
      </c>
      <c r="B106" s="216" t="s">
        <v>296</v>
      </c>
    </row>
    <row r="107" spans="1:11" x14ac:dyDescent="0.2">
      <c r="A107" s="240">
        <v>4</v>
      </c>
      <c r="B107" s="219" t="s">
        <v>294</v>
      </c>
    </row>
    <row r="108" spans="1:11" x14ac:dyDescent="0.2">
      <c r="A108" s="240">
        <v>5</v>
      </c>
      <c r="B108" s="219" t="s">
        <v>292</v>
      </c>
    </row>
    <row r="109" spans="1:11" x14ac:dyDescent="0.2">
      <c r="A109" s="240">
        <v>6</v>
      </c>
      <c r="B109" s="219" t="s">
        <v>297</v>
      </c>
    </row>
    <row r="110" spans="1:11" x14ac:dyDescent="0.2">
      <c r="A110" s="240">
        <v>7</v>
      </c>
      <c r="B110" s="219" t="s">
        <v>289</v>
      </c>
    </row>
    <row r="111" spans="1:11" x14ac:dyDescent="0.2">
      <c r="A111" s="240">
        <v>8</v>
      </c>
      <c r="B111" s="219" t="s">
        <v>290</v>
      </c>
    </row>
    <row r="112" spans="1:11" x14ac:dyDescent="0.2">
      <c r="A112" s="240">
        <v>9</v>
      </c>
      <c r="B112" s="219" t="s">
        <v>299</v>
      </c>
    </row>
    <row r="113" spans="1:2" x14ac:dyDescent="0.2">
      <c r="A113" s="240">
        <v>10</v>
      </c>
      <c r="B113" s="219" t="s">
        <v>293</v>
      </c>
    </row>
    <row r="114" spans="1:2" x14ac:dyDescent="0.2">
      <c r="A114" s="240">
        <v>11</v>
      </c>
      <c r="B114" s="219" t="s">
        <v>300</v>
      </c>
    </row>
    <row r="115" spans="1:2" x14ac:dyDescent="0.2">
      <c r="A115" s="240">
        <v>12</v>
      </c>
      <c r="B115" s="219" t="s">
        <v>302</v>
      </c>
    </row>
    <row r="116" spans="1:2" x14ac:dyDescent="0.2">
      <c r="A116" s="240">
        <v>13</v>
      </c>
      <c r="B116" s="219" t="s">
        <v>298</v>
      </c>
    </row>
    <row r="117" spans="1:2" x14ac:dyDescent="0.2">
      <c r="A117" s="240">
        <v>14</v>
      </c>
      <c r="B117" s="219" t="s">
        <v>307</v>
      </c>
    </row>
    <row r="118" spans="1:2" x14ac:dyDescent="0.2">
      <c r="A118" s="240">
        <v>15</v>
      </c>
      <c r="B118" s="219" t="s">
        <v>295</v>
      </c>
    </row>
    <row r="119" spans="1:2" x14ac:dyDescent="0.2">
      <c r="A119" s="240">
        <v>16</v>
      </c>
      <c r="B119" s="219" t="s">
        <v>291</v>
      </c>
    </row>
  </sheetData>
  <conditionalFormatting sqref="C7:I99">
    <cfRule type="cellIs" dxfId="216" priority="1" stopIfTrue="1" operator="equal">
      <formula>13</formula>
    </cfRule>
  </conditionalFormatting>
  <pageMargins left="0.78740157480314965" right="0.39370078740157483" top="0.59055118110236227" bottom="0.39370078740157483" header="0.39370078740157483" footer="0"/>
  <pageSetup paperSize="9" fitToHeight="0" orientation="landscape" r:id="rId1"/>
  <headerFooter>
    <oddHeader>&amp;R&amp;"Arial,Regular"&amp;9Page &amp;P of &amp;N</oddHeader>
  </headerFooter>
  <rowBreaks count="3" manualBreakCount="3">
    <brk id="28" max="16383" man="1"/>
    <brk id="65" max="16383" man="1"/>
    <brk id="10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86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L1" sqref="L1"/>
    </sheetView>
  </sheetViews>
  <sheetFormatPr defaultRowHeight="12.75" x14ac:dyDescent="0.2"/>
  <cols>
    <col min="1" max="1" width="3.28515625" style="59" customWidth="1"/>
    <col min="2" max="2" width="18.7109375" style="59" bestFit="1" customWidth="1"/>
    <col min="3" max="3" width="7.28515625" style="59" bestFit="1" customWidth="1"/>
    <col min="4" max="4" width="7.42578125" style="59" bestFit="1" customWidth="1"/>
    <col min="5" max="5" width="9.140625" style="59"/>
    <col min="6" max="6" width="6.7109375" style="59" bestFit="1" customWidth="1"/>
    <col min="7" max="7" width="5.140625" style="59" bestFit="1" customWidth="1"/>
    <col min="8" max="8" width="9.140625" style="59"/>
    <col min="9" max="9" width="7" style="59" customWidth="1"/>
    <col min="10" max="10" width="18.7109375" style="59" bestFit="1" customWidth="1"/>
    <col min="11" max="11" width="7.28515625" style="59" bestFit="1" customWidth="1"/>
    <col min="12" max="12" width="7.42578125" style="59" bestFit="1" customWidth="1"/>
    <col min="13" max="13" width="9.140625" style="59"/>
    <col min="14" max="14" width="6.7109375" style="59" bestFit="1" customWidth="1"/>
    <col min="15" max="15" width="5.140625" style="59" bestFit="1" customWidth="1"/>
    <col min="16" max="16384" width="9.140625" style="59"/>
  </cols>
  <sheetData>
    <row r="1" spans="1:15" x14ac:dyDescent="0.2">
      <c r="A1" s="58" t="str">
        <f>UPPER((Kalend!E12)&amp;" - "&amp;(Kalend!C12)&amp;" - "&amp;(Kalend!D12))</f>
        <v>3 - K-JÄRVE 14. KV 3. ETAPP - ÜKSIK</v>
      </c>
      <c r="H1" s="239" t="str">
        <f>HYPERLINK("#'Kalend'!I1","Kalender")</f>
        <v>Kalender</v>
      </c>
      <c r="J1" s="239" t="str">
        <f>HYPERLINK("#'Reit'!G1","Reiting")</f>
        <v>Reiting</v>
      </c>
    </row>
    <row r="2" spans="1:15" x14ac:dyDescent="0.2">
      <c r="A2" s="59" t="str">
        <f>"Toimumisaeg: "&amp;(Kalend!A12)&amp;" kell "&amp;(Kalend!B12)</f>
        <v>Toimumisaeg: N, 28.05.2015 kell 18:00</v>
      </c>
    </row>
    <row r="3" spans="1:15" x14ac:dyDescent="0.2">
      <c r="A3" s="59" t="str">
        <f>"Toimumiskoht: "&amp;(Kalend!F12)</f>
        <v>Toimumiskoht: K-Järve spordihoone</v>
      </c>
    </row>
    <row r="4" spans="1:15" x14ac:dyDescent="0.2">
      <c r="A4" s="59" t="str">
        <f>"Korraldaja: "&amp;(Kalend!G12)</f>
        <v>Korraldaja: K-Järve SHK, Ivar Viljaste</v>
      </c>
    </row>
    <row r="6" spans="1:15" x14ac:dyDescent="0.2">
      <c r="A6" s="286" t="s">
        <v>308</v>
      </c>
    </row>
    <row r="8" spans="1:15" x14ac:dyDescent="0.2">
      <c r="A8" s="240" t="s">
        <v>217</v>
      </c>
      <c r="B8" s="240"/>
      <c r="C8" s="287" t="s">
        <v>218</v>
      </c>
      <c r="D8" s="287" t="s">
        <v>219</v>
      </c>
      <c r="E8" s="287" t="s">
        <v>220</v>
      </c>
      <c r="F8" s="287" t="s">
        <v>221</v>
      </c>
      <c r="G8" s="287" t="s">
        <v>222</v>
      </c>
      <c r="I8" s="240" t="s">
        <v>228</v>
      </c>
      <c r="J8" s="240"/>
      <c r="K8" s="287" t="s">
        <v>218</v>
      </c>
      <c r="L8" s="287" t="s">
        <v>219</v>
      </c>
      <c r="M8" s="287" t="s">
        <v>220</v>
      </c>
      <c r="N8" s="287" t="s">
        <v>221</v>
      </c>
      <c r="O8" s="287" t="s">
        <v>222</v>
      </c>
    </row>
    <row r="9" spans="1:15" x14ac:dyDescent="0.2">
      <c r="A9" s="240">
        <v>1</v>
      </c>
      <c r="B9" s="198" t="s">
        <v>173</v>
      </c>
      <c r="C9" s="242">
        <v>13</v>
      </c>
      <c r="D9" s="242">
        <v>3</v>
      </c>
      <c r="E9" s="242"/>
      <c r="F9" s="242">
        <v>9</v>
      </c>
      <c r="G9" s="243" t="s">
        <v>225</v>
      </c>
      <c r="I9" s="240">
        <v>1</v>
      </c>
      <c r="J9" s="198" t="s">
        <v>170</v>
      </c>
      <c r="K9" s="242">
        <v>13</v>
      </c>
      <c r="L9" s="242">
        <v>13</v>
      </c>
      <c r="M9" s="242"/>
      <c r="N9" s="242"/>
      <c r="O9" s="243" t="s">
        <v>224</v>
      </c>
    </row>
    <row r="10" spans="1:15" x14ac:dyDescent="0.2">
      <c r="A10" s="240">
        <v>2</v>
      </c>
      <c r="B10" s="198" t="s">
        <v>157</v>
      </c>
      <c r="C10" s="242">
        <v>13</v>
      </c>
      <c r="D10" s="242">
        <v>13</v>
      </c>
      <c r="E10" s="242"/>
      <c r="F10" s="242"/>
      <c r="G10" s="243" t="s">
        <v>224</v>
      </c>
      <c r="I10" s="240">
        <v>2</v>
      </c>
      <c r="J10" s="198" t="s">
        <v>162</v>
      </c>
      <c r="K10" s="242">
        <v>13</v>
      </c>
      <c r="L10" s="242">
        <v>7</v>
      </c>
      <c r="M10" s="242"/>
      <c r="N10" s="242">
        <v>12</v>
      </c>
      <c r="O10" s="243" t="s">
        <v>225</v>
      </c>
    </row>
    <row r="11" spans="1:15" x14ac:dyDescent="0.2">
      <c r="A11" s="240">
        <v>3</v>
      </c>
      <c r="B11" s="198" t="s">
        <v>172</v>
      </c>
      <c r="C11" s="242">
        <v>10</v>
      </c>
      <c r="D11" s="242"/>
      <c r="E11" s="242">
        <v>13</v>
      </c>
      <c r="F11" s="242">
        <v>13</v>
      </c>
      <c r="G11" s="243" t="s">
        <v>226</v>
      </c>
      <c r="I11" s="240">
        <v>3</v>
      </c>
      <c r="J11" s="219" t="s">
        <v>166</v>
      </c>
      <c r="K11" s="242">
        <v>7</v>
      </c>
      <c r="L11" s="242"/>
      <c r="M11" s="242">
        <v>13</v>
      </c>
      <c r="N11" s="242">
        <v>13</v>
      </c>
      <c r="O11" s="243" t="s">
        <v>226</v>
      </c>
    </row>
    <row r="12" spans="1:15" x14ac:dyDescent="0.2">
      <c r="A12" s="240">
        <v>4</v>
      </c>
      <c r="B12" s="288"/>
      <c r="C12" s="242">
        <v>0</v>
      </c>
      <c r="D12" s="242"/>
      <c r="E12" s="242">
        <v>0</v>
      </c>
      <c r="F12" s="242"/>
      <c r="G12" s="243"/>
      <c r="I12" s="240">
        <v>4</v>
      </c>
      <c r="J12" s="288"/>
      <c r="K12" s="242">
        <v>0</v>
      </c>
      <c r="L12" s="242"/>
      <c r="M12" s="242">
        <v>0</v>
      </c>
      <c r="N12" s="242"/>
      <c r="O12" s="243"/>
    </row>
    <row r="13" spans="1:15" x14ac:dyDescent="0.2">
      <c r="A13" s="65"/>
      <c r="B13" s="64"/>
      <c r="C13" s="247"/>
      <c r="D13" s="247"/>
      <c r="E13" s="247"/>
      <c r="F13" s="248"/>
      <c r="G13" s="249"/>
      <c r="I13" s="65"/>
      <c r="J13" s="64"/>
      <c r="K13" s="247"/>
      <c r="L13" s="247"/>
      <c r="M13" s="247"/>
      <c r="N13" s="248"/>
      <c r="O13" s="249"/>
    </row>
    <row r="14" spans="1:15" x14ac:dyDescent="0.2">
      <c r="A14" s="240" t="s">
        <v>227</v>
      </c>
      <c r="B14" s="240"/>
      <c r="C14" s="287" t="s">
        <v>218</v>
      </c>
      <c r="D14" s="287" t="s">
        <v>219</v>
      </c>
      <c r="E14" s="287" t="s">
        <v>220</v>
      </c>
      <c r="F14" s="287" t="s">
        <v>221</v>
      </c>
      <c r="G14" s="287" t="s">
        <v>222</v>
      </c>
      <c r="I14" s="240" t="s">
        <v>230</v>
      </c>
      <c r="J14" s="240"/>
      <c r="K14" s="287" t="s">
        <v>218</v>
      </c>
      <c r="L14" s="287" t="s">
        <v>219</v>
      </c>
      <c r="M14" s="287" t="s">
        <v>220</v>
      </c>
      <c r="N14" s="287" t="s">
        <v>221</v>
      </c>
      <c r="O14" s="287" t="s">
        <v>222</v>
      </c>
    </row>
    <row r="15" spans="1:15" x14ac:dyDescent="0.2">
      <c r="A15" s="240">
        <v>1</v>
      </c>
      <c r="B15" s="198" t="s">
        <v>161</v>
      </c>
      <c r="C15" s="242">
        <v>13</v>
      </c>
      <c r="D15" s="242">
        <v>3</v>
      </c>
      <c r="E15" s="242"/>
      <c r="F15" s="242">
        <v>13</v>
      </c>
      <c r="G15" s="243" t="s">
        <v>226</v>
      </c>
      <c r="I15" s="240">
        <v>1</v>
      </c>
      <c r="J15" s="219" t="s">
        <v>155</v>
      </c>
      <c r="K15" s="242">
        <v>13</v>
      </c>
      <c r="L15" s="242">
        <v>13</v>
      </c>
      <c r="M15" s="242"/>
      <c r="N15" s="242"/>
      <c r="O15" s="243" t="s">
        <v>224</v>
      </c>
    </row>
    <row r="16" spans="1:15" x14ac:dyDescent="0.2">
      <c r="A16" s="240">
        <v>2</v>
      </c>
      <c r="B16" s="198" t="s">
        <v>160</v>
      </c>
      <c r="C16" s="242">
        <v>13</v>
      </c>
      <c r="D16" s="242">
        <v>13</v>
      </c>
      <c r="E16" s="242"/>
      <c r="F16" s="242"/>
      <c r="G16" s="243" t="s">
        <v>224</v>
      </c>
      <c r="I16" s="240">
        <v>2</v>
      </c>
      <c r="J16" s="198" t="s">
        <v>158</v>
      </c>
      <c r="K16" s="242">
        <v>13</v>
      </c>
      <c r="L16" s="242">
        <v>10</v>
      </c>
      <c r="M16" s="242"/>
      <c r="N16" s="242">
        <v>13</v>
      </c>
      <c r="O16" s="243" t="s">
        <v>226</v>
      </c>
    </row>
    <row r="17" spans="1:15" x14ac:dyDescent="0.2">
      <c r="A17" s="240">
        <v>3</v>
      </c>
      <c r="B17" s="198" t="s">
        <v>181</v>
      </c>
      <c r="C17" s="242">
        <v>1</v>
      </c>
      <c r="D17" s="242"/>
      <c r="E17" s="242">
        <v>13</v>
      </c>
      <c r="F17" s="242">
        <v>10</v>
      </c>
      <c r="G17" s="243" t="s">
        <v>225</v>
      </c>
      <c r="I17" s="240">
        <v>3</v>
      </c>
      <c r="J17" s="198" t="s">
        <v>191</v>
      </c>
      <c r="K17" s="242">
        <v>3</v>
      </c>
      <c r="L17" s="242"/>
      <c r="M17" s="242">
        <v>13</v>
      </c>
      <c r="N17" s="242">
        <v>4</v>
      </c>
      <c r="O17" s="243" t="s">
        <v>225</v>
      </c>
    </row>
    <row r="18" spans="1:15" x14ac:dyDescent="0.2">
      <c r="A18" s="240">
        <v>4</v>
      </c>
      <c r="B18" s="288"/>
      <c r="C18" s="242">
        <v>0</v>
      </c>
      <c r="D18" s="242"/>
      <c r="E18" s="242">
        <v>0</v>
      </c>
      <c r="F18" s="242"/>
      <c r="G18" s="243"/>
      <c r="I18" s="240">
        <v>4</v>
      </c>
      <c r="J18" s="288"/>
      <c r="K18" s="242">
        <v>0</v>
      </c>
      <c r="L18" s="242"/>
      <c r="M18" s="242">
        <v>0</v>
      </c>
      <c r="N18" s="242"/>
      <c r="O18" s="243"/>
    </row>
    <row r="19" spans="1:15" x14ac:dyDescent="0.2">
      <c r="A19" s="65"/>
      <c r="B19" s="64"/>
      <c r="C19" s="247"/>
      <c r="D19" s="247"/>
      <c r="E19" s="247"/>
      <c r="F19" s="248"/>
      <c r="G19" s="249"/>
    </row>
    <row r="20" spans="1:15" x14ac:dyDescent="0.2">
      <c r="A20" s="240" t="s">
        <v>229</v>
      </c>
      <c r="B20" s="240"/>
      <c r="C20" s="287" t="s">
        <v>218</v>
      </c>
      <c r="D20" s="287" t="s">
        <v>219</v>
      </c>
      <c r="E20" s="287" t="s">
        <v>220</v>
      </c>
      <c r="F20" s="287" t="s">
        <v>221</v>
      </c>
      <c r="G20" s="287" t="s">
        <v>222</v>
      </c>
      <c r="I20" s="240" t="s">
        <v>309</v>
      </c>
      <c r="J20" s="240"/>
      <c r="K20" s="287" t="s">
        <v>218</v>
      </c>
      <c r="L20" s="287" t="s">
        <v>219</v>
      </c>
      <c r="M20" s="287" t="s">
        <v>220</v>
      </c>
      <c r="N20" s="287" t="s">
        <v>221</v>
      </c>
      <c r="O20" s="287" t="s">
        <v>222</v>
      </c>
    </row>
    <row r="21" spans="1:15" x14ac:dyDescent="0.2">
      <c r="A21" s="240">
        <v>1</v>
      </c>
      <c r="B21" s="219" t="s">
        <v>165</v>
      </c>
      <c r="C21" s="242">
        <v>13</v>
      </c>
      <c r="D21" s="242">
        <v>11</v>
      </c>
      <c r="E21" s="242"/>
      <c r="F21" s="242">
        <v>13</v>
      </c>
      <c r="G21" s="243" t="s">
        <v>226</v>
      </c>
      <c r="I21" s="240">
        <v>1</v>
      </c>
      <c r="J21" s="198" t="s">
        <v>153</v>
      </c>
      <c r="K21" s="242">
        <v>13</v>
      </c>
      <c r="L21" s="242">
        <v>13</v>
      </c>
      <c r="M21" s="242"/>
      <c r="N21" s="242"/>
      <c r="O21" s="243" t="s">
        <v>224</v>
      </c>
    </row>
    <row r="22" spans="1:15" x14ac:dyDescent="0.2">
      <c r="A22" s="240">
        <v>2</v>
      </c>
      <c r="B22" s="198" t="s">
        <v>180</v>
      </c>
      <c r="C22" s="242">
        <v>2</v>
      </c>
      <c r="D22" s="242"/>
      <c r="E22" s="242">
        <v>13</v>
      </c>
      <c r="F22" s="242">
        <v>4</v>
      </c>
      <c r="G22" s="243" t="s">
        <v>225</v>
      </c>
      <c r="I22" s="240">
        <v>2</v>
      </c>
      <c r="J22" s="198" t="s">
        <v>163</v>
      </c>
      <c r="K22" s="242">
        <v>13</v>
      </c>
      <c r="L22" s="242">
        <v>1</v>
      </c>
      <c r="M22" s="242"/>
      <c r="N22" s="242">
        <v>5</v>
      </c>
      <c r="O22" s="243" t="s">
        <v>225</v>
      </c>
    </row>
    <row r="23" spans="1:15" x14ac:dyDescent="0.2">
      <c r="A23" s="240">
        <v>3</v>
      </c>
      <c r="B23" s="198" t="s">
        <v>174</v>
      </c>
      <c r="C23" s="242">
        <v>13</v>
      </c>
      <c r="D23" s="242">
        <v>13</v>
      </c>
      <c r="E23" s="242"/>
      <c r="F23" s="242"/>
      <c r="G23" s="243" t="s">
        <v>224</v>
      </c>
      <c r="I23" s="240">
        <v>3</v>
      </c>
      <c r="J23" s="198" t="s">
        <v>167</v>
      </c>
      <c r="K23" s="242">
        <v>12</v>
      </c>
      <c r="L23" s="242"/>
      <c r="M23" s="242">
        <v>13</v>
      </c>
      <c r="N23" s="242">
        <v>13</v>
      </c>
      <c r="O23" s="243" t="s">
        <v>226</v>
      </c>
    </row>
    <row r="24" spans="1:15" x14ac:dyDescent="0.2">
      <c r="A24" s="240">
        <v>4</v>
      </c>
      <c r="B24" s="288"/>
      <c r="C24" s="242">
        <v>0</v>
      </c>
      <c r="D24" s="242"/>
      <c r="E24" s="242">
        <v>0</v>
      </c>
      <c r="F24" s="242"/>
      <c r="G24" s="243"/>
      <c r="I24" s="240">
        <v>4</v>
      </c>
      <c r="J24" s="198"/>
      <c r="K24" s="242">
        <v>0</v>
      </c>
      <c r="L24" s="242"/>
      <c r="M24" s="242">
        <v>0</v>
      </c>
      <c r="N24" s="242"/>
      <c r="O24" s="243"/>
    </row>
    <row r="25" spans="1:15" x14ac:dyDescent="0.2">
      <c r="I25" s="65"/>
      <c r="J25" s="64"/>
      <c r="K25" s="247"/>
      <c r="L25" s="247"/>
      <c r="M25" s="247"/>
      <c r="N25" s="248"/>
      <c r="O25" s="249"/>
    </row>
    <row r="26" spans="1:15" x14ac:dyDescent="0.2">
      <c r="A26" s="240" t="s">
        <v>223</v>
      </c>
      <c r="B26" s="240"/>
      <c r="C26" s="287" t="s">
        <v>218</v>
      </c>
      <c r="D26" s="287" t="s">
        <v>219</v>
      </c>
      <c r="E26" s="287" t="s">
        <v>220</v>
      </c>
      <c r="F26" s="287" t="s">
        <v>221</v>
      </c>
      <c r="G26" s="287" t="s">
        <v>222</v>
      </c>
      <c r="I26" s="240" t="s">
        <v>310</v>
      </c>
      <c r="J26" s="240"/>
      <c r="K26" s="287" t="s">
        <v>218</v>
      </c>
      <c r="L26" s="287" t="s">
        <v>219</v>
      </c>
      <c r="M26" s="287" t="s">
        <v>220</v>
      </c>
      <c r="N26" s="287" t="s">
        <v>221</v>
      </c>
      <c r="O26" s="287" t="s">
        <v>222</v>
      </c>
    </row>
    <row r="27" spans="1:15" x14ac:dyDescent="0.2">
      <c r="A27" s="240">
        <v>1</v>
      </c>
      <c r="B27" s="219" t="s">
        <v>156</v>
      </c>
      <c r="C27" s="242">
        <v>13</v>
      </c>
      <c r="D27" s="242">
        <v>13</v>
      </c>
      <c r="E27" s="242"/>
      <c r="F27" s="242"/>
      <c r="G27" s="243" t="s">
        <v>224</v>
      </c>
      <c r="I27" s="240">
        <v>1</v>
      </c>
      <c r="J27" s="198" t="s">
        <v>169</v>
      </c>
      <c r="K27" s="242">
        <v>13</v>
      </c>
      <c r="L27" s="242">
        <v>13</v>
      </c>
      <c r="M27" s="242"/>
      <c r="N27" s="242"/>
      <c r="O27" s="243" t="s">
        <v>224</v>
      </c>
    </row>
    <row r="28" spans="1:15" x14ac:dyDescent="0.2">
      <c r="A28" s="240">
        <v>2</v>
      </c>
      <c r="B28" s="219" t="s">
        <v>175</v>
      </c>
      <c r="C28" s="242">
        <v>13</v>
      </c>
      <c r="D28" s="242">
        <v>5</v>
      </c>
      <c r="E28" s="242"/>
      <c r="F28" s="242">
        <v>7</v>
      </c>
      <c r="G28" s="243" t="s">
        <v>225</v>
      </c>
      <c r="I28" s="240">
        <v>2</v>
      </c>
      <c r="J28" s="198" t="s">
        <v>171</v>
      </c>
      <c r="K28" s="242">
        <v>13</v>
      </c>
      <c r="L28" s="242">
        <v>11</v>
      </c>
      <c r="M28" s="242"/>
      <c r="N28" s="242">
        <v>13</v>
      </c>
      <c r="O28" s="243" t="s">
        <v>226</v>
      </c>
    </row>
    <row r="29" spans="1:15" x14ac:dyDescent="0.2">
      <c r="A29" s="240">
        <v>3</v>
      </c>
      <c r="B29" s="198" t="s">
        <v>159</v>
      </c>
      <c r="C29" s="242">
        <v>6</v>
      </c>
      <c r="D29" s="242"/>
      <c r="E29" s="242">
        <v>13</v>
      </c>
      <c r="F29" s="242">
        <v>13</v>
      </c>
      <c r="G29" s="243" t="s">
        <v>226</v>
      </c>
      <c r="I29" s="240">
        <v>3</v>
      </c>
      <c r="J29" s="198" t="s">
        <v>182</v>
      </c>
      <c r="K29" s="242">
        <v>11</v>
      </c>
      <c r="L29" s="242"/>
      <c r="M29" s="242">
        <v>13</v>
      </c>
      <c r="N29" s="242">
        <v>2</v>
      </c>
      <c r="O29" s="243" t="s">
        <v>225</v>
      </c>
    </row>
    <row r="30" spans="1:15" x14ac:dyDescent="0.2">
      <c r="A30" s="240">
        <v>4</v>
      </c>
      <c r="B30" s="288"/>
      <c r="C30" s="242">
        <v>0</v>
      </c>
      <c r="D30" s="242"/>
      <c r="E30" s="242">
        <v>0</v>
      </c>
      <c r="F30" s="242"/>
      <c r="G30" s="243"/>
      <c r="I30" s="240">
        <v>4</v>
      </c>
      <c r="J30" s="288"/>
      <c r="K30" s="242">
        <v>0</v>
      </c>
      <c r="L30" s="242"/>
      <c r="M30" s="242">
        <v>0</v>
      </c>
      <c r="N30" s="242"/>
      <c r="O30" s="243"/>
    </row>
    <row r="32" spans="1:15" x14ac:dyDescent="0.2">
      <c r="A32" s="251" t="s">
        <v>231</v>
      </c>
      <c r="B32" s="64"/>
      <c r="C32" s="247"/>
      <c r="D32" s="247"/>
      <c r="E32" s="247"/>
      <c r="F32" s="248"/>
      <c r="G32" s="249"/>
    </row>
    <row r="34" spans="1:11" x14ac:dyDescent="0.2">
      <c r="A34" s="252" t="s">
        <v>241</v>
      </c>
      <c r="B34" s="59" t="s">
        <v>157</v>
      </c>
      <c r="C34" s="253">
        <v>13</v>
      </c>
    </row>
    <row r="35" spans="1:11" x14ac:dyDescent="0.2">
      <c r="A35" s="254"/>
      <c r="B35" s="255"/>
      <c r="C35" s="256" t="s">
        <v>157</v>
      </c>
      <c r="D35" s="257"/>
      <c r="F35" s="253">
        <v>13</v>
      </c>
    </row>
    <row r="36" spans="1:11" x14ac:dyDescent="0.2">
      <c r="A36" s="254" t="s">
        <v>237</v>
      </c>
      <c r="B36" s="257" t="s">
        <v>166</v>
      </c>
      <c r="C36" s="265">
        <v>10</v>
      </c>
      <c r="E36" s="258"/>
    </row>
    <row r="37" spans="1:11" x14ac:dyDescent="0.2">
      <c r="A37" s="254"/>
      <c r="D37" s="64"/>
      <c r="E37" s="259"/>
      <c r="F37" s="260" t="s">
        <v>157</v>
      </c>
      <c r="I37" s="253">
        <v>5</v>
      </c>
    </row>
    <row r="38" spans="1:11" x14ac:dyDescent="0.2">
      <c r="A38" s="254" t="s">
        <v>232</v>
      </c>
      <c r="B38" s="59" t="s">
        <v>160</v>
      </c>
      <c r="C38" s="263">
        <v>13</v>
      </c>
      <c r="E38" s="259"/>
      <c r="F38" s="261"/>
      <c r="G38" s="255"/>
      <c r="H38" s="258"/>
    </row>
    <row r="39" spans="1:11" x14ac:dyDescent="0.2">
      <c r="A39" s="254"/>
      <c r="B39" s="255"/>
      <c r="C39" s="260" t="s">
        <v>160</v>
      </c>
      <c r="E39" s="262"/>
      <c r="F39" s="263">
        <v>12</v>
      </c>
      <c r="G39" s="64"/>
      <c r="H39" s="259"/>
    </row>
    <row r="40" spans="1:11" x14ac:dyDescent="0.2">
      <c r="A40" s="254" t="s">
        <v>245</v>
      </c>
      <c r="B40" s="257" t="s">
        <v>159</v>
      </c>
      <c r="C40" s="264">
        <v>8</v>
      </c>
      <c r="D40" s="255"/>
      <c r="F40" s="64"/>
      <c r="G40" s="64"/>
      <c r="H40" s="259"/>
    </row>
    <row r="41" spans="1:11" x14ac:dyDescent="0.2">
      <c r="A41" s="58"/>
      <c r="F41" s="64"/>
      <c r="G41" s="64"/>
      <c r="H41" s="259"/>
      <c r="I41" s="260" t="s">
        <v>153</v>
      </c>
      <c r="K41" s="253">
        <v>11</v>
      </c>
    </row>
    <row r="42" spans="1:11" x14ac:dyDescent="0.2">
      <c r="A42" s="252" t="s">
        <v>311</v>
      </c>
      <c r="B42" s="59" t="s">
        <v>153</v>
      </c>
      <c r="C42" s="253">
        <v>13</v>
      </c>
      <c r="F42" s="64"/>
      <c r="G42" s="64"/>
      <c r="H42" s="259"/>
      <c r="I42" s="255"/>
      <c r="J42" s="258"/>
    </row>
    <row r="43" spans="1:11" x14ac:dyDescent="0.2">
      <c r="A43" s="254"/>
      <c r="B43" s="255"/>
      <c r="C43" s="256" t="s">
        <v>153</v>
      </c>
      <c r="D43" s="257"/>
      <c r="F43" s="263">
        <v>13</v>
      </c>
      <c r="G43" s="64"/>
      <c r="H43" s="259"/>
      <c r="I43" s="64"/>
      <c r="J43" s="259"/>
    </row>
    <row r="44" spans="1:11" x14ac:dyDescent="0.2">
      <c r="A44" s="254" t="s">
        <v>243</v>
      </c>
      <c r="B44" s="257" t="s">
        <v>158</v>
      </c>
      <c r="C44" s="265">
        <v>9</v>
      </c>
      <c r="E44" s="258"/>
      <c r="F44" s="64"/>
      <c r="G44" s="64"/>
      <c r="H44" s="259"/>
      <c r="I44" s="64"/>
      <c r="J44" s="259"/>
    </row>
    <row r="45" spans="1:11" x14ac:dyDescent="0.2">
      <c r="A45" s="254"/>
      <c r="D45" s="64"/>
      <c r="E45" s="259"/>
      <c r="F45" s="257" t="s">
        <v>153</v>
      </c>
      <c r="G45" s="257"/>
      <c r="H45" s="262"/>
      <c r="I45" s="263">
        <v>13</v>
      </c>
      <c r="J45" s="259"/>
    </row>
    <row r="46" spans="1:11" x14ac:dyDescent="0.2">
      <c r="A46" s="254" t="s">
        <v>312</v>
      </c>
      <c r="B46" s="59" t="s">
        <v>169</v>
      </c>
      <c r="C46" s="263">
        <v>6</v>
      </c>
      <c r="E46" s="259"/>
      <c r="F46" s="260"/>
      <c r="G46" s="64"/>
      <c r="H46" s="64"/>
      <c r="I46" s="64"/>
      <c r="J46" s="259"/>
    </row>
    <row r="47" spans="1:11" x14ac:dyDescent="0.2">
      <c r="A47" s="254"/>
      <c r="B47" s="255"/>
      <c r="C47" s="260" t="s">
        <v>165</v>
      </c>
      <c r="E47" s="262"/>
      <c r="F47" s="263">
        <v>12</v>
      </c>
      <c r="I47" s="64"/>
      <c r="J47" s="259"/>
    </row>
    <row r="48" spans="1:11" x14ac:dyDescent="0.2">
      <c r="A48" s="254" t="s">
        <v>236</v>
      </c>
      <c r="B48" s="257" t="s">
        <v>165</v>
      </c>
      <c r="C48" s="264">
        <v>13</v>
      </c>
      <c r="D48" s="255"/>
      <c r="F48" s="64"/>
      <c r="G48" s="64"/>
      <c r="H48" s="64"/>
      <c r="I48" s="64"/>
      <c r="J48" s="259"/>
    </row>
    <row r="49" spans="1:13" ht="13.5" thickBot="1" x14ac:dyDescent="0.25">
      <c r="I49" s="64"/>
      <c r="J49" s="259"/>
      <c r="L49" s="59" t="s">
        <v>156</v>
      </c>
    </row>
    <row r="50" spans="1:13" x14ac:dyDescent="0.2">
      <c r="A50" s="252" t="s">
        <v>234</v>
      </c>
      <c r="B50" s="59" t="s">
        <v>156</v>
      </c>
      <c r="C50" s="253">
        <v>13</v>
      </c>
      <c r="I50" s="64"/>
      <c r="J50" s="259"/>
      <c r="K50" s="266"/>
      <c r="L50" s="267" t="s">
        <v>240</v>
      </c>
      <c r="M50" s="268"/>
    </row>
    <row r="51" spans="1:13" x14ac:dyDescent="0.2">
      <c r="A51" s="254"/>
      <c r="B51" s="255"/>
      <c r="C51" s="256" t="s">
        <v>156</v>
      </c>
      <c r="D51" s="257"/>
      <c r="F51" s="253">
        <v>13</v>
      </c>
      <c r="I51" s="64"/>
      <c r="J51" s="259"/>
    </row>
    <row r="52" spans="1:13" x14ac:dyDescent="0.2">
      <c r="A52" s="254" t="s">
        <v>313</v>
      </c>
      <c r="B52" s="257" t="s">
        <v>171</v>
      </c>
      <c r="C52" s="265">
        <v>11</v>
      </c>
      <c r="E52" s="258"/>
      <c r="I52" s="64"/>
      <c r="J52" s="259"/>
    </row>
    <row r="53" spans="1:13" x14ac:dyDescent="0.2">
      <c r="A53" s="254"/>
      <c r="D53" s="64"/>
      <c r="E53" s="259"/>
      <c r="F53" s="59" t="s">
        <v>156</v>
      </c>
      <c r="I53" s="263">
        <v>13</v>
      </c>
      <c r="J53" s="259"/>
    </row>
    <row r="54" spans="1:13" x14ac:dyDescent="0.2">
      <c r="A54" s="254" t="s">
        <v>238</v>
      </c>
      <c r="B54" s="59" t="s">
        <v>155</v>
      </c>
      <c r="C54" s="263">
        <v>12</v>
      </c>
      <c r="E54" s="259"/>
      <c r="F54" s="261"/>
      <c r="G54" s="255"/>
      <c r="H54" s="258"/>
      <c r="I54" s="64"/>
      <c r="J54" s="259"/>
    </row>
    <row r="55" spans="1:13" x14ac:dyDescent="0.2">
      <c r="A55" s="254"/>
      <c r="B55" s="255"/>
      <c r="C55" s="260" t="s">
        <v>161</v>
      </c>
      <c r="E55" s="262"/>
      <c r="F55" s="263">
        <v>6</v>
      </c>
      <c r="G55" s="64"/>
      <c r="H55" s="259"/>
      <c r="I55" s="64"/>
      <c r="J55" s="259"/>
    </row>
    <row r="56" spans="1:13" x14ac:dyDescent="0.2">
      <c r="A56" s="254" t="s">
        <v>242</v>
      </c>
      <c r="B56" s="257" t="s">
        <v>161</v>
      </c>
      <c r="C56" s="264">
        <v>13</v>
      </c>
      <c r="D56" s="255"/>
      <c r="F56" s="64"/>
      <c r="G56" s="64"/>
      <c r="H56" s="259"/>
      <c r="I56" s="64"/>
      <c r="J56" s="259"/>
    </row>
    <row r="57" spans="1:13" x14ac:dyDescent="0.2">
      <c r="F57" s="64"/>
      <c r="G57" s="64"/>
      <c r="H57" s="259"/>
      <c r="I57" s="257" t="s">
        <v>156</v>
      </c>
      <c r="J57" s="262"/>
      <c r="K57" s="253">
        <v>13</v>
      </c>
    </row>
    <row r="58" spans="1:13" ht="13.5" thickBot="1" x14ac:dyDescent="0.25">
      <c r="A58" s="252" t="s">
        <v>246</v>
      </c>
      <c r="B58" s="59" t="s">
        <v>174</v>
      </c>
      <c r="C58" s="253">
        <v>11</v>
      </c>
      <c r="F58" s="64"/>
      <c r="G58" s="64"/>
      <c r="H58" s="259"/>
      <c r="L58" s="64" t="s">
        <v>153</v>
      </c>
      <c r="M58" s="269"/>
    </row>
    <row r="59" spans="1:13" x14ac:dyDescent="0.2">
      <c r="A59" s="254"/>
      <c r="B59" s="255"/>
      <c r="C59" s="256" t="s">
        <v>167</v>
      </c>
      <c r="D59" s="257"/>
      <c r="F59" s="263">
        <v>13</v>
      </c>
      <c r="G59" s="64"/>
      <c r="H59" s="259"/>
      <c r="L59" s="267" t="s">
        <v>244</v>
      </c>
      <c r="M59" s="64"/>
    </row>
    <row r="60" spans="1:13" x14ac:dyDescent="0.2">
      <c r="A60" s="254" t="s">
        <v>314</v>
      </c>
      <c r="B60" s="257" t="s">
        <v>167</v>
      </c>
      <c r="C60" s="265">
        <v>13</v>
      </c>
      <c r="E60" s="258"/>
      <c r="F60" s="64"/>
      <c r="G60" s="64"/>
      <c r="H60" s="259"/>
    </row>
    <row r="61" spans="1:13" x14ac:dyDescent="0.2">
      <c r="A61" s="254"/>
      <c r="D61" s="64"/>
      <c r="E61" s="259"/>
      <c r="F61" s="257" t="s">
        <v>167</v>
      </c>
      <c r="G61" s="257"/>
      <c r="H61" s="262"/>
      <c r="I61" s="253">
        <v>7</v>
      </c>
    </row>
    <row r="62" spans="1:13" x14ac:dyDescent="0.2">
      <c r="A62" s="254" t="s">
        <v>239</v>
      </c>
      <c r="B62" s="59" t="s">
        <v>170</v>
      </c>
      <c r="C62" s="263">
        <v>9</v>
      </c>
      <c r="E62" s="259"/>
      <c r="F62" s="260"/>
      <c r="G62" s="64"/>
      <c r="H62" s="64"/>
    </row>
    <row r="63" spans="1:13" x14ac:dyDescent="0.2">
      <c r="A63" s="254"/>
      <c r="B63" s="255"/>
      <c r="C63" s="260" t="s">
        <v>172</v>
      </c>
      <c r="E63" s="262"/>
      <c r="F63" s="263">
        <v>9</v>
      </c>
      <c r="I63" s="59" t="s">
        <v>157</v>
      </c>
      <c r="K63" s="263">
        <v>13</v>
      </c>
    </row>
    <row r="64" spans="1:13" ht="13.5" thickBot="1" x14ac:dyDescent="0.25">
      <c r="A64" s="254" t="s">
        <v>233</v>
      </c>
      <c r="B64" s="257" t="s">
        <v>172</v>
      </c>
      <c r="C64" s="264">
        <v>13</v>
      </c>
      <c r="D64" s="255"/>
      <c r="F64" s="64"/>
      <c r="G64" s="64"/>
      <c r="H64" s="64"/>
      <c r="I64" s="255"/>
      <c r="J64" s="258"/>
      <c r="K64" s="269"/>
      <c r="L64" s="269" t="s">
        <v>157</v>
      </c>
      <c r="M64" s="269"/>
    </row>
    <row r="65" spans="1:13" x14ac:dyDescent="0.2">
      <c r="H65" s="64"/>
      <c r="I65" s="257" t="s">
        <v>167</v>
      </c>
      <c r="J65" s="262"/>
      <c r="K65" s="253">
        <v>5</v>
      </c>
      <c r="L65" s="65" t="s">
        <v>247</v>
      </c>
      <c r="M65" s="64"/>
    </row>
    <row r="66" spans="1:13" x14ac:dyDescent="0.2">
      <c r="H66" s="64"/>
      <c r="L66" s="64"/>
      <c r="M66" s="64"/>
    </row>
    <row r="67" spans="1:13" ht="13.5" thickBot="1" x14ac:dyDescent="0.25">
      <c r="H67" s="64"/>
      <c r="I67" s="64"/>
      <c r="J67" s="64"/>
      <c r="L67" s="269" t="s">
        <v>167</v>
      </c>
      <c r="M67" s="269"/>
    </row>
    <row r="68" spans="1:13" x14ac:dyDescent="0.2">
      <c r="I68" s="64"/>
      <c r="J68" s="64"/>
      <c r="L68" s="58" t="s">
        <v>248</v>
      </c>
    </row>
    <row r="69" spans="1:13" x14ac:dyDescent="0.2">
      <c r="I69" s="64"/>
      <c r="J69" s="64"/>
      <c r="L69" s="58"/>
    </row>
    <row r="70" spans="1:13" x14ac:dyDescent="0.2">
      <c r="A70" s="270" t="s">
        <v>249</v>
      </c>
      <c r="I70" s="64"/>
      <c r="J70" s="64"/>
      <c r="L70" s="58"/>
    </row>
    <row r="71" spans="1:13" x14ac:dyDescent="0.2">
      <c r="A71" s="270"/>
      <c r="I71" s="64"/>
      <c r="J71" s="64"/>
      <c r="L71" s="58"/>
    </row>
    <row r="72" spans="1:13" x14ac:dyDescent="0.2">
      <c r="F72" s="271" t="s">
        <v>160</v>
      </c>
      <c r="G72" s="253"/>
      <c r="H72" s="253"/>
      <c r="I72" s="253">
        <v>9</v>
      </c>
      <c r="J72" s="253"/>
      <c r="K72" s="253"/>
    </row>
    <row r="73" spans="1:13" x14ac:dyDescent="0.2">
      <c r="F73" s="272"/>
      <c r="G73" s="272"/>
      <c r="H73" s="273"/>
      <c r="I73" s="274" t="s">
        <v>165</v>
      </c>
      <c r="J73" s="253"/>
      <c r="K73" s="253">
        <v>13</v>
      </c>
    </row>
    <row r="74" spans="1:13" x14ac:dyDescent="0.2">
      <c r="F74" s="274" t="s">
        <v>165</v>
      </c>
      <c r="G74" s="274"/>
      <c r="H74" s="275"/>
      <c r="I74" s="253">
        <v>13</v>
      </c>
      <c r="J74" s="273"/>
      <c r="K74" s="253"/>
    </row>
    <row r="75" spans="1:13" ht="13.5" thickBot="1" x14ac:dyDescent="0.25">
      <c r="F75" s="253"/>
      <c r="G75" s="253"/>
      <c r="H75" s="253"/>
      <c r="I75" s="263"/>
      <c r="J75" s="276"/>
      <c r="K75" s="253"/>
      <c r="L75" s="59" t="s">
        <v>165</v>
      </c>
    </row>
    <row r="76" spans="1:13" x14ac:dyDescent="0.2">
      <c r="F76" s="253" t="s">
        <v>161</v>
      </c>
      <c r="G76" s="253"/>
      <c r="H76" s="253"/>
      <c r="I76" s="253">
        <v>13</v>
      </c>
      <c r="J76" s="276"/>
      <c r="K76" s="277"/>
      <c r="L76" s="267" t="s">
        <v>250</v>
      </c>
      <c r="M76" s="268"/>
    </row>
    <row r="77" spans="1:13" x14ac:dyDescent="0.2">
      <c r="F77" s="272"/>
      <c r="G77" s="272"/>
      <c r="H77" s="273"/>
      <c r="I77" s="253" t="s">
        <v>161</v>
      </c>
      <c r="J77" s="275"/>
      <c r="K77" s="263">
        <v>5</v>
      </c>
    </row>
    <row r="78" spans="1:13" ht="13.5" thickBot="1" x14ac:dyDescent="0.25">
      <c r="F78" s="274" t="s">
        <v>172</v>
      </c>
      <c r="G78" s="274"/>
      <c r="H78" s="275"/>
      <c r="I78" s="272">
        <v>4</v>
      </c>
      <c r="J78" s="253"/>
      <c r="K78" s="263"/>
      <c r="L78" s="64" t="s">
        <v>161</v>
      </c>
      <c r="M78" s="269"/>
    </row>
    <row r="79" spans="1:13" x14ac:dyDescent="0.2">
      <c r="F79" s="253"/>
      <c r="G79" s="253"/>
      <c r="H79" s="253"/>
      <c r="I79" s="253"/>
      <c r="J79" s="253"/>
      <c r="K79" s="263"/>
      <c r="L79" s="267" t="s">
        <v>251</v>
      </c>
      <c r="M79" s="64"/>
    </row>
    <row r="80" spans="1:13" x14ac:dyDescent="0.2">
      <c r="F80" s="253"/>
      <c r="G80" s="253"/>
      <c r="H80" s="263"/>
      <c r="I80" s="253" t="s">
        <v>160</v>
      </c>
      <c r="J80" s="253"/>
      <c r="K80" s="263">
        <v>13</v>
      </c>
      <c r="L80" s="64"/>
      <c r="M80" s="64"/>
    </row>
    <row r="81" spans="1:13" ht="13.5" thickBot="1" x14ac:dyDescent="0.25">
      <c r="F81" s="253"/>
      <c r="G81" s="253"/>
      <c r="H81" s="263"/>
      <c r="I81" s="272"/>
      <c r="J81" s="273"/>
      <c r="K81" s="278"/>
      <c r="L81" s="269" t="s">
        <v>160</v>
      </c>
      <c r="M81" s="269"/>
    </row>
    <row r="82" spans="1:13" x14ac:dyDescent="0.2">
      <c r="F82" s="253"/>
      <c r="G82" s="253"/>
      <c r="H82" s="263"/>
      <c r="I82" s="274" t="s">
        <v>172</v>
      </c>
      <c r="J82" s="275"/>
      <c r="K82" s="253">
        <v>6</v>
      </c>
      <c r="L82" s="65" t="s">
        <v>252</v>
      </c>
      <c r="M82" s="64"/>
    </row>
    <row r="83" spans="1:13" x14ac:dyDescent="0.2">
      <c r="H83" s="64"/>
      <c r="L83" s="64"/>
      <c r="M83" s="64"/>
    </row>
    <row r="84" spans="1:13" ht="13.5" thickBot="1" x14ac:dyDescent="0.25">
      <c r="I84" s="64"/>
      <c r="J84" s="64"/>
      <c r="L84" s="269" t="s">
        <v>172</v>
      </c>
      <c r="M84" s="269"/>
    </row>
    <row r="85" spans="1:13" x14ac:dyDescent="0.2">
      <c r="I85" s="64"/>
      <c r="J85" s="64"/>
      <c r="L85" s="65" t="s">
        <v>253</v>
      </c>
    </row>
    <row r="86" spans="1:13" x14ac:dyDescent="0.2">
      <c r="I86" s="64"/>
      <c r="J86" s="64"/>
      <c r="L86" s="65"/>
    </row>
    <row r="87" spans="1:13" x14ac:dyDescent="0.2">
      <c r="A87" s="279" t="s">
        <v>304</v>
      </c>
    </row>
    <row r="88" spans="1:13" x14ac:dyDescent="0.2">
      <c r="A88" s="313"/>
    </row>
    <row r="89" spans="1:13" x14ac:dyDescent="0.2">
      <c r="B89" s="64"/>
      <c r="C89" s="257" t="s">
        <v>166</v>
      </c>
      <c r="D89" s="64"/>
      <c r="F89" s="253">
        <v>8</v>
      </c>
    </row>
    <row r="90" spans="1:13" x14ac:dyDescent="0.2">
      <c r="B90" s="64"/>
      <c r="C90" s="255"/>
      <c r="D90" s="255"/>
      <c r="E90" s="258"/>
      <c r="F90" s="260" t="s">
        <v>159</v>
      </c>
      <c r="I90" s="253">
        <v>13</v>
      </c>
    </row>
    <row r="91" spans="1:13" x14ac:dyDescent="0.2">
      <c r="B91" s="64"/>
      <c r="C91" s="257" t="s">
        <v>159</v>
      </c>
      <c r="D91" s="257"/>
      <c r="E91" s="262"/>
      <c r="F91" s="272">
        <v>13</v>
      </c>
      <c r="G91" s="255"/>
      <c r="H91" s="258"/>
    </row>
    <row r="92" spans="1:13" x14ac:dyDescent="0.2">
      <c r="B92" s="64"/>
      <c r="F92" s="64"/>
      <c r="G92" s="64"/>
      <c r="H92" s="259"/>
      <c r="I92" s="260" t="s">
        <v>159</v>
      </c>
      <c r="K92" s="253">
        <v>13</v>
      </c>
    </row>
    <row r="93" spans="1:13" x14ac:dyDescent="0.2">
      <c r="B93" s="64"/>
      <c r="C93" s="257" t="s">
        <v>158</v>
      </c>
      <c r="D93" s="257"/>
      <c r="F93" s="263">
        <v>13</v>
      </c>
      <c r="G93" s="64"/>
      <c r="H93" s="259"/>
      <c r="I93" s="261"/>
      <c r="J93" s="258"/>
    </row>
    <row r="94" spans="1:13" x14ac:dyDescent="0.2">
      <c r="B94" s="64"/>
      <c r="D94" s="64"/>
      <c r="E94" s="258"/>
      <c r="F94" s="257" t="s">
        <v>158</v>
      </c>
      <c r="G94" s="257"/>
      <c r="H94" s="262"/>
      <c r="I94" s="263">
        <v>4</v>
      </c>
      <c r="J94" s="259"/>
    </row>
    <row r="95" spans="1:13" x14ac:dyDescent="0.2">
      <c r="B95" s="64"/>
      <c r="C95" s="64" t="s">
        <v>169</v>
      </c>
      <c r="E95" s="262"/>
      <c r="F95" s="263">
        <v>11</v>
      </c>
      <c r="I95" s="64"/>
      <c r="J95" s="259"/>
    </row>
    <row r="96" spans="1:13" x14ac:dyDescent="0.2">
      <c r="B96" s="64"/>
      <c r="C96" s="272"/>
      <c r="D96" s="255"/>
      <c r="F96" s="64"/>
      <c r="G96" s="64"/>
      <c r="H96" s="64"/>
      <c r="I96" s="64"/>
      <c r="J96" s="259"/>
    </row>
    <row r="97" spans="2:13" ht="13.5" thickBot="1" x14ac:dyDescent="0.25">
      <c r="B97" s="64"/>
      <c r="C97" s="64" t="s">
        <v>171</v>
      </c>
      <c r="D97" s="64"/>
      <c r="F97" s="253">
        <v>9</v>
      </c>
      <c r="J97" s="259"/>
      <c r="L97" s="59" t="s">
        <v>159</v>
      </c>
    </row>
    <row r="98" spans="2:13" x14ac:dyDescent="0.2">
      <c r="B98" s="64"/>
      <c r="C98" s="255"/>
      <c r="D98" s="255"/>
      <c r="E98" s="258"/>
      <c r="F98" s="260" t="s">
        <v>155</v>
      </c>
      <c r="I98" s="253">
        <v>13</v>
      </c>
      <c r="J98" s="259"/>
      <c r="K98" s="268"/>
      <c r="L98" s="267" t="s">
        <v>255</v>
      </c>
      <c r="M98" s="268"/>
    </row>
    <row r="99" spans="2:13" x14ac:dyDescent="0.2">
      <c r="B99" s="64"/>
      <c r="C99" s="257" t="s">
        <v>155</v>
      </c>
      <c r="D99" s="257"/>
      <c r="E99" s="262"/>
      <c r="F99" s="272">
        <v>13</v>
      </c>
      <c r="G99" s="255"/>
      <c r="H99" s="258"/>
      <c r="J99" s="259"/>
    </row>
    <row r="100" spans="2:13" ht="13.5" thickBot="1" x14ac:dyDescent="0.25">
      <c r="B100" s="64"/>
      <c r="F100" s="64"/>
      <c r="G100" s="64"/>
      <c r="H100" s="259"/>
      <c r="I100" s="260" t="s">
        <v>155</v>
      </c>
      <c r="J100" s="262"/>
      <c r="K100" s="253">
        <v>10</v>
      </c>
      <c r="L100" s="64" t="s">
        <v>155</v>
      </c>
      <c r="M100" s="269"/>
    </row>
    <row r="101" spans="2:13" x14ac:dyDescent="0.2">
      <c r="B101" s="64"/>
      <c r="C101" s="257" t="s">
        <v>174</v>
      </c>
      <c r="D101" s="257"/>
      <c r="F101" s="263">
        <v>13</v>
      </c>
      <c r="G101" s="64"/>
      <c r="H101" s="259"/>
      <c r="I101" s="261"/>
      <c r="J101" s="255"/>
      <c r="L101" s="267" t="s">
        <v>256</v>
      </c>
      <c r="M101" s="64"/>
    </row>
    <row r="102" spans="2:13" x14ac:dyDescent="0.2">
      <c r="B102" s="64"/>
      <c r="D102" s="64"/>
      <c r="E102" s="258"/>
      <c r="F102" s="257" t="s">
        <v>174</v>
      </c>
      <c r="G102" s="257"/>
      <c r="H102" s="262"/>
      <c r="I102" s="263"/>
      <c r="J102" s="64"/>
    </row>
    <row r="103" spans="2:13" x14ac:dyDescent="0.2">
      <c r="B103" s="64"/>
      <c r="C103" s="64" t="s">
        <v>170</v>
      </c>
      <c r="E103" s="262"/>
      <c r="F103" s="263">
        <v>9</v>
      </c>
      <c r="I103" s="64"/>
      <c r="J103" s="64"/>
    </row>
    <row r="104" spans="2:13" x14ac:dyDescent="0.2">
      <c r="B104" s="64"/>
      <c r="C104" s="272"/>
      <c r="D104" s="255"/>
      <c r="F104" s="64"/>
      <c r="G104" s="64"/>
      <c r="H104" s="64"/>
      <c r="I104" s="59" t="s">
        <v>158</v>
      </c>
      <c r="K104" s="263">
        <v>13</v>
      </c>
    </row>
    <row r="105" spans="2:13" ht="13.5" thickBot="1" x14ac:dyDescent="0.25">
      <c r="B105" s="64"/>
      <c r="F105" s="64"/>
      <c r="G105" s="64"/>
      <c r="H105" s="64"/>
      <c r="I105" s="255"/>
      <c r="J105" s="258"/>
      <c r="K105" s="269"/>
      <c r="L105" s="269" t="s">
        <v>158</v>
      </c>
      <c r="M105" s="269"/>
    </row>
    <row r="106" spans="2:13" x14ac:dyDescent="0.2">
      <c r="B106" s="64"/>
      <c r="C106" s="253"/>
      <c r="F106" s="64"/>
      <c r="G106" s="64"/>
      <c r="H106" s="64"/>
      <c r="I106" s="257" t="s">
        <v>174</v>
      </c>
      <c r="J106" s="262"/>
      <c r="K106" s="253">
        <v>0</v>
      </c>
      <c r="L106" s="65" t="s">
        <v>257</v>
      </c>
      <c r="M106" s="64"/>
    </row>
    <row r="107" spans="2:13" x14ac:dyDescent="0.2">
      <c r="B107" s="64"/>
      <c r="C107" s="64"/>
      <c r="D107" s="64"/>
      <c r="E107" s="64"/>
      <c r="F107" s="263"/>
      <c r="G107" s="64"/>
      <c r="H107" s="64"/>
      <c r="L107" s="64"/>
      <c r="M107" s="64"/>
    </row>
    <row r="108" spans="2:13" ht="13.5" thickBot="1" x14ac:dyDescent="0.25">
      <c r="B108" s="64"/>
      <c r="C108" s="263"/>
      <c r="D108" s="64"/>
      <c r="E108" s="64"/>
      <c r="F108" s="64"/>
      <c r="G108" s="64"/>
      <c r="H108" s="64"/>
      <c r="I108" s="64"/>
      <c r="J108" s="64"/>
      <c r="L108" s="269" t="s">
        <v>174</v>
      </c>
      <c r="M108" s="269"/>
    </row>
    <row r="109" spans="2:13" x14ac:dyDescent="0.2">
      <c r="B109" s="64"/>
      <c r="C109" s="64"/>
      <c r="D109" s="64"/>
      <c r="E109" s="64"/>
      <c r="F109" s="64" t="s">
        <v>166</v>
      </c>
      <c r="I109" s="253">
        <v>0</v>
      </c>
      <c r="L109" s="58" t="s">
        <v>258</v>
      </c>
    </row>
    <row r="110" spans="2:13" x14ac:dyDescent="0.2">
      <c r="B110" s="64"/>
      <c r="C110" s="64"/>
      <c r="D110" s="64"/>
      <c r="E110" s="64"/>
      <c r="F110" s="255"/>
      <c r="G110" s="255"/>
      <c r="H110" s="258"/>
      <c r="I110" s="260" t="s">
        <v>169</v>
      </c>
      <c r="K110" s="253">
        <v>10</v>
      </c>
    </row>
    <row r="111" spans="2:13" x14ac:dyDescent="0.2">
      <c r="B111" s="64"/>
      <c r="C111" s="263"/>
      <c r="D111" s="64"/>
      <c r="E111" s="64"/>
      <c r="F111" s="257" t="s">
        <v>169</v>
      </c>
      <c r="G111" s="257"/>
      <c r="H111" s="262"/>
      <c r="I111" s="264">
        <v>13</v>
      </c>
      <c r="J111" s="258"/>
    </row>
    <row r="112" spans="2:13" ht="13.5" thickBot="1" x14ac:dyDescent="0.25">
      <c r="B112" s="64"/>
      <c r="C112" s="64"/>
      <c r="D112" s="64"/>
      <c r="E112" s="64"/>
      <c r="F112" s="253"/>
      <c r="J112" s="259"/>
      <c r="L112" s="59" t="s">
        <v>171</v>
      </c>
    </row>
    <row r="113" spans="1:13" x14ac:dyDescent="0.2">
      <c r="B113" s="64"/>
      <c r="E113" s="64"/>
      <c r="F113" s="64" t="s">
        <v>171</v>
      </c>
      <c r="I113" s="253">
        <v>13</v>
      </c>
      <c r="J113" s="259"/>
      <c r="K113" s="268"/>
      <c r="L113" s="267" t="s">
        <v>263</v>
      </c>
      <c r="M113" s="268"/>
    </row>
    <row r="114" spans="1:13" x14ac:dyDescent="0.2">
      <c r="E114" s="64"/>
      <c r="F114" s="255"/>
      <c r="G114" s="255"/>
      <c r="H114" s="258"/>
      <c r="I114" s="260" t="s">
        <v>171</v>
      </c>
      <c r="J114" s="262"/>
      <c r="K114" s="253">
        <v>13</v>
      </c>
    </row>
    <row r="115" spans="1:13" ht="13.5" thickBot="1" x14ac:dyDescent="0.25">
      <c r="E115" s="64"/>
      <c r="F115" s="257" t="s">
        <v>170</v>
      </c>
      <c r="G115" s="257"/>
      <c r="H115" s="262"/>
      <c r="I115" s="264">
        <v>0</v>
      </c>
      <c r="J115" s="64"/>
      <c r="L115" s="64" t="s">
        <v>169</v>
      </c>
      <c r="M115" s="269"/>
    </row>
    <row r="116" spans="1:13" x14ac:dyDescent="0.2">
      <c r="E116" s="64"/>
      <c r="F116" s="263"/>
      <c r="I116" s="64"/>
      <c r="J116" s="64"/>
      <c r="L116" s="267" t="s">
        <v>265</v>
      </c>
    </row>
    <row r="117" spans="1:13" x14ac:dyDescent="0.2">
      <c r="E117" s="64"/>
      <c r="F117" s="64"/>
      <c r="G117" s="64"/>
      <c r="H117" s="64"/>
      <c r="I117" s="59" t="s">
        <v>166</v>
      </c>
      <c r="K117" s="263">
        <v>13</v>
      </c>
    </row>
    <row r="118" spans="1:13" ht="13.5" thickBot="1" x14ac:dyDescent="0.25">
      <c r="E118" s="64"/>
      <c r="F118" s="64"/>
      <c r="G118" s="64"/>
      <c r="H118" s="64"/>
      <c r="I118" s="255"/>
      <c r="J118" s="258"/>
      <c r="K118" s="269"/>
      <c r="L118" s="269" t="s">
        <v>166</v>
      </c>
      <c r="M118" s="269"/>
    </row>
    <row r="119" spans="1:13" x14ac:dyDescent="0.2">
      <c r="E119" s="64"/>
      <c r="F119" s="64"/>
      <c r="G119" s="64"/>
      <c r="H119" s="64"/>
      <c r="I119" s="257" t="s">
        <v>170</v>
      </c>
      <c r="J119" s="262"/>
      <c r="K119" s="253"/>
      <c r="L119" s="65" t="s">
        <v>268</v>
      </c>
      <c r="M119" s="64"/>
    </row>
    <row r="120" spans="1:13" x14ac:dyDescent="0.2">
      <c r="F120" s="263"/>
      <c r="G120" s="64"/>
      <c r="H120" s="64"/>
      <c r="L120" s="64"/>
      <c r="M120" s="64"/>
    </row>
    <row r="121" spans="1:13" ht="13.5" thickBot="1" x14ac:dyDescent="0.25">
      <c r="F121" s="64"/>
      <c r="G121" s="64"/>
      <c r="H121" s="64"/>
      <c r="I121" s="64"/>
      <c r="J121" s="64"/>
      <c r="L121" s="269" t="s">
        <v>170</v>
      </c>
      <c r="M121" s="269"/>
    </row>
    <row r="122" spans="1:13" x14ac:dyDescent="0.2">
      <c r="F122" s="64"/>
      <c r="G122" s="64"/>
      <c r="H122" s="64"/>
      <c r="I122" s="64"/>
      <c r="J122" s="64"/>
      <c r="L122" s="58" t="s">
        <v>269</v>
      </c>
    </row>
    <row r="126" spans="1:13" s="290" customFormat="1" x14ac:dyDescent="0.2">
      <c r="A126" s="289" t="s">
        <v>315</v>
      </c>
    </row>
    <row r="127" spans="1:13" s="290" customFormat="1" x14ac:dyDescent="0.2">
      <c r="A127" s="289"/>
    </row>
    <row r="128" spans="1:13" s="290" customFormat="1" x14ac:dyDescent="0.2">
      <c r="A128" s="291" t="s">
        <v>262</v>
      </c>
      <c r="B128" s="290" t="s">
        <v>173</v>
      </c>
      <c r="C128" s="296">
        <v>13</v>
      </c>
    </row>
    <row r="129" spans="1:11" s="290" customFormat="1" x14ac:dyDescent="0.2">
      <c r="A129" s="292"/>
      <c r="B129" s="293"/>
      <c r="C129" s="294" t="s">
        <v>173</v>
      </c>
      <c r="D129" s="295"/>
      <c r="F129" s="296">
        <v>13</v>
      </c>
    </row>
    <row r="130" spans="1:11" s="290" customFormat="1" x14ac:dyDescent="0.2">
      <c r="A130" s="291" t="s">
        <v>316</v>
      </c>
      <c r="B130" s="281" t="s">
        <v>182</v>
      </c>
      <c r="C130" s="297">
        <v>4</v>
      </c>
      <c r="E130" s="298"/>
    </row>
    <row r="131" spans="1:11" s="290" customFormat="1" x14ac:dyDescent="0.2">
      <c r="A131" s="292"/>
      <c r="D131" s="299"/>
      <c r="E131" s="300"/>
      <c r="F131" s="290" t="s">
        <v>173</v>
      </c>
      <c r="I131" s="296">
        <v>13</v>
      </c>
    </row>
    <row r="132" spans="1:11" s="290" customFormat="1" x14ac:dyDescent="0.2">
      <c r="A132" s="291" t="s">
        <v>260</v>
      </c>
      <c r="B132" s="282" t="s">
        <v>162</v>
      </c>
      <c r="C132" s="301">
        <v>6</v>
      </c>
      <c r="E132" s="300"/>
      <c r="F132" s="293"/>
      <c r="G132" s="293"/>
      <c r="H132" s="298"/>
    </row>
    <row r="133" spans="1:11" s="290" customFormat="1" x14ac:dyDescent="0.2">
      <c r="A133" s="292"/>
      <c r="B133" s="293"/>
      <c r="C133" s="302" t="s">
        <v>175</v>
      </c>
      <c r="E133" s="303"/>
      <c r="F133" s="301">
        <v>7</v>
      </c>
      <c r="G133" s="299"/>
      <c r="H133" s="300"/>
    </row>
    <row r="134" spans="1:11" s="290" customFormat="1" x14ac:dyDescent="0.2">
      <c r="A134" s="291" t="s">
        <v>266</v>
      </c>
      <c r="B134" s="281" t="s">
        <v>175</v>
      </c>
      <c r="C134" s="310">
        <v>13</v>
      </c>
      <c r="D134" s="293"/>
      <c r="F134" s="299"/>
      <c r="G134" s="299"/>
      <c r="H134" s="300"/>
    </row>
    <row r="135" spans="1:11" s="290" customFormat="1" ht="13.5" thickBot="1" x14ac:dyDescent="0.25">
      <c r="A135" s="292"/>
      <c r="F135" s="299"/>
      <c r="G135" s="299"/>
      <c r="H135" s="300"/>
      <c r="J135" s="290" t="s">
        <v>173</v>
      </c>
    </row>
    <row r="136" spans="1:11" s="290" customFormat="1" x14ac:dyDescent="0.2">
      <c r="A136" s="291" t="s">
        <v>317</v>
      </c>
      <c r="B136" s="290" t="s">
        <v>163</v>
      </c>
      <c r="C136" s="296"/>
      <c r="F136" s="299"/>
      <c r="G136" s="299"/>
      <c r="H136" s="300"/>
      <c r="I136" s="304"/>
      <c r="J136" s="305" t="s">
        <v>270</v>
      </c>
      <c r="K136" s="306"/>
    </row>
    <row r="137" spans="1:11" s="290" customFormat="1" x14ac:dyDescent="0.2">
      <c r="A137" s="292"/>
      <c r="B137" s="293"/>
      <c r="C137" s="294" t="s">
        <v>191</v>
      </c>
      <c r="D137" s="295"/>
      <c r="F137" s="301">
        <v>13</v>
      </c>
      <c r="G137" s="299"/>
      <c r="H137" s="300"/>
    </row>
    <row r="138" spans="1:11" s="290" customFormat="1" ht="13.5" thickBot="1" x14ac:dyDescent="0.25">
      <c r="A138" s="291" t="s">
        <v>261</v>
      </c>
      <c r="B138" s="295" t="s">
        <v>191</v>
      </c>
      <c r="C138" s="297">
        <v>13</v>
      </c>
      <c r="E138" s="298"/>
      <c r="F138" s="299"/>
      <c r="G138" s="299"/>
      <c r="H138" s="300"/>
      <c r="J138" s="307" t="s">
        <v>191</v>
      </c>
      <c r="K138" s="307"/>
    </row>
    <row r="139" spans="1:11" s="290" customFormat="1" x14ac:dyDescent="0.2">
      <c r="A139" s="292"/>
      <c r="D139" s="299"/>
      <c r="E139" s="300"/>
      <c r="F139" s="295" t="s">
        <v>191</v>
      </c>
      <c r="G139" s="295"/>
      <c r="H139" s="303"/>
      <c r="I139" s="296">
        <v>9</v>
      </c>
      <c r="J139" s="305" t="s">
        <v>318</v>
      </c>
    </row>
    <row r="140" spans="1:11" s="290" customFormat="1" x14ac:dyDescent="0.2">
      <c r="A140" s="291" t="s">
        <v>264</v>
      </c>
      <c r="B140" s="290" t="s">
        <v>180</v>
      </c>
      <c r="C140" s="301">
        <v>13</v>
      </c>
      <c r="E140" s="300"/>
    </row>
    <row r="141" spans="1:11" s="290" customFormat="1" x14ac:dyDescent="0.2">
      <c r="A141" s="292"/>
      <c r="B141" s="293"/>
      <c r="C141" s="302" t="s">
        <v>180</v>
      </c>
      <c r="E141" s="303"/>
      <c r="F141" s="296">
        <v>4</v>
      </c>
    </row>
    <row r="142" spans="1:11" s="290" customFormat="1" x14ac:dyDescent="0.2">
      <c r="A142" s="291" t="s">
        <v>267</v>
      </c>
      <c r="B142" s="295" t="s">
        <v>181</v>
      </c>
      <c r="C142" s="310">
        <v>5</v>
      </c>
      <c r="D142" s="293"/>
    </row>
    <row r="143" spans="1:11" s="290" customFormat="1" x14ac:dyDescent="0.2">
      <c r="F143" s="290" t="s">
        <v>175</v>
      </c>
      <c r="I143" s="301">
        <v>13</v>
      </c>
      <c r="J143" s="299"/>
      <c r="K143" s="299"/>
    </row>
    <row r="144" spans="1:11" s="290" customFormat="1" ht="13.5" thickBot="1" x14ac:dyDescent="0.25">
      <c r="F144" s="293"/>
      <c r="G144" s="293"/>
      <c r="H144" s="298"/>
      <c r="I144" s="307"/>
      <c r="J144" s="307" t="s">
        <v>175</v>
      </c>
      <c r="K144" s="307"/>
    </row>
    <row r="145" spans="3:11" s="290" customFormat="1" x14ac:dyDescent="0.2">
      <c r="F145" s="295" t="s">
        <v>180</v>
      </c>
      <c r="G145" s="295"/>
      <c r="H145" s="303"/>
      <c r="I145" s="296">
        <v>8</v>
      </c>
      <c r="J145" s="308" t="s">
        <v>319</v>
      </c>
      <c r="K145" s="299"/>
    </row>
    <row r="146" spans="3:11" s="290" customFormat="1" x14ac:dyDescent="0.2">
      <c r="J146" s="299"/>
      <c r="K146" s="299"/>
    </row>
    <row r="147" spans="3:11" s="290" customFormat="1" ht="13.5" thickBot="1" x14ac:dyDescent="0.25">
      <c r="C147" s="290" t="s">
        <v>182</v>
      </c>
      <c r="F147" s="296">
        <v>13</v>
      </c>
      <c r="J147" s="307" t="s">
        <v>180</v>
      </c>
      <c r="K147" s="307"/>
    </row>
    <row r="148" spans="3:11" s="290" customFormat="1" x14ac:dyDescent="0.2">
      <c r="C148" s="293"/>
      <c r="D148" s="293"/>
      <c r="E148" s="298"/>
      <c r="F148" s="294" t="s">
        <v>182</v>
      </c>
      <c r="G148" s="295"/>
      <c r="H148" s="295"/>
      <c r="I148" s="296">
        <v>13</v>
      </c>
      <c r="J148" s="309" t="s">
        <v>320</v>
      </c>
    </row>
    <row r="149" spans="3:11" s="290" customFormat="1" x14ac:dyDescent="0.2">
      <c r="C149" s="295" t="s">
        <v>162</v>
      </c>
      <c r="D149" s="295"/>
      <c r="E149" s="303"/>
      <c r="F149" s="297">
        <v>9</v>
      </c>
      <c r="H149" s="300"/>
    </row>
    <row r="150" spans="3:11" s="290" customFormat="1" ht="13.5" thickBot="1" x14ac:dyDescent="0.25">
      <c r="F150" s="299"/>
      <c r="H150" s="300"/>
      <c r="J150" s="290" t="s">
        <v>182</v>
      </c>
    </row>
    <row r="151" spans="3:11" s="290" customFormat="1" x14ac:dyDescent="0.2">
      <c r="C151" s="290" t="s">
        <v>163</v>
      </c>
      <c r="F151" s="301">
        <v>0</v>
      </c>
      <c r="H151" s="300"/>
      <c r="I151" s="304"/>
      <c r="J151" s="305" t="s">
        <v>321</v>
      </c>
      <c r="K151" s="306"/>
    </row>
    <row r="152" spans="3:11" s="290" customFormat="1" x14ac:dyDescent="0.2">
      <c r="C152" s="293"/>
      <c r="D152" s="293"/>
      <c r="E152" s="298"/>
      <c r="F152" s="302" t="s">
        <v>181</v>
      </c>
      <c r="H152" s="303"/>
      <c r="I152" s="301">
        <v>0</v>
      </c>
    </row>
    <row r="153" spans="3:11" s="290" customFormat="1" ht="13.5" thickBot="1" x14ac:dyDescent="0.25">
      <c r="C153" s="295" t="s">
        <v>181</v>
      </c>
      <c r="D153" s="295"/>
      <c r="E153" s="303"/>
      <c r="F153" s="310">
        <v>13</v>
      </c>
      <c r="G153" s="293"/>
      <c r="I153" s="299"/>
      <c r="J153" s="299" t="s">
        <v>181</v>
      </c>
      <c r="K153" s="307"/>
    </row>
    <row r="154" spans="3:11" s="290" customFormat="1" x14ac:dyDescent="0.2">
      <c r="I154" s="299"/>
      <c r="J154" s="305" t="s">
        <v>322</v>
      </c>
      <c r="K154" s="299"/>
    </row>
    <row r="155" spans="3:11" s="290" customFormat="1" x14ac:dyDescent="0.2">
      <c r="F155" s="290" t="s">
        <v>162</v>
      </c>
      <c r="I155" s="301">
        <v>13</v>
      </c>
      <c r="J155" s="299"/>
      <c r="K155" s="299"/>
    </row>
    <row r="156" spans="3:11" s="290" customFormat="1" ht="13.5" thickBot="1" x14ac:dyDescent="0.25">
      <c r="F156" s="293"/>
      <c r="G156" s="293"/>
      <c r="H156" s="298"/>
      <c r="I156" s="307"/>
      <c r="J156" s="307" t="s">
        <v>162</v>
      </c>
      <c r="K156" s="307"/>
    </row>
    <row r="157" spans="3:11" s="290" customFormat="1" x14ac:dyDescent="0.2">
      <c r="F157" s="295" t="s">
        <v>163</v>
      </c>
      <c r="G157" s="295"/>
      <c r="H157" s="303"/>
      <c r="I157" s="296">
        <v>0</v>
      </c>
      <c r="J157" s="308" t="s">
        <v>323</v>
      </c>
      <c r="K157" s="299"/>
    </row>
    <row r="158" spans="3:11" s="290" customFormat="1" x14ac:dyDescent="0.2">
      <c r="J158" s="299"/>
      <c r="K158" s="299"/>
    </row>
    <row r="159" spans="3:11" s="290" customFormat="1" ht="13.5" thickBot="1" x14ac:dyDescent="0.25">
      <c r="G159" s="299"/>
      <c r="H159" s="299"/>
      <c r="J159" s="307" t="s">
        <v>163</v>
      </c>
      <c r="K159" s="307"/>
    </row>
    <row r="160" spans="3:11" s="290" customFormat="1" x14ac:dyDescent="0.2">
      <c r="J160" s="309" t="s">
        <v>324</v>
      </c>
    </row>
    <row r="161" spans="1:11" s="290" customFormat="1" x14ac:dyDescent="0.2">
      <c r="G161" s="299"/>
      <c r="H161" s="299"/>
    </row>
    <row r="162" spans="1:11" s="290" customFormat="1" x14ac:dyDescent="0.2">
      <c r="F162" s="59"/>
      <c r="G162" s="59"/>
      <c r="H162" s="59"/>
      <c r="I162" s="59"/>
      <c r="J162" s="59"/>
      <c r="K162" s="59"/>
    </row>
    <row r="163" spans="1:11" x14ac:dyDescent="0.2">
      <c r="A163" s="240">
        <v>1</v>
      </c>
      <c r="B163" s="285" t="s">
        <v>156</v>
      </c>
    </row>
    <row r="164" spans="1:11" x14ac:dyDescent="0.2">
      <c r="A164" s="240">
        <v>2</v>
      </c>
      <c r="B164" s="215" t="s">
        <v>153</v>
      </c>
    </row>
    <row r="165" spans="1:11" x14ac:dyDescent="0.2">
      <c r="A165" s="240">
        <v>3</v>
      </c>
      <c r="B165" s="216" t="s">
        <v>157</v>
      </c>
    </row>
    <row r="166" spans="1:11" x14ac:dyDescent="0.2">
      <c r="A166" s="240">
        <v>4</v>
      </c>
      <c r="B166" s="219" t="s">
        <v>167</v>
      </c>
    </row>
    <row r="167" spans="1:11" x14ac:dyDescent="0.2">
      <c r="A167" s="240">
        <v>5</v>
      </c>
      <c r="B167" s="219" t="s">
        <v>165</v>
      </c>
    </row>
    <row r="168" spans="1:11" x14ac:dyDescent="0.2">
      <c r="A168" s="240">
        <v>6</v>
      </c>
      <c r="B168" s="219" t="s">
        <v>161</v>
      </c>
    </row>
    <row r="169" spans="1:11" x14ac:dyDescent="0.2">
      <c r="A169" s="240">
        <v>7</v>
      </c>
      <c r="B169" s="219" t="s">
        <v>160</v>
      </c>
    </row>
    <row r="170" spans="1:11" x14ac:dyDescent="0.2">
      <c r="A170" s="240">
        <v>8</v>
      </c>
      <c r="B170" s="219" t="s">
        <v>172</v>
      </c>
    </row>
    <row r="171" spans="1:11" x14ac:dyDescent="0.2">
      <c r="A171" s="240">
        <v>9</v>
      </c>
      <c r="B171" s="219" t="s">
        <v>159</v>
      </c>
    </row>
    <row r="172" spans="1:11" x14ac:dyDescent="0.2">
      <c r="A172" s="240">
        <v>10</v>
      </c>
      <c r="B172" s="219" t="s">
        <v>155</v>
      </c>
    </row>
    <row r="173" spans="1:11" x14ac:dyDescent="0.2">
      <c r="A173" s="240">
        <v>11</v>
      </c>
      <c r="B173" s="219" t="s">
        <v>158</v>
      </c>
    </row>
    <row r="174" spans="1:11" x14ac:dyDescent="0.2">
      <c r="A174" s="240">
        <v>12</v>
      </c>
      <c r="B174" s="219" t="s">
        <v>174</v>
      </c>
    </row>
    <row r="175" spans="1:11" x14ac:dyDescent="0.2">
      <c r="A175" s="240">
        <v>13</v>
      </c>
      <c r="B175" s="219" t="s">
        <v>171</v>
      </c>
    </row>
    <row r="176" spans="1:11" x14ac:dyDescent="0.2">
      <c r="A176" s="240">
        <v>14</v>
      </c>
      <c r="B176" s="219" t="s">
        <v>169</v>
      </c>
    </row>
    <row r="177" spans="1:2" x14ac:dyDescent="0.2">
      <c r="A177" s="240">
        <v>15</v>
      </c>
      <c r="B177" s="219" t="s">
        <v>166</v>
      </c>
    </row>
    <row r="178" spans="1:2" x14ac:dyDescent="0.2">
      <c r="A178" s="240">
        <v>16</v>
      </c>
      <c r="B178" s="219" t="s">
        <v>170</v>
      </c>
    </row>
    <row r="179" spans="1:2" x14ac:dyDescent="0.2">
      <c r="A179" s="240">
        <v>17</v>
      </c>
      <c r="B179" s="219" t="s">
        <v>173</v>
      </c>
    </row>
    <row r="180" spans="1:2" x14ac:dyDescent="0.2">
      <c r="A180" s="240">
        <v>18</v>
      </c>
      <c r="B180" s="219" t="s">
        <v>191</v>
      </c>
    </row>
    <row r="181" spans="1:2" x14ac:dyDescent="0.2">
      <c r="A181" s="240">
        <v>19</v>
      </c>
      <c r="B181" s="219" t="s">
        <v>175</v>
      </c>
    </row>
    <row r="182" spans="1:2" x14ac:dyDescent="0.2">
      <c r="A182" s="240">
        <v>20</v>
      </c>
      <c r="B182" s="219" t="s">
        <v>180</v>
      </c>
    </row>
    <row r="183" spans="1:2" x14ac:dyDescent="0.2">
      <c r="A183" s="240">
        <v>21</v>
      </c>
      <c r="B183" s="219" t="s">
        <v>182</v>
      </c>
    </row>
    <row r="184" spans="1:2" x14ac:dyDescent="0.2">
      <c r="A184" s="240">
        <v>22</v>
      </c>
      <c r="B184" s="219" t="s">
        <v>181</v>
      </c>
    </row>
    <row r="185" spans="1:2" x14ac:dyDescent="0.2">
      <c r="A185" s="240">
        <v>23</v>
      </c>
      <c r="B185" s="219" t="s">
        <v>162</v>
      </c>
    </row>
    <row r="186" spans="1:2" x14ac:dyDescent="0.2">
      <c r="A186" s="240">
        <v>24</v>
      </c>
      <c r="B186" s="219" t="s">
        <v>163</v>
      </c>
    </row>
  </sheetData>
  <conditionalFormatting sqref="B10">
    <cfRule type="duplicateValues" dxfId="215" priority="20" stopIfTrue="1"/>
  </conditionalFormatting>
  <conditionalFormatting sqref="B15">
    <cfRule type="duplicateValues" dxfId="214" priority="19" stopIfTrue="1"/>
  </conditionalFormatting>
  <conditionalFormatting sqref="B11">
    <cfRule type="duplicateValues" dxfId="213" priority="18" stopIfTrue="1"/>
  </conditionalFormatting>
  <conditionalFormatting sqref="B16">
    <cfRule type="duplicateValues" dxfId="212" priority="17" stopIfTrue="1"/>
  </conditionalFormatting>
  <conditionalFormatting sqref="B17">
    <cfRule type="duplicateValues" dxfId="211" priority="16" stopIfTrue="1"/>
  </conditionalFormatting>
  <conditionalFormatting sqref="B21">
    <cfRule type="duplicateValues" dxfId="210" priority="15" stopIfTrue="1"/>
  </conditionalFormatting>
  <conditionalFormatting sqref="B27">
    <cfRule type="duplicateValues" dxfId="209" priority="14" stopIfTrue="1"/>
  </conditionalFormatting>
  <conditionalFormatting sqref="B28">
    <cfRule type="duplicateValues" dxfId="208" priority="13" stopIfTrue="1"/>
  </conditionalFormatting>
  <conditionalFormatting sqref="B29">
    <cfRule type="duplicateValues" dxfId="207" priority="12" stopIfTrue="1"/>
  </conditionalFormatting>
  <conditionalFormatting sqref="J9">
    <cfRule type="duplicateValues" dxfId="206" priority="11" stopIfTrue="1"/>
  </conditionalFormatting>
  <conditionalFormatting sqref="J11">
    <cfRule type="duplicateValues" dxfId="205" priority="10" stopIfTrue="1"/>
  </conditionalFormatting>
  <conditionalFormatting sqref="J15">
    <cfRule type="duplicateValues" dxfId="204" priority="9" stopIfTrue="1"/>
  </conditionalFormatting>
  <conditionalFormatting sqref="J16">
    <cfRule type="duplicateValues" dxfId="203" priority="8" stopIfTrue="1"/>
  </conditionalFormatting>
  <conditionalFormatting sqref="J21">
    <cfRule type="duplicateValues" dxfId="202" priority="7" stopIfTrue="1"/>
  </conditionalFormatting>
  <conditionalFormatting sqref="J22">
    <cfRule type="duplicateValues" dxfId="201" priority="6" stopIfTrue="1"/>
  </conditionalFormatting>
  <conditionalFormatting sqref="J23">
    <cfRule type="duplicateValues" dxfId="200" priority="5" stopIfTrue="1"/>
  </conditionalFormatting>
  <conditionalFormatting sqref="J27">
    <cfRule type="duplicateValues" dxfId="199" priority="4" stopIfTrue="1"/>
  </conditionalFormatting>
  <conditionalFormatting sqref="J28">
    <cfRule type="duplicateValues" dxfId="198" priority="3" stopIfTrue="1"/>
  </conditionalFormatting>
  <conditionalFormatting sqref="J29">
    <cfRule type="duplicateValues" dxfId="197" priority="2" stopIfTrue="1"/>
  </conditionalFormatting>
  <conditionalFormatting sqref="C9:N157">
    <cfRule type="cellIs" dxfId="196" priority="1" stopIfTrue="1" operator="equal">
      <formula>13</formula>
    </cfRule>
  </conditionalFormatting>
  <pageMargins left="0.78740157480314965" right="0.39370078740157483" top="0.59055118110236227" bottom="0.39370078740157483" header="0.39370078740157483" footer="0"/>
  <pageSetup paperSize="9" fitToHeight="0" orientation="landscape" verticalDpi="1200" r:id="rId1"/>
  <headerFooter>
    <oddHeader>&amp;R&amp;"Arial,Regular"&amp;9Page &amp;P of &amp;N</oddHeader>
  </headerFooter>
  <rowBreaks count="5" manualBreakCount="5">
    <brk id="30" max="16383" man="1"/>
    <brk id="68" max="16383" man="1"/>
    <brk id="85" max="16383" man="1"/>
    <brk id="122" max="16383" man="1"/>
    <brk id="16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K49"/>
  <sheetViews>
    <sheetView showGridLines="0" showRowColHeaders="0" zoomScaleNormal="100" workbookViewId="0">
      <pane ySplit="6" topLeftCell="A7" activePane="bottomLeft" state="frozen"/>
      <selection activeCell="E5" sqref="E5"/>
      <selection pane="bottomLeft" activeCell="M1" sqref="M1"/>
    </sheetView>
  </sheetViews>
  <sheetFormatPr defaultRowHeight="12.75" x14ac:dyDescent="0.2"/>
  <cols>
    <col min="1" max="1" width="4" style="192" customWidth="1"/>
    <col min="2" max="2" width="3.28515625" style="192" customWidth="1"/>
    <col min="3" max="3" width="3.28515625" style="236" customWidth="1"/>
    <col min="4" max="4" width="27.140625" style="192" customWidth="1"/>
    <col min="5" max="5" width="4" style="220" bestFit="1" customWidth="1"/>
    <col min="6" max="7" width="5.5703125" style="236" bestFit="1" customWidth="1"/>
    <col min="8" max="8" width="5.5703125" style="236" customWidth="1"/>
    <col min="9" max="11" width="3.28515625" style="192" bestFit="1" customWidth="1"/>
    <col min="12" max="16384" width="9.140625" style="192"/>
  </cols>
  <sheetData>
    <row r="1" spans="1:11" x14ac:dyDescent="0.2">
      <c r="B1" s="315"/>
      <c r="C1" s="608" t="s">
        <v>605</v>
      </c>
      <c r="D1" s="315"/>
      <c r="E1" s="315"/>
      <c r="F1" s="315"/>
      <c r="G1" s="315"/>
      <c r="H1" s="316" t="s">
        <v>582</v>
      </c>
      <c r="I1" s="190"/>
      <c r="J1" s="191" t="s">
        <v>139</v>
      </c>
      <c r="K1" s="191"/>
    </row>
    <row r="2" spans="1:11" x14ac:dyDescent="0.2">
      <c r="B2" s="315"/>
      <c r="C2" s="317" t="s">
        <v>325</v>
      </c>
      <c r="D2" s="315"/>
      <c r="E2" s="315"/>
      <c r="F2" s="315"/>
      <c r="G2" s="315"/>
      <c r="H2" s="315"/>
      <c r="J2" s="194" t="s">
        <v>140</v>
      </c>
      <c r="K2" s="194"/>
    </row>
    <row r="3" spans="1:11" x14ac:dyDescent="0.2">
      <c r="A3" s="315" t="s">
        <v>136</v>
      </c>
      <c r="B3" s="315"/>
      <c r="C3" s="315"/>
      <c r="D3" s="315"/>
      <c r="E3" s="315"/>
      <c r="F3" s="315"/>
      <c r="G3" s="315"/>
      <c r="H3" s="315"/>
      <c r="J3" s="195" t="s">
        <v>141</v>
      </c>
      <c r="K3" s="195"/>
    </row>
    <row r="4" spans="1:11" ht="31.5" customHeight="1" x14ac:dyDescent="0.2">
      <c r="A4" s="318"/>
      <c r="B4" s="318"/>
      <c r="C4" s="318"/>
      <c r="D4" s="318"/>
      <c r="E4" s="318"/>
      <c r="F4" s="319" t="s">
        <v>326</v>
      </c>
      <c r="G4" s="319" t="s">
        <v>327</v>
      </c>
      <c r="H4" s="319" t="s">
        <v>328</v>
      </c>
      <c r="I4" s="802" t="s">
        <v>142</v>
      </c>
      <c r="J4" s="803" t="s">
        <v>143</v>
      </c>
      <c r="K4" s="804" t="s">
        <v>144</v>
      </c>
    </row>
    <row r="5" spans="1:11" x14ac:dyDescent="0.2">
      <c r="A5" s="781" t="s">
        <v>620</v>
      </c>
      <c r="B5" s="785"/>
      <c r="C5" s="786"/>
      <c r="D5" s="320"/>
      <c r="E5" s="673" t="s">
        <v>136</v>
      </c>
      <c r="F5" s="703" t="str">
        <f>HYPERLINK("#1!I1","  1  ")</f>
        <v xml:space="preserve">  1  </v>
      </c>
      <c r="G5" s="703" t="str">
        <f>HYPERLINK("#2!J1","  2  ")</f>
        <v xml:space="preserve">  2  </v>
      </c>
      <c r="H5" s="703" t="str">
        <f>HYPERLINK("#3!K1","  3  ")</f>
        <v xml:space="preserve">  3  </v>
      </c>
      <c r="I5" s="802"/>
      <c r="J5" s="803"/>
      <c r="K5" s="804"/>
    </row>
    <row r="6" spans="1:11" x14ac:dyDescent="0.2">
      <c r="A6" s="780" t="s">
        <v>619</v>
      </c>
      <c r="B6" s="640" t="s">
        <v>145</v>
      </c>
      <c r="C6" s="637" t="s">
        <v>146</v>
      </c>
      <c r="D6" s="321" t="s">
        <v>147</v>
      </c>
      <c r="E6" s="780" t="s">
        <v>148</v>
      </c>
      <c r="F6" s="762" t="s">
        <v>150</v>
      </c>
      <c r="G6" s="762" t="s">
        <v>151</v>
      </c>
      <c r="H6" s="763" t="s">
        <v>152</v>
      </c>
      <c r="I6" s="206"/>
      <c r="J6" s="207"/>
      <c r="K6" s="190"/>
    </row>
    <row r="7" spans="1:11" x14ac:dyDescent="0.2">
      <c r="A7" s="783">
        <v>1</v>
      </c>
      <c r="B7" s="222"/>
      <c r="C7" s="699"/>
      <c r="D7" s="775" t="s">
        <v>156</v>
      </c>
      <c r="E7" s="784">
        <f t="shared" ref="E7:E47" si="0">SUM(F7:H7)</f>
        <v>100</v>
      </c>
      <c r="F7" s="217">
        <v>20</v>
      </c>
      <c r="G7" s="212">
        <v>40</v>
      </c>
      <c r="H7" s="217">
        <v>40</v>
      </c>
      <c r="I7" s="214">
        <f>COUNTIF(F7:H7,"&gt;=0")</f>
        <v>3</v>
      </c>
      <c r="J7" s="214">
        <f t="shared" ref="J7:J47" si="1">COUNTIF(F7:H7,"&gt;=30")</f>
        <v>2</v>
      </c>
      <c r="K7" s="214">
        <f t="shared" ref="K7:K47" si="2">COUNTIF(F7:H7,"=40")</f>
        <v>2</v>
      </c>
    </row>
    <row r="8" spans="1:11" x14ac:dyDescent="0.2">
      <c r="A8" s="783">
        <v>2</v>
      </c>
      <c r="B8" s="222"/>
      <c r="C8" s="699"/>
      <c r="D8" s="322" t="s">
        <v>153</v>
      </c>
      <c r="E8" s="784">
        <f t="shared" si="0"/>
        <v>80</v>
      </c>
      <c r="F8" s="217">
        <v>40</v>
      </c>
      <c r="G8" s="212">
        <v>6</v>
      </c>
      <c r="H8" s="217">
        <v>34</v>
      </c>
      <c r="I8" s="214">
        <f t="shared" ref="I8:I47" si="3">COUNTIF(F8:H8,"&gt;=0")</f>
        <v>3</v>
      </c>
      <c r="J8" s="214">
        <f t="shared" si="1"/>
        <v>2</v>
      </c>
      <c r="K8" s="214">
        <f t="shared" si="2"/>
        <v>1</v>
      </c>
    </row>
    <row r="9" spans="1:11" x14ac:dyDescent="0.2">
      <c r="A9" s="783">
        <v>3</v>
      </c>
      <c r="B9" s="222"/>
      <c r="C9" s="699"/>
      <c r="D9" s="323" t="s">
        <v>161</v>
      </c>
      <c r="E9" s="784">
        <f t="shared" si="0"/>
        <v>80</v>
      </c>
      <c r="F9" s="217">
        <v>34</v>
      </c>
      <c r="G9" s="212">
        <v>24</v>
      </c>
      <c r="H9" s="217">
        <v>22</v>
      </c>
      <c r="I9" s="214">
        <f t="shared" si="3"/>
        <v>3</v>
      </c>
      <c r="J9" s="214">
        <f t="shared" si="1"/>
        <v>1</v>
      </c>
      <c r="K9" s="214">
        <f t="shared" si="2"/>
        <v>0</v>
      </c>
    </row>
    <row r="10" spans="1:11" x14ac:dyDescent="0.2">
      <c r="A10" s="783">
        <v>4</v>
      </c>
      <c r="B10" s="222"/>
      <c r="C10" s="699"/>
      <c r="D10" s="198" t="s">
        <v>157</v>
      </c>
      <c r="E10" s="784">
        <f t="shared" si="0"/>
        <v>72</v>
      </c>
      <c r="F10" s="217">
        <v>22</v>
      </c>
      <c r="G10" s="212">
        <v>20</v>
      </c>
      <c r="H10" s="217">
        <v>30</v>
      </c>
      <c r="I10" s="214">
        <f t="shared" si="3"/>
        <v>3</v>
      </c>
      <c r="J10" s="214">
        <f t="shared" si="1"/>
        <v>1</v>
      </c>
      <c r="K10" s="214">
        <f t="shared" si="2"/>
        <v>0</v>
      </c>
    </row>
    <row r="11" spans="1:11" x14ac:dyDescent="0.2">
      <c r="A11" s="783">
        <v>5</v>
      </c>
      <c r="B11" s="222"/>
      <c r="C11" s="699"/>
      <c r="D11" s="219" t="s">
        <v>165</v>
      </c>
      <c r="E11" s="784">
        <f t="shared" si="0"/>
        <v>72</v>
      </c>
      <c r="F11" s="217">
        <v>22</v>
      </c>
      <c r="G11" s="212">
        <v>26</v>
      </c>
      <c r="H11" s="217">
        <v>24</v>
      </c>
      <c r="I11" s="214">
        <f t="shared" si="3"/>
        <v>3</v>
      </c>
      <c r="J11" s="214">
        <f t="shared" si="1"/>
        <v>0</v>
      </c>
      <c r="K11" s="214">
        <f t="shared" si="2"/>
        <v>0</v>
      </c>
    </row>
    <row r="12" spans="1:11" x14ac:dyDescent="0.2">
      <c r="A12" s="783">
        <v>6</v>
      </c>
      <c r="B12" s="222"/>
      <c r="C12" s="699"/>
      <c r="D12" s="198" t="s">
        <v>169</v>
      </c>
      <c r="E12" s="784">
        <f t="shared" si="0"/>
        <v>66</v>
      </c>
      <c r="F12" s="217">
        <v>20</v>
      </c>
      <c r="G12" s="212">
        <v>40</v>
      </c>
      <c r="H12" s="217">
        <v>6</v>
      </c>
      <c r="I12" s="214">
        <f t="shared" si="3"/>
        <v>3</v>
      </c>
      <c r="J12" s="214">
        <f t="shared" si="1"/>
        <v>1</v>
      </c>
      <c r="K12" s="214">
        <f t="shared" si="2"/>
        <v>1</v>
      </c>
    </row>
    <row r="13" spans="1:11" x14ac:dyDescent="0.2">
      <c r="A13" s="783">
        <v>7</v>
      </c>
      <c r="B13" s="222"/>
      <c r="C13" s="699"/>
      <c r="D13" s="198" t="s">
        <v>170</v>
      </c>
      <c r="E13" s="784">
        <f t="shared" si="0"/>
        <v>66</v>
      </c>
      <c r="F13" s="217">
        <v>34</v>
      </c>
      <c r="G13" s="212">
        <v>30</v>
      </c>
      <c r="H13" s="217">
        <v>2</v>
      </c>
      <c r="I13" s="214">
        <f t="shared" si="3"/>
        <v>3</v>
      </c>
      <c r="J13" s="214">
        <f t="shared" si="1"/>
        <v>2</v>
      </c>
      <c r="K13" s="214">
        <f t="shared" si="2"/>
        <v>0</v>
      </c>
    </row>
    <row r="14" spans="1:11" x14ac:dyDescent="0.2">
      <c r="A14" s="783">
        <v>8</v>
      </c>
      <c r="B14" s="222">
        <v>1</v>
      </c>
      <c r="C14" s="699"/>
      <c r="D14" s="221" t="s">
        <v>173</v>
      </c>
      <c r="E14" s="784">
        <f t="shared" si="0"/>
        <v>65</v>
      </c>
      <c r="F14" s="318">
        <v>34</v>
      </c>
      <c r="G14" s="212">
        <v>30</v>
      </c>
      <c r="H14" s="217">
        <v>1</v>
      </c>
      <c r="I14" s="214">
        <f t="shared" si="3"/>
        <v>3</v>
      </c>
      <c r="J14" s="214">
        <f t="shared" si="1"/>
        <v>2</v>
      </c>
      <c r="K14" s="214">
        <f t="shared" si="2"/>
        <v>0</v>
      </c>
    </row>
    <row r="15" spans="1:11" x14ac:dyDescent="0.2">
      <c r="A15" s="783">
        <v>9</v>
      </c>
      <c r="B15" s="222"/>
      <c r="C15" s="699"/>
      <c r="D15" s="198" t="s">
        <v>160</v>
      </c>
      <c r="E15" s="784">
        <f t="shared" si="0"/>
        <v>62</v>
      </c>
      <c r="F15" s="212">
        <v>30</v>
      </c>
      <c r="G15" s="212">
        <v>12</v>
      </c>
      <c r="H15" s="217">
        <v>20</v>
      </c>
      <c r="I15" s="214">
        <f t="shared" si="3"/>
        <v>3</v>
      </c>
      <c r="J15" s="214">
        <f t="shared" si="1"/>
        <v>1</v>
      </c>
      <c r="K15" s="214">
        <f t="shared" si="2"/>
        <v>0</v>
      </c>
    </row>
    <row r="16" spans="1:11" x14ac:dyDescent="0.2">
      <c r="A16" s="783">
        <v>10</v>
      </c>
      <c r="B16" s="222"/>
      <c r="C16" s="699"/>
      <c r="D16" s="219" t="s">
        <v>155</v>
      </c>
      <c r="E16" s="784">
        <f t="shared" si="0"/>
        <v>60</v>
      </c>
      <c r="F16" s="217">
        <v>40</v>
      </c>
      <c r="G16" s="212">
        <v>6</v>
      </c>
      <c r="H16" s="217">
        <v>14</v>
      </c>
      <c r="I16" s="214">
        <f t="shared" si="3"/>
        <v>3</v>
      </c>
      <c r="J16" s="214">
        <f t="shared" si="1"/>
        <v>1</v>
      </c>
      <c r="K16" s="214">
        <f t="shared" si="2"/>
        <v>1</v>
      </c>
    </row>
    <row r="17" spans="1:11" x14ac:dyDescent="0.2">
      <c r="A17" s="783">
        <v>11</v>
      </c>
      <c r="B17" s="222"/>
      <c r="C17" s="699"/>
      <c r="D17" s="198" t="s">
        <v>171</v>
      </c>
      <c r="E17" s="784">
        <f t="shared" si="0"/>
        <v>54</v>
      </c>
      <c r="F17" s="217">
        <v>24</v>
      </c>
      <c r="G17" s="212">
        <v>22</v>
      </c>
      <c r="H17" s="217">
        <v>8</v>
      </c>
      <c r="I17" s="214">
        <f t="shared" si="3"/>
        <v>3</v>
      </c>
      <c r="J17" s="214">
        <f t="shared" si="1"/>
        <v>0</v>
      </c>
      <c r="K17" s="214">
        <f t="shared" si="2"/>
        <v>0</v>
      </c>
    </row>
    <row r="18" spans="1:11" x14ac:dyDescent="0.2">
      <c r="A18" s="783">
        <v>12</v>
      </c>
      <c r="B18" s="641"/>
      <c r="C18" s="638"/>
      <c r="D18" s="198" t="s">
        <v>164</v>
      </c>
      <c r="E18" s="784">
        <f t="shared" si="0"/>
        <v>52</v>
      </c>
      <c r="F18" s="217">
        <v>18</v>
      </c>
      <c r="G18" s="212">
        <v>34</v>
      </c>
      <c r="H18" s="212"/>
      <c r="I18" s="214">
        <f t="shared" si="3"/>
        <v>2</v>
      </c>
      <c r="J18" s="214">
        <f t="shared" si="1"/>
        <v>1</v>
      </c>
      <c r="K18" s="214">
        <f t="shared" si="2"/>
        <v>0</v>
      </c>
    </row>
    <row r="19" spans="1:11" x14ac:dyDescent="0.2">
      <c r="A19" s="783">
        <v>13</v>
      </c>
      <c r="B19" s="222"/>
      <c r="C19" s="699"/>
      <c r="D19" s="198" t="s">
        <v>158</v>
      </c>
      <c r="E19" s="784">
        <f t="shared" si="0"/>
        <v>52</v>
      </c>
      <c r="F19" s="217">
        <v>14</v>
      </c>
      <c r="G19" s="212">
        <v>26</v>
      </c>
      <c r="H19" s="217">
        <v>12</v>
      </c>
      <c r="I19" s="214">
        <f t="shared" si="3"/>
        <v>3</v>
      </c>
      <c r="J19" s="214">
        <f t="shared" si="1"/>
        <v>0</v>
      </c>
      <c r="K19" s="214">
        <f t="shared" si="2"/>
        <v>0</v>
      </c>
    </row>
    <row r="20" spans="1:11" x14ac:dyDescent="0.2">
      <c r="A20" s="783">
        <v>14</v>
      </c>
      <c r="B20" s="222"/>
      <c r="C20" s="699"/>
      <c r="D20" s="198" t="s">
        <v>159</v>
      </c>
      <c r="E20" s="784">
        <f t="shared" si="0"/>
        <v>50</v>
      </c>
      <c r="F20" s="212"/>
      <c r="G20" s="212">
        <v>34</v>
      </c>
      <c r="H20" s="217">
        <v>16</v>
      </c>
      <c r="I20" s="214">
        <f t="shared" si="3"/>
        <v>2</v>
      </c>
      <c r="J20" s="214">
        <f t="shared" si="1"/>
        <v>1</v>
      </c>
      <c r="K20" s="214">
        <f t="shared" si="2"/>
        <v>0</v>
      </c>
    </row>
    <row r="21" spans="1:11" x14ac:dyDescent="0.2">
      <c r="A21" s="783">
        <v>15</v>
      </c>
      <c r="B21" s="222"/>
      <c r="C21" s="699"/>
      <c r="D21" s="198" t="s">
        <v>167</v>
      </c>
      <c r="E21" s="784">
        <f t="shared" si="0"/>
        <v>48</v>
      </c>
      <c r="F21" s="217">
        <v>20</v>
      </c>
      <c r="G21" s="212">
        <v>2</v>
      </c>
      <c r="H21" s="217">
        <v>26</v>
      </c>
      <c r="I21" s="214">
        <f t="shared" si="3"/>
        <v>3</v>
      </c>
      <c r="J21" s="214">
        <f t="shared" si="1"/>
        <v>0</v>
      </c>
      <c r="K21" s="214">
        <f t="shared" si="2"/>
        <v>0</v>
      </c>
    </row>
    <row r="22" spans="1:11" x14ac:dyDescent="0.2">
      <c r="A22" s="783">
        <v>16</v>
      </c>
      <c r="B22" s="222"/>
      <c r="C22" s="699"/>
      <c r="D22" s="198" t="s">
        <v>172</v>
      </c>
      <c r="E22" s="784">
        <f t="shared" si="0"/>
        <v>48</v>
      </c>
      <c r="F22" s="217">
        <v>16</v>
      </c>
      <c r="G22" s="212">
        <v>14</v>
      </c>
      <c r="H22" s="217">
        <v>18</v>
      </c>
      <c r="I22" s="214">
        <f t="shared" si="3"/>
        <v>3</v>
      </c>
      <c r="J22" s="214">
        <f t="shared" si="1"/>
        <v>0</v>
      </c>
      <c r="K22" s="214">
        <f t="shared" si="2"/>
        <v>0</v>
      </c>
    </row>
    <row r="23" spans="1:11" s="220" customFormat="1" x14ac:dyDescent="0.2">
      <c r="A23" s="783">
        <v>17</v>
      </c>
      <c r="B23" s="222"/>
      <c r="C23" s="699"/>
      <c r="D23" s="198" t="s">
        <v>163</v>
      </c>
      <c r="E23" s="784">
        <f t="shared" si="0"/>
        <v>47</v>
      </c>
      <c r="F23" s="217">
        <v>24</v>
      </c>
      <c r="G23" s="212">
        <v>22</v>
      </c>
      <c r="H23" s="217">
        <v>1</v>
      </c>
      <c r="I23" s="214">
        <f t="shared" si="3"/>
        <v>3</v>
      </c>
      <c r="J23" s="214">
        <f t="shared" si="1"/>
        <v>0</v>
      </c>
      <c r="K23" s="214">
        <f t="shared" si="2"/>
        <v>0</v>
      </c>
    </row>
    <row r="24" spans="1:11" x14ac:dyDescent="0.2">
      <c r="A24" s="783">
        <v>18</v>
      </c>
      <c r="B24" s="222">
        <v>2</v>
      </c>
      <c r="C24" s="699"/>
      <c r="D24" s="221" t="s">
        <v>180</v>
      </c>
      <c r="E24" s="784">
        <f t="shared" si="0"/>
        <v>43</v>
      </c>
      <c r="F24" s="217">
        <v>30</v>
      </c>
      <c r="G24" s="212">
        <v>12</v>
      </c>
      <c r="H24" s="217">
        <v>1</v>
      </c>
      <c r="I24" s="214">
        <f t="shared" si="3"/>
        <v>3</v>
      </c>
      <c r="J24" s="214">
        <f t="shared" si="1"/>
        <v>1</v>
      </c>
      <c r="K24" s="214">
        <f t="shared" si="2"/>
        <v>0</v>
      </c>
    </row>
    <row r="25" spans="1:11" s="220" customFormat="1" x14ac:dyDescent="0.2">
      <c r="A25" s="783">
        <v>19</v>
      </c>
      <c r="B25" s="222"/>
      <c r="C25" s="699">
        <v>1</v>
      </c>
      <c r="D25" s="218" t="s">
        <v>162</v>
      </c>
      <c r="E25" s="784">
        <f t="shared" si="0"/>
        <v>43</v>
      </c>
      <c r="F25" s="217">
        <v>22</v>
      </c>
      <c r="G25" s="212">
        <v>20</v>
      </c>
      <c r="H25" s="217">
        <v>1</v>
      </c>
      <c r="I25" s="214">
        <f t="shared" si="3"/>
        <v>3</v>
      </c>
      <c r="J25" s="214">
        <f t="shared" si="1"/>
        <v>0</v>
      </c>
      <c r="K25" s="214">
        <f t="shared" si="2"/>
        <v>0</v>
      </c>
    </row>
    <row r="26" spans="1:11" x14ac:dyDescent="0.2">
      <c r="A26" s="783">
        <v>20</v>
      </c>
      <c r="B26" s="222"/>
      <c r="C26" s="699"/>
      <c r="D26" s="198" t="s">
        <v>168</v>
      </c>
      <c r="E26" s="784">
        <f t="shared" si="0"/>
        <v>42</v>
      </c>
      <c r="F26" s="217">
        <v>18</v>
      </c>
      <c r="G26" s="212">
        <v>24</v>
      </c>
      <c r="H26" s="212"/>
      <c r="I26" s="214">
        <f t="shared" si="3"/>
        <v>2</v>
      </c>
      <c r="J26" s="214">
        <f t="shared" si="1"/>
        <v>0</v>
      </c>
      <c r="K26" s="214">
        <f t="shared" si="2"/>
        <v>0</v>
      </c>
    </row>
    <row r="27" spans="1:11" x14ac:dyDescent="0.2">
      <c r="A27" s="783">
        <v>21</v>
      </c>
      <c r="B27" s="222"/>
      <c r="C27" s="699"/>
      <c r="D27" s="198" t="s">
        <v>179</v>
      </c>
      <c r="E27" s="784">
        <f t="shared" si="0"/>
        <v>40</v>
      </c>
      <c r="F27" s="217">
        <v>40</v>
      </c>
      <c r="G27" s="212"/>
      <c r="H27" s="212"/>
      <c r="I27" s="214">
        <f t="shared" si="3"/>
        <v>1</v>
      </c>
      <c r="J27" s="214">
        <f t="shared" si="1"/>
        <v>1</v>
      </c>
      <c r="K27" s="214">
        <f t="shared" si="2"/>
        <v>1</v>
      </c>
    </row>
    <row r="28" spans="1:11" s="220" customFormat="1" x14ac:dyDescent="0.2">
      <c r="A28" s="783">
        <v>22</v>
      </c>
      <c r="B28" s="222"/>
      <c r="C28" s="700"/>
      <c r="D28" s="198" t="s">
        <v>183</v>
      </c>
      <c r="E28" s="784">
        <f t="shared" si="0"/>
        <v>40</v>
      </c>
      <c r="F28" s="217">
        <v>26</v>
      </c>
      <c r="G28" s="212">
        <v>14</v>
      </c>
      <c r="H28" s="212"/>
      <c r="I28" s="214">
        <f t="shared" si="3"/>
        <v>2</v>
      </c>
      <c r="J28" s="214">
        <f t="shared" si="1"/>
        <v>0</v>
      </c>
      <c r="K28" s="214">
        <f t="shared" si="2"/>
        <v>0</v>
      </c>
    </row>
    <row r="29" spans="1:11" x14ac:dyDescent="0.2">
      <c r="A29" s="783">
        <v>23</v>
      </c>
      <c r="B29" s="641"/>
      <c r="C29" s="638"/>
      <c r="D29" s="219" t="s">
        <v>166</v>
      </c>
      <c r="E29" s="784">
        <f t="shared" si="0"/>
        <v>40</v>
      </c>
      <c r="F29" s="217">
        <v>18</v>
      </c>
      <c r="G29" s="212">
        <v>18</v>
      </c>
      <c r="H29" s="217">
        <v>4</v>
      </c>
      <c r="I29" s="214">
        <f t="shared" si="3"/>
        <v>3</v>
      </c>
      <c r="J29" s="214">
        <f t="shared" si="1"/>
        <v>0</v>
      </c>
      <c r="K29" s="214">
        <f t="shared" si="2"/>
        <v>0</v>
      </c>
    </row>
    <row r="30" spans="1:11" x14ac:dyDescent="0.2">
      <c r="A30" s="783">
        <v>24</v>
      </c>
      <c r="B30" s="222"/>
      <c r="C30" s="699"/>
      <c r="D30" s="219" t="s">
        <v>175</v>
      </c>
      <c r="E30" s="784">
        <f t="shared" si="0"/>
        <v>37</v>
      </c>
      <c r="F30" s="217">
        <v>26</v>
      </c>
      <c r="G30" s="212">
        <v>10</v>
      </c>
      <c r="H30" s="217">
        <v>1</v>
      </c>
      <c r="I30" s="214">
        <f t="shared" si="3"/>
        <v>3</v>
      </c>
      <c r="J30" s="214">
        <f t="shared" si="1"/>
        <v>0</v>
      </c>
      <c r="K30" s="214">
        <f t="shared" si="2"/>
        <v>0</v>
      </c>
    </row>
    <row r="31" spans="1:11" s="220" customFormat="1" x14ac:dyDescent="0.2">
      <c r="A31" s="783">
        <v>25</v>
      </c>
      <c r="B31" s="222">
        <v>3</v>
      </c>
      <c r="C31" s="699"/>
      <c r="D31" s="222" t="s">
        <v>174</v>
      </c>
      <c r="E31" s="784">
        <f t="shared" si="0"/>
        <v>36</v>
      </c>
      <c r="F31" s="217">
        <v>26</v>
      </c>
      <c r="G31" s="212"/>
      <c r="H31" s="217">
        <v>10</v>
      </c>
      <c r="I31" s="214">
        <f t="shared" si="3"/>
        <v>2</v>
      </c>
      <c r="J31" s="214">
        <f t="shared" si="1"/>
        <v>0</v>
      </c>
      <c r="K31" s="214">
        <f t="shared" si="2"/>
        <v>0</v>
      </c>
    </row>
    <row r="32" spans="1:11" s="220" customFormat="1" x14ac:dyDescent="0.2">
      <c r="A32" s="783">
        <v>26</v>
      </c>
      <c r="B32" s="222"/>
      <c r="C32" s="699"/>
      <c r="D32" s="219" t="s">
        <v>176</v>
      </c>
      <c r="E32" s="784">
        <f t="shared" si="0"/>
        <v>34</v>
      </c>
      <c r="F32" s="212">
        <v>16</v>
      </c>
      <c r="G32" s="212">
        <v>18</v>
      </c>
      <c r="H32" s="212"/>
      <c r="I32" s="214">
        <f t="shared" si="3"/>
        <v>2</v>
      </c>
      <c r="J32" s="214">
        <f t="shared" si="1"/>
        <v>0</v>
      </c>
      <c r="K32" s="214">
        <f t="shared" si="2"/>
        <v>0</v>
      </c>
    </row>
    <row r="33" spans="1:11" s="220" customFormat="1" x14ac:dyDescent="0.2">
      <c r="A33" s="783">
        <v>27</v>
      </c>
      <c r="B33" s="222"/>
      <c r="C33" s="699"/>
      <c r="D33" s="219" t="s">
        <v>19</v>
      </c>
      <c r="E33" s="784">
        <f t="shared" si="0"/>
        <v>32</v>
      </c>
      <c r="F33" s="217">
        <v>24</v>
      </c>
      <c r="G33" s="212">
        <v>8</v>
      </c>
      <c r="H33" s="212"/>
      <c r="I33" s="214">
        <f t="shared" si="3"/>
        <v>2</v>
      </c>
      <c r="J33" s="214">
        <f t="shared" si="1"/>
        <v>0</v>
      </c>
      <c r="K33" s="214">
        <f t="shared" si="2"/>
        <v>0</v>
      </c>
    </row>
    <row r="34" spans="1:11" x14ac:dyDescent="0.2">
      <c r="A34" s="783">
        <v>28</v>
      </c>
      <c r="B34" s="222"/>
      <c r="C34" s="699"/>
      <c r="D34" s="198" t="s">
        <v>178</v>
      </c>
      <c r="E34" s="784">
        <f t="shared" si="0"/>
        <v>30</v>
      </c>
      <c r="F34" s="217">
        <v>30</v>
      </c>
      <c r="G34" s="212"/>
      <c r="H34" s="212"/>
      <c r="I34" s="214">
        <f t="shared" si="3"/>
        <v>1</v>
      </c>
      <c r="J34" s="214">
        <f t="shared" si="1"/>
        <v>1</v>
      </c>
      <c r="K34" s="214">
        <f t="shared" si="2"/>
        <v>0</v>
      </c>
    </row>
    <row r="35" spans="1:11" x14ac:dyDescent="0.2">
      <c r="A35" s="783">
        <v>29</v>
      </c>
      <c r="B35" s="641"/>
      <c r="C35" s="638"/>
      <c r="D35" s="198" t="s">
        <v>188</v>
      </c>
      <c r="E35" s="784">
        <f t="shared" si="0"/>
        <v>16</v>
      </c>
      <c r="F35" s="217"/>
      <c r="G35" s="212">
        <v>16</v>
      </c>
      <c r="H35" s="212"/>
      <c r="I35" s="214">
        <f t="shared" si="3"/>
        <v>1</v>
      </c>
      <c r="J35" s="214">
        <f t="shared" si="1"/>
        <v>0</v>
      </c>
      <c r="K35" s="214">
        <f t="shared" si="2"/>
        <v>0</v>
      </c>
    </row>
    <row r="36" spans="1:11" x14ac:dyDescent="0.2">
      <c r="A36" s="783">
        <v>29</v>
      </c>
      <c r="B36" s="641"/>
      <c r="C36" s="638"/>
      <c r="D36" s="198" t="s">
        <v>184</v>
      </c>
      <c r="E36" s="784">
        <f t="shared" si="0"/>
        <v>16</v>
      </c>
      <c r="F36" s="217"/>
      <c r="G36" s="212">
        <v>16</v>
      </c>
      <c r="H36" s="212"/>
      <c r="I36" s="214">
        <f t="shared" si="3"/>
        <v>1</v>
      </c>
      <c r="J36" s="214">
        <f t="shared" si="1"/>
        <v>0</v>
      </c>
      <c r="K36" s="214">
        <f t="shared" si="2"/>
        <v>0</v>
      </c>
    </row>
    <row r="37" spans="1:11" x14ac:dyDescent="0.2">
      <c r="A37" s="783">
        <v>31</v>
      </c>
      <c r="B37" s="641"/>
      <c r="C37" s="638"/>
      <c r="D37" s="219" t="s">
        <v>189</v>
      </c>
      <c r="E37" s="784">
        <f t="shared" si="0"/>
        <v>14</v>
      </c>
      <c r="F37" s="217">
        <v>14</v>
      </c>
      <c r="G37" s="212"/>
      <c r="H37" s="212"/>
      <c r="I37" s="214">
        <f t="shared" si="3"/>
        <v>1</v>
      </c>
      <c r="J37" s="214">
        <f t="shared" si="1"/>
        <v>0</v>
      </c>
      <c r="K37" s="214">
        <f t="shared" si="2"/>
        <v>0</v>
      </c>
    </row>
    <row r="38" spans="1:11" x14ac:dyDescent="0.2">
      <c r="A38" s="783">
        <v>31</v>
      </c>
      <c r="B38" s="222"/>
      <c r="C38" s="699"/>
      <c r="D38" s="198" t="s">
        <v>190</v>
      </c>
      <c r="E38" s="784">
        <f t="shared" si="0"/>
        <v>14</v>
      </c>
      <c r="F38" s="217">
        <v>14</v>
      </c>
      <c r="G38" s="212"/>
      <c r="H38" s="212"/>
      <c r="I38" s="214">
        <f t="shared" si="3"/>
        <v>1</v>
      </c>
      <c r="J38" s="214">
        <f t="shared" si="1"/>
        <v>0</v>
      </c>
      <c r="K38" s="214">
        <f t="shared" si="2"/>
        <v>0</v>
      </c>
    </row>
    <row r="39" spans="1:11" x14ac:dyDescent="0.2">
      <c r="A39" s="783">
        <v>33</v>
      </c>
      <c r="B39" s="222">
        <v>4</v>
      </c>
      <c r="C39" s="699"/>
      <c r="D39" s="221" t="s">
        <v>191</v>
      </c>
      <c r="E39" s="784">
        <f t="shared" si="0"/>
        <v>13</v>
      </c>
      <c r="F39" s="212">
        <v>12</v>
      </c>
      <c r="G39" s="212"/>
      <c r="H39" s="217">
        <v>1</v>
      </c>
      <c r="I39" s="214">
        <f t="shared" si="3"/>
        <v>2</v>
      </c>
      <c r="J39" s="214">
        <f t="shared" si="1"/>
        <v>0</v>
      </c>
      <c r="K39" s="214">
        <f t="shared" si="2"/>
        <v>0</v>
      </c>
    </row>
    <row r="40" spans="1:11" x14ac:dyDescent="0.2">
      <c r="A40" s="783">
        <v>34</v>
      </c>
      <c r="B40" s="222"/>
      <c r="C40" s="699"/>
      <c r="D40" s="198" t="s">
        <v>192</v>
      </c>
      <c r="E40" s="784">
        <f t="shared" si="0"/>
        <v>12</v>
      </c>
      <c r="F40" s="212">
        <v>12</v>
      </c>
      <c r="G40" s="212"/>
      <c r="H40" s="212"/>
      <c r="I40" s="214">
        <f t="shared" si="3"/>
        <v>1</v>
      </c>
      <c r="J40" s="214">
        <f t="shared" si="1"/>
        <v>0</v>
      </c>
      <c r="K40" s="214">
        <f t="shared" si="2"/>
        <v>0</v>
      </c>
    </row>
    <row r="41" spans="1:11" x14ac:dyDescent="0.2">
      <c r="A41" s="783">
        <v>34</v>
      </c>
      <c r="B41" s="222"/>
      <c r="C41" s="699"/>
      <c r="D41" s="198" t="s">
        <v>193</v>
      </c>
      <c r="E41" s="784">
        <f t="shared" si="0"/>
        <v>12</v>
      </c>
      <c r="F41" s="212">
        <v>12</v>
      </c>
      <c r="G41" s="212"/>
      <c r="H41" s="212"/>
      <c r="I41" s="214">
        <f t="shared" si="3"/>
        <v>1</v>
      </c>
      <c r="J41" s="214">
        <f t="shared" si="1"/>
        <v>0</v>
      </c>
      <c r="K41" s="214">
        <f t="shared" si="2"/>
        <v>0</v>
      </c>
    </row>
    <row r="42" spans="1:11" x14ac:dyDescent="0.2">
      <c r="A42" s="783">
        <v>36</v>
      </c>
      <c r="B42" s="641"/>
      <c r="C42" s="638"/>
      <c r="D42" s="198" t="s">
        <v>194</v>
      </c>
      <c r="E42" s="784">
        <f t="shared" si="0"/>
        <v>10</v>
      </c>
      <c r="F42" s="212"/>
      <c r="G42" s="212">
        <v>10</v>
      </c>
      <c r="H42" s="212"/>
      <c r="I42" s="214">
        <f t="shared" si="3"/>
        <v>1</v>
      </c>
      <c r="J42" s="214">
        <f t="shared" si="1"/>
        <v>0</v>
      </c>
      <c r="K42" s="214">
        <f t="shared" si="2"/>
        <v>0</v>
      </c>
    </row>
    <row r="43" spans="1:11" x14ac:dyDescent="0.2">
      <c r="A43" s="783">
        <v>37</v>
      </c>
      <c r="B43" s="222"/>
      <c r="C43" s="699"/>
      <c r="D43" s="198" t="s">
        <v>186</v>
      </c>
      <c r="E43" s="784">
        <f t="shared" si="0"/>
        <v>8</v>
      </c>
      <c r="F43" s="212"/>
      <c r="G43" s="212">
        <v>8</v>
      </c>
      <c r="H43" s="212"/>
      <c r="I43" s="214">
        <f t="shared" si="3"/>
        <v>1</v>
      </c>
      <c r="J43" s="214">
        <f t="shared" si="1"/>
        <v>0</v>
      </c>
      <c r="K43" s="214">
        <f t="shared" si="2"/>
        <v>0</v>
      </c>
    </row>
    <row r="44" spans="1:11" x14ac:dyDescent="0.2">
      <c r="A44" s="783">
        <v>38</v>
      </c>
      <c r="B44" s="641">
        <v>5</v>
      </c>
      <c r="C44" s="638">
        <v>2</v>
      </c>
      <c r="D44" s="324" t="s">
        <v>197</v>
      </c>
      <c r="E44" s="784">
        <f t="shared" si="0"/>
        <v>4</v>
      </c>
      <c r="F44" s="212"/>
      <c r="G44" s="212">
        <v>4</v>
      </c>
      <c r="H44" s="212"/>
      <c r="I44" s="214">
        <f t="shared" si="3"/>
        <v>1</v>
      </c>
      <c r="J44" s="214">
        <f t="shared" si="1"/>
        <v>0</v>
      </c>
      <c r="K44" s="214">
        <f t="shared" si="2"/>
        <v>0</v>
      </c>
    </row>
    <row r="45" spans="1:11" x14ac:dyDescent="0.2">
      <c r="A45" s="783">
        <v>38</v>
      </c>
      <c r="B45" s="641"/>
      <c r="C45" s="638">
        <v>2</v>
      </c>
      <c r="D45" s="218" t="s">
        <v>198</v>
      </c>
      <c r="E45" s="784">
        <f t="shared" si="0"/>
        <v>4</v>
      </c>
      <c r="F45" s="212"/>
      <c r="G45" s="212">
        <v>4</v>
      </c>
      <c r="H45" s="212"/>
      <c r="I45" s="214">
        <f t="shared" si="3"/>
        <v>1</v>
      </c>
      <c r="J45" s="214">
        <f t="shared" si="1"/>
        <v>0</v>
      </c>
      <c r="K45" s="214">
        <f t="shared" si="2"/>
        <v>0</v>
      </c>
    </row>
    <row r="46" spans="1:11" x14ac:dyDescent="0.2">
      <c r="A46" s="783">
        <v>40</v>
      </c>
      <c r="B46" s="641"/>
      <c r="C46" s="638"/>
      <c r="D46" s="198" t="s">
        <v>181</v>
      </c>
      <c r="E46" s="784">
        <f t="shared" si="0"/>
        <v>3</v>
      </c>
      <c r="F46" s="212"/>
      <c r="G46" s="212">
        <v>2</v>
      </c>
      <c r="H46" s="217">
        <v>1</v>
      </c>
      <c r="I46" s="214">
        <f t="shared" si="3"/>
        <v>2</v>
      </c>
      <c r="J46" s="214">
        <f t="shared" si="1"/>
        <v>0</v>
      </c>
      <c r="K46" s="214">
        <f t="shared" si="2"/>
        <v>0</v>
      </c>
    </row>
    <row r="47" spans="1:11" x14ac:dyDescent="0.2">
      <c r="A47" s="783">
        <v>41</v>
      </c>
      <c r="B47" s="641"/>
      <c r="C47" s="638"/>
      <c r="D47" s="198" t="s">
        <v>182</v>
      </c>
      <c r="E47" s="784">
        <f t="shared" si="0"/>
        <v>1</v>
      </c>
      <c r="F47" s="212"/>
      <c r="G47" s="212"/>
      <c r="H47" s="217">
        <v>1</v>
      </c>
      <c r="I47" s="214">
        <f t="shared" si="3"/>
        <v>1</v>
      </c>
      <c r="J47" s="214">
        <f t="shared" si="1"/>
        <v>0</v>
      </c>
      <c r="K47" s="214">
        <f t="shared" si="2"/>
        <v>0</v>
      </c>
    </row>
    <row r="48" spans="1:11" x14ac:dyDescent="0.2">
      <c r="A48" s="229">
        <f>COUNT(A7:A47)</f>
        <v>41</v>
      </c>
      <c r="B48" s="642">
        <f>COUNT(B7:B47)</f>
        <v>5</v>
      </c>
      <c r="C48" s="639">
        <f>COUNT(C7:C47)</f>
        <v>3</v>
      </c>
      <c r="D48" s="230" t="s">
        <v>201</v>
      </c>
      <c r="E48" s="231"/>
      <c r="F48" s="232">
        <f>COUNTIF(F7:F47,"&gt;=0")</f>
        <v>32</v>
      </c>
      <c r="G48" s="232">
        <f>COUNTIF(G7:G47,"&gt;=0")</f>
        <v>32</v>
      </c>
      <c r="H48" s="232">
        <f>COUNTIF(H7:H47,"&gt;=0")</f>
        <v>24</v>
      </c>
      <c r="I48" s="230"/>
      <c r="J48" s="233">
        <f>SUM(J7:J47)</f>
        <v>18</v>
      </c>
      <c r="K48" s="233">
        <f>SUM(K7:K47)</f>
        <v>6</v>
      </c>
    </row>
    <row r="49" spans="1:11" x14ac:dyDescent="0.2">
      <c r="A49" s="194"/>
      <c r="B49" s="194"/>
      <c r="C49" s="234"/>
      <c r="D49" s="230" t="s">
        <v>202</v>
      </c>
      <c r="E49" s="231"/>
      <c r="F49" s="234">
        <v>11</v>
      </c>
      <c r="G49" s="234">
        <v>16</v>
      </c>
      <c r="H49" s="234"/>
      <c r="I49" s="194"/>
      <c r="J49" s="194"/>
      <c r="K49" s="194"/>
    </row>
  </sheetData>
  <autoFilter ref="I6:K6"/>
  <mergeCells count="3">
    <mergeCell ref="I4:I5"/>
    <mergeCell ref="J4:J5"/>
    <mergeCell ref="K4:K5"/>
  </mergeCells>
  <conditionalFormatting sqref="G5 F8:H47">
    <cfRule type="cellIs" dxfId="195" priority="7" stopIfTrue="1" operator="equal">
      <formula>30</formula>
    </cfRule>
    <cfRule type="cellIs" dxfId="194" priority="8" stopIfTrue="1" operator="equal">
      <formula>34</formula>
    </cfRule>
    <cfRule type="cellIs" dxfId="193" priority="9" stopIfTrue="1" operator="equal">
      <formula>40</formula>
    </cfRule>
  </conditionalFormatting>
  <conditionalFormatting sqref="H5">
    <cfRule type="cellIs" dxfId="192" priority="4" stopIfTrue="1" operator="equal">
      <formula>30</formula>
    </cfRule>
    <cfRule type="cellIs" dxfId="191" priority="5" stopIfTrue="1" operator="equal">
      <formula>34</formula>
    </cfRule>
    <cfRule type="cellIs" dxfId="190" priority="6" stopIfTrue="1" operator="equal">
      <formula>40</formula>
    </cfRule>
  </conditionalFormatting>
  <conditionalFormatting sqref="F48:H48">
    <cfRule type="top10" dxfId="189" priority="10" stopIfTrue="1" rank="1"/>
  </conditionalFormatting>
  <conditionalFormatting sqref="F7:H7">
    <cfRule type="cellIs" dxfId="188" priority="1" stopIfTrue="1" operator="equal">
      <formula>30</formula>
    </cfRule>
    <cfRule type="cellIs" dxfId="187" priority="2" stopIfTrue="1" operator="equal">
      <formula>34</formula>
    </cfRule>
    <cfRule type="cellIs" dxfId="186" priority="3" stopIfTrue="1" operator="equal">
      <formula>40</formula>
    </cfRule>
  </conditionalFormatting>
  <conditionalFormatting sqref="J7:J47">
    <cfRule type="top10" dxfId="185" priority="11" stopIfTrue="1" rank="1"/>
  </conditionalFormatting>
  <conditionalFormatting sqref="K7:K47">
    <cfRule type="top10" dxfId="184" priority="12" stopIfTrue="1" rank="1"/>
  </conditionalFormatting>
  <conditionalFormatting sqref="I7:I47">
    <cfRule type="top10" dxfId="183" priority="13" stopIfTrue="1" rank="1"/>
  </conditionalFormatting>
  <conditionalFormatting sqref="D7:D47">
    <cfRule type="duplicateValues" dxfId="182" priority="14" stopIfTrue="1"/>
  </conditionalFormatting>
  <pageMargins left="0.78740157480314965" right="0.39370078740157483" top="0.59055118110236227" bottom="0.39370078740157483" header="0.39370078740157483" footer="0"/>
  <pageSetup paperSize="9" fitToHeight="0" orientation="portrait" useFirstPageNumber="1" verticalDpi="300" r:id="rId1"/>
  <headerFooter alignWithMargins="0">
    <oddHeader>&amp;R&amp;"Arial,Regular"&amp;9Page &amp;P of &amp;N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07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I1" sqref="I1"/>
    </sheetView>
  </sheetViews>
  <sheetFormatPr defaultRowHeight="12.75" x14ac:dyDescent="0.2"/>
  <cols>
    <col min="1" max="1" width="3.28515625" style="59" customWidth="1"/>
    <col min="2" max="2" width="42.140625" style="59" bestFit="1" customWidth="1"/>
    <col min="3" max="11" width="9.140625" style="59"/>
    <col min="12" max="18" width="2.7109375" style="59" customWidth="1"/>
    <col min="19" max="16384" width="9.140625" style="59"/>
  </cols>
  <sheetData>
    <row r="1" spans="1:8" x14ac:dyDescent="0.2">
      <c r="A1" s="58" t="str">
        <f>UPPER((Kalend!E16)&amp;" - "&amp;(Kalend!C16)&amp;" - "&amp;(Kalend!D16))</f>
        <v>4 - IDA-VIRUMAA MV - TRIO</v>
      </c>
      <c r="E1" s="239" t="str">
        <f>HYPERLINK("#'Kalend'!I1","Kalender")</f>
        <v>Kalender</v>
      </c>
      <c r="G1" s="239" t="str">
        <f>HYPERLINK("#'Reit'!G1","Reiting")</f>
        <v>Reiting</v>
      </c>
    </row>
    <row r="2" spans="1:8" x14ac:dyDescent="0.2">
      <c r="A2" s="59" t="str">
        <f>"Toimumisaeg: "&amp;(Kalend!A16)&amp;" kell "&amp;(Kalend!B16)</f>
        <v>Toimumisaeg: N, 11.06.2015 kell 18:00</v>
      </c>
    </row>
    <row r="3" spans="1:8" x14ac:dyDescent="0.2">
      <c r="A3" s="59" t="str">
        <f>"Toimumiskoht: "&amp;(Kalend!F16)</f>
        <v>Toimumiskoht: K-Nõmme, Kaevanduspark</v>
      </c>
    </row>
    <row r="4" spans="1:8" x14ac:dyDescent="0.2">
      <c r="A4" s="59" t="str">
        <f>"Korraldaja: "&amp;(Kalend!G16)</f>
        <v>Korraldaja: K-Järve SHK, Ivar Viljaste</v>
      </c>
    </row>
    <row r="6" spans="1:8" x14ac:dyDescent="0.2">
      <c r="A6" s="240" t="s">
        <v>329</v>
      </c>
      <c r="B6" s="240"/>
      <c r="C6" s="287">
        <v>1</v>
      </c>
      <c r="D6" s="287">
        <v>2</v>
      </c>
      <c r="E6" s="287">
        <v>3</v>
      </c>
      <c r="F6" s="287">
        <v>4</v>
      </c>
      <c r="G6" s="287" t="s">
        <v>330</v>
      </c>
      <c r="H6" s="287" t="s">
        <v>222</v>
      </c>
    </row>
    <row r="7" spans="1:8" x14ac:dyDescent="0.2">
      <c r="A7" s="240">
        <v>1</v>
      </c>
      <c r="B7" s="198" t="s">
        <v>272</v>
      </c>
      <c r="C7" s="325"/>
      <c r="D7" s="326">
        <v>2</v>
      </c>
      <c r="E7" s="326">
        <v>10</v>
      </c>
      <c r="F7" s="326">
        <v>12</v>
      </c>
      <c r="G7" s="327" t="s">
        <v>331</v>
      </c>
      <c r="H7" s="326" t="s">
        <v>276</v>
      </c>
    </row>
    <row r="8" spans="1:8" x14ac:dyDescent="0.2">
      <c r="A8" s="240">
        <v>2</v>
      </c>
      <c r="B8" s="198" t="s">
        <v>281</v>
      </c>
      <c r="C8" s="326">
        <v>13</v>
      </c>
      <c r="D8" s="325"/>
      <c r="E8" s="326">
        <v>13</v>
      </c>
      <c r="F8" s="326">
        <v>11</v>
      </c>
      <c r="G8" s="327" t="s">
        <v>332</v>
      </c>
      <c r="H8" s="326" t="s">
        <v>226</v>
      </c>
    </row>
    <row r="9" spans="1:8" x14ac:dyDescent="0.2">
      <c r="A9" s="240">
        <v>3</v>
      </c>
      <c r="B9" s="198" t="s">
        <v>333</v>
      </c>
      <c r="C9" s="326">
        <v>13</v>
      </c>
      <c r="D9" s="326">
        <v>6</v>
      </c>
      <c r="E9" s="325"/>
      <c r="F9" s="326">
        <v>12</v>
      </c>
      <c r="G9" s="327" t="s">
        <v>334</v>
      </c>
      <c r="H9" s="326" t="s">
        <v>225</v>
      </c>
    </row>
    <row r="10" spans="1:8" x14ac:dyDescent="0.2">
      <c r="A10" s="240">
        <v>4</v>
      </c>
      <c r="B10" s="219" t="s">
        <v>335</v>
      </c>
      <c r="C10" s="326">
        <v>13</v>
      </c>
      <c r="D10" s="326">
        <v>13</v>
      </c>
      <c r="E10" s="326">
        <v>13</v>
      </c>
      <c r="F10" s="325"/>
      <c r="G10" s="327" t="s">
        <v>336</v>
      </c>
      <c r="H10" s="326" t="s">
        <v>224</v>
      </c>
    </row>
    <row r="12" spans="1:8" x14ac:dyDescent="0.2">
      <c r="A12" s="240" t="s">
        <v>337</v>
      </c>
      <c r="B12" s="240"/>
      <c r="C12" s="287">
        <v>1</v>
      </c>
      <c r="D12" s="287">
        <v>2</v>
      </c>
      <c r="E12" s="287">
        <v>3</v>
      </c>
      <c r="F12" s="287">
        <v>4</v>
      </c>
      <c r="G12" s="287" t="s">
        <v>330</v>
      </c>
      <c r="H12" s="287" t="s">
        <v>222</v>
      </c>
    </row>
    <row r="13" spans="1:8" x14ac:dyDescent="0.2">
      <c r="A13" s="240">
        <v>1</v>
      </c>
      <c r="B13" s="198" t="s">
        <v>338</v>
      </c>
      <c r="C13" s="325"/>
      <c r="D13" s="326">
        <v>13</v>
      </c>
      <c r="E13" s="326">
        <v>13</v>
      </c>
      <c r="F13" s="326">
        <v>10</v>
      </c>
      <c r="G13" s="327" t="s">
        <v>332</v>
      </c>
      <c r="H13" s="326" t="s">
        <v>226</v>
      </c>
    </row>
    <row r="14" spans="1:8" x14ac:dyDescent="0.2">
      <c r="A14" s="240">
        <v>2</v>
      </c>
      <c r="B14" s="198" t="s">
        <v>279</v>
      </c>
      <c r="C14" s="326">
        <v>0</v>
      </c>
      <c r="D14" s="325"/>
      <c r="E14" s="326">
        <v>3</v>
      </c>
      <c r="F14" s="326">
        <v>2</v>
      </c>
      <c r="G14" s="327" t="s">
        <v>331</v>
      </c>
      <c r="H14" s="326" t="s">
        <v>276</v>
      </c>
    </row>
    <row r="15" spans="1:8" x14ac:dyDescent="0.2">
      <c r="A15" s="240">
        <v>3</v>
      </c>
      <c r="B15" s="219" t="s">
        <v>339</v>
      </c>
      <c r="C15" s="326">
        <v>11</v>
      </c>
      <c r="D15" s="326">
        <v>13</v>
      </c>
      <c r="E15" s="325"/>
      <c r="F15" s="326">
        <v>10</v>
      </c>
      <c r="G15" s="327" t="s">
        <v>334</v>
      </c>
      <c r="H15" s="326" t="s">
        <v>225</v>
      </c>
    </row>
    <row r="16" spans="1:8" x14ac:dyDescent="0.2">
      <c r="A16" s="240">
        <v>4</v>
      </c>
      <c r="B16" s="219" t="s">
        <v>340</v>
      </c>
      <c r="C16" s="326">
        <v>13</v>
      </c>
      <c r="D16" s="326">
        <v>13</v>
      </c>
      <c r="E16" s="326">
        <v>13</v>
      </c>
      <c r="F16" s="325"/>
      <c r="G16" s="327" t="s">
        <v>336</v>
      </c>
      <c r="H16" s="326" t="s">
        <v>224</v>
      </c>
    </row>
    <row r="18" spans="1:8" x14ac:dyDescent="0.2">
      <c r="B18" s="328" t="s">
        <v>341</v>
      </c>
      <c r="C18" s="249" t="s">
        <v>342</v>
      </c>
      <c r="D18" s="249" t="s">
        <v>343</v>
      </c>
    </row>
    <row r="19" spans="1:8" x14ac:dyDescent="0.2">
      <c r="B19" s="328" t="s">
        <v>344</v>
      </c>
      <c r="C19" s="249" t="s">
        <v>345</v>
      </c>
      <c r="D19" s="249" t="s">
        <v>346</v>
      </c>
    </row>
    <row r="20" spans="1:8" x14ac:dyDescent="0.2">
      <c r="B20" s="328" t="s">
        <v>347</v>
      </c>
      <c r="C20" s="249" t="s">
        <v>334</v>
      </c>
      <c r="D20" s="249" t="s">
        <v>348</v>
      </c>
    </row>
    <row r="22" spans="1:8" x14ac:dyDescent="0.2">
      <c r="A22" s="252" t="s">
        <v>241</v>
      </c>
      <c r="B22" s="59" t="s">
        <v>335</v>
      </c>
      <c r="C22" s="253">
        <v>4</v>
      </c>
    </row>
    <row r="23" spans="1:8" x14ac:dyDescent="0.2">
      <c r="A23" s="254"/>
      <c r="B23" s="255"/>
      <c r="C23" s="256" t="s">
        <v>338</v>
      </c>
      <c r="D23" s="257"/>
      <c r="F23" s="253">
        <v>9</v>
      </c>
    </row>
    <row r="24" spans="1:8" x14ac:dyDescent="0.2">
      <c r="A24" s="254" t="s">
        <v>242</v>
      </c>
      <c r="B24" s="257" t="s">
        <v>338</v>
      </c>
      <c r="C24" s="265">
        <v>13</v>
      </c>
      <c r="E24" s="258"/>
    </row>
    <row r="25" spans="1:8" ht="13.5" thickBot="1" x14ac:dyDescent="0.25">
      <c r="A25" s="254"/>
      <c r="D25" s="64"/>
      <c r="E25" s="259"/>
      <c r="G25" s="59" t="s">
        <v>281</v>
      </c>
    </row>
    <row r="26" spans="1:8" x14ac:dyDescent="0.2">
      <c r="A26" s="254" t="s">
        <v>232</v>
      </c>
      <c r="B26" s="59" t="s">
        <v>340</v>
      </c>
      <c r="C26" s="263">
        <v>6</v>
      </c>
      <c r="E26" s="259"/>
      <c r="F26" s="266"/>
      <c r="G26" s="267" t="s">
        <v>240</v>
      </c>
      <c r="H26" s="268"/>
    </row>
    <row r="27" spans="1:8" x14ac:dyDescent="0.2">
      <c r="A27" s="254"/>
      <c r="B27" s="255"/>
      <c r="C27" s="260" t="s">
        <v>281</v>
      </c>
      <c r="E27" s="262"/>
      <c r="F27" s="263">
        <v>13</v>
      </c>
    </row>
    <row r="28" spans="1:8" ht="13.5" thickBot="1" x14ac:dyDescent="0.25">
      <c r="A28" s="254" t="s">
        <v>233</v>
      </c>
      <c r="B28" s="257" t="s">
        <v>281</v>
      </c>
      <c r="C28" s="264">
        <v>13</v>
      </c>
      <c r="D28" s="255"/>
      <c r="F28" s="64"/>
      <c r="G28" s="64" t="s">
        <v>338</v>
      </c>
      <c r="H28" s="269"/>
    </row>
    <row r="29" spans="1:8" x14ac:dyDescent="0.2">
      <c r="A29" s="58"/>
      <c r="F29" s="64"/>
      <c r="G29" s="267" t="s">
        <v>244</v>
      </c>
      <c r="H29" s="64"/>
    </row>
    <row r="30" spans="1:8" x14ac:dyDescent="0.2">
      <c r="A30" s="58"/>
      <c r="C30" s="59" t="s">
        <v>335</v>
      </c>
      <c r="F30" s="263">
        <v>13</v>
      </c>
      <c r="G30" s="64"/>
      <c r="H30" s="64"/>
    </row>
    <row r="31" spans="1:8" ht="13.5" thickBot="1" x14ac:dyDescent="0.25">
      <c r="A31" s="58"/>
      <c r="C31" s="255"/>
      <c r="D31" s="255"/>
      <c r="E31" s="258"/>
      <c r="F31" s="269"/>
      <c r="G31" s="269" t="s">
        <v>335</v>
      </c>
      <c r="H31" s="269"/>
    </row>
    <row r="32" spans="1:8" x14ac:dyDescent="0.2">
      <c r="A32" s="58"/>
      <c r="C32" s="257" t="s">
        <v>340</v>
      </c>
      <c r="D32" s="257"/>
      <c r="E32" s="262"/>
      <c r="F32" s="253">
        <v>5</v>
      </c>
      <c r="G32" s="65" t="s">
        <v>247</v>
      </c>
      <c r="H32" s="64"/>
    </row>
    <row r="33" spans="1:9" x14ac:dyDescent="0.2">
      <c r="A33" s="58"/>
      <c r="G33" s="64"/>
      <c r="H33" s="64"/>
    </row>
    <row r="34" spans="1:9" ht="13.5" thickBot="1" x14ac:dyDescent="0.25">
      <c r="A34" s="58"/>
      <c r="D34" s="64"/>
      <c r="E34" s="64"/>
      <c r="G34" s="269" t="s">
        <v>340</v>
      </c>
      <c r="H34" s="269"/>
    </row>
    <row r="35" spans="1:9" x14ac:dyDescent="0.2">
      <c r="A35" s="58"/>
      <c r="D35" s="64"/>
      <c r="E35" s="64"/>
      <c r="G35" s="58" t="s">
        <v>248</v>
      </c>
    </row>
    <row r="36" spans="1:9" x14ac:dyDescent="0.2">
      <c r="A36" s="65"/>
      <c r="B36" s="64"/>
      <c r="C36" s="247"/>
      <c r="D36" s="249"/>
      <c r="E36" s="249"/>
      <c r="F36" s="248"/>
      <c r="G36" s="249"/>
      <c r="H36" s="247"/>
      <c r="I36" s="249"/>
    </row>
    <row r="37" spans="1:9" x14ac:dyDescent="0.2">
      <c r="A37" s="252" t="s">
        <v>262</v>
      </c>
      <c r="B37" s="59" t="s">
        <v>333</v>
      </c>
      <c r="C37" s="253">
        <v>0</v>
      </c>
    </row>
    <row r="38" spans="1:9" x14ac:dyDescent="0.2">
      <c r="A38" s="254"/>
      <c r="B38" s="255"/>
      <c r="C38" s="256" t="s">
        <v>279</v>
      </c>
      <c r="D38" s="257"/>
      <c r="E38" s="257"/>
      <c r="F38" s="253">
        <v>11</v>
      </c>
    </row>
    <row r="39" spans="1:9" x14ac:dyDescent="0.2">
      <c r="A39" s="254" t="s">
        <v>306</v>
      </c>
      <c r="B39" s="257" t="s">
        <v>279</v>
      </c>
      <c r="C39" s="265">
        <v>13</v>
      </c>
      <c r="E39" s="259"/>
    </row>
    <row r="40" spans="1:9" ht="13.5" thickBot="1" x14ac:dyDescent="0.25">
      <c r="A40" s="254"/>
      <c r="C40" s="64"/>
      <c r="E40" s="259"/>
      <c r="G40" s="59" t="s">
        <v>339</v>
      </c>
    </row>
    <row r="41" spans="1:9" x14ac:dyDescent="0.2">
      <c r="A41" s="254" t="s">
        <v>267</v>
      </c>
      <c r="B41" s="59" t="s">
        <v>339</v>
      </c>
      <c r="C41" s="263">
        <v>13</v>
      </c>
      <c r="E41" s="259"/>
      <c r="F41" s="266"/>
      <c r="G41" s="267" t="s">
        <v>250</v>
      </c>
      <c r="H41" s="268"/>
    </row>
    <row r="42" spans="1:9" x14ac:dyDescent="0.2">
      <c r="A42" s="254"/>
      <c r="B42" s="255"/>
      <c r="C42" s="260" t="s">
        <v>339</v>
      </c>
      <c r="E42" s="262"/>
      <c r="F42" s="263">
        <v>13</v>
      </c>
    </row>
    <row r="43" spans="1:9" ht="13.5" thickBot="1" x14ac:dyDescent="0.25">
      <c r="A43" s="254" t="s">
        <v>287</v>
      </c>
      <c r="B43" s="257" t="s">
        <v>272</v>
      </c>
      <c r="C43" s="264">
        <v>7</v>
      </c>
      <c r="D43" s="255"/>
      <c r="F43" s="64"/>
      <c r="G43" s="64" t="s">
        <v>279</v>
      </c>
      <c r="H43" s="269"/>
    </row>
    <row r="44" spans="1:9" x14ac:dyDescent="0.2">
      <c r="F44" s="64"/>
      <c r="G44" s="267" t="s">
        <v>251</v>
      </c>
      <c r="H44" s="64"/>
    </row>
    <row r="45" spans="1:9" x14ac:dyDescent="0.2">
      <c r="C45" s="59" t="s">
        <v>333</v>
      </c>
      <c r="F45" s="263" t="s">
        <v>136</v>
      </c>
      <c r="G45" s="64"/>
      <c r="H45" s="64"/>
    </row>
    <row r="46" spans="1:9" ht="13.5" thickBot="1" x14ac:dyDescent="0.25">
      <c r="C46" s="255"/>
      <c r="D46" s="255"/>
      <c r="E46" s="258"/>
      <c r="F46" s="269"/>
      <c r="G46" s="269" t="s">
        <v>272</v>
      </c>
      <c r="H46" s="269"/>
    </row>
    <row r="47" spans="1:9" x14ac:dyDescent="0.2">
      <c r="C47" s="257" t="s">
        <v>272</v>
      </c>
      <c r="D47" s="257"/>
      <c r="E47" s="262"/>
      <c r="F47" s="253">
        <v>13</v>
      </c>
      <c r="G47" s="65" t="s">
        <v>252</v>
      </c>
      <c r="H47" s="64"/>
    </row>
    <row r="48" spans="1:9" x14ac:dyDescent="0.2">
      <c r="G48" s="64"/>
      <c r="H48" s="64"/>
    </row>
    <row r="49" spans="1:8" ht="13.5" thickBot="1" x14ac:dyDescent="0.25">
      <c r="D49" s="64"/>
      <c r="E49" s="64"/>
      <c r="G49" s="269" t="s">
        <v>333</v>
      </c>
      <c r="H49" s="269"/>
    </row>
    <row r="50" spans="1:8" x14ac:dyDescent="0.2">
      <c r="D50" s="64"/>
      <c r="E50" s="64"/>
      <c r="G50" s="58" t="s">
        <v>253</v>
      </c>
    </row>
    <row r="52" spans="1:8" x14ac:dyDescent="0.2">
      <c r="A52" s="219">
        <v>1</v>
      </c>
      <c r="B52" s="285" t="s">
        <v>281</v>
      </c>
    </row>
    <row r="53" spans="1:8" x14ac:dyDescent="0.2">
      <c r="A53" s="219">
        <v>2</v>
      </c>
      <c r="B53" s="215" t="s">
        <v>338</v>
      </c>
    </row>
    <row r="54" spans="1:8" x14ac:dyDescent="0.2">
      <c r="A54" s="219">
        <v>3</v>
      </c>
      <c r="B54" s="216" t="s">
        <v>335</v>
      </c>
    </row>
    <row r="55" spans="1:8" x14ac:dyDescent="0.2">
      <c r="A55" s="219">
        <v>4</v>
      </c>
      <c r="B55" s="219" t="s">
        <v>340</v>
      </c>
    </row>
    <row r="56" spans="1:8" x14ac:dyDescent="0.2">
      <c r="A56" s="219">
        <v>5</v>
      </c>
      <c r="B56" s="219" t="s">
        <v>339</v>
      </c>
    </row>
    <row r="57" spans="1:8" x14ac:dyDescent="0.2">
      <c r="A57" s="219">
        <v>6</v>
      </c>
      <c r="B57" s="219" t="s">
        <v>279</v>
      </c>
    </row>
    <row r="58" spans="1:8" x14ac:dyDescent="0.2">
      <c r="A58" s="219">
        <v>7</v>
      </c>
      <c r="B58" s="219" t="s">
        <v>272</v>
      </c>
    </row>
    <row r="59" spans="1:8" x14ac:dyDescent="0.2">
      <c r="A59" s="219">
        <v>8</v>
      </c>
      <c r="B59" s="219" t="s">
        <v>333</v>
      </c>
    </row>
    <row r="107" spans="3:3" x14ac:dyDescent="0.2">
      <c r="C107" s="253"/>
    </row>
  </sheetData>
  <conditionalFormatting sqref="C7:F47">
    <cfRule type="cellIs" dxfId="181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0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J1" sqref="J1"/>
    </sheetView>
  </sheetViews>
  <sheetFormatPr defaultRowHeight="12.75" x14ac:dyDescent="0.2"/>
  <cols>
    <col min="1" max="1" width="4.5703125" style="134" customWidth="1"/>
    <col min="2" max="2" width="19.42578125" style="134" bestFit="1" customWidth="1"/>
    <col min="3" max="3" width="9.7109375" style="134" customWidth="1"/>
    <col min="4" max="4" width="19.42578125" style="134" bestFit="1" customWidth="1"/>
    <col min="5" max="10" width="9.7109375" style="134" customWidth="1"/>
    <col min="11" max="11" width="18.28515625" style="134" customWidth="1"/>
    <col min="12" max="16384" width="9.140625" style="134"/>
  </cols>
  <sheetData>
    <row r="1" spans="1:10" x14ac:dyDescent="0.2">
      <c r="A1" s="58" t="str">
        <f>UPPER((Kalend!E19)&amp;" - "&amp;(Kalend!C19)&amp;" - "&amp;(Kalend!D19))</f>
        <v>MU - TOILA VALLA MV (MURUTURNIIR) - ÜKSIK</v>
      </c>
      <c r="F1" s="329" t="str">
        <f>HYPERLINK("#'Kalend'!I1","Kalender")</f>
        <v>Kalender</v>
      </c>
      <c r="G1" s="59"/>
      <c r="H1" s="329" t="str">
        <f>HYPERLINK("#'Reit'!G1","Reiting")</f>
        <v>Reiting</v>
      </c>
      <c r="I1" s="59"/>
      <c r="J1" s="59"/>
    </row>
    <row r="2" spans="1:10" x14ac:dyDescent="0.2">
      <c r="A2" s="59" t="str">
        <f>"Toimumisaeg: "&amp;(Kalend!A19)&amp;" kell "&amp;(Kalend!B19)</f>
        <v>Toimumisaeg: P, 28.06.2015 kell 10:00</v>
      </c>
    </row>
    <row r="3" spans="1:10" x14ac:dyDescent="0.2">
      <c r="A3" s="59" t="str">
        <f>"Toimumiskoht: "&amp;(Kalend!F19)</f>
        <v>Toimumiskoht: Voka staadion</v>
      </c>
    </row>
    <row r="4" spans="1:10" x14ac:dyDescent="0.2">
      <c r="A4" s="59" t="str">
        <f>"Korraldaja: "&amp;(Kalend!G19)</f>
        <v>Korraldaja: Toila vald, Johannes Neiland</v>
      </c>
    </row>
    <row r="6" spans="1:10" x14ac:dyDescent="0.2">
      <c r="A6" s="330" t="s">
        <v>349</v>
      </c>
    </row>
    <row r="8" spans="1:10" x14ac:dyDescent="0.2">
      <c r="A8" s="331" t="s">
        <v>350</v>
      </c>
      <c r="C8" s="252">
        <v>1</v>
      </c>
      <c r="D8" s="134" t="s">
        <v>159</v>
      </c>
      <c r="E8" s="337">
        <v>13</v>
      </c>
    </row>
    <row r="9" spans="1:10" x14ac:dyDescent="0.2">
      <c r="C9" s="332"/>
      <c r="D9" s="333">
        <v>-101</v>
      </c>
      <c r="E9" s="334" t="s">
        <v>159</v>
      </c>
      <c r="F9" s="337">
        <v>13</v>
      </c>
    </row>
    <row r="10" spans="1:10" x14ac:dyDescent="0.2">
      <c r="C10" s="332">
        <v>32</v>
      </c>
      <c r="D10" s="284" t="s">
        <v>235</v>
      </c>
      <c r="E10" s="335">
        <v>0</v>
      </c>
    </row>
    <row r="11" spans="1:10" x14ac:dyDescent="0.2">
      <c r="C11" s="332"/>
      <c r="E11" s="336">
        <v>-117</v>
      </c>
      <c r="F11" s="74" t="s">
        <v>159</v>
      </c>
      <c r="G11" s="337">
        <v>7</v>
      </c>
    </row>
    <row r="12" spans="1:10" x14ac:dyDescent="0.2">
      <c r="C12" s="332">
        <v>17</v>
      </c>
      <c r="D12" s="134" t="s">
        <v>157</v>
      </c>
      <c r="E12" s="341">
        <v>13</v>
      </c>
      <c r="F12" s="339"/>
    </row>
    <row r="13" spans="1:10" x14ac:dyDescent="0.2">
      <c r="C13" s="332"/>
      <c r="D13" s="333">
        <v>-102</v>
      </c>
      <c r="E13" s="340" t="s">
        <v>157</v>
      </c>
      <c r="F13" s="341">
        <v>11</v>
      </c>
    </row>
    <row r="14" spans="1:10" x14ac:dyDescent="0.2">
      <c r="C14" s="332">
        <v>16</v>
      </c>
      <c r="D14" s="284" t="s">
        <v>169</v>
      </c>
      <c r="E14" s="342">
        <v>10</v>
      </c>
      <c r="F14" s="343"/>
    </row>
    <row r="15" spans="1:10" x14ac:dyDescent="0.2">
      <c r="C15" s="188"/>
      <c r="F15" s="336">
        <v>-141</v>
      </c>
      <c r="G15" s="74" t="s">
        <v>160</v>
      </c>
      <c r="H15" s="337">
        <v>13</v>
      </c>
    </row>
    <row r="16" spans="1:10" x14ac:dyDescent="0.2">
      <c r="C16" s="252">
        <v>9</v>
      </c>
      <c r="D16" s="134" t="s">
        <v>19</v>
      </c>
      <c r="E16" s="337">
        <v>13</v>
      </c>
      <c r="F16" s="343"/>
      <c r="G16" s="339"/>
    </row>
    <row r="17" spans="3:9" x14ac:dyDescent="0.2">
      <c r="C17" s="332"/>
      <c r="D17" s="333">
        <v>-103</v>
      </c>
      <c r="E17" s="334" t="s">
        <v>19</v>
      </c>
      <c r="F17" s="341">
        <v>12</v>
      </c>
      <c r="G17" s="343"/>
    </row>
    <row r="18" spans="3:9" x14ac:dyDescent="0.2">
      <c r="C18" s="332">
        <v>24</v>
      </c>
      <c r="D18" s="284" t="s">
        <v>235</v>
      </c>
      <c r="E18" s="335">
        <v>0</v>
      </c>
      <c r="F18" s="343"/>
      <c r="G18" s="343"/>
    </row>
    <row r="19" spans="3:9" x14ac:dyDescent="0.2">
      <c r="C19" s="332"/>
      <c r="E19" s="336">
        <v>-118</v>
      </c>
      <c r="F19" s="344" t="s">
        <v>160</v>
      </c>
      <c r="G19" s="341">
        <v>13</v>
      </c>
    </row>
    <row r="20" spans="3:9" x14ac:dyDescent="0.2">
      <c r="C20" s="332">
        <v>25</v>
      </c>
      <c r="D20" s="134" t="s">
        <v>235</v>
      </c>
      <c r="E20" s="341">
        <v>0</v>
      </c>
      <c r="F20" s="74"/>
      <c r="G20" s="343"/>
    </row>
    <row r="21" spans="3:9" x14ac:dyDescent="0.2">
      <c r="C21" s="332"/>
      <c r="D21" s="333">
        <v>-104</v>
      </c>
      <c r="E21" s="340" t="s">
        <v>160</v>
      </c>
      <c r="F21" s="271">
        <v>13</v>
      </c>
      <c r="G21" s="343"/>
    </row>
    <row r="22" spans="3:9" x14ac:dyDescent="0.2">
      <c r="C22" s="332">
        <v>8</v>
      </c>
      <c r="D22" s="284" t="s">
        <v>160</v>
      </c>
      <c r="E22" s="342">
        <v>13</v>
      </c>
      <c r="F22" s="74"/>
      <c r="G22" s="343"/>
    </row>
    <row r="23" spans="3:9" x14ac:dyDescent="0.2">
      <c r="G23" s="336">
        <v>-157</v>
      </c>
      <c r="H23" s="134" t="s">
        <v>160</v>
      </c>
      <c r="I23" s="337">
        <v>13</v>
      </c>
    </row>
    <row r="24" spans="3:9" x14ac:dyDescent="0.2">
      <c r="C24" s="252">
        <v>5</v>
      </c>
      <c r="D24" s="134" t="s">
        <v>158</v>
      </c>
      <c r="E24" s="337">
        <v>13</v>
      </c>
      <c r="G24" s="343"/>
      <c r="H24" s="339"/>
    </row>
    <row r="25" spans="3:9" x14ac:dyDescent="0.2">
      <c r="C25" s="332"/>
      <c r="D25" s="333">
        <v>-105</v>
      </c>
      <c r="E25" s="334" t="s">
        <v>158</v>
      </c>
      <c r="F25" s="337">
        <v>13</v>
      </c>
      <c r="G25" s="343"/>
      <c r="H25" s="343"/>
    </row>
    <row r="26" spans="3:9" x14ac:dyDescent="0.2">
      <c r="C26" s="332">
        <v>28</v>
      </c>
      <c r="D26" s="284" t="s">
        <v>235</v>
      </c>
      <c r="E26" s="335">
        <v>0</v>
      </c>
      <c r="G26" s="343"/>
      <c r="H26" s="343"/>
    </row>
    <row r="27" spans="3:9" x14ac:dyDescent="0.2">
      <c r="C27" s="332"/>
      <c r="E27" s="336">
        <v>-119</v>
      </c>
      <c r="F27" s="134" t="s">
        <v>158</v>
      </c>
      <c r="G27" s="341">
        <v>11</v>
      </c>
      <c r="H27" s="343"/>
    </row>
    <row r="28" spans="3:9" x14ac:dyDescent="0.2">
      <c r="C28" s="332">
        <v>21</v>
      </c>
      <c r="D28" s="134" t="s">
        <v>235</v>
      </c>
      <c r="E28" s="341">
        <v>0</v>
      </c>
      <c r="F28" s="339"/>
      <c r="G28" s="343"/>
      <c r="H28" s="343"/>
    </row>
    <row r="29" spans="3:9" x14ac:dyDescent="0.2">
      <c r="C29" s="332"/>
      <c r="D29" s="333">
        <v>-106</v>
      </c>
      <c r="E29" s="340" t="s">
        <v>162</v>
      </c>
      <c r="F29" s="341">
        <v>7</v>
      </c>
      <c r="G29" s="343"/>
      <c r="H29" s="343"/>
    </row>
    <row r="30" spans="3:9" x14ac:dyDescent="0.2">
      <c r="C30" s="332">
        <v>12</v>
      </c>
      <c r="D30" s="284" t="s">
        <v>162</v>
      </c>
      <c r="E30" s="342">
        <v>13</v>
      </c>
      <c r="F30" s="343"/>
      <c r="G30" s="343"/>
      <c r="H30" s="343"/>
    </row>
    <row r="31" spans="3:9" x14ac:dyDescent="0.2">
      <c r="F31" s="336">
        <v>-142</v>
      </c>
      <c r="G31" s="344" t="s">
        <v>156</v>
      </c>
      <c r="H31" s="341">
        <v>9</v>
      </c>
    </row>
    <row r="32" spans="3:9" x14ac:dyDescent="0.2">
      <c r="C32" s="252">
        <v>13</v>
      </c>
      <c r="D32" s="134" t="s">
        <v>156</v>
      </c>
      <c r="E32" s="337">
        <v>13</v>
      </c>
      <c r="F32" s="343"/>
      <c r="H32" s="343"/>
    </row>
    <row r="33" spans="3:10" x14ac:dyDescent="0.2">
      <c r="C33" s="332"/>
      <c r="D33" s="333">
        <v>-107</v>
      </c>
      <c r="E33" s="334" t="s">
        <v>156</v>
      </c>
      <c r="F33" s="341">
        <v>13</v>
      </c>
      <c r="H33" s="343"/>
    </row>
    <row r="34" spans="3:10" x14ac:dyDescent="0.2">
      <c r="C34" s="332">
        <v>20</v>
      </c>
      <c r="D34" s="284" t="s">
        <v>235</v>
      </c>
      <c r="E34" s="335">
        <v>0</v>
      </c>
      <c r="F34" s="343"/>
      <c r="H34" s="343"/>
    </row>
    <row r="35" spans="3:10" x14ac:dyDescent="0.2">
      <c r="C35" s="332"/>
      <c r="E35" s="336">
        <v>-120</v>
      </c>
      <c r="F35" s="344" t="s">
        <v>156</v>
      </c>
      <c r="G35" s="337">
        <v>13</v>
      </c>
      <c r="H35" s="343"/>
    </row>
    <row r="36" spans="3:10" x14ac:dyDescent="0.2">
      <c r="C36" s="332">
        <v>29</v>
      </c>
      <c r="D36" s="134" t="s">
        <v>235</v>
      </c>
      <c r="E36" s="341">
        <v>0</v>
      </c>
      <c r="F36" s="74"/>
      <c r="H36" s="343"/>
    </row>
    <row r="37" spans="3:10" x14ac:dyDescent="0.2">
      <c r="C37" s="332"/>
      <c r="D37" s="333">
        <v>-108</v>
      </c>
      <c r="E37" s="340" t="s">
        <v>351</v>
      </c>
      <c r="F37" s="271">
        <v>8</v>
      </c>
      <c r="G37" s="74"/>
      <c r="H37" s="343"/>
    </row>
    <row r="38" spans="3:10" x14ac:dyDescent="0.2">
      <c r="C38" s="332">
        <v>4</v>
      </c>
      <c r="D38" s="284" t="s">
        <v>351</v>
      </c>
      <c r="E38" s="342">
        <v>13</v>
      </c>
      <c r="F38" s="74"/>
      <c r="G38" s="74"/>
      <c r="H38" s="343"/>
    </row>
    <row r="39" spans="3:10" x14ac:dyDescent="0.2">
      <c r="D39" s="332"/>
      <c r="E39" s="74"/>
      <c r="F39" s="271"/>
      <c r="G39" s="74"/>
      <c r="H39" s="345"/>
      <c r="J39" s="337"/>
    </row>
    <row r="40" spans="3:10" x14ac:dyDescent="0.2">
      <c r="D40" s="332"/>
      <c r="E40" s="74"/>
      <c r="F40" s="271"/>
      <c r="G40" s="74"/>
      <c r="H40" s="336">
        <v>-177</v>
      </c>
      <c r="I40" s="134" t="s">
        <v>160</v>
      </c>
      <c r="J40" s="337">
        <v>13</v>
      </c>
    </row>
    <row r="41" spans="3:10" x14ac:dyDescent="0.2">
      <c r="D41" s="332"/>
      <c r="E41" s="74"/>
      <c r="F41" s="271"/>
      <c r="G41" s="74"/>
      <c r="H41" s="345"/>
      <c r="I41" s="346"/>
      <c r="J41" s="337"/>
    </row>
    <row r="42" spans="3:10" x14ac:dyDescent="0.2">
      <c r="C42" s="188">
        <v>3</v>
      </c>
      <c r="D42" s="134" t="s">
        <v>172</v>
      </c>
      <c r="E42" s="337">
        <v>13</v>
      </c>
      <c r="H42" s="343"/>
      <c r="I42" s="347"/>
    </row>
    <row r="43" spans="3:10" x14ac:dyDescent="0.2">
      <c r="C43" s="332"/>
      <c r="D43" s="333">
        <v>-109</v>
      </c>
      <c r="E43" s="334" t="s">
        <v>172</v>
      </c>
      <c r="F43" s="337">
        <v>13</v>
      </c>
      <c r="H43" s="343"/>
      <c r="I43" s="343"/>
    </row>
    <row r="44" spans="3:10" x14ac:dyDescent="0.2">
      <c r="C44" s="332">
        <v>30</v>
      </c>
      <c r="D44" s="284" t="s">
        <v>235</v>
      </c>
      <c r="E44" s="335">
        <v>0</v>
      </c>
      <c r="H44" s="343"/>
      <c r="I44" s="343"/>
    </row>
    <row r="45" spans="3:10" x14ac:dyDescent="0.2">
      <c r="C45" s="332"/>
      <c r="E45" s="336">
        <v>-121</v>
      </c>
      <c r="F45" s="74" t="s">
        <v>172</v>
      </c>
      <c r="G45" s="337">
        <v>12</v>
      </c>
      <c r="H45" s="343"/>
      <c r="I45" s="343"/>
    </row>
    <row r="46" spans="3:10" x14ac:dyDescent="0.2">
      <c r="C46" s="332">
        <v>19</v>
      </c>
      <c r="D46" s="134" t="s">
        <v>235</v>
      </c>
      <c r="E46" s="341">
        <v>0</v>
      </c>
      <c r="F46" s="339"/>
      <c r="H46" s="343"/>
      <c r="I46" s="343"/>
    </row>
    <row r="47" spans="3:10" x14ac:dyDescent="0.2">
      <c r="C47" s="332"/>
      <c r="D47" s="333">
        <v>-110</v>
      </c>
      <c r="E47" s="340" t="s">
        <v>352</v>
      </c>
      <c r="F47" s="341">
        <v>8</v>
      </c>
      <c r="H47" s="343"/>
      <c r="I47" s="343"/>
    </row>
    <row r="48" spans="3:10" x14ac:dyDescent="0.2">
      <c r="C48" s="332">
        <v>14</v>
      </c>
      <c r="D48" s="284" t="s">
        <v>352</v>
      </c>
      <c r="E48" s="342">
        <v>13</v>
      </c>
      <c r="F48" s="343"/>
      <c r="H48" s="343"/>
      <c r="I48" s="343"/>
    </row>
    <row r="49" spans="3:11" x14ac:dyDescent="0.2">
      <c r="C49" s="188"/>
      <c r="F49" s="336">
        <v>-143</v>
      </c>
      <c r="G49" s="74" t="s">
        <v>155</v>
      </c>
      <c r="H49" s="341">
        <v>4</v>
      </c>
      <c r="I49" s="343"/>
    </row>
    <row r="50" spans="3:11" x14ac:dyDescent="0.2">
      <c r="C50" s="252">
        <v>11</v>
      </c>
      <c r="D50" s="134" t="s">
        <v>155</v>
      </c>
      <c r="E50" s="337">
        <v>13</v>
      </c>
      <c r="F50" s="343"/>
      <c r="G50" s="339"/>
      <c r="H50" s="343"/>
      <c r="I50" s="343"/>
    </row>
    <row r="51" spans="3:11" x14ac:dyDescent="0.2">
      <c r="C51" s="332"/>
      <c r="D51" s="333">
        <v>-111</v>
      </c>
      <c r="E51" s="334" t="s">
        <v>155</v>
      </c>
      <c r="F51" s="341">
        <v>13</v>
      </c>
      <c r="G51" s="343"/>
      <c r="H51" s="343"/>
      <c r="I51" s="343"/>
    </row>
    <row r="52" spans="3:11" x14ac:dyDescent="0.2">
      <c r="C52" s="332">
        <v>22</v>
      </c>
      <c r="D52" s="281" t="s">
        <v>235</v>
      </c>
      <c r="E52" s="335">
        <v>0</v>
      </c>
      <c r="F52" s="343"/>
      <c r="G52" s="343"/>
      <c r="H52" s="343"/>
      <c r="I52" s="343"/>
    </row>
    <row r="53" spans="3:11" x14ac:dyDescent="0.2">
      <c r="C53" s="332"/>
      <c r="E53" s="336">
        <v>-122</v>
      </c>
      <c r="F53" s="344" t="s">
        <v>155</v>
      </c>
      <c r="G53" s="341">
        <v>13</v>
      </c>
      <c r="H53" s="343"/>
      <c r="I53" s="343"/>
    </row>
    <row r="54" spans="3:11" x14ac:dyDescent="0.2">
      <c r="C54" s="332">
        <v>27</v>
      </c>
      <c r="D54" s="134" t="s">
        <v>235</v>
      </c>
      <c r="E54" s="341">
        <v>0</v>
      </c>
      <c r="F54" s="74"/>
      <c r="G54" s="343"/>
      <c r="H54" s="343"/>
      <c r="I54" s="343"/>
    </row>
    <row r="55" spans="3:11" x14ac:dyDescent="0.2">
      <c r="C55" s="332"/>
      <c r="D55" s="333">
        <v>-112</v>
      </c>
      <c r="E55" s="340" t="s">
        <v>176</v>
      </c>
      <c r="F55" s="271" t="s">
        <v>235</v>
      </c>
      <c r="G55" s="343"/>
      <c r="H55" s="343"/>
      <c r="I55" s="343"/>
    </row>
    <row r="56" spans="3:11" ht="13.5" thickBot="1" x14ac:dyDescent="0.25">
      <c r="C56" s="332">
        <v>6</v>
      </c>
      <c r="D56" s="284" t="s">
        <v>176</v>
      </c>
      <c r="E56" s="342">
        <v>13</v>
      </c>
      <c r="F56" s="74"/>
      <c r="G56" s="343"/>
      <c r="H56" s="343"/>
      <c r="I56" s="348" t="s">
        <v>226</v>
      </c>
      <c r="J56" s="349"/>
      <c r="K56" s="350" t="s">
        <v>160</v>
      </c>
    </row>
    <row r="57" spans="3:11" x14ac:dyDescent="0.2">
      <c r="G57" s="336">
        <v>-158</v>
      </c>
      <c r="H57" s="344" t="s">
        <v>186</v>
      </c>
      <c r="I57" s="341">
        <v>2</v>
      </c>
      <c r="J57" s="351"/>
      <c r="K57" s="352" t="s">
        <v>240</v>
      </c>
    </row>
    <row r="58" spans="3:11" x14ac:dyDescent="0.2">
      <c r="C58" s="252">
        <v>7</v>
      </c>
      <c r="D58" s="134" t="s">
        <v>164</v>
      </c>
      <c r="E58" s="337">
        <v>13</v>
      </c>
      <c r="G58" s="343"/>
      <c r="I58" s="343"/>
      <c r="K58" s="74"/>
    </row>
    <row r="59" spans="3:11" ht="13.5" thickBot="1" x14ac:dyDescent="0.25">
      <c r="C59" s="332"/>
      <c r="D59" s="333">
        <v>-113</v>
      </c>
      <c r="E59" s="334" t="s">
        <v>164</v>
      </c>
      <c r="F59" s="337">
        <v>7</v>
      </c>
      <c r="G59" s="343"/>
      <c r="I59" s="343"/>
      <c r="K59" s="350" t="s">
        <v>156</v>
      </c>
    </row>
    <row r="60" spans="3:11" x14ac:dyDescent="0.2">
      <c r="C60" s="332">
        <v>26</v>
      </c>
      <c r="D60" s="284" t="s">
        <v>235</v>
      </c>
      <c r="E60" s="335">
        <v>0</v>
      </c>
      <c r="F60" s="337"/>
      <c r="G60" s="343"/>
      <c r="I60" s="343"/>
      <c r="K60" s="188" t="s">
        <v>244</v>
      </c>
    </row>
    <row r="61" spans="3:11" x14ac:dyDescent="0.2">
      <c r="C61" s="332"/>
      <c r="E61" s="336">
        <v>-123</v>
      </c>
      <c r="F61" s="134" t="s">
        <v>166</v>
      </c>
      <c r="G61" s="341">
        <v>7</v>
      </c>
      <c r="I61" s="343"/>
    </row>
    <row r="62" spans="3:11" x14ac:dyDescent="0.2">
      <c r="C62" s="332">
        <v>23</v>
      </c>
      <c r="D62" s="134" t="s">
        <v>235</v>
      </c>
      <c r="E62" s="341">
        <v>0</v>
      </c>
      <c r="F62" s="339"/>
      <c r="G62" s="343"/>
      <c r="I62" s="343"/>
    </row>
    <row r="63" spans="3:11" x14ac:dyDescent="0.2">
      <c r="C63" s="332"/>
      <c r="D63" s="333">
        <v>-114</v>
      </c>
      <c r="E63" s="340" t="s">
        <v>166</v>
      </c>
      <c r="F63" s="341">
        <v>13</v>
      </c>
      <c r="G63" s="343"/>
      <c r="I63" s="343"/>
    </row>
    <row r="64" spans="3:11" x14ac:dyDescent="0.2">
      <c r="C64" s="332">
        <v>10</v>
      </c>
      <c r="D64" s="284" t="s">
        <v>166</v>
      </c>
      <c r="E64" s="342">
        <v>13</v>
      </c>
      <c r="F64" s="343"/>
      <c r="G64" s="343"/>
      <c r="I64" s="343"/>
    </row>
    <row r="65" spans="1:10" x14ac:dyDescent="0.2">
      <c r="F65" s="336">
        <v>-144</v>
      </c>
      <c r="G65" s="344" t="s">
        <v>186</v>
      </c>
      <c r="H65" s="337">
        <v>13</v>
      </c>
      <c r="I65" s="343"/>
    </row>
    <row r="66" spans="1:10" x14ac:dyDescent="0.2">
      <c r="C66" s="252">
        <v>15</v>
      </c>
      <c r="D66" s="134" t="s">
        <v>195</v>
      </c>
      <c r="E66" s="337">
        <v>13</v>
      </c>
      <c r="F66" s="343"/>
      <c r="I66" s="343"/>
    </row>
    <row r="67" spans="1:10" x14ac:dyDescent="0.2">
      <c r="C67" s="332"/>
      <c r="D67" s="333">
        <v>-115</v>
      </c>
      <c r="E67" s="334" t="s">
        <v>195</v>
      </c>
      <c r="F67" s="341">
        <v>4</v>
      </c>
      <c r="I67" s="343"/>
    </row>
    <row r="68" spans="1:10" x14ac:dyDescent="0.2">
      <c r="C68" s="332">
        <v>18</v>
      </c>
      <c r="D68" s="284" t="s">
        <v>353</v>
      </c>
      <c r="E68" s="335">
        <v>5</v>
      </c>
      <c r="F68" s="343"/>
      <c r="I68" s="343"/>
    </row>
    <row r="69" spans="1:10" x14ac:dyDescent="0.2">
      <c r="C69" s="332"/>
      <c r="E69" s="336">
        <v>-124</v>
      </c>
      <c r="F69" s="344" t="s">
        <v>186</v>
      </c>
      <c r="G69" s="337">
        <v>13</v>
      </c>
      <c r="I69" s="343"/>
    </row>
    <row r="70" spans="1:10" x14ac:dyDescent="0.2">
      <c r="C70" s="332">
        <v>31</v>
      </c>
      <c r="D70" s="134" t="s">
        <v>235</v>
      </c>
      <c r="E70" s="341">
        <v>0</v>
      </c>
      <c r="F70" s="74"/>
      <c r="I70" s="343"/>
    </row>
    <row r="71" spans="1:10" x14ac:dyDescent="0.2">
      <c r="C71" s="332"/>
      <c r="D71" s="333">
        <v>-116</v>
      </c>
      <c r="E71" s="340" t="s">
        <v>186</v>
      </c>
      <c r="F71" s="271">
        <v>13</v>
      </c>
      <c r="G71" s="74"/>
      <c r="H71" s="353" t="s">
        <v>354</v>
      </c>
      <c r="I71" s="343" t="s">
        <v>156</v>
      </c>
      <c r="J71" s="337">
        <v>8</v>
      </c>
    </row>
    <row r="72" spans="1:10" x14ac:dyDescent="0.2">
      <c r="C72" s="332">
        <v>2</v>
      </c>
      <c r="D72" s="284" t="s">
        <v>186</v>
      </c>
      <c r="E72" s="342">
        <v>13</v>
      </c>
      <c r="F72" s="74"/>
      <c r="G72" s="74"/>
      <c r="I72" s="283"/>
    </row>
    <row r="73" spans="1:10" x14ac:dyDescent="0.2">
      <c r="B73" s="74"/>
      <c r="C73" s="271"/>
      <c r="D73" s="74"/>
      <c r="E73" s="74"/>
      <c r="G73" s="74"/>
    </row>
    <row r="74" spans="1:10" x14ac:dyDescent="0.2">
      <c r="A74" s="331" t="s">
        <v>355</v>
      </c>
      <c r="B74" s="73"/>
      <c r="C74" s="74"/>
      <c r="D74" s="188">
        <v>-144</v>
      </c>
      <c r="E74" s="284" t="s">
        <v>166</v>
      </c>
      <c r="F74" s="337">
        <v>12</v>
      </c>
      <c r="G74" s="74"/>
    </row>
    <row r="75" spans="1:10" x14ac:dyDescent="0.2">
      <c r="A75" s="252"/>
      <c r="E75" s="339"/>
      <c r="G75" s="74"/>
    </row>
    <row r="76" spans="1:10" x14ac:dyDescent="0.2">
      <c r="A76" s="332"/>
      <c r="B76" s="188">
        <v>-120</v>
      </c>
      <c r="C76" s="134" t="s">
        <v>351</v>
      </c>
      <c r="D76" s="337">
        <v>13</v>
      </c>
      <c r="E76" s="343"/>
      <c r="F76" s="74"/>
      <c r="G76" s="337"/>
    </row>
    <row r="77" spans="1:10" x14ac:dyDescent="0.2">
      <c r="A77" s="332"/>
      <c r="B77" s="188"/>
      <c r="C77" s="339"/>
      <c r="D77" s="337"/>
      <c r="E77" s="354">
        <v>163</v>
      </c>
      <c r="F77" s="334" t="s">
        <v>162</v>
      </c>
      <c r="G77" s="337">
        <v>13</v>
      </c>
    </row>
    <row r="78" spans="1:10" x14ac:dyDescent="0.2">
      <c r="A78" s="332"/>
      <c r="B78" s="188"/>
      <c r="C78" s="354">
        <v>133</v>
      </c>
      <c r="D78" s="337" t="s">
        <v>351</v>
      </c>
      <c r="E78" s="337">
        <v>12</v>
      </c>
      <c r="F78" s="346"/>
    </row>
    <row r="79" spans="1:10" x14ac:dyDescent="0.2">
      <c r="A79" s="332"/>
      <c r="B79" s="134" t="s">
        <v>235</v>
      </c>
      <c r="C79" s="341"/>
      <c r="D79" s="346"/>
      <c r="F79" s="347"/>
    </row>
    <row r="80" spans="1:10" x14ac:dyDescent="0.2">
      <c r="A80" s="332">
        <v>-109</v>
      </c>
      <c r="B80" s="355">
        <v>125</v>
      </c>
      <c r="C80" s="340" t="s">
        <v>235</v>
      </c>
      <c r="D80" s="341">
        <v>0</v>
      </c>
      <c r="E80" s="343"/>
      <c r="F80" s="343"/>
    </row>
    <row r="81" spans="1:9" x14ac:dyDescent="0.2">
      <c r="A81" s="332"/>
      <c r="B81" s="284" t="s">
        <v>235</v>
      </c>
      <c r="C81" s="342"/>
      <c r="E81" s="347"/>
      <c r="F81" s="347"/>
    </row>
    <row r="82" spans="1:9" x14ac:dyDescent="0.2">
      <c r="A82" s="332">
        <v>-110</v>
      </c>
      <c r="B82" s="74"/>
      <c r="C82" s="271"/>
      <c r="D82" s="354">
        <v>149</v>
      </c>
      <c r="E82" s="340" t="s">
        <v>162</v>
      </c>
      <c r="F82" s="341">
        <v>13</v>
      </c>
    </row>
    <row r="83" spans="1:9" x14ac:dyDescent="0.2">
      <c r="A83" s="332"/>
      <c r="B83" s="188">
        <v>-119</v>
      </c>
      <c r="C83" s="134" t="s">
        <v>162</v>
      </c>
      <c r="D83" s="341">
        <v>13</v>
      </c>
      <c r="F83" s="343"/>
    </row>
    <row r="84" spans="1:9" x14ac:dyDescent="0.2">
      <c r="B84" s="188"/>
      <c r="C84" s="339"/>
      <c r="D84" s="343"/>
      <c r="F84" s="354">
        <v>173</v>
      </c>
      <c r="G84" s="134" t="s">
        <v>162</v>
      </c>
      <c r="H84" s="337">
        <v>12</v>
      </c>
    </row>
    <row r="85" spans="1:9" x14ac:dyDescent="0.2">
      <c r="B85" s="188"/>
      <c r="C85" s="354">
        <v>134</v>
      </c>
      <c r="D85" s="343" t="s">
        <v>162</v>
      </c>
      <c r="E85" s="337">
        <v>13</v>
      </c>
      <c r="G85" s="346"/>
    </row>
    <row r="86" spans="1:9" x14ac:dyDescent="0.2">
      <c r="B86" s="74" t="s">
        <v>235</v>
      </c>
      <c r="C86" s="341"/>
      <c r="D86" s="356"/>
      <c r="G86" s="347"/>
    </row>
    <row r="87" spans="1:9" x14ac:dyDescent="0.2">
      <c r="A87" s="332">
        <v>-111</v>
      </c>
      <c r="B87" s="355">
        <v>126</v>
      </c>
      <c r="C87" s="340" t="s">
        <v>235</v>
      </c>
      <c r="D87" s="337">
        <v>0</v>
      </c>
      <c r="F87" s="343"/>
      <c r="G87" s="343"/>
    </row>
    <row r="88" spans="1:9" x14ac:dyDescent="0.2">
      <c r="A88" s="332"/>
      <c r="B88" s="284" t="s">
        <v>235</v>
      </c>
      <c r="C88" s="342"/>
      <c r="D88" s="73">
        <v>-143</v>
      </c>
      <c r="E88" s="337" t="s">
        <v>172</v>
      </c>
      <c r="F88" s="341">
        <v>13</v>
      </c>
      <c r="G88" s="343"/>
    </row>
    <row r="89" spans="1:9" x14ac:dyDescent="0.2">
      <c r="A89" s="332">
        <v>-112</v>
      </c>
      <c r="B89" s="74"/>
      <c r="C89" s="271"/>
      <c r="E89" s="339"/>
      <c r="F89" s="347"/>
      <c r="G89" s="343"/>
    </row>
    <row r="90" spans="1:9" x14ac:dyDescent="0.2">
      <c r="A90" s="332"/>
      <c r="B90" s="188">
        <v>-118</v>
      </c>
      <c r="C90" s="134" t="s">
        <v>19</v>
      </c>
      <c r="D90" s="337">
        <v>13</v>
      </c>
      <c r="E90" s="343"/>
      <c r="F90" s="343"/>
      <c r="G90" s="343"/>
    </row>
    <row r="91" spans="1:9" x14ac:dyDescent="0.2">
      <c r="A91" s="332"/>
      <c r="B91" s="188"/>
      <c r="C91" s="357"/>
      <c r="E91" s="354">
        <v>164</v>
      </c>
      <c r="F91" s="340" t="s">
        <v>172</v>
      </c>
      <c r="G91" s="358">
        <v>7</v>
      </c>
    </row>
    <row r="92" spans="1:9" x14ac:dyDescent="0.2">
      <c r="A92" s="332"/>
      <c r="B92" s="188"/>
      <c r="C92" s="354">
        <v>135</v>
      </c>
      <c r="D92" s="134" t="s">
        <v>19</v>
      </c>
      <c r="E92" s="337">
        <v>7</v>
      </c>
      <c r="F92" s="356"/>
      <c r="G92" s="343"/>
    </row>
    <row r="93" spans="1:9" x14ac:dyDescent="0.2">
      <c r="A93" s="332"/>
      <c r="B93" s="134" t="s">
        <v>235</v>
      </c>
      <c r="C93" s="341"/>
      <c r="D93" s="339"/>
      <c r="F93" s="351"/>
      <c r="G93" s="359" t="s">
        <v>356</v>
      </c>
      <c r="H93" s="334" t="s">
        <v>156</v>
      </c>
      <c r="I93" s="337">
        <v>13</v>
      </c>
    </row>
    <row r="94" spans="1:9" x14ac:dyDescent="0.2">
      <c r="A94" s="332">
        <v>-113</v>
      </c>
      <c r="B94" s="355">
        <v>127</v>
      </c>
      <c r="C94" s="340" t="s">
        <v>235</v>
      </c>
      <c r="D94" s="341">
        <v>0</v>
      </c>
      <c r="E94" s="343"/>
      <c r="F94" s="74"/>
      <c r="H94" s="346"/>
    </row>
    <row r="95" spans="1:9" x14ac:dyDescent="0.2">
      <c r="A95" s="332"/>
      <c r="B95" s="284" t="s">
        <v>235</v>
      </c>
      <c r="C95" s="342"/>
      <c r="D95" s="354">
        <v>150</v>
      </c>
      <c r="E95" s="340" t="s">
        <v>157</v>
      </c>
      <c r="F95" s="271">
        <v>11</v>
      </c>
      <c r="G95" s="343"/>
      <c r="H95" s="343"/>
    </row>
    <row r="96" spans="1:9" x14ac:dyDescent="0.2">
      <c r="A96" s="332">
        <v>-114</v>
      </c>
      <c r="B96" s="74"/>
      <c r="C96" s="271"/>
      <c r="D96" s="343"/>
      <c r="G96" s="343"/>
      <c r="H96" s="343"/>
    </row>
    <row r="97" spans="1:10" x14ac:dyDescent="0.2">
      <c r="A97" s="332"/>
      <c r="B97" s="188">
        <v>-117</v>
      </c>
      <c r="C97" s="134" t="s">
        <v>157</v>
      </c>
      <c r="D97" s="341">
        <v>13</v>
      </c>
      <c r="F97" s="74"/>
      <c r="G97" s="343"/>
      <c r="H97" s="343"/>
    </row>
    <row r="98" spans="1:10" x14ac:dyDescent="0.2">
      <c r="A98" s="332"/>
      <c r="B98" s="188"/>
      <c r="C98" s="339"/>
      <c r="D98" s="347"/>
      <c r="F98" s="74"/>
      <c r="G98" s="343"/>
      <c r="H98" s="343"/>
    </row>
    <row r="99" spans="1:10" x14ac:dyDescent="0.2">
      <c r="A99" s="332"/>
      <c r="B99" s="188"/>
      <c r="C99" s="354">
        <v>135</v>
      </c>
      <c r="D99" s="344" t="s">
        <v>157</v>
      </c>
      <c r="E99" s="337">
        <v>13</v>
      </c>
      <c r="F99" s="74"/>
      <c r="G99" s="343"/>
      <c r="H99" s="343"/>
    </row>
    <row r="100" spans="1:10" x14ac:dyDescent="0.2">
      <c r="A100" s="332"/>
      <c r="B100" s="74" t="s">
        <v>353</v>
      </c>
      <c r="C100" s="341">
        <v>13</v>
      </c>
      <c r="G100" s="343"/>
      <c r="H100" s="343"/>
    </row>
    <row r="101" spans="1:10" x14ac:dyDescent="0.2">
      <c r="A101" s="332">
        <v>-115</v>
      </c>
      <c r="B101" s="360">
        <v>128</v>
      </c>
      <c r="C101" s="344" t="s">
        <v>353</v>
      </c>
      <c r="D101" s="337">
        <v>12</v>
      </c>
      <c r="F101" s="73">
        <v>-157</v>
      </c>
      <c r="G101" s="344" t="s">
        <v>156</v>
      </c>
      <c r="H101" s="341">
        <v>13</v>
      </c>
    </row>
    <row r="102" spans="1:10" x14ac:dyDescent="0.2">
      <c r="A102" s="332"/>
      <c r="B102" s="284" t="s">
        <v>235</v>
      </c>
      <c r="C102" s="342">
        <v>0</v>
      </c>
      <c r="D102" s="73">
        <v>-142</v>
      </c>
      <c r="E102" s="337" t="s">
        <v>158</v>
      </c>
      <c r="F102" s="337">
        <v>13</v>
      </c>
      <c r="H102" s="343"/>
    </row>
    <row r="103" spans="1:10" x14ac:dyDescent="0.2">
      <c r="A103" s="188">
        <v>-116</v>
      </c>
      <c r="B103" s="74"/>
      <c r="C103" s="271"/>
      <c r="D103" s="73"/>
      <c r="E103" s="361"/>
      <c r="F103" s="337"/>
      <c r="H103" s="343"/>
    </row>
    <row r="104" spans="1:10" x14ac:dyDescent="0.2">
      <c r="A104" s="188"/>
      <c r="B104" s="188">
        <v>-124</v>
      </c>
      <c r="C104" s="134" t="s">
        <v>195</v>
      </c>
      <c r="D104" s="337">
        <v>8</v>
      </c>
      <c r="E104" s="343"/>
      <c r="F104" s="74"/>
      <c r="G104" s="337"/>
      <c r="H104" s="343"/>
    </row>
    <row r="105" spans="1:10" x14ac:dyDescent="0.2">
      <c r="A105" s="332"/>
      <c r="B105" s="188"/>
      <c r="C105" s="339"/>
      <c r="E105" s="354">
        <v>165</v>
      </c>
      <c r="F105" s="334" t="s">
        <v>158</v>
      </c>
      <c r="G105" s="337">
        <v>1</v>
      </c>
      <c r="H105" s="343"/>
    </row>
    <row r="106" spans="1:10" x14ac:dyDescent="0.2">
      <c r="A106" s="332"/>
      <c r="B106" s="188"/>
      <c r="C106" s="354">
        <v>137</v>
      </c>
      <c r="D106" s="134" t="s">
        <v>169</v>
      </c>
      <c r="E106" s="271">
        <v>9</v>
      </c>
      <c r="F106" s="346"/>
      <c r="G106" s="337"/>
      <c r="H106" s="343"/>
    </row>
    <row r="107" spans="1:10" x14ac:dyDescent="0.2">
      <c r="A107" s="332"/>
      <c r="B107" s="134" t="s">
        <v>235</v>
      </c>
      <c r="C107" s="341">
        <v>0</v>
      </c>
      <c r="D107" s="346"/>
      <c r="F107" s="347"/>
      <c r="H107" s="359" t="s">
        <v>357</v>
      </c>
      <c r="I107" s="334" t="s">
        <v>156</v>
      </c>
      <c r="J107" s="337">
        <v>13</v>
      </c>
    </row>
    <row r="108" spans="1:10" x14ac:dyDescent="0.2">
      <c r="A108" s="332">
        <v>-101</v>
      </c>
      <c r="B108" s="355">
        <v>129</v>
      </c>
      <c r="C108" s="340" t="s">
        <v>169</v>
      </c>
      <c r="D108" s="341">
        <v>13</v>
      </c>
      <c r="E108" s="343"/>
      <c r="F108" s="358"/>
      <c r="H108" s="343"/>
      <c r="I108" s="339"/>
    </row>
    <row r="109" spans="1:10" x14ac:dyDescent="0.2">
      <c r="A109" s="332"/>
      <c r="B109" s="284" t="s">
        <v>169</v>
      </c>
      <c r="C109" s="342">
        <v>13</v>
      </c>
      <c r="E109" s="347"/>
      <c r="F109" s="347"/>
      <c r="H109" s="343"/>
      <c r="I109" s="343"/>
    </row>
    <row r="110" spans="1:10" x14ac:dyDescent="0.2">
      <c r="A110" s="332">
        <v>-102</v>
      </c>
      <c r="B110" s="74"/>
      <c r="C110" s="271"/>
      <c r="E110" s="347"/>
      <c r="F110" s="343"/>
      <c r="H110" s="343"/>
      <c r="I110" s="343"/>
    </row>
    <row r="111" spans="1:10" x14ac:dyDescent="0.2">
      <c r="A111" s="332"/>
      <c r="B111" s="74"/>
      <c r="C111" s="271"/>
      <c r="E111" s="347"/>
      <c r="F111" s="343"/>
      <c r="H111" s="343"/>
      <c r="I111" s="343"/>
    </row>
    <row r="112" spans="1:10" x14ac:dyDescent="0.2">
      <c r="A112" s="332"/>
      <c r="B112" s="74"/>
      <c r="C112" s="271"/>
      <c r="D112" s="354">
        <v>151</v>
      </c>
      <c r="E112" s="340" t="s">
        <v>164</v>
      </c>
      <c r="F112" s="341">
        <v>10</v>
      </c>
      <c r="H112" s="343"/>
      <c r="I112" s="343"/>
    </row>
    <row r="113" spans="1:11" x14ac:dyDescent="0.2">
      <c r="A113" s="332"/>
      <c r="B113" s="188">
        <v>-123</v>
      </c>
      <c r="C113" s="134" t="s">
        <v>164</v>
      </c>
      <c r="D113" s="338">
        <v>13</v>
      </c>
      <c r="F113" s="343"/>
      <c r="H113" s="343"/>
      <c r="I113" s="343"/>
    </row>
    <row r="114" spans="1:11" x14ac:dyDescent="0.2">
      <c r="B114" s="188"/>
      <c r="C114" s="339"/>
      <c r="D114" s="343"/>
      <c r="F114" s="354">
        <v>174</v>
      </c>
      <c r="G114" s="134" t="s">
        <v>176</v>
      </c>
      <c r="H114" s="341">
        <v>3</v>
      </c>
      <c r="I114" s="343"/>
    </row>
    <row r="115" spans="1:11" x14ac:dyDescent="0.2">
      <c r="B115" s="188"/>
      <c r="C115" s="354">
        <v>138</v>
      </c>
      <c r="D115" s="343" t="s">
        <v>164</v>
      </c>
      <c r="E115" s="337">
        <v>13</v>
      </c>
      <c r="F115" s="74"/>
      <c r="G115" s="346"/>
      <c r="H115" s="343"/>
      <c r="I115" s="343"/>
    </row>
    <row r="116" spans="1:11" x14ac:dyDescent="0.2">
      <c r="B116" s="74" t="s">
        <v>235</v>
      </c>
      <c r="C116" s="341"/>
      <c r="D116" s="356"/>
      <c r="G116" s="347"/>
      <c r="H116" s="343"/>
      <c r="I116" s="343"/>
    </row>
    <row r="117" spans="1:11" x14ac:dyDescent="0.2">
      <c r="A117" s="332">
        <v>-103</v>
      </c>
      <c r="B117" s="355">
        <v>130</v>
      </c>
      <c r="C117" s="340" t="s">
        <v>235</v>
      </c>
      <c r="D117" s="337">
        <v>0</v>
      </c>
      <c r="F117" s="343"/>
      <c r="G117" s="343"/>
      <c r="H117" s="343"/>
      <c r="I117" s="343"/>
    </row>
    <row r="118" spans="1:11" x14ac:dyDescent="0.2">
      <c r="A118" s="332"/>
      <c r="B118" s="284" t="s">
        <v>235</v>
      </c>
      <c r="C118" s="342"/>
      <c r="D118" s="73">
        <v>-141</v>
      </c>
      <c r="E118" s="337" t="s">
        <v>159</v>
      </c>
      <c r="F118" s="341">
        <v>6</v>
      </c>
      <c r="G118" s="343"/>
      <c r="H118" s="343"/>
      <c r="I118" s="343"/>
    </row>
    <row r="119" spans="1:11" x14ac:dyDescent="0.2">
      <c r="A119" s="332">
        <v>-104</v>
      </c>
      <c r="B119" s="74"/>
      <c r="C119" s="271"/>
      <c r="D119" s="73"/>
      <c r="E119" s="361"/>
      <c r="F119" s="341"/>
      <c r="G119" s="343"/>
      <c r="H119" s="343"/>
      <c r="I119" s="343"/>
    </row>
    <row r="120" spans="1:11" x14ac:dyDescent="0.2">
      <c r="A120" s="332"/>
      <c r="B120" s="188">
        <v>-122</v>
      </c>
      <c r="C120" s="134" t="s">
        <v>176</v>
      </c>
      <c r="D120" s="337">
        <v>13</v>
      </c>
      <c r="E120" s="343"/>
      <c r="F120" s="343"/>
      <c r="G120" s="343"/>
      <c r="H120" s="343"/>
      <c r="I120" s="359" t="s">
        <v>358</v>
      </c>
      <c r="J120" s="284" t="s">
        <v>156</v>
      </c>
      <c r="K120" s="362" t="s">
        <v>359</v>
      </c>
    </row>
    <row r="121" spans="1:11" x14ac:dyDescent="0.2">
      <c r="A121" s="332"/>
      <c r="B121" s="188"/>
      <c r="C121" s="339"/>
      <c r="E121" s="354">
        <v>166</v>
      </c>
      <c r="F121" s="340" t="s">
        <v>176</v>
      </c>
      <c r="G121" s="358">
        <v>13</v>
      </c>
      <c r="H121" s="343"/>
      <c r="I121" s="363"/>
      <c r="J121" s="74"/>
    </row>
    <row r="122" spans="1:11" x14ac:dyDescent="0.2">
      <c r="A122" s="332"/>
      <c r="B122" s="188"/>
      <c r="C122" s="354">
        <v>139</v>
      </c>
      <c r="D122" s="134" t="s">
        <v>176</v>
      </c>
      <c r="E122" s="271">
        <v>13</v>
      </c>
      <c r="F122" s="356"/>
      <c r="G122" s="359" t="s">
        <v>360</v>
      </c>
      <c r="H122" s="344" t="s">
        <v>155</v>
      </c>
      <c r="I122" s="341">
        <v>2</v>
      </c>
      <c r="J122" s="74"/>
    </row>
    <row r="123" spans="1:11" x14ac:dyDescent="0.2">
      <c r="A123" s="332"/>
      <c r="B123" s="134" t="s">
        <v>235</v>
      </c>
      <c r="C123" s="343"/>
      <c r="D123" s="346"/>
      <c r="F123" s="351"/>
      <c r="H123" s="356"/>
      <c r="I123" s="343"/>
    </row>
    <row r="124" spans="1:11" x14ac:dyDescent="0.2">
      <c r="A124" s="332">
        <v>-105</v>
      </c>
      <c r="B124" s="355">
        <v>131</v>
      </c>
      <c r="C124" s="340" t="s">
        <v>235</v>
      </c>
      <c r="D124" s="341">
        <v>0</v>
      </c>
      <c r="E124" s="343"/>
      <c r="F124" s="74"/>
      <c r="H124" s="351"/>
      <c r="I124" s="343"/>
    </row>
    <row r="125" spans="1:11" x14ac:dyDescent="0.2">
      <c r="A125" s="332"/>
      <c r="B125" s="284" t="s">
        <v>235</v>
      </c>
      <c r="C125" s="342"/>
      <c r="E125" s="347"/>
      <c r="G125" s="343"/>
      <c r="I125" s="343"/>
    </row>
    <row r="126" spans="1:11" x14ac:dyDescent="0.2">
      <c r="A126" s="332">
        <v>-106</v>
      </c>
      <c r="B126" s="74"/>
      <c r="C126" s="271"/>
      <c r="D126" s="354">
        <v>152</v>
      </c>
      <c r="E126" s="340" t="s">
        <v>176</v>
      </c>
      <c r="F126" s="271">
        <v>13</v>
      </c>
      <c r="G126" s="343"/>
      <c r="I126" s="343"/>
    </row>
    <row r="127" spans="1:11" x14ac:dyDescent="0.2">
      <c r="A127" s="332"/>
      <c r="B127" s="188">
        <v>-121</v>
      </c>
      <c r="C127" s="134" t="s">
        <v>352</v>
      </c>
      <c r="D127" s="341">
        <v>13</v>
      </c>
      <c r="F127" s="74"/>
      <c r="G127" s="343"/>
      <c r="I127" s="343"/>
    </row>
    <row r="128" spans="1:11" x14ac:dyDescent="0.2">
      <c r="A128" s="332"/>
      <c r="B128" s="188"/>
      <c r="C128" s="339"/>
      <c r="D128" s="343"/>
      <c r="F128" s="74"/>
      <c r="G128" s="343"/>
      <c r="I128" s="343"/>
    </row>
    <row r="129" spans="1:11" x14ac:dyDescent="0.2">
      <c r="A129" s="332"/>
      <c r="B129" s="188"/>
      <c r="C129" s="354">
        <v>140</v>
      </c>
      <c r="D129" s="344" t="s">
        <v>352</v>
      </c>
      <c r="E129" s="337">
        <v>3</v>
      </c>
      <c r="F129" s="74"/>
      <c r="G129" s="343"/>
      <c r="I129" s="343"/>
    </row>
    <row r="130" spans="1:11" x14ac:dyDescent="0.2">
      <c r="A130" s="332"/>
      <c r="B130" s="74" t="s">
        <v>235</v>
      </c>
      <c r="C130" s="341"/>
      <c r="E130" s="337"/>
      <c r="F130" s="73">
        <v>-158</v>
      </c>
      <c r="G130" s="344" t="s">
        <v>155</v>
      </c>
      <c r="H130" s="337">
        <v>13</v>
      </c>
      <c r="I130" s="343"/>
    </row>
    <row r="131" spans="1:11" x14ac:dyDescent="0.2">
      <c r="A131" s="332">
        <v>-107</v>
      </c>
      <c r="B131" s="355">
        <v>132</v>
      </c>
      <c r="C131" s="340" t="s">
        <v>235</v>
      </c>
      <c r="D131" s="337">
        <v>0</v>
      </c>
      <c r="F131" s="74"/>
      <c r="G131" s="283"/>
      <c r="I131" s="343"/>
    </row>
    <row r="132" spans="1:11" x14ac:dyDescent="0.2">
      <c r="A132" s="332"/>
      <c r="B132" s="284" t="s">
        <v>235</v>
      </c>
      <c r="C132" s="342"/>
      <c r="D132" s="271"/>
      <c r="E132" s="337"/>
      <c r="H132" s="188">
        <v>-177</v>
      </c>
      <c r="I132" s="344" t="s">
        <v>186</v>
      </c>
      <c r="J132" s="337" t="s">
        <v>136</v>
      </c>
    </row>
    <row r="133" spans="1:11" ht="13.5" thickBot="1" x14ac:dyDescent="0.25">
      <c r="A133" s="188">
        <v>-108</v>
      </c>
      <c r="B133" s="74"/>
      <c r="C133" s="271"/>
      <c r="D133" s="271"/>
      <c r="E133" s="337"/>
      <c r="F133" s="74"/>
      <c r="K133" s="134" t="s">
        <v>186</v>
      </c>
    </row>
    <row r="134" spans="1:11" x14ac:dyDescent="0.2">
      <c r="B134" s="74"/>
      <c r="C134" s="271"/>
      <c r="D134" s="271"/>
      <c r="E134" s="337"/>
      <c r="F134" s="74"/>
      <c r="K134" s="352" t="s">
        <v>247</v>
      </c>
    </row>
    <row r="135" spans="1:11" x14ac:dyDescent="0.2">
      <c r="B135" s="74"/>
      <c r="C135" s="271"/>
      <c r="D135" s="271"/>
      <c r="E135" s="337"/>
      <c r="F135" s="74"/>
    </row>
    <row r="136" spans="1:11" ht="13.5" thickBot="1" x14ac:dyDescent="0.25">
      <c r="B136" s="74"/>
      <c r="C136" s="271"/>
      <c r="D136" s="271"/>
      <c r="E136" s="337"/>
      <c r="F136" s="74"/>
      <c r="K136" s="74" t="s">
        <v>155</v>
      </c>
    </row>
    <row r="137" spans="1:11" x14ac:dyDescent="0.2">
      <c r="B137" s="74"/>
      <c r="C137" s="271"/>
      <c r="D137" s="271"/>
      <c r="E137" s="337"/>
      <c r="F137" s="74"/>
      <c r="K137" s="352" t="s">
        <v>248</v>
      </c>
    </row>
    <row r="139" spans="1:11" x14ac:dyDescent="0.2">
      <c r="A139" s="331" t="s">
        <v>361</v>
      </c>
    </row>
    <row r="140" spans="1:11" x14ac:dyDescent="0.2">
      <c r="H140" s="332" t="s">
        <v>356</v>
      </c>
      <c r="I140" s="134" t="s">
        <v>162</v>
      </c>
      <c r="J140" s="271">
        <v>13</v>
      </c>
      <c r="K140" s="74"/>
    </row>
    <row r="141" spans="1:11" ht="13.5" thickBot="1" x14ac:dyDescent="0.25">
      <c r="I141" s="339"/>
      <c r="J141" s="350"/>
      <c r="K141" s="350" t="s">
        <v>162</v>
      </c>
    </row>
    <row r="142" spans="1:11" x14ac:dyDescent="0.2">
      <c r="H142" s="332" t="s">
        <v>360</v>
      </c>
      <c r="I142" s="344" t="s">
        <v>176</v>
      </c>
      <c r="J142" s="337" t="s">
        <v>136</v>
      </c>
      <c r="K142" s="73" t="s">
        <v>250</v>
      </c>
    </row>
    <row r="143" spans="1:11" x14ac:dyDescent="0.2">
      <c r="K143" s="74"/>
    </row>
    <row r="144" spans="1:11" ht="13.5" thickBot="1" x14ac:dyDescent="0.25">
      <c r="I144" s="74"/>
      <c r="K144" s="350" t="s">
        <v>176</v>
      </c>
    </row>
    <row r="145" spans="1:11" x14ac:dyDescent="0.2">
      <c r="J145" s="74"/>
      <c r="K145" s="73" t="s">
        <v>251</v>
      </c>
    </row>
    <row r="146" spans="1:11" x14ac:dyDescent="0.2">
      <c r="J146" s="74"/>
      <c r="K146" s="73"/>
    </row>
    <row r="147" spans="1:11" x14ac:dyDescent="0.2">
      <c r="A147" s="331" t="s">
        <v>362</v>
      </c>
      <c r="J147" s="74"/>
      <c r="K147" s="73"/>
    </row>
    <row r="148" spans="1:11" x14ac:dyDescent="0.2">
      <c r="H148" s="188">
        <v>173</v>
      </c>
      <c r="I148" s="134" t="s">
        <v>172</v>
      </c>
      <c r="J148" s="271">
        <v>13</v>
      </c>
      <c r="K148" s="74"/>
    </row>
    <row r="149" spans="1:11" ht="13.5" thickBot="1" x14ac:dyDescent="0.25">
      <c r="I149" s="339"/>
      <c r="J149" s="350"/>
      <c r="K149" s="350" t="s">
        <v>172</v>
      </c>
    </row>
    <row r="150" spans="1:11" x14ac:dyDescent="0.2">
      <c r="H150" s="188">
        <v>174</v>
      </c>
      <c r="I150" s="344" t="s">
        <v>158</v>
      </c>
      <c r="J150" s="337">
        <v>6</v>
      </c>
      <c r="K150" s="73" t="s">
        <v>252</v>
      </c>
    </row>
    <row r="151" spans="1:11" x14ac:dyDescent="0.2">
      <c r="K151" s="74"/>
    </row>
    <row r="152" spans="1:11" ht="13.5" thickBot="1" x14ac:dyDescent="0.25">
      <c r="K152" s="350" t="s">
        <v>158</v>
      </c>
    </row>
    <row r="153" spans="1:11" x14ac:dyDescent="0.2">
      <c r="A153" s="331" t="s">
        <v>254</v>
      </c>
      <c r="J153" s="74"/>
      <c r="K153" s="73" t="s">
        <v>253</v>
      </c>
    </row>
    <row r="154" spans="1:11" x14ac:dyDescent="0.2">
      <c r="B154" s="74"/>
      <c r="D154" s="74"/>
      <c r="E154" s="74"/>
      <c r="F154" s="74"/>
      <c r="G154" s="252">
        <v>163</v>
      </c>
      <c r="H154" s="134" t="s">
        <v>166</v>
      </c>
      <c r="I154" s="337">
        <v>13</v>
      </c>
    </row>
    <row r="155" spans="1:11" x14ac:dyDescent="0.2">
      <c r="G155" s="332"/>
      <c r="H155" s="364" t="s">
        <v>329</v>
      </c>
      <c r="I155" s="284" t="s">
        <v>166</v>
      </c>
      <c r="J155" s="271">
        <v>6</v>
      </c>
    </row>
    <row r="156" spans="1:11" x14ac:dyDescent="0.2">
      <c r="G156" s="332">
        <v>164</v>
      </c>
      <c r="H156" s="344" t="s">
        <v>157</v>
      </c>
      <c r="I156" s="361">
        <v>6</v>
      </c>
    </row>
    <row r="157" spans="1:11" ht="13.5" thickBot="1" x14ac:dyDescent="0.25">
      <c r="G157" s="332"/>
      <c r="I157" s="343"/>
      <c r="K157" s="134" t="s">
        <v>164</v>
      </c>
    </row>
    <row r="158" spans="1:11" x14ac:dyDescent="0.2">
      <c r="G158" s="332">
        <v>165</v>
      </c>
      <c r="H158" s="134" t="s">
        <v>164</v>
      </c>
      <c r="I158" s="341">
        <v>13</v>
      </c>
      <c r="J158" s="365"/>
      <c r="K158" s="352" t="s">
        <v>255</v>
      </c>
    </row>
    <row r="159" spans="1:11" x14ac:dyDescent="0.2">
      <c r="G159" s="332"/>
      <c r="H159" s="364" t="s">
        <v>337</v>
      </c>
      <c r="I159" s="344" t="s">
        <v>164</v>
      </c>
      <c r="J159" s="271">
        <v>13</v>
      </c>
    </row>
    <row r="160" spans="1:11" ht="13.5" thickBot="1" x14ac:dyDescent="0.25">
      <c r="G160" s="332">
        <v>166</v>
      </c>
      <c r="H160" s="344" t="s">
        <v>159</v>
      </c>
      <c r="I160" s="337">
        <v>8</v>
      </c>
      <c r="J160" s="74"/>
      <c r="K160" s="74" t="s">
        <v>166</v>
      </c>
    </row>
    <row r="161" spans="1:11" x14ac:dyDescent="0.2">
      <c r="G161" s="188"/>
      <c r="J161" s="74"/>
      <c r="K161" s="352" t="s">
        <v>256</v>
      </c>
    </row>
    <row r="162" spans="1:11" x14ac:dyDescent="0.2">
      <c r="G162" s="188"/>
      <c r="H162" s="332" t="s">
        <v>329</v>
      </c>
      <c r="I162" s="134" t="s">
        <v>157</v>
      </c>
      <c r="J162" s="271">
        <v>12</v>
      </c>
      <c r="K162" s="74"/>
    </row>
    <row r="163" spans="1:11" ht="13.5" thickBot="1" x14ac:dyDescent="0.25">
      <c r="G163" s="188"/>
      <c r="I163" s="339"/>
      <c r="J163" s="350"/>
      <c r="K163" s="350" t="s">
        <v>159</v>
      </c>
    </row>
    <row r="164" spans="1:11" x14ac:dyDescent="0.2">
      <c r="G164" s="188"/>
      <c r="H164" s="332" t="s">
        <v>337</v>
      </c>
      <c r="I164" s="344" t="s">
        <v>159</v>
      </c>
      <c r="J164" s="337">
        <v>13</v>
      </c>
      <c r="K164" s="73" t="s">
        <v>257</v>
      </c>
    </row>
    <row r="165" spans="1:11" x14ac:dyDescent="0.2">
      <c r="G165" s="188"/>
      <c r="K165" s="74"/>
    </row>
    <row r="166" spans="1:11" ht="13.5" thickBot="1" x14ac:dyDescent="0.25">
      <c r="G166" s="188"/>
      <c r="I166" s="74"/>
      <c r="K166" s="350" t="s">
        <v>157</v>
      </c>
    </row>
    <row r="167" spans="1:11" x14ac:dyDescent="0.2">
      <c r="G167" s="188"/>
      <c r="J167" s="74"/>
      <c r="K167" s="73" t="s">
        <v>258</v>
      </c>
    </row>
    <row r="168" spans="1:11" x14ac:dyDescent="0.2">
      <c r="A168" s="331" t="s">
        <v>363</v>
      </c>
      <c r="B168" s="74"/>
      <c r="D168" s="74"/>
      <c r="E168" s="74"/>
      <c r="F168" s="74"/>
      <c r="G168" s="74"/>
    </row>
    <row r="169" spans="1:11" x14ac:dyDescent="0.2">
      <c r="G169" s="252">
        <v>149</v>
      </c>
      <c r="H169" s="134" t="s">
        <v>351</v>
      </c>
      <c r="I169" s="337">
        <v>7</v>
      </c>
    </row>
    <row r="170" spans="1:11" x14ac:dyDescent="0.2">
      <c r="G170" s="332"/>
      <c r="H170" s="364" t="s">
        <v>364</v>
      </c>
      <c r="I170" s="284" t="s">
        <v>19</v>
      </c>
      <c r="J170" s="271">
        <v>13</v>
      </c>
    </row>
    <row r="171" spans="1:11" x14ac:dyDescent="0.2">
      <c r="G171" s="332">
        <v>150</v>
      </c>
      <c r="H171" s="344" t="s">
        <v>19</v>
      </c>
      <c r="I171" s="361">
        <v>13</v>
      </c>
    </row>
    <row r="172" spans="1:11" ht="13.5" thickBot="1" x14ac:dyDescent="0.25">
      <c r="G172" s="332"/>
      <c r="I172" s="343"/>
      <c r="K172" s="134" t="s">
        <v>19</v>
      </c>
    </row>
    <row r="173" spans="1:11" x14ac:dyDescent="0.2">
      <c r="G173" s="332">
        <v>151</v>
      </c>
      <c r="H173" s="134" t="s">
        <v>169</v>
      </c>
      <c r="I173" s="338">
        <v>13</v>
      </c>
      <c r="J173" s="365"/>
      <c r="K173" s="352" t="s">
        <v>263</v>
      </c>
    </row>
    <row r="174" spans="1:11" x14ac:dyDescent="0.2">
      <c r="G174" s="332"/>
      <c r="H174" s="364" t="s">
        <v>365</v>
      </c>
      <c r="I174" s="344" t="s">
        <v>169</v>
      </c>
      <c r="J174" s="271">
        <v>9</v>
      </c>
    </row>
    <row r="175" spans="1:11" ht="13.5" thickBot="1" x14ac:dyDescent="0.25">
      <c r="G175" s="332">
        <v>152</v>
      </c>
      <c r="H175" s="344" t="s">
        <v>352</v>
      </c>
      <c r="I175" s="337">
        <v>8</v>
      </c>
      <c r="J175" s="74"/>
      <c r="K175" s="74" t="s">
        <v>169</v>
      </c>
    </row>
    <row r="176" spans="1:11" x14ac:dyDescent="0.2">
      <c r="G176" s="188"/>
      <c r="J176" s="74"/>
      <c r="K176" s="352" t="s">
        <v>265</v>
      </c>
    </row>
    <row r="177" spans="1:11" x14ac:dyDescent="0.2">
      <c r="G177" s="188"/>
      <c r="H177" s="332" t="s">
        <v>364</v>
      </c>
      <c r="I177" s="134" t="s">
        <v>351</v>
      </c>
      <c r="J177" s="271">
        <v>8</v>
      </c>
      <c r="K177" s="74"/>
    </row>
    <row r="178" spans="1:11" ht="13.5" thickBot="1" x14ac:dyDescent="0.25">
      <c r="G178" s="188"/>
      <c r="I178" s="339"/>
      <c r="J178" s="350"/>
      <c r="K178" s="350" t="s">
        <v>352</v>
      </c>
    </row>
    <row r="179" spans="1:11" x14ac:dyDescent="0.2">
      <c r="G179" s="188"/>
      <c r="H179" s="332" t="s">
        <v>365</v>
      </c>
      <c r="I179" s="344" t="s">
        <v>352</v>
      </c>
      <c r="J179" s="337">
        <v>13</v>
      </c>
      <c r="K179" s="73" t="s">
        <v>268</v>
      </c>
    </row>
    <row r="180" spans="1:11" x14ac:dyDescent="0.2">
      <c r="G180" s="188"/>
      <c r="K180" s="74"/>
    </row>
    <row r="181" spans="1:11" ht="13.5" thickBot="1" x14ac:dyDescent="0.25">
      <c r="G181" s="188"/>
      <c r="I181" s="74"/>
      <c r="K181" s="350" t="s">
        <v>351</v>
      </c>
    </row>
    <row r="182" spans="1:11" x14ac:dyDescent="0.2">
      <c r="G182" s="188"/>
      <c r="J182" s="74"/>
      <c r="K182" s="73" t="s">
        <v>269</v>
      </c>
    </row>
    <row r="183" spans="1:11" x14ac:dyDescent="0.2">
      <c r="G183" s="188"/>
      <c r="J183" s="74"/>
      <c r="K183" s="73"/>
    </row>
    <row r="184" spans="1:11" x14ac:dyDescent="0.2">
      <c r="A184" s="331" t="s">
        <v>366</v>
      </c>
      <c r="G184" s="188"/>
      <c r="J184" s="74"/>
      <c r="K184" s="73"/>
    </row>
    <row r="185" spans="1:11" x14ac:dyDescent="0.2">
      <c r="B185" s="74"/>
      <c r="C185" s="271"/>
      <c r="D185" s="271"/>
      <c r="E185" s="337"/>
      <c r="F185" s="252">
        <v>133</v>
      </c>
      <c r="G185" s="134" t="s">
        <v>235</v>
      </c>
      <c r="H185" s="337"/>
      <c r="K185" s="74"/>
    </row>
    <row r="186" spans="1:11" x14ac:dyDescent="0.2">
      <c r="A186" s="331"/>
      <c r="F186" s="332"/>
      <c r="G186" s="366">
        <v>153</v>
      </c>
      <c r="H186" s="334" t="s">
        <v>235</v>
      </c>
      <c r="I186" s="337">
        <v>0</v>
      </c>
      <c r="K186" s="74"/>
    </row>
    <row r="187" spans="1:11" x14ac:dyDescent="0.2">
      <c r="F187" s="332">
        <v>134</v>
      </c>
      <c r="G187" s="284" t="s">
        <v>235</v>
      </c>
      <c r="H187" s="335"/>
      <c r="K187" s="74"/>
    </row>
    <row r="188" spans="1:11" x14ac:dyDescent="0.2">
      <c r="F188" s="332"/>
      <c r="H188" s="345">
        <v>169</v>
      </c>
      <c r="I188" s="74" t="s">
        <v>353</v>
      </c>
      <c r="J188" s="337">
        <v>5</v>
      </c>
      <c r="K188" s="74"/>
    </row>
    <row r="189" spans="1:11" x14ac:dyDescent="0.2">
      <c r="F189" s="332">
        <v>135</v>
      </c>
      <c r="G189" s="134" t="s">
        <v>353</v>
      </c>
      <c r="H189" s="341">
        <v>13</v>
      </c>
      <c r="I189" s="339"/>
      <c r="K189" s="74"/>
    </row>
    <row r="190" spans="1:11" x14ac:dyDescent="0.2">
      <c r="F190" s="332"/>
      <c r="G190" s="366">
        <v>154</v>
      </c>
      <c r="H190" s="340" t="s">
        <v>353</v>
      </c>
      <c r="I190" s="341">
        <v>13</v>
      </c>
      <c r="K190" s="74"/>
    </row>
    <row r="191" spans="1:11" x14ac:dyDescent="0.2">
      <c r="F191" s="332">
        <v>136</v>
      </c>
      <c r="G191" s="284" t="s">
        <v>235</v>
      </c>
      <c r="H191" s="342">
        <v>0</v>
      </c>
      <c r="I191" s="343"/>
      <c r="K191" s="74"/>
    </row>
    <row r="192" spans="1:11" ht="13.5" thickBot="1" x14ac:dyDescent="0.25">
      <c r="F192" s="188"/>
      <c r="I192" s="345"/>
      <c r="J192" s="349"/>
      <c r="K192" s="74" t="s">
        <v>195</v>
      </c>
    </row>
    <row r="193" spans="1:11" x14ac:dyDescent="0.2">
      <c r="F193" s="252">
        <v>137</v>
      </c>
      <c r="G193" s="134" t="s">
        <v>195</v>
      </c>
      <c r="H193" s="337">
        <v>13</v>
      </c>
      <c r="I193" s="343"/>
      <c r="J193" s="74"/>
      <c r="K193" s="352" t="s">
        <v>270</v>
      </c>
    </row>
    <row r="194" spans="1:11" x14ac:dyDescent="0.2">
      <c r="F194" s="332"/>
      <c r="G194" s="366">
        <v>155</v>
      </c>
      <c r="H194" s="334" t="s">
        <v>195</v>
      </c>
      <c r="I194" s="341">
        <v>13</v>
      </c>
      <c r="J194" s="74"/>
      <c r="K194" s="74"/>
    </row>
    <row r="195" spans="1:11" ht="13.5" thickBot="1" x14ac:dyDescent="0.25">
      <c r="F195" s="332">
        <v>138</v>
      </c>
      <c r="G195" s="284" t="s">
        <v>235</v>
      </c>
      <c r="H195" s="335">
        <v>0</v>
      </c>
      <c r="I195" s="343"/>
      <c r="J195" s="73"/>
      <c r="K195" s="350" t="s">
        <v>353</v>
      </c>
    </row>
    <row r="196" spans="1:11" x14ac:dyDescent="0.2">
      <c r="F196" s="332"/>
      <c r="H196" s="345">
        <v>170</v>
      </c>
      <c r="I196" s="344" t="s">
        <v>195</v>
      </c>
      <c r="J196" s="271">
        <v>13</v>
      </c>
      <c r="K196" s="73" t="s">
        <v>318</v>
      </c>
    </row>
    <row r="197" spans="1:11" x14ac:dyDescent="0.2">
      <c r="F197" s="332">
        <v>139</v>
      </c>
      <c r="G197" s="134" t="s">
        <v>235</v>
      </c>
      <c r="H197" s="341"/>
      <c r="I197" s="74"/>
      <c r="J197" s="74"/>
      <c r="K197" s="74"/>
    </row>
    <row r="198" spans="1:11" x14ac:dyDescent="0.2">
      <c r="F198" s="332"/>
      <c r="G198" s="366">
        <v>156</v>
      </c>
      <c r="H198" s="340" t="s">
        <v>235</v>
      </c>
      <c r="I198" s="271">
        <v>0</v>
      </c>
      <c r="J198" s="74"/>
      <c r="K198" s="74"/>
    </row>
    <row r="199" spans="1:11" x14ac:dyDescent="0.2">
      <c r="F199" s="332">
        <v>140</v>
      </c>
      <c r="G199" s="284" t="s">
        <v>235</v>
      </c>
      <c r="H199" s="342" t="s">
        <v>136</v>
      </c>
      <c r="I199" s="74"/>
      <c r="J199" s="74"/>
      <c r="K199" s="74"/>
    </row>
    <row r="200" spans="1:11" x14ac:dyDescent="0.2">
      <c r="G200" s="74"/>
      <c r="H200" s="74"/>
      <c r="I200" s="74"/>
      <c r="J200" s="271"/>
      <c r="K200" s="74"/>
    </row>
    <row r="201" spans="1:11" x14ac:dyDescent="0.2">
      <c r="A201" s="331" t="s">
        <v>367</v>
      </c>
      <c r="D201" s="331" t="s">
        <v>368</v>
      </c>
      <c r="E201" s="74"/>
      <c r="G201" s="74"/>
      <c r="H201" s="74"/>
      <c r="I201" s="74"/>
      <c r="J201" s="74"/>
      <c r="K201" s="74"/>
    </row>
    <row r="202" spans="1:11" x14ac:dyDescent="0.2">
      <c r="E202" s="74"/>
      <c r="G202" s="74"/>
      <c r="H202" s="74"/>
      <c r="I202" s="74"/>
      <c r="J202" s="271"/>
      <c r="K202" s="74"/>
    </row>
    <row r="203" spans="1:11" x14ac:dyDescent="0.2">
      <c r="A203" s="367">
        <v>1</v>
      </c>
      <c r="B203" s="285" t="s">
        <v>160</v>
      </c>
      <c r="C203" s="368" t="s">
        <v>369</v>
      </c>
      <c r="D203" s="369" t="s">
        <v>19</v>
      </c>
      <c r="E203" s="74"/>
      <c r="G203" s="74"/>
      <c r="H203" s="74"/>
      <c r="I203" s="74"/>
      <c r="J203" s="74"/>
      <c r="K203" s="74"/>
    </row>
    <row r="204" spans="1:11" x14ac:dyDescent="0.2">
      <c r="A204" s="367">
        <v>2</v>
      </c>
      <c r="B204" s="215" t="s">
        <v>156</v>
      </c>
      <c r="C204" s="368" t="s">
        <v>370</v>
      </c>
      <c r="D204" s="370" t="s">
        <v>186</v>
      </c>
      <c r="E204" s="74"/>
      <c r="G204" s="74"/>
      <c r="H204" s="74"/>
      <c r="I204" s="74"/>
      <c r="J204" s="74"/>
      <c r="K204" s="74"/>
    </row>
    <row r="205" spans="1:11" x14ac:dyDescent="0.2">
      <c r="A205" s="367">
        <v>3</v>
      </c>
      <c r="B205" s="216" t="s">
        <v>186</v>
      </c>
      <c r="C205" s="368" t="s">
        <v>371</v>
      </c>
      <c r="D205" s="371" t="s">
        <v>195</v>
      </c>
      <c r="E205" s="74"/>
      <c r="G205" s="74"/>
      <c r="H205" s="74"/>
      <c r="I205" s="74"/>
      <c r="J205" s="74"/>
      <c r="K205" s="74"/>
    </row>
    <row r="206" spans="1:11" x14ac:dyDescent="0.2">
      <c r="A206" s="367">
        <v>4</v>
      </c>
      <c r="B206" s="288" t="s">
        <v>155</v>
      </c>
      <c r="C206" s="368" t="s">
        <v>372</v>
      </c>
      <c r="D206" s="134" t="s">
        <v>352</v>
      </c>
      <c r="G206" s="252"/>
      <c r="I206" s="337"/>
    </row>
    <row r="207" spans="1:11" x14ac:dyDescent="0.2">
      <c r="A207" s="367">
        <v>5</v>
      </c>
      <c r="B207" s="288" t="s">
        <v>162</v>
      </c>
      <c r="C207" s="368" t="s">
        <v>373</v>
      </c>
      <c r="D207" s="134" t="s">
        <v>353</v>
      </c>
    </row>
    <row r="208" spans="1:11" x14ac:dyDescent="0.2">
      <c r="A208" s="367">
        <v>6</v>
      </c>
      <c r="B208" s="288" t="s">
        <v>176</v>
      </c>
    </row>
    <row r="209" spans="1:6" x14ac:dyDescent="0.2">
      <c r="A209" s="367">
        <v>7</v>
      </c>
      <c r="B209" s="288" t="s">
        <v>172</v>
      </c>
      <c r="F209" s="59"/>
    </row>
    <row r="210" spans="1:6" x14ac:dyDescent="0.2">
      <c r="A210" s="367">
        <v>8</v>
      </c>
      <c r="B210" s="288" t="s">
        <v>158</v>
      </c>
      <c r="F210" s="59"/>
    </row>
    <row r="211" spans="1:6" x14ac:dyDescent="0.2">
      <c r="A211" s="367">
        <v>9</v>
      </c>
      <c r="B211" s="288" t="s">
        <v>164</v>
      </c>
      <c r="D211" s="59"/>
    </row>
    <row r="212" spans="1:6" x14ac:dyDescent="0.2">
      <c r="A212" s="367">
        <v>10</v>
      </c>
      <c r="B212" s="288" t="s">
        <v>166</v>
      </c>
    </row>
    <row r="213" spans="1:6" x14ac:dyDescent="0.2">
      <c r="A213" s="367">
        <v>11</v>
      </c>
      <c r="B213" s="288" t="s">
        <v>159</v>
      </c>
      <c r="D213" s="59"/>
    </row>
    <row r="214" spans="1:6" x14ac:dyDescent="0.2">
      <c r="A214" s="367">
        <v>12</v>
      </c>
      <c r="B214" s="288" t="s">
        <v>157</v>
      </c>
    </row>
    <row r="215" spans="1:6" x14ac:dyDescent="0.2">
      <c r="A215" s="367">
        <v>13</v>
      </c>
      <c r="B215" s="288" t="s">
        <v>19</v>
      </c>
    </row>
    <row r="216" spans="1:6" x14ac:dyDescent="0.2">
      <c r="A216" s="367">
        <v>14</v>
      </c>
      <c r="B216" s="288" t="s">
        <v>169</v>
      </c>
    </row>
    <row r="217" spans="1:6" x14ac:dyDescent="0.2">
      <c r="A217" s="367">
        <v>15</v>
      </c>
      <c r="B217" s="288" t="s">
        <v>352</v>
      </c>
    </row>
    <row r="218" spans="1:6" x14ac:dyDescent="0.2">
      <c r="A218" s="367">
        <v>16</v>
      </c>
      <c r="B218" s="288" t="s">
        <v>351</v>
      </c>
    </row>
    <row r="219" spans="1:6" x14ac:dyDescent="0.2">
      <c r="A219" s="367">
        <v>17</v>
      </c>
      <c r="B219" s="288" t="s">
        <v>195</v>
      </c>
    </row>
    <row r="220" spans="1:6" x14ac:dyDescent="0.2">
      <c r="A220" s="367">
        <v>18</v>
      </c>
      <c r="B220" s="288" t="s">
        <v>353</v>
      </c>
    </row>
  </sheetData>
  <conditionalFormatting sqref="C8:J199">
    <cfRule type="cellIs" dxfId="180" priority="1" stopIfTrue="1" operator="equal">
      <formula>13</formula>
    </cfRule>
  </conditionalFormatting>
  <pageMargins left="0.78740157480314965" right="0.39370078740157483" top="0.59055118110236227" bottom="0.39370078740157483" header="0.39370078740157483" footer="0"/>
  <pageSetup paperSize="9" fitToHeight="0" orientation="landscape" r:id="rId1"/>
  <headerFooter>
    <oddHeader>&amp;R&amp;"Arial,Regular"&amp;9Page &amp;P of &amp;N</oddHeader>
  </headerFooter>
  <rowBreaks count="5" manualBreakCount="5">
    <brk id="40" max="10" man="1"/>
    <brk id="72" max="10" man="1"/>
    <brk id="110" max="10" man="1"/>
    <brk id="145" max="10" man="1"/>
    <brk id="182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07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J1" sqref="J1"/>
    </sheetView>
  </sheetViews>
  <sheetFormatPr defaultRowHeight="12.75" x14ac:dyDescent="0.2"/>
  <cols>
    <col min="1" max="1" width="3.28515625" style="59" customWidth="1"/>
    <col min="2" max="2" width="31.140625" style="59" bestFit="1" customWidth="1"/>
    <col min="3" max="3" width="7.28515625" style="59" bestFit="1" customWidth="1"/>
    <col min="4" max="4" width="7.42578125" style="59" bestFit="1" customWidth="1"/>
    <col min="5" max="5" width="9.140625" style="59"/>
    <col min="6" max="6" width="6.7109375" style="59" bestFit="1" customWidth="1"/>
    <col min="7" max="7" width="5.140625" style="59" bestFit="1" customWidth="1"/>
    <col min="8" max="8" width="9.140625" style="59"/>
    <col min="9" max="9" width="7" style="59" customWidth="1"/>
    <col min="10" max="10" width="18.7109375" style="59" bestFit="1" customWidth="1"/>
    <col min="11" max="11" width="7.28515625" style="59" bestFit="1" customWidth="1"/>
    <col min="12" max="12" width="7.42578125" style="59" bestFit="1" customWidth="1"/>
    <col min="13" max="13" width="9.140625" style="59"/>
    <col min="14" max="14" width="6.7109375" style="59" bestFit="1" customWidth="1"/>
    <col min="15" max="15" width="5.140625" style="59" bestFit="1" customWidth="1"/>
    <col min="16" max="16384" width="9.140625" style="59"/>
  </cols>
  <sheetData>
    <row r="1" spans="1:15" x14ac:dyDescent="0.2">
      <c r="A1" s="58" t="str">
        <f>UPPER((Kalend!E24)&amp;" - "&amp;(Kalend!C24)&amp;" - "&amp;(Kalend!D24))</f>
        <v>5 - JÕHVI 15. MV (200. REIT.VÕ.) - DUO</v>
      </c>
      <c r="D1" s="311"/>
      <c r="F1" s="239" t="str">
        <f>HYPERLINK("#'Kalend'!I1","Kalender")</f>
        <v>Kalender</v>
      </c>
      <c r="H1" s="239" t="str">
        <f>HYPERLINK("#'Reit'!G1","Reiting")</f>
        <v>Reiting</v>
      </c>
    </row>
    <row r="2" spans="1:15" x14ac:dyDescent="0.2">
      <c r="A2" s="59" t="str">
        <f>"Toimumisaeg: "&amp;(Kalend!A24)&amp;" kell "&amp;(Kalend!B24)</f>
        <v>Toimumisaeg: N, 09.07.2015 kell 18:00</v>
      </c>
      <c r="D2" s="311"/>
      <c r="E2" s="64"/>
      <c r="F2" s="311"/>
      <c r="G2" s="64"/>
      <c r="H2" s="311"/>
      <c r="I2" s="64"/>
      <c r="J2" s="311"/>
      <c r="K2" s="311"/>
    </row>
    <row r="3" spans="1:15" x14ac:dyDescent="0.2">
      <c r="A3" s="59" t="str">
        <f>"Toimumiskoht: "&amp;(Kalend!F24)</f>
        <v>Toimumiskoht: Jõhvi, Neptun</v>
      </c>
      <c r="D3" s="64"/>
      <c r="E3" s="64"/>
      <c r="F3" s="311"/>
      <c r="G3" s="64"/>
      <c r="H3" s="311"/>
      <c r="I3" s="64"/>
      <c r="J3" s="311"/>
      <c r="K3" s="74"/>
    </row>
    <row r="4" spans="1:15" x14ac:dyDescent="0.2">
      <c r="A4" s="59" t="str">
        <f>"Korraldaja: "&amp;(Kalend!G24)</f>
        <v>Korraldaja: LTK Üks-Teist, Tõnu Kapper</v>
      </c>
    </row>
    <row r="6" spans="1:15" x14ac:dyDescent="0.2">
      <c r="A6" s="286" t="s">
        <v>374</v>
      </c>
    </row>
    <row r="8" spans="1:15" x14ac:dyDescent="0.2">
      <c r="A8" s="240" t="s">
        <v>217</v>
      </c>
      <c r="B8" s="240"/>
      <c r="C8" s="287" t="s">
        <v>218</v>
      </c>
      <c r="D8" s="287" t="s">
        <v>219</v>
      </c>
      <c r="E8" s="287" t="s">
        <v>220</v>
      </c>
      <c r="F8" s="287" t="s">
        <v>221</v>
      </c>
      <c r="G8" s="287" t="s">
        <v>222</v>
      </c>
      <c r="I8" s="64"/>
      <c r="J8" s="64"/>
      <c r="K8" s="247"/>
      <c r="L8" s="247"/>
      <c r="M8" s="247"/>
      <c r="N8" s="247"/>
      <c r="O8" s="247"/>
    </row>
    <row r="9" spans="1:15" x14ac:dyDescent="0.2">
      <c r="A9" s="240">
        <v>1</v>
      </c>
      <c r="B9" s="198" t="s">
        <v>301</v>
      </c>
      <c r="C9" s="242">
        <v>13</v>
      </c>
      <c r="D9" s="242">
        <v>13</v>
      </c>
      <c r="E9" s="242"/>
      <c r="F9" s="242"/>
      <c r="G9" s="243" t="s">
        <v>224</v>
      </c>
      <c r="I9" s="64"/>
      <c r="J9" s="311"/>
      <c r="K9" s="248"/>
      <c r="L9" s="248"/>
      <c r="M9" s="248"/>
      <c r="N9" s="248"/>
      <c r="O9" s="312"/>
    </row>
    <row r="10" spans="1:15" x14ac:dyDescent="0.2">
      <c r="A10" s="240">
        <v>2</v>
      </c>
      <c r="B10" s="198" t="s">
        <v>296</v>
      </c>
      <c r="C10" s="242">
        <v>6</v>
      </c>
      <c r="D10" s="242"/>
      <c r="E10" s="242">
        <v>13</v>
      </c>
      <c r="F10" s="242">
        <v>6</v>
      </c>
      <c r="G10" s="243" t="s">
        <v>225</v>
      </c>
      <c r="I10" s="64"/>
      <c r="J10" s="74"/>
      <c r="K10" s="248"/>
      <c r="L10" s="248"/>
      <c r="M10" s="248"/>
      <c r="N10" s="248"/>
      <c r="O10" s="312"/>
    </row>
    <row r="11" spans="1:15" x14ac:dyDescent="0.2">
      <c r="A11" s="240">
        <v>3</v>
      </c>
      <c r="B11" s="198" t="s">
        <v>303</v>
      </c>
      <c r="C11" s="242">
        <v>13</v>
      </c>
      <c r="D11" s="242">
        <v>7</v>
      </c>
      <c r="E11" s="242"/>
      <c r="F11" s="242">
        <v>13</v>
      </c>
      <c r="G11" s="243" t="s">
        <v>226</v>
      </c>
      <c r="I11" s="64"/>
      <c r="J11" s="311"/>
      <c r="K11" s="248"/>
      <c r="L11" s="248"/>
      <c r="M11" s="248"/>
      <c r="N11" s="248"/>
      <c r="O11" s="312"/>
    </row>
    <row r="12" spans="1:15" x14ac:dyDescent="0.2">
      <c r="A12" s="240">
        <v>4</v>
      </c>
      <c r="B12" s="288"/>
      <c r="C12" s="242">
        <v>0</v>
      </c>
      <c r="D12" s="242"/>
      <c r="E12" s="242">
        <v>0</v>
      </c>
      <c r="F12" s="242"/>
      <c r="G12" s="243"/>
      <c r="I12" s="64"/>
      <c r="J12" s="74"/>
      <c r="K12" s="248"/>
      <c r="L12" s="248"/>
      <c r="M12" s="248"/>
      <c r="N12" s="248"/>
      <c r="O12" s="312"/>
    </row>
    <row r="13" spans="1:15" x14ac:dyDescent="0.2">
      <c r="A13" s="65"/>
      <c r="B13" s="64"/>
      <c r="C13" s="247"/>
      <c r="D13" s="247"/>
      <c r="E13" s="247"/>
      <c r="F13" s="248"/>
      <c r="G13" s="249"/>
      <c r="I13" s="64"/>
      <c r="J13" s="64"/>
      <c r="K13" s="247"/>
      <c r="L13" s="247"/>
      <c r="M13" s="247"/>
      <c r="N13" s="248"/>
      <c r="O13" s="249"/>
    </row>
    <row r="14" spans="1:15" x14ac:dyDescent="0.2">
      <c r="A14" s="240" t="s">
        <v>227</v>
      </c>
      <c r="B14" s="240"/>
      <c r="C14" s="287" t="s">
        <v>218</v>
      </c>
      <c r="D14" s="287" t="s">
        <v>219</v>
      </c>
      <c r="E14" s="287" t="s">
        <v>220</v>
      </c>
      <c r="F14" s="287" t="s">
        <v>221</v>
      </c>
      <c r="G14" s="287" t="s">
        <v>222</v>
      </c>
      <c r="I14" s="64"/>
      <c r="J14" s="64"/>
      <c r="K14" s="247"/>
      <c r="L14" s="247"/>
      <c r="M14" s="247"/>
      <c r="N14" s="247"/>
      <c r="O14" s="247"/>
    </row>
    <row r="15" spans="1:15" x14ac:dyDescent="0.2">
      <c r="A15" s="240">
        <v>1</v>
      </c>
      <c r="B15" s="198" t="s">
        <v>294</v>
      </c>
      <c r="C15" s="242">
        <v>13</v>
      </c>
      <c r="D15" s="242">
        <v>6</v>
      </c>
      <c r="E15" s="242"/>
      <c r="F15" s="242">
        <v>13</v>
      </c>
      <c r="G15" s="243" t="s">
        <v>226</v>
      </c>
      <c r="I15" s="64"/>
      <c r="J15" s="311"/>
      <c r="K15" s="248"/>
      <c r="L15" s="248"/>
      <c r="M15" s="248"/>
      <c r="N15" s="248"/>
      <c r="O15" s="312"/>
    </row>
    <row r="16" spans="1:15" x14ac:dyDescent="0.2">
      <c r="A16" s="240">
        <v>2</v>
      </c>
      <c r="B16" s="198" t="s">
        <v>375</v>
      </c>
      <c r="C16" s="242">
        <v>13</v>
      </c>
      <c r="D16" s="242">
        <v>13</v>
      </c>
      <c r="E16" s="242"/>
      <c r="F16" s="242"/>
      <c r="G16" s="243" t="s">
        <v>224</v>
      </c>
      <c r="I16" s="64"/>
      <c r="J16" s="311"/>
      <c r="K16" s="248"/>
      <c r="L16" s="248"/>
      <c r="M16" s="248"/>
      <c r="N16" s="248"/>
      <c r="O16" s="312"/>
    </row>
    <row r="17" spans="1:15" x14ac:dyDescent="0.2">
      <c r="A17" s="240">
        <v>3</v>
      </c>
      <c r="B17" s="198" t="s">
        <v>297</v>
      </c>
      <c r="C17" s="242">
        <v>3</v>
      </c>
      <c r="D17" s="242"/>
      <c r="E17" s="242">
        <v>13</v>
      </c>
      <c r="F17" s="242">
        <v>8</v>
      </c>
      <c r="G17" s="243" t="s">
        <v>225</v>
      </c>
      <c r="I17" s="64"/>
      <c r="J17" s="74"/>
      <c r="K17" s="248"/>
      <c r="L17" s="248"/>
      <c r="M17" s="248"/>
      <c r="N17" s="248"/>
      <c r="O17" s="312"/>
    </row>
    <row r="18" spans="1:15" x14ac:dyDescent="0.2">
      <c r="A18" s="240">
        <v>4</v>
      </c>
      <c r="B18" s="288"/>
      <c r="C18" s="242">
        <v>0</v>
      </c>
      <c r="D18" s="242"/>
      <c r="E18" s="242">
        <v>0</v>
      </c>
      <c r="F18" s="242"/>
      <c r="G18" s="243"/>
      <c r="I18" s="64"/>
      <c r="J18" s="74"/>
      <c r="K18" s="248"/>
      <c r="L18" s="248"/>
      <c r="M18" s="248"/>
      <c r="N18" s="248"/>
      <c r="O18" s="312"/>
    </row>
    <row r="19" spans="1:15" x14ac:dyDescent="0.2">
      <c r="A19" s="65"/>
      <c r="B19" s="64"/>
      <c r="C19" s="247"/>
      <c r="D19" s="247"/>
      <c r="E19" s="247"/>
      <c r="F19" s="248"/>
      <c r="G19" s="249"/>
      <c r="I19" s="64"/>
      <c r="J19" s="64"/>
      <c r="K19" s="64"/>
      <c r="L19" s="64"/>
      <c r="M19" s="64"/>
      <c r="N19" s="64"/>
      <c r="O19" s="64"/>
    </row>
    <row r="20" spans="1:15" x14ac:dyDescent="0.2">
      <c r="A20" s="240" t="s">
        <v>229</v>
      </c>
      <c r="B20" s="240"/>
      <c r="C20" s="287" t="s">
        <v>218</v>
      </c>
      <c r="D20" s="287" t="s">
        <v>219</v>
      </c>
      <c r="E20" s="287" t="s">
        <v>220</v>
      </c>
      <c r="F20" s="287" t="s">
        <v>221</v>
      </c>
      <c r="G20" s="287" t="s">
        <v>222</v>
      </c>
      <c r="I20" s="64"/>
      <c r="J20" s="64"/>
      <c r="K20" s="247"/>
      <c r="L20" s="247"/>
      <c r="M20" s="247"/>
      <c r="N20" s="247"/>
      <c r="O20" s="247"/>
    </row>
    <row r="21" spans="1:15" x14ac:dyDescent="0.2">
      <c r="A21" s="240">
        <v>1</v>
      </c>
      <c r="B21" s="198" t="s">
        <v>376</v>
      </c>
      <c r="C21" s="242">
        <v>13</v>
      </c>
      <c r="D21" s="242">
        <v>13</v>
      </c>
      <c r="E21" s="242"/>
      <c r="F21" s="242"/>
      <c r="G21" s="243" t="s">
        <v>224</v>
      </c>
      <c r="I21" s="64"/>
      <c r="J21" s="74"/>
      <c r="K21" s="248"/>
      <c r="L21" s="248"/>
      <c r="M21" s="248"/>
      <c r="N21" s="248"/>
      <c r="O21" s="312"/>
    </row>
    <row r="22" spans="1:15" x14ac:dyDescent="0.2">
      <c r="A22" s="240">
        <v>2</v>
      </c>
      <c r="B22" s="198" t="s">
        <v>377</v>
      </c>
      <c r="C22" s="242">
        <v>6</v>
      </c>
      <c r="D22" s="242"/>
      <c r="E22" s="242">
        <v>13</v>
      </c>
      <c r="F22" s="242">
        <v>13</v>
      </c>
      <c r="G22" s="243" t="s">
        <v>226</v>
      </c>
      <c r="I22" s="64"/>
      <c r="J22" s="311"/>
      <c r="K22" s="248"/>
      <c r="L22" s="248"/>
      <c r="M22" s="248"/>
      <c r="N22" s="248"/>
      <c r="O22" s="312"/>
    </row>
    <row r="23" spans="1:15" x14ac:dyDescent="0.2">
      <c r="A23" s="240">
        <v>3</v>
      </c>
      <c r="B23" s="198" t="s">
        <v>290</v>
      </c>
      <c r="C23" s="242">
        <v>13</v>
      </c>
      <c r="D23" s="242">
        <v>12</v>
      </c>
      <c r="E23" s="242"/>
      <c r="F23" s="242">
        <v>11</v>
      </c>
      <c r="G23" s="243" t="s">
        <v>225</v>
      </c>
      <c r="I23" s="64"/>
      <c r="J23" s="311"/>
      <c r="K23" s="248"/>
      <c r="L23" s="248"/>
      <c r="M23" s="248"/>
      <c r="N23" s="248"/>
      <c r="O23" s="312"/>
    </row>
    <row r="24" spans="1:15" x14ac:dyDescent="0.2">
      <c r="A24" s="240">
        <v>4</v>
      </c>
      <c r="B24" s="198"/>
      <c r="C24" s="242">
        <v>0</v>
      </c>
      <c r="D24" s="242"/>
      <c r="E24" s="242">
        <v>0</v>
      </c>
      <c r="F24" s="242"/>
      <c r="G24" s="243"/>
      <c r="I24" s="64"/>
      <c r="J24" s="74"/>
      <c r="K24" s="248"/>
      <c r="L24" s="248"/>
      <c r="M24" s="248"/>
      <c r="N24" s="248"/>
      <c r="O24" s="312"/>
    </row>
    <row r="25" spans="1:15" x14ac:dyDescent="0.2">
      <c r="I25" s="64"/>
      <c r="J25" s="64"/>
      <c r="K25" s="247"/>
      <c r="L25" s="247"/>
      <c r="M25" s="247"/>
      <c r="N25" s="248"/>
      <c r="O25" s="249"/>
    </row>
    <row r="26" spans="1:15" x14ac:dyDescent="0.2">
      <c r="A26" s="240" t="s">
        <v>223</v>
      </c>
      <c r="B26" s="240"/>
      <c r="C26" s="287" t="s">
        <v>218</v>
      </c>
      <c r="D26" s="287" t="s">
        <v>219</v>
      </c>
      <c r="E26" s="287" t="s">
        <v>220</v>
      </c>
      <c r="F26" s="287" t="s">
        <v>221</v>
      </c>
      <c r="G26" s="287" t="s">
        <v>222</v>
      </c>
      <c r="I26" s="64"/>
      <c r="J26" s="64"/>
      <c r="K26" s="247"/>
      <c r="L26" s="247"/>
      <c r="M26" s="247"/>
      <c r="N26" s="247"/>
      <c r="O26" s="247"/>
    </row>
    <row r="27" spans="1:15" x14ac:dyDescent="0.2">
      <c r="A27" s="240">
        <v>1</v>
      </c>
      <c r="B27" s="198" t="s">
        <v>288</v>
      </c>
      <c r="C27" s="242">
        <v>13</v>
      </c>
      <c r="D27" s="242">
        <v>13</v>
      </c>
      <c r="E27" s="242"/>
      <c r="F27" s="242"/>
      <c r="G27" s="243" t="s">
        <v>224</v>
      </c>
      <c r="I27" s="64"/>
      <c r="J27" s="311"/>
      <c r="K27" s="248"/>
      <c r="L27" s="248"/>
      <c r="M27" s="248"/>
      <c r="N27" s="248"/>
      <c r="O27" s="312"/>
    </row>
    <row r="28" spans="1:15" x14ac:dyDescent="0.2">
      <c r="A28" s="240">
        <v>2</v>
      </c>
      <c r="B28" s="198" t="s">
        <v>378</v>
      </c>
      <c r="C28" s="242">
        <v>13</v>
      </c>
      <c r="D28" s="242">
        <v>6</v>
      </c>
      <c r="E28" s="242"/>
      <c r="F28" s="242">
        <v>13</v>
      </c>
      <c r="G28" s="243" t="s">
        <v>226</v>
      </c>
      <c r="I28" s="64"/>
      <c r="J28" s="74"/>
      <c r="K28" s="248"/>
      <c r="L28" s="248"/>
      <c r="M28" s="248"/>
      <c r="N28" s="248"/>
      <c r="O28" s="312"/>
    </row>
    <row r="29" spans="1:15" x14ac:dyDescent="0.2">
      <c r="A29" s="240">
        <v>3</v>
      </c>
      <c r="B29" s="198" t="s">
        <v>379</v>
      </c>
      <c r="C29" s="242">
        <v>9</v>
      </c>
      <c r="D29" s="242"/>
      <c r="E29" s="242">
        <v>13</v>
      </c>
      <c r="F29" s="242">
        <v>4</v>
      </c>
      <c r="G29" s="243" t="s">
        <v>225</v>
      </c>
      <c r="I29" s="64"/>
      <c r="J29" s="311"/>
      <c r="K29" s="248"/>
      <c r="L29" s="248"/>
      <c r="M29" s="248"/>
      <c r="N29" s="248"/>
      <c r="O29" s="312"/>
    </row>
    <row r="30" spans="1:15" x14ac:dyDescent="0.2">
      <c r="A30" s="240">
        <v>4</v>
      </c>
      <c r="B30" s="288"/>
      <c r="C30" s="242">
        <v>0</v>
      </c>
      <c r="D30" s="242"/>
      <c r="E30" s="242">
        <v>0</v>
      </c>
      <c r="F30" s="242"/>
      <c r="G30" s="243"/>
      <c r="I30" s="64"/>
      <c r="J30" s="74"/>
      <c r="K30" s="248"/>
      <c r="L30" s="248"/>
      <c r="M30" s="248"/>
      <c r="N30" s="248"/>
      <c r="O30" s="312"/>
    </row>
    <row r="32" spans="1:15" s="290" customFormat="1" x14ac:dyDescent="0.2">
      <c r="A32" s="289" t="s">
        <v>284</v>
      </c>
    </row>
    <row r="33" spans="1:11" s="290" customFormat="1" x14ac:dyDescent="0.2">
      <c r="A33" s="289"/>
    </row>
    <row r="34" spans="1:11" s="290" customFormat="1" x14ac:dyDescent="0.2">
      <c r="A34" s="291" t="s">
        <v>241</v>
      </c>
      <c r="B34" s="290" t="s">
        <v>301</v>
      </c>
      <c r="C34" s="296">
        <v>13</v>
      </c>
    </row>
    <row r="35" spans="1:11" s="290" customFormat="1" x14ac:dyDescent="0.2">
      <c r="A35" s="292"/>
      <c r="B35" s="293"/>
      <c r="C35" s="294" t="s">
        <v>301</v>
      </c>
      <c r="D35" s="295"/>
      <c r="F35" s="296">
        <v>4</v>
      </c>
    </row>
    <row r="36" spans="1:11" s="290" customFormat="1" x14ac:dyDescent="0.2">
      <c r="A36" s="291" t="s">
        <v>245</v>
      </c>
      <c r="B36" s="281" t="s">
        <v>378</v>
      </c>
      <c r="C36" s="297">
        <v>3</v>
      </c>
      <c r="E36" s="298"/>
    </row>
    <row r="37" spans="1:11" s="290" customFormat="1" x14ac:dyDescent="0.2">
      <c r="A37" s="292"/>
      <c r="D37" s="299"/>
      <c r="E37" s="300"/>
      <c r="F37" s="290" t="s">
        <v>375</v>
      </c>
      <c r="I37" s="296">
        <v>13</v>
      </c>
    </row>
    <row r="38" spans="1:11" s="290" customFormat="1" x14ac:dyDescent="0.2">
      <c r="A38" s="291" t="s">
        <v>232</v>
      </c>
      <c r="B38" s="282" t="s">
        <v>375</v>
      </c>
      <c r="C38" s="301">
        <v>13</v>
      </c>
      <c r="E38" s="300"/>
      <c r="F38" s="293"/>
      <c r="G38" s="293"/>
      <c r="H38" s="298"/>
    </row>
    <row r="39" spans="1:11" s="290" customFormat="1" x14ac:dyDescent="0.2">
      <c r="A39" s="292"/>
      <c r="B39" s="293"/>
      <c r="C39" s="302" t="s">
        <v>375</v>
      </c>
      <c r="E39" s="303"/>
      <c r="F39" s="301">
        <v>13</v>
      </c>
      <c r="G39" s="299"/>
      <c r="H39" s="300"/>
    </row>
    <row r="40" spans="1:11" s="290" customFormat="1" x14ac:dyDescent="0.2">
      <c r="A40" s="291" t="s">
        <v>236</v>
      </c>
      <c r="B40" s="281" t="s">
        <v>377</v>
      </c>
      <c r="C40" s="310">
        <v>11</v>
      </c>
      <c r="D40" s="293"/>
      <c r="F40" s="299"/>
      <c r="G40" s="299"/>
      <c r="H40" s="300"/>
    </row>
    <row r="41" spans="1:11" s="290" customFormat="1" ht="13.5" thickBot="1" x14ac:dyDescent="0.25">
      <c r="A41" s="292"/>
      <c r="F41" s="299"/>
      <c r="G41" s="299"/>
      <c r="H41" s="300"/>
      <c r="J41" s="290" t="s">
        <v>375</v>
      </c>
    </row>
    <row r="42" spans="1:11" s="290" customFormat="1" x14ac:dyDescent="0.2">
      <c r="A42" s="291" t="s">
        <v>246</v>
      </c>
      <c r="B42" s="290" t="s">
        <v>376</v>
      </c>
      <c r="C42" s="296">
        <v>13</v>
      </c>
      <c r="F42" s="299"/>
      <c r="G42" s="299"/>
      <c r="H42" s="300"/>
      <c r="I42" s="304"/>
      <c r="J42" s="305" t="s">
        <v>240</v>
      </c>
      <c r="K42" s="306"/>
    </row>
    <row r="43" spans="1:11" s="290" customFormat="1" x14ac:dyDescent="0.2">
      <c r="A43" s="292"/>
      <c r="B43" s="293"/>
      <c r="C43" s="294" t="s">
        <v>376</v>
      </c>
      <c r="D43" s="295"/>
      <c r="F43" s="301">
        <v>13</v>
      </c>
      <c r="G43" s="299"/>
      <c r="H43" s="300"/>
    </row>
    <row r="44" spans="1:11" s="290" customFormat="1" ht="13.5" thickBot="1" x14ac:dyDescent="0.25">
      <c r="A44" s="291" t="s">
        <v>242</v>
      </c>
      <c r="B44" s="295" t="s">
        <v>294</v>
      </c>
      <c r="C44" s="297">
        <v>7</v>
      </c>
      <c r="E44" s="298"/>
      <c r="F44" s="299"/>
      <c r="G44" s="299"/>
      <c r="H44" s="300"/>
      <c r="J44" s="307" t="s">
        <v>376</v>
      </c>
      <c r="K44" s="307"/>
    </row>
    <row r="45" spans="1:11" s="290" customFormat="1" x14ac:dyDescent="0.2">
      <c r="A45" s="292"/>
      <c r="D45" s="299"/>
      <c r="E45" s="300"/>
      <c r="F45" s="295" t="s">
        <v>376</v>
      </c>
      <c r="G45" s="295"/>
      <c r="H45" s="303"/>
      <c r="I45" s="296">
        <v>10</v>
      </c>
      <c r="J45" s="305" t="s">
        <v>244</v>
      </c>
    </row>
    <row r="46" spans="1:11" s="290" customFormat="1" x14ac:dyDescent="0.2">
      <c r="A46" s="291" t="s">
        <v>234</v>
      </c>
      <c r="B46" s="290" t="s">
        <v>288</v>
      </c>
      <c r="C46" s="301">
        <v>11</v>
      </c>
      <c r="E46" s="300"/>
    </row>
    <row r="47" spans="1:11" s="290" customFormat="1" x14ac:dyDescent="0.2">
      <c r="A47" s="292"/>
      <c r="B47" s="293"/>
      <c r="C47" s="302" t="s">
        <v>303</v>
      </c>
      <c r="E47" s="303"/>
      <c r="F47" s="296">
        <v>6</v>
      </c>
    </row>
    <row r="48" spans="1:11" s="290" customFormat="1" x14ac:dyDescent="0.2">
      <c r="A48" s="291" t="s">
        <v>233</v>
      </c>
      <c r="B48" s="295" t="s">
        <v>303</v>
      </c>
      <c r="C48" s="310">
        <v>13</v>
      </c>
      <c r="D48" s="293"/>
    </row>
    <row r="49" spans="3:11" s="290" customFormat="1" x14ac:dyDescent="0.2">
      <c r="F49" s="290" t="s">
        <v>301</v>
      </c>
      <c r="I49" s="301">
        <v>7</v>
      </c>
      <c r="J49" s="299"/>
      <c r="K49" s="299"/>
    </row>
    <row r="50" spans="3:11" s="290" customFormat="1" ht="13.5" thickBot="1" x14ac:dyDescent="0.25">
      <c r="F50" s="293"/>
      <c r="G50" s="293"/>
      <c r="H50" s="298"/>
      <c r="I50" s="307"/>
      <c r="J50" s="307" t="s">
        <v>303</v>
      </c>
      <c r="K50" s="307"/>
    </row>
    <row r="51" spans="3:11" s="290" customFormat="1" x14ac:dyDescent="0.2">
      <c r="F51" s="295" t="s">
        <v>303</v>
      </c>
      <c r="G51" s="295"/>
      <c r="H51" s="303"/>
      <c r="I51" s="296">
        <v>13</v>
      </c>
      <c r="J51" s="308" t="s">
        <v>247</v>
      </c>
      <c r="K51" s="299"/>
    </row>
    <row r="52" spans="3:11" s="290" customFormat="1" x14ac:dyDescent="0.2">
      <c r="J52" s="299"/>
      <c r="K52" s="299"/>
    </row>
    <row r="53" spans="3:11" s="290" customFormat="1" ht="13.5" thickBot="1" x14ac:dyDescent="0.25">
      <c r="G53" s="299"/>
      <c r="H53" s="299"/>
      <c r="J53" s="307" t="s">
        <v>301</v>
      </c>
      <c r="K53" s="307"/>
    </row>
    <row r="54" spans="3:11" s="290" customFormat="1" x14ac:dyDescent="0.2">
      <c r="C54" s="290" t="s">
        <v>378</v>
      </c>
      <c r="F54" s="296">
        <v>4</v>
      </c>
      <c r="J54" s="309" t="s">
        <v>248</v>
      </c>
    </row>
    <row r="55" spans="3:11" s="290" customFormat="1" x14ac:dyDescent="0.2">
      <c r="C55" s="293"/>
      <c r="D55" s="293"/>
      <c r="E55" s="298"/>
      <c r="F55" s="294" t="s">
        <v>377</v>
      </c>
      <c r="G55" s="295"/>
      <c r="H55" s="295"/>
      <c r="I55" s="296" t="s">
        <v>380</v>
      </c>
    </row>
    <row r="56" spans="3:11" s="290" customFormat="1" x14ac:dyDescent="0.2">
      <c r="C56" s="295" t="s">
        <v>377</v>
      </c>
      <c r="D56" s="295"/>
      <c r="E56" s="303"/>
      <c r="F56" s="297">
        <v>13</v>
      </c>
      <c r="H56" s="300"/>
    </row>
    <row r="57" spans="3:11" s="290" customFormat="1" ht="13.5" thickBot="1" x14ac:dyDescent="0.25">
      <c r="F57" s="299"/>
      <c r="H57" s="300"/>
      <c r="J57" s="290" t="s">
        <v>288</v>
      </c>
    </row>
    <row r="58" spans="3:11" s="290" customFormat="1" x14ac:dyDescent="0.2">
      <c r="C58" s="290" t="s">
        <v>294</v>
      </c>
      <c r="F58" s="301">
        <v>11</v>
      </c>
      <c r="H58" s="300"/>
      <c r="I58" s="304"/>
      <c r="J58" s="305" t="s">
        <v>250</v>
      </c>
      <c r="K58" s="306"/>
    </row>
    <row r="59" spans="3:11" s="290" customFormat="1" x14ac:dyDescent="0.2">
      <c r="C59" s="293"/>
      <c r="D59" s="293"/>
      <c r="E59" s="298"/>
      <c r="F59" s="302" t="s">
        <v>288</v>
      </c>
      <c r="H59" s="303"/>
      <c r="I59" s="301">
        <v>13</v>
      </c>
    </row>
    <row r="60" spans="3:11" s="290" customFormat="1" ht="13.5" thickBot="1" x14ac:dyDescent="0.25">
      <c r="C60" s="295" t="s">
        <v>288</v>
      </c>
      <c r="D60" s="295"/>
      <c r="E60" s="303"/>
      <c r="F60" s="310">
        <v>13</v>
      </c>
      <c r="G60" s="293"/>
      <c r="I60" s="299"/>
      <c r="J60" s="299" t="s">
        <v>377</v>
      </c>
      <c r="K60" s="307"/>
    </row>
    <row r="61" spans="3:11" s="290" customFormat="1" x14ac:dyDescent="0.2">
      <c r="I61" s="299"/>
      <c r="J61" s="305" t="s">
        <v>251</v>
      </c>
      <c r="K61" s="299"/>
    </row>
    <row r="62" spans="3:11" s="290" customFormat="1" x14ac:dyDescent="0.2">
      <c r="F62" s="290" t="s">
        <v>378</v>
      </c>
      <c r="I62" s="301"/>
      <c r="J62" s="299"/>
      <c r="K62" s="299"/>
    </row>
    <row r="63" spans="3:11" s="290" customFormat="1" ht="13.5" thickBot="1" x14ac:dyDescent="0.25">
      <c r="F63" s="293"/>
      <c r="G63" s="293"/>
      <c r="H63" s="298"/>
      <c r="I63" s="307"/>
      <c r="J63" s="307" t="s">
        <v>294</v>
      </c>
      <c r="K63" s="307"/>
    </row>
    <row r="64" spans="3:11" s="290" customFormat="1" x14ac:dyDescent="0.2">
      <c r="F64" s="295" t="s">
        <v>294</v>
      </c>
      <c r="G64" s="295"/>
      <c r="H64" s="303"/>
      <c r="I64" s="296">
        <v>13</v>
      </c>
      <c r="J64" s="308" t="s">
        <v>252</v>
      </c>
      <c r="K64" s="299"/>
    </row>
    <row r="65" spans="1:11" s="290" customFormat="1" x14ac:dyDescent="0.2">
      <c r="J65" s="299"/>
      <c r="K65" s="299"/>
    </row>
    <row r="66" spans="1:11" s="290" customFormat="1" ht="13.5" thickBot="1" x14ac:dyDescent="0.25">
      <c r="G66" s="299"/>
      <c r="H66" s="299"/>
      <c r="J66" s="307" t="s">
        <v>378</v>
      </c>
      <c r="K66" s="307"/>
    </row>
    <row r="67" spans="1:11" s="290" customFormat="1" x14ac:dyDescent="0.2">
      <c r="G67" s="299"/>
      <c r="H67" s="299"/>
      <c r="J67" s="309" t="s">
        <v>253</v>
      </c>
    </row>
    <row r="68" spans="1:11" s="290" customFormat="1" x14ac:dyDescent="0.2"/>
    <row r="69" spans="1:11" s="290" customFormat="1" x14ac:dyDescent="0.2">
      <c r="A69" s="289" t="s">
        <v>254</v>
      </c>
    </row>
    <row r="70" spans="1:11" s="290" customFormat="1" x14ac:dyDescent="0.2">
      <c r="B70" s="291" t="s">
        <v>262</v>
      </c>
      <c r="C70" s="290" t="s">
        <v>296</v>
      </c>
      <c r="F70" s="296"/>
    </row>
    <row r="71" spans="1:11" s="290" customFormat="1" x14ac:dyDescent="0.2">
      <c r="C71" s="293"/>
      <c r="D71" s="293"/>
      <c r="E71" s="298"/>
      <c r="F71" s="294" t="s">
        <v>297</v>
      </c>
      <c r="G71" s="295"/>
      <c r="H71" s="295"/>
      <c r="I71" s="296">
        <v>6</v>
      </c>
    </row>
    <row r="72" spans="1:11" s="290" customFormat="1" x14ac:dyDescent="0.2">
      <c r="B72" s="291" t="s">
        <v>267</v>
      </c>
      <c r="C72" s="295" t="s">
        <v>297</v>
      </c>
      <c r="D72" s="295"/>
      <c r="E72" s="303"/>
      <c r="F72" s="297">
        <v>13</v>
      </c>
      <c r="H72" s="300"/>
    </row>
    <row r="73" spans="1:11" s="290" customFormat="1" ht="13.5" thickBot="1" x14ac:dyDescent="0.25">
      <c r="F73" s="299"/>
      <c r="H73" s="300"/>
      <c r="J73" s="290" t="s">
        <v>379</v>
      </c>
    </row>
    <row r="74" spans="1:11" s="290" customFormat="1" x14ac:dyDescent="0.2">
      <c r="B74" s="291" t="s">
        <v>264</v>
      </c>
      <c r="C74" s="290" t="s">
        <v>290</v>
      </c>
      <c r="F74" s="301">
        <v>6</v>
      </c>
      <c r="H74" s="300"/>
      <c r="I74" s="304"/>
      <c r="J74" s="305" t="s">
        <v>255</v>
      </c>
      <c r="K74" s="306"/>
    </row>
    <row r="75" spans="1:11" s="290" customFormat="1" x14ac:dyDescent="0.2">
      <c r="C75" s="293"/>
      <c r="D75" s="293"/>
      <c r="E75" s="298"/>
      <c r="F75" s="302" t="s">
        <v>379</v>
      </c>
      <c r="H75" s="303"/>
      <c r="I75" s="301">
        <v>13</v>
      </c>
    </row>
    <row r="76" spans="1:11" s="290" customFormat="1" ht="13.5" thickBot="1" x14ac:dyDescent="0.25">
      <c r="B76" s="291" t="s">
        <v>266</v>
      </c>
      <c r="C76" s="295" t="s">
        <v>379</v>
      </c>
      <c r="D76" s="295"/>
      <c r="E76" s="303"/>
      <c r="F76" s="310">
        <v>13</v>
      </c>
      <c r="G76" s="293"/>
      <c r="I76" s="299"/>
      <c r="J76" s="299" t="s">
        <v>297</v>
      </c>
      <c r="K76" s="307"/>
    </row>
    <row r="77" spans="1:11" s="290" customFormat="1" x14ac:dyDescent="0.2">
      <c r="I77" s="299"/>
      <c r="J77" s="305" t="s">
        <v>256</v>
      </c>
      <c r="K77" s="299"/>
    </row>
    <row r="78" spans="1:11" s="290" customFormat="1" x14ac:dyDescent="0.2">
      <c r="I78" s="299"/>
      <c r="J78" s="308"/>
      <c r="K78" s="299"/>
    </row>
    <row r="79" spans="1:11" s="290" customFormat="1" x14ac:dyDescent="0.2">
      <c r="F79" s="290" t="s">
        <v>296</v>
      </c>
      <c r="I79" s="301"/>
      <c r="J79" s="299"/>
      <c r="K79" s="299"/>
    </row>
    <row r="80" spans="1:11" s="290" customFormat="1" ht="13.5" thickBot="1" x14ac:dyDescent="0.25">
      <c r="F80" s="293"/>
      <c r="G80" s="293"/>
      <c r="H80" s="298"/>
      <c r="I80" s="307"/>
      <c r="J80" s="307" t="s">
        <v>290</v>
      </c>
      <c r="K80" s="307"/>
    </row>
    <row r="81" spans="1:11" s="290" customFormat="1" x14ac:dyDescent="0.2">
      <c r="F81" s="295" t="s">
        <v>290</v>
      </c>
      <c r="G81" s="295"/>
      <c r="H81" s="303"/>
      <c r="I81" s="296">
        <v>13</v>
      </c>
      <c r="J81" s="308" t="s">
        <v>257</v>
      </c>
      <c r="K81" s="299"/>
    </row>
    <row r="82" spans="1:11" s="290" customFormat="1" x14ac:dyDescent="0.2">
      <c r="J82" s="299"/>
      <c r="K82" s="299"/>
    </row>
    <row r="83" spans="1:11" s="290" customFormat="1" ht="13.5" thickBot="1" x14ac:dyDescent="0.25">
      <c r="G83" s="299"/>
      <c r="H83" s="299"/>
      <c r="J83" s="307" t="s">
        <v>296</v>
      </c>
      <c r="K83" s="307"/>
    </row>
    <row r="84" spans="1:11" s="290" customFormat="1" x14ac:dyDescent="0.2">
      <c r="G84" s="299"/>
      <c r="H84" s="299"/>
      <c r="J84" s="309" t="s">
        <v>258</v>
      </c>
    </row>
    <row r="85" spans="1:11" s="290" customFormat="1" x14ac:dyDescent="0.2"/>
    <row r="86" spans="1:11" s="290" customFormat="1" x14ac:dyDescent="0.2">
      <c r="A86" s="372">
        <v>1</v>
      </c>
      <c r="B86" s="373" t="s">
        <v>375</v>
      </c>
    </row>
    <row r="87" spans="1:11" s="290" customFormat="1" x14ac:dyDescent="0.2">
      <c r="A87" s="372">
        <v>2</v>
      </c>
      <c r="B87" s="322" t="s">
        <v>376</v>
      </c>
    </row>
    <row r="88" spans="1:11" s="290" customFormat="1" x14ac:dyDescent="0.2">
      <c r="A88" s="372">
        <v>3</v>
      </c>
      <c r="B88" s="323" t="s">
        <v>303</v>
      </c>
    </row>
    <row r="89" spans="1:11" s="290" customFormat="1" x14ac:dyDescent="0.2">
      <c r="A89" s="372">
        <v>4</v>
      </c>
      <c r="B89" s="208" t="s">
        <v>301</v>
      </c>
    </row>
    <row r="90" spans="1:11" s="290" customFormat="1" x14ac:dyDescent="0.2">
      <c r="A90" s="372">
        <v>5</v>
      </c>
      <c r="B90" s="208" t="s">
        <v>288</v>
      </c>
    </row>
    <row r="91" spans="1:11" s="290" customFormat="1" x14ac:dyDescent="0.2">
      <c r="A91" s="372">
        <v>6</v>
      </c>
      <c r="B91" s="208" t="s">
        <v>377</v>
      </c>
    </row>
    <row r="92" spans="1:11" s="290" customFormat="1" x14ac:dyDescent="0.2">
      <c r="A92" s="372">
        <v>7</v>
      </c>
      <c r="B92" s="208" t="s">
        <v>294</v>
      </c>
    </row>
    <row r="93" spans="1:11" s="290" customFormat="1" x14ac:dyDescent="0.2">
      <c r="A93" s="372">
        <v>8</v>
      </c>
      <c r="B93" s="208" t="s">
        <v>378</v>
      </c>
    </row>
    <row r="94" spans="1:11" s="290" customFormat="1" x14ac:dyDescent="0.2">
      <c r="A94" s="372">
        <v>9</v>
      </c>
      <c r="B94" s="198" t="s">
        <v>379</v>
      </c>
      <c r="D94" s="311"/>
    </row>
    <row r="95" spans="1:11" s="290" customFormat="1" x14ac:dyDescent="0.2">
      <c r="A95" s="372">
        <v>10</v>
      </c>
      <c r="B95" s="198" t="s">
        <v>297</v>
      </c>
      <c r="D95" s="311"/>
    </row>
    <row r="96" spans="1:11" s="290" customFormat="1" x14ac:dyDescent="0.2">
      <c r="A96" s="372">
        <v>11</v>
      </c>
      <c r="B96" s="198" t="s">
        <v>290</v>
      </c>
      <c r="D96" s="311"/>
    </row>
    <row r="97" spans="1:4" s="290" customFormat="1" x14ac:dyDescent="0.2">
      <c r="A97" s="372">
        <v>12</v>
      </c>
      <c r="B97" s="198" t="s">
        <v>296</v>
      </c>
      <c r="D97" s="311"/>
    </row>
    <row r="107" spans="1:4" x14ac:dyDescent="0.2">
      <c r="C107" s="253"/>
    </row>
  </sheetData>
  <conditionalFormatting sqref="C9:I81">
    <cfRule type="cellIs" dxfId="179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2" manualBreakCount="2">
    <brk id="30" max="16383" man="1"/>
    <brk id="6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07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I1" sqref="I1"/>
    </sheetView>
  </sheetViews>
  <sheetFormatPr defaultRowHeight="12.75" x14ac:dyDescent="0.2"/>
  <cols>
    <col min="1" max="1" width="3.28515625" style="59" customWidth="1"/>
    <col min="2" max="2" width="43.140625" style="59" bestFit="1" customWidth="1"/>
    <col min="3" max="4" width="7.28515625" style="59" customWidth="1"/>
    <col min="5" max="5" width="9.140625" style="59" bestFit="1" customWidth="1"/>
    <col min="6" max="6" width="7.28515625" style="59" customWidth="1"/>
    <col min="7" max="7" width="5.140625" style="59" customWidth="1"/>
    <col min="8" max="8" width="7.28515625" style="59" customWidth="1"/>
    <col min="9" max="9" width="5.7109375" style="59" customWidth="1"/>
    <col min="10" max="16384" width="9.140625" style="59"/>
  </cols>
  <sheetData>
    <row r="1" spans="1:7" x14ac:dyDescent="0.2">
      <c r="A1" s="58" t="str">
        <f>UPPER((Kalend!E26)&amp;" - "&amp;(Kalend!C26)&amp;" - "&amp;(Kalend!D26))</f>
        <v>6 - JÕHVI 13. MV - TRIO</v>
      </c>
      <c r="E1" s="239" t="str">
        <f>HYPERLINK("#'Kalend'!I1","Kalender")</f>
        <v>Kalender</v>
      </c>
      <c r="G1" s="239" t="str">
        <f>HYPERLINK("#'Reit'!G1","Reiting")</f>
        <v>Reiting</v>
      </c>
    </row>
    <row r="2" spans="1:7" x14ac:dyDescent="0.2">
      <c r="A2" s="59" t="str">
        <f>"Toimumisaeg: "&amp;(Kalend!A26)&amp;" kell "&amp;(Kalend!B26)</f>
        <v>Toimumisaeg: N, 23.07.2015 kell 18:00</v>
      </c>
    </row>
    <row r="3" spans="1:7" x14ac:dyDescent="0.2">
      <c r="A3" s="59" t="str">
        <f>"Toimumiskoht: "&amp;(Kalend!F26)</f>
        <v>Toimumiskoht: Jõhvi, Neptun</v>
      </c>
    </row>
    <row r="4" spans="1:7" x14ac:dyDescent="0.2">
      <c r="A4" s="59" t="str">
        <f>"Korraldaja: "&amp;(Kalend!G26)</f>
        <v>Korraldaja: LTK Üks-Teist, Tõnu Kapper</v>
      </c>
    </row>
    <row r="6" spans="1:7" x14ac:dyDescent="0.2">
      <c r="A6" s="286" t="s">
        <v>381</v>
      </c>
    </row>
    <row r="8" spans="1:7" x14ac:dyDescent="0.2">
      <c r="A8" s="240" t="s">
        <v>217</v>
      </c>
      <c r="B8" s="240"/>
      <c r="C8" s="287" t="s">
        <v>218</v>
      </c>
      <c r="D8" s="287" t="s">
        <v>219</v>
      </c>
      <c r="E8" s="287" t="s">
        <v>220</v>
      </c>
      <c r="F8" s="287" t="s">
        <v>221</v>
      </c>
      <c r="G8" s="287" t="s">
        <v>222</v>
      </c>
    </row>
    <row r="9" spans="1:7" x14ac:dyDescent="0.2">
      <c r="A9" s="240">
        <v>1</v>
      </c>
      <c r="B9" s="198" t="s">
        <v>382</v>
      </c>
      <c r="C9" s="242">
        <v>10</v>
      </c>
      <c r="D9" s="242"/>
      <c r="E9" s="245">
        <v>11</v>
      </c>
      <c r="F9" s="242">
        <v>13</v>
      </c>
      <c r="G9" s="243" t="s">
        <v>226</v>
      </c>
    </row>
    <row r="10" spans="1:7" x14ac:dyDescent="0.2">
      <c r="A10" s="240">
        <v>2</v>
      </c>
      <c r="B10" s="198" t="s">
        <v>272</v>
      </c>
      <c r="C10" s="242">
        <v>8</v>
      </c>
      <c r="D10" s="242"/>
      <c r="E10" s="242">
        <v>10</v>
      </c>
      <c r="F10" s="242"/>
      <c r="G10" s="243" t="s">
        <v>276</v>
      </c>
    </row>
    <row r="11" spans="1:7" x14ac:dyDescent="0.2">
      <c r="A11" s="240">
        <v>3</v>
      </c>
      <c r="B11" s="219" t="s">
        <v>340</v>
      </c>
      <c r="C11" s="245">
        <v>9</v>
      </c>
      <c r="D11" s="242">
        <v>6</v>
      </c>
      <c r="E11" s="242"/>
      <c r="F11" s="242">
        <v>4</v>
      </c>
      <c r="G11" s="243" t="s">
        <v>225</v>
      </c>
    </row>
    <row r="12" spans="1:7" x14ac:dyDescent="0.2">
      <c r="A12" s="240">
        <v>4</v>
      </c>
      <c r="B12" s="198" t="s">
        <v>383</v>
      </c>
      <c r="C12" s="245">
        <v>11</v>
      </c>
      <c r="D12" s="245">
        <v>7</v>
      </c>
      <c r="E12" s="242"/>
      <c r="F12" s="242"/>
      <c r="G12" s="243" t="s">
        <v>224</v>
      </c>
    </row>
    <row r="13" spans="1:7" x14ac:dyDescent="0.2">
      <c r="A13" s="65"/>
      <c r="B13" s="64"/>
      <c r="C13" s="247"/>
      <c r="D13" s="247"/>
      <c r="E13" s="247"/>
      <c r="F13" s="248"/>
      <c r="G13" s="249"/>
    </row>
    <row r="14" spans="1:7" x14ac:dyDescent="0.2">
      <c r="A14" s="240" t="s">
        <v>227</v>
      </c>
      <c r="B14" s="240"/>
      <c r="C14" s="287" t="s">
        <v>218</v>
      </c>
      <c r="D14" s="287" t="s">
        <v>219</v>
      </c>
      <c r="E14" s="287" t="s">
        <v>220</v>
      </c>
      <c r="F14" s="287" t="s">
        <v>221</v>
      </c>
      <c r="G14" s="287" t="s">
        <v>222</v>
      </c>
    </row>
    <row r="15" spans="1:7" x14ac:dyDescent="0.2">
      <c r="A15" s="240">
        <v>1</v>
      </c>
      <c r="B15" s="198" t="s">
        <v>280</v>
      </c>
      <c r="C15" s="242">
        <v>13</v>
      </c>
      <c r="D15" s="242">
        <v>13</v>
      </c>
      <c r="E15" s="242"/>
      <c r="F15" s="242"/>
      <c r="G15" s="243" t="s">
        <v>224</v>
      </c>
    </row>
    <row r="16" spans="1:7" x14ac:dyDescent="0.2">
      <c r="A16" s="240">
        <v>2</v>
      </c>
      <c r="B16" s="288" t="s">
        <v>333</v>
      </c>
      <c r="C16" s="242">
        <v>13</v>
      </c>
      <c r="D16" s="242">
        <v>7</v>
      </c>
      <c r="E16" s="242"/>
      <c r="F16" s="242">
        <v>8</v>
      </c>
      <c r="G16" s="243" t="s">
        <v>225</v>
      </c>
    </row>
    <row r="17" spans="1:8" x14ac:dyDescent="0.2">
      <c r="A17" s="240">
        <v>3</v>
      </c>
      <c r="B17" s="198" t="s">
        <v>279</v>
      </c>
      <c r="C17" s="242">
        <v>3</v>
      </c>
      <c r="D17" s="242"/>
      <c r="E17" s="242">
        <v>13</v>
      </c>
      <c r="F17" s="242">
        <v>13</v>
      </c>
      <c r="G17" s="243" t="s">
        <v>226</v>
      </c>
    </row>
    <row r="18" spans="1:8" x14ac:dyDescent="0.2">
      <c r="A18" s="240">
        <v>4</v>
      </c>
      <c r="B18" s="288"/>
      <c r="C18" s="242">
        <v>0</v>
      </c>
      <c r="D18" s="242"/>
      <c r="E18" s="242">
        <v>0</v>
      </c>
      <c r="F18" s="242"/>
      <c r="G18" s="243"/>
    </row>
    <row r="19" spans="1:8" x14ac:dyDescent="0.2">
      <c r="A19" s="65"/>
      <c r="B19" s="64"/>
      <c r="C19" s="247"/>
      <c r="D19" s="247"/>
      <c r="E19" s="247"/>
      <c r="F19" s="248"/>
      <c r="G19" s="249"/>
    </row>
    <row r="20" spans="1:8" s="290" customFormat="1" x14ac:dyDescent="0.2">
      <c r="A20" s="289" t="s">
        <v>231</v>
      </c>
    </row>
    <row r="22" spans="1:8" x14ac:dyDescent="0.2">
      <c r="A22" s="252" t="s">
        <v>241</v>
      </c>
      <c r="B22" s="59" t="s">
        <v>383</v>
      </c>
      <c r="C22" s="253">
        <v>0</v>
      </c>
    </row>
    <row r="23" spans="1:8" x14ac:dyDescent="0.2">
      <c r="A23" s="254"/>
      <c r="B23" s="255"/>
      <c r="C23" s="256" t="s">
        <v>279</v>
      </c>
      <c r="D23" s="257"/>
      <c r="F23" s="253">
        <v>3</v>
      </c>
    </row>
    <row r="24" spans="1:8" x14ac:dyDescent="0.2">
      <c r="A24" s="254" t="s">
        <v>242</v>
      </c>
      <c r="B24" s="257" t="s">
        <v>279</v>
      </c>
      <c r="C24" s="265">
        <v>13</v>
      </c>
      <c r="E24" s="258"/>
    </row>
    <row r="25" spans="1:8" ht="13.5" thickBot="1" x14ac:dyDescent="0.25">
      <c r="A25" s="254"/>
      <c r="D25" s="64"/>
      <c r="E25" s="259"/>
      <c r="G25" s="59" t="s">
        <v>382</v>
      </c>
    </row>
    <row r="26" spans="1:8" x14ac:dyDescent="0.2">
      <c r="A26" s="254" t="s">
        <v>233</v>
      </c>
      <c r="B26" s="59" t="s">
        <v>382</v>
      </c>
      <c r="C26" s="263">
        <v>13</v>
      </c>
      <c r="E26" s="259"/>
      <c r="F26" s="266"/>
      <c r="G26" s="267" t="s">
        <v>240</v>
      </c>
      <c r="H26" s="268"/>
    </row>
    <row r="27" spans="1:8" x14ac:dyDescent="0.2">
      <c r="A27" s="254"/>
      <c r="B27" s="255"/>
      <c r="C27" s="260" t="s">
        <v>382</v>
      </c>
      <c r="E27" s="262"/>
      <c r="F27" s="263">
        <v>13</v>
      </c>
    </row>
    <row r="28" spans="1:8" ht="13.5" thickBot="1" x14ac:dyDescent="0.25">
      <c r="A28" s="254" t="s">
        <v>232</v>
      </c>
      <c r="B28" s="257" t="s">
        <v>280</v>
      </c>
      <c r="C28" s="264">
        <v>3</v>
      </c>
      <c r="D28" s="255"/>
      <c r="F28" s="64"/>
      <c r="G28" s="64" t="s">
        <v>279</v>
      </c>
      <c r="H28" s="269"/>
    </row>
    <row r="29" spans="1:8" x14ac:dyDescent="0.2">
      <c r="A29" s="58"/>
      <c r="F29" s="64"/>
      <c r="G29" s="267" t="s">
        <v>244</v>
      </c>
      <c r="H29" s="64"/>
    </row>
    <row r="30" spans="1:8" x14ac:dyDescent="0.2">
      <c r="A30" s="58"/>
      <c r="C30" s="59" t="s">
        <v>383</v>
      </c>
      <c r="F30" s="263">
        <v>8</v>
      </c>
      <c r="G30" s="64"/>
      <c r="H30" s="64"/>
    </row>
    <row r="31" spans="1:8" ht="13.5" thickBot="1" x14ac:dyDescent="0.25">
      <c r="A31" s="58"/>
      <c r="C31" s="255"/>
      <c r="D31" s="255"/>
      <c r="E31" s="258"/>
      <c r="F31" s="269"/>
      <c r="G31" s="269" t="s">
        <v>280</v>
      </c>
      <c r="H31" s="269"/>
    </row>
    <row r="32" spans="1:8" x14ac:dyDescent="0.2">
      <c r="A32" s="58"/>
      <c r="C32" s="257" t="s">
        <v>280</v>
      </c>
      <c r="D32" s="257"/>
      <c r="E32" s="262"/>
      <c r="F32" s="253">
        <v>13</v>
      </c>
      <c r="G32" s="65" t="s">
        <v>247</v>
      </c>
      <c r="H32" s="64"/>
    </row>
    <row r="33" spans="1:9" x14ac:dyDescent="0.2">
      <c r="A33" s="58"/>
      <c r="G33" s="64"/>
      <c r="H33" s="64"/>
    </row>
    <row r="34" spans="1:9" ht="13.5" thickBot="1" x14ac:dyDescent="0.25">
      <c r="A34" s="58"/>
      <c r="D34" s="64"/>
      <c r="E34" s="64"/>
      <c r="G34" s="269" t="s">
        <v>383</v>
      </c>
      <c r="H34" s="269"/>
    </row>
    <row r="35" spans="1:9" x14ac:dyDescent="0.2">
      <c r="A35" s="58"/>
      <c r="D35" s="64"/>
      <c r="E35" s="64"/>
      <c r="G35" s="58" t="s">
        <v>248</v>
      </c>
    </row>
    <row r="36" spans="1:9" x14ac:dyDescent="0.2">
      <c r="A36" s="58"/>
      <c r="D36" s="64"/>
      <c r="E36" s="64"/>
      <c r="G36" s="58"/>
    </row>
    <row r="37" spans="1:9" x14ac:dyDescent="0.2">
      <c r="A37" s="289" t="s">
        <v>384</v>
      </c>
      <c r="B37" s="64"/>
      <c r="C37" s="247"/>
      <c r="D37" s="249"/>
      <c r="E37" s="249"/>
      <c r="F37" s="248"/>
      <c r="G37" s="249"/>
      <c r="H37" s="247"/>
      <c r="I37" s="249"/>
    </row>
    <row r="38" spans="1:9" x14ac:dyDescent="0.2">
      <c r="A38" s="374"/>
      <c r="B38" s="64"/>
      <c r="C38" s="253"/>
    </row>
    <row r="39" spans="1:9" x14ac:dyDescent="0.2">
      <c r="A39" s="328"/>
      <c r="B39" s="375" t="s">
        <v>262</v>
      </c>
      <c r="C39" s="257" t="s">
        <v>340</v>
      </c>
      <c r="D39" s="257"/>
      <c r="E39" s="257"/>
      <c r="F39" s="253">
        <v>13</v>
      </c>
    </row>
    <row r="40" spans="1:9" ht="13.5" thickBot="1" x14ac:dyDescent="0.25">
      <c r="A40" s="328"/>
      <c r="B40" s="64"/>
      <c r="C40" s="272"/>
      <c r="D40" s="255"/>
      <c r="E40" s="258"/>
      <c r="G40" s="59" t="s">
        <v>340</v>
      </c>
    </row>
    <row r="41" spans="1:9" x14ac:dyDescent="0.2">
      <c r="A41" s="328"/>
      <c r="B41" s="375" t="s">
        <v>267</v>
      </c>
      <c r="C41" s="274" t="s">
        <v>333</v>
      </c>
      <c r="D41" s="257"/>
      <c r="E41" s="262"/>
      <c r="F41" s="277">
        <v>10</v>
      </c>
      <c r="G41" s="267" t="s">
        <v>250</v>
      </c>
      <c r="H41" s="268"/>
    </row>
    <row r="42" spans="1:9" x14ac:dyDescent="0.2">
      <c r="A42" s="328"/>
      <c r="B42" s="64"/>
      <c r="C42" s="263"/>
      <c r="D42" s="64"/>
      <c r="F42" s="64"/>
      <c r="G42" s="64"/>
    </row>
    <row r="43" spans="1:9" ht="13.5" thickBot="1" x14ac:dyDescent="0.25">
      <c r="A43" s="64"/>
      <c r="B43" s="64"/>
      <c r="G43" s="59" t="s">
        <v>333</v>
      </c>
      <c r="H43" s="269"/>
    </row>
    <row r="44" spans="1:9" x14ac:dyDescent="0.2">
      <c r="C44" s="64"/>
      <c r="D44" s="64"/>
      <c r="E44" s="64"/>
      <c r="F44" s="64"/>
      <c r="G44" s="267" t="s">
        <v>251</v>
      </c>
    </row>
    <row r="45" spans="1:9" x14ac:dyDescent="0.2">
      <c r="C45" s="64"/>
      <c r="D45" s="64"/>
      <c r="E45" s="64"/>
      <c r="F45" s="263"/>
      <c r="G45" s="64"/>
      <c r="H45" s="64"/>
    </row>
    <row r="46" spans="1:9" ht="13.5" thickBot="1" x14ac:dyDescent="0.25">
      <c r="C46" s="64"/>
      <c r="D46" s="64"/>
      <c r="E46" s="64"/>
      <c r="F46" s="64"/>
      <c r="G46" s="269" t="s">
        <v>272</v>
      </c>
      <c r="H46" s="269"/>
    </row>
    <row r="47" spans="1:9" x14ac:dyDescent="0.2">
      <c r="F47" s="263"/>
      <c r="G47" s="65" t="s">
        <v>252</v>
      </c>
      <c r="H47" s="64"/>
    </row>
    <row r="48" spans="1:9" x14ac:dyDescent="0.2">
      <c r="A48" s="240">
        <v>1</v>
      </c>
      <c r="B48" s="285" t="s">
        <v>382</v>
      </c>
    </row>
    <row r="49" spans="1:2" x14ac:dyDescent="0.2">
      <c r="A49" s="240">
        <v>2</v>
      </c>
      <c r="B49" s="215" t="s">
        <v>279</v>
      </c>
    </row>
    <row r="50" spans="1:2" x14ac:dyDescent="0.2">
      <c r="A50" s="240">
        <v>3</v>
      </c>
      <c r="B50" s="216" t="s">
        <v>280</v>
      </c>
    </row>
    <row r="51" spans="1:2" x14ac:dyDescent="0.2">
      <c r="A51" s="240">
        <v>4</v>
      </c>
      <c r="B51" s="219" t="s">
        <v>383</v>
      </c>
    </row>
    <row r="52" spans="1:2" x14ac:dyDescent="0.2">
      <c r="A52" s="240">
        <v>5</v>
      </c>
      <c r="B52" s="219" t="s">
        <v>340</v>
      </c>
    </row>
    <row r="53" spans="1:2" x14ac:dyDescent="0.2">
      <c r="A53" s="240">
        <v>6</v>
      </c>
      <c r="B53" s="219" t="s">
        <v>333</v>
      </c>
    </row>
    <row r="54" spans="1:2" x14ac:dyDescent="0.2">
      <c r="A54" s="240">
        <v>7</v>
      </c>
      <c r="B54" s="219" t="s">
        <v>272</v>
      </c>
    </row>
    <row r="107" spans="3:3" x14ac:dyDescent="0.2">
      <c r="C107" s="253"/>
    </row>
  </sheetData>
  <conditionalFormatting sqref="C9:F41">
    <cfRule type="cellIs" dxfId="178" priority="1" stopIfTrue="1" operator="equal">
      <formula>13</formula>
    </cfRule>
  </conditionalFormatting>
  <pageMargins left="0.78740157480314965" right="0.39370078740157483" top="0.59055118110236227" bottom="0.39370078740157483" header="0.39370078740157483" footer="0"/>
  <pageSetup paperSize="9" fitToHeight="0" orientation="landscape" verticalDpi="180" r:id="rId1"/>
  <headerFooter>
    <oddHeader>&amp;R&amp;"Arial,Regular"&amp;9Page &amp;P of &amp;N</oddHeader>
  </headerFooter>
  <rowBreaks count="1" manualBreakCount="1">
    <brk id="3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41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L1" sqref="L1"/>
    </sheetView>
  </sheetViews>
  <sheetFormatPr defaultColWidth="9.42578125" defaultRowHeight="12.75" x14ac:dyDescent="0.2"/>
  <cols>
    <col min="1" max="1" width="3.28515625" style="59" customWidth="1"/>
    <col min="2" max="2" width="18.7109375" style="59" bestFit="1" customWidth="1"/>
    <col min="3" max="9" width="7.140625" style="59" customWidth="1"/>
    <col min="10" max="10" width="4.28515625" style="59" customWidth="1"/>
    <col min="11" max="11" width="7.140625" style="59" customWidth="1"/>
    <col min="12" max="15" width="3.85546875" style="59" customWidth="1"/>
    <col min="16" max="243" width="9.140625" style="59" customWidth="1"/>
    <col min="244" max="16384" width="9.42578125" style="59"/>
  </cols>
  <sheetData>
    <row r="1" spans="1:10" x14ac:dyDescent="0.2">
      <c r="A1" s="58" t="str">
        <f>UPPER((Kalend!E27)&amp;" - "&amp;(Kalend!C27)&amp;" - "&amp;(Kalend!D27))</f>
        <v>7 - JÕHVI 15. MV - ÜKSIK</v>
      </c>
      <c r="H1" s="239" t="str">
        <f>HYPERLINK("#'Kalend'!I1","Kalender")</f>
        <v>Kalender</v>
      </c>
      <c r="J1" s="239" t="str">
        <f>HYPERLINK("#'Reit'!G1","Reiting")</f>
        <v>Reiting</v>
      </c>
    </row>
    <row r="2" spans="1:10" x14ac:dyDescent="0.2">
      <c r="A2" s="59" t="str">
        <f>"Toimumisaeg: "&amp;(Kalend!A27)&amp;" kell "&amp;(Kalend!B27)</f>
        <v>Toimumisaeg: P, 26.07.2015 kell 12:00</v>
      </c>
    </row>
    <row r="3" spans="1:10" x14ac:dyDescent="0.2">
      <c r="A3" s="59" t="str">
        <f>"Toimumiskoht: "&amp;(Kalend!F27)</f>
        <v>Toimumiskoht: Jõhvi, Neptun</v>
      </c>
    </row>
    <row r="4" spans="1:10" x14ac:dyDescent="0.2">
      <c r="A4" s="59" t="str">
        <f>"Korraldaja: "&amp;(Kalend!G27)</f>
        <v>Korraldaja: LTK Üks-Teist, Tõnu Kapper</v>
      </c>
    </row>
    <row r="6" spans="1:10" x14ac:dyDescent="0.2">
      <c r="A6" s="286" t="s">
        <v>385</v>
      </c>
    </row>
    <row r="8" spans="1:10" x14ac:dyDescent="0.2">
      <c r="A8" s="240" t="s">
        <v>329</v>
      </c>
      <c r="B8" s="240"/>
      <c r="C8" s="287">
        <v>1</v>
      </c>
      <c r="D8" s="287">
        <v>2</v>
      </c>
      <c r="E8" s="287">
        <v>3</v>
      </c>
      <c r="F8" s="287">
        <v>4</v>
      </c>
      <c r="G8" s="287" t="s">
        <v>330</v>
      </c>
      <c r="H8" s="287" t="s">
        <v>222</v>
      </c>
    </row>
    <row r="9" spans="1:10" x14ac:dyDescent="0.2">
      <c r="A9" s="240">
        <v>1</v>
      </c>
      <c r="B9" s="219" t="s">
        <v>156</v>
      </c>
      <c r="C9" s="325"/>
      <c r="D9" s="326">
        <v>10</v>
      </c>
      <c r="E9" s="326">
        <v>13</v>
      </c>
      <c r="F9" s="326">
        <v>13</v>
      </c>
      <c r="G9" s="327" t="s">
        <v>332</v>
      </c>
      <c r="H9" s="326" t="s">
        <v>224</v>
      </c>
    </row>
    <row r="10" spans="1:10" x14ac:dyDescent="0.2">
      <c r="A10" s="240">
        <v>2</v>
      </c>
      <c r="B10" s="198" t="s">
        <v>159</v>
      </c>
      <c r="C10" s="326">
        <v>13</v>
      </c>
      <c r="D10" s="325"/>
      <c r="E10" s="326">
        <v>12</v>
      </c>
      <c r="F10" s="326">
        <v>10</v>
      </c>
      <c r="G10" s="327" t="s">
        <v>334</v>
      </c>
      <c r="H10" s="326" t="s">
        <v>276</v>
      </c>
    </row>
    <row r="11" spans="1:10" x14ac:dyDescent="0.2">
      <c r="A11" s="240">
        <v>3</v>
      </c>
      <c r="B11" s="198" t="s">
        <v>167</v>
      </c>
      <c r="C11" s="326">
        <v>5</v>
      </c>
      <c r="D11" s="326">
        <v>13</v>
      </c>
      <c r="E11" s="325"/>
      <c r="F11" s="326">
        <v>13</v>
      </c>
      <c r="G11" s="327" t="s">
        <v>332</v>
      </c>
      <c r="H11" s="326" t="s">
        <v>226</v>
      </c>
    </row>
    <row r="12" spans="1:10" x14ac:dyDescent="0.2">
      <c r="A12" s="240">
        <v>4</v>
      </c>
      <c r="B12" s="198" t="s">
        <v>185</v>
      </c>
      <c r="C12" s="326">
        <v>10</v>
      </c>
      <c r="D12" s="326">
        <v>13</v>
      </c>
      <c r="E12" s="326">
        <v>12</v>
      </c>
      <c r="F12" s="325"/>
      <c r="G12" s="327" t="s">
        <v>334</v>
      </c>
      <c r="H12" s="326" t="s">
        <v>225</v>
      </c>
    </row>
    <row r="14" spans="1:10" x14ac:dyDescent="0.2">
      <c r="A14" s="240" t="s">
        <v>337</v>
      </c>
      <c r="B14" s="240"/>
      <c r="C14" s="287">
        <v>1</v>
      </c>
      <c r="D14" s="287">
        <v>2</v>
      </c>
      <c r="E14" s="287">
        <v>3</v>
      </c>
      <c r="F14" s="287">
        <v>4</v>
      </c>
      <c r="G14" s="287">
        <v>5</v>
      </c>
      <c r="H14" s="287" t="s">
        <v>330</v>
      </c>
      <c r="I14" s="287" t="s">
        <v>222</v>
      </c>
    </row>
    <row r="15" spans="1:10" x14ac:dyDescent="0.2">
      <c r="A15" s="240">
        <v>1</v>
      </c>
      <c r="B15" s="198" t="s">
        <v>169</v>
      </c>
      <c r="C15" s="325"/>
      <c r="D15" s="326">
        <v>13</v>
      </c>
      <c r="E15" s="326">
        <v>9</v>
      </c>
      <c r="F15" s="326">
        <v>8</v>
      </c>
      <c r="G15" s="326">
        <v>13</v>
      </c>
      <c r="H15" s="327" t="s">
        <v>386</v>
      </c>
      <c r="I15" s="326" t="s">
        <v>276</v>
      </c>
      <c r="J15" s="624" t="s">
        <v>471</v>
      </c>
    </row>
    <row r="16" spans="1:10" x14ac:dyDescent="0.2">
      <c r="A16" s="240">
        <v>2</v>
      </c>
      <c r="B16" s="198" t="s">
        <v>164</v>
      </c>
      <c r="C16" s="326">
        <v>12</v>
      </c>
      <c r="D16" s="325"/>
      <c r="E16" s="326">
        <v>13</v>
      </c>
      <c r="F16" s="326">
        <v>10</v>
      </c>
      <c r="G16" s="326">
        <v>13</v>
      </c>
      <c r="H16" s="327" t="s">
        <v>386</v>
      </c>
      <c r="I16" s="326" t="s">
        <v>225</v>
      </c>
      <c r="J16" s="624" t="s">
        <v>563</v>
      </c>
    </row>
    <row r="17" spans="1:10" x14ac:dyDescent="0.2">
      <c r="A17" s="240">
        <v>3</v>
      </c>
      <c r="B17" s="198" t="s">
        <v>178</v>
      </c>
      <c r="C17" s="326">
        <v>13</v>
      </c>
      <c r="D17" s="326">
        <v>12</v>
      </c>
      <c r="E17" s="325"/>
      <c r="F17" s="326">
        <v>13</v>
      </c>
      <c r="G17" s="326">
        <v>10</v>
      </c>
      <c r="H17" s="327" t="s">
        <v>386</v>
      </c>
      <c r="I17" s="326" t="s">
        <v>226</v>
      </c>
      <c r="J17" s="624" t="s">
        <v>562</v>
      </c>
    </row>
    <row r="18" spans="1:10" x14ac:dyDescent="0.2">
      <c r="A18" s="240">
        <v>4</v>
      </c>
      <c r="B18" s="219" t="s">
        <v>162</v>
      </c>
      <c r="C18" s="326">
        <v>13</v>
      </c>
      <c r="D18" s="326">
        <v>13</v>
      </c>
      <c r="E18" s="326">
        <v>9</v>
      </c>
      <c r="F18" s="325"/>
      <c r="G18" s="326">
        <v>13</v>
      </c>
      <c r="H18" s="327" t="s">
        <v>387</v>
      </c>
      <c r="I18" s="326" t="s">
        <v>224</v>
      </c>
    </row>
    <row r="19" spans="1:10" x14ac:dyDescent="0.2">
      <c r="A19" s="240">
        <v>5</v>
      </c>
      <c r="B19" s="219" t="s">
        <v>166</v>
      </c>
      <c r="C19" s="326">
        <v>12</v>
      </c>
      <c r="D19" s="326">
        <v>7</v>
      </c>
      <c r="E19" s="326">
        <v>13</v>
      </c>
      <c r="F19" s="326">
        <v>11</v>
      </c>
      <c r="G19" s="325"/>
      <c r="H19" s="327" t="s">
        <v>345</v>
      </c>
      <c r="I19" s="326" t="s">
        <v>388</v>
      </c>
    </row>
    <row r="21" spans="1:10" x14ac:dyDescent="0.2">
      <c r="A21" s="240" t="s">
        <v>364</v>
      </c>
      <c r="B21" s="240"/>
      <c r="C21" s="287">
        <v>1</v>
      </c>
      <c r="D21" s="287">
        <v>2</v>
      </c>
      <c r="E21" s="287">
        <v>3</v>
      </c>
      <c r="F21" s="287">
        <v>4</v>
      </c>
      <c r="G21" s="287">
        <v>5</v>
      </c>
      <c r="H21" s="287" t="s">
        <v>330</v>
      </c>
      <c r="I21" s="287" t="s">
        <v>222</v>
      </c>
    </row>
    <row r="22" spans="1:10" x14ac:dyDescent="0.2">
      <c r="A22" s="240">
        <v>1</v>
      </c>
      <c r="B22" s="198" t="s">
        <v>157</v>
      </c>
      <c r="C22" s="325"/>
      <c r="D22" s="326">
        <v>9</v>
      </c>
      <c r="E22" s="326">
        <v>8</v>
      </c>
      <c r="F22" s="326">
        <v>2</v>
      </c>
      <c r="G22" s="326">
        <v>13</v>
      </c>
      <c r="H22" s="327" t="s">
        <v>345</v>
      </c>
      <c r="I22" s="326" t="s">
        <v>276</v>
      </c>
    </row>
    <row r="23" spans="1:10" x14ac:dyDescent="0.2">
      <c r="A23" s="240">
        <v>2</v>
      </c>
      <c r="B23" s="198" t="s">
        <v>158</v>
      </c>
      <c r="C23" s="326">
        <v>13</v>
      </c>
      <c r="D23" s="325"/>
      <c r="E23" s="326">
        <v>13</v>
      </c>
      <c r="F23" s="326">
        <v>3</v>
      </c>
      <c r="G23" s="326">
        <v>13</v>
      </c>
      <c r="H23" s="327" t="s">
        <v>387</v>
      </c>
      <c r="I23" s="326" t="s">
        <v>226</v>
      </c>
    </row>
    <row r="24" spans="1:10" x14ac:dyDescent="0.2">
      <c r="A24" s="240">
        <v>3</v>
      </c>
      <c r="B24" s="219" t="s">
        <v>186</v>
      </c>
      <c r="C24" s="326">
        <v>13</v>
      </c>
      <c r="D24" s="326">
        <v>11</v>
      </c>
      <c r="E24" s="325"/>
      <c r="F24" s="326">
        <v>5</v>
      </c>
      <c r="G24" s="326">
        <v>13</v>
      </c>
      <c r="H24" s="327" t="s">
        <v>386</v>
      </c>
      <c r="I24" s="326" t="s">
        <v>225</v>
      </c>
    </row>
    <row r="25" spans="1:10" x14ac:dyDescent="0.2">
      <c r="A25" s="240">
        <v>4</v>
      </c>
      <c r="B25" s="198" t="s">
        <v>160</v>
      </c>
      <c r="C25" s="326">
        <v>13</v>
      </c>
      <c r="D25" s="326">
        <v>13</v>
      </c>
      <c r="E25" s="326">
        <v>13</v>
      </c>
      <c r="F25" s="325"/>
      <c r="G25" s="326">
        <v>13</v>
      </c>
      <c r="H25" s="327" t="s">
        <v>389</v>
      </c>
      <c r="I25" s="326" t="s">
        <v>224</v>
      </c>
    </row>
    <row r="26" spans="1:10" x14ac:dyDescent="0.2">
      <c r="A26" s="240">
        <v>5</v>
      </c>
      <c r="B26" s="219" t="s">
        <v>19</v>
      </c>
      <c r="C26" s="326">
        <v>11</v>
      </c>
      <c r="D26" s="326">
        <v>5</v>
      </c>
      <c r="E26" s="326">
        <v>11</v>
      </c>
      <c r="F26" s="326">
        <v>9</v>
      </c>
      <c r="G26" s="325"/>
      <c r="H26" s="327" t="s">
        <v>390</v>
      </c>
      <c r="I26" s="326" t="s">
        <v>388</v>
      </c>
    </row>
    <row r="28" spans="1:10" x14ac:dyDescent="0.2">
      <c r="A28" s="240" t="s">
        <v>365</v>
      </c>
      <c r="B28" s="240"/>
      <c r="C28" s="287">
        <v>1</v>
      </c>
      <c r="D28" s="287">
        <v>2</v>
      </c>
      <c r="E28" s="287">
        <v>3</v>
      </c>
      <c r="F28" s="287">
        <v>4</v>
      </c>
      <c r="G28" s="287">
        <v>5</v>
      </c>
      <c r="H28" s="287" t="s">
        <v>330</v>
      </c>
      <c r="I28" s="287" t="s">
        <v>222</v>
      </c>
    </row>
    <row r="29" spans="1:10" x14ac:dyDescent="0.2">
      <c r="A29" s="240">
        <v>1</v>
      </c>
      <c r="B29" s="219" t="s">
        <v>155</v>
      </c>
      <c r="C29" s="325"/>
      <c r="D29" s="326">
        <v>13</v>
      </c>
      <c r="E29" s="326">
        <v>13</v>
      </c>
      <c r="F29" s="326">
        <v>13</v>
      </c>
      <c r="G29" s="326">
        <v>13</v>
      </c>
      <c r="H29" s="327" t="s">
        <v>389</v>
      </c>
      <c r="I29" s="326" t="s">
        <v>224</v>
      </c>
    </row>
    <row r="30" spans="1:10" x14ac:dyDescent="0.2">
      <c r="A30" s="240">
        <v>2</v>
      </c>
      <c r="B30" s="219" t="s">
        <v>165</v>
      </c>
      <c r="C30" s="326">
        <v>4</v>
      </c>
      <c r="D30" s="325"/>
      <c r="E30" s="326">
        <v>10</v>
      </c>
      <c r="F30" s="326">
        <v>13</v>
      </c>
      <c r="G30" s="326">
        <v>9</v>
      </c>
      <c r="H30" s="327" t="s">
        <v>345</v>
      </c>
      <c r="I30" s="326" t="s">
        <v>276</v>
      </c>
    </row>
    <row r="31" spans="1:10" x14ac:dyDescent="0.2">
      <c r="A31" s="240">
        <v>3</v>
      </c>
      <c r="B31" s="198" t="s">
        <v>168</v>
      </c>
      <c r="C31" s="326">
        <v>4</v>
      </c>
      <c r="D31" s="326">
        <v>13</v>
      </c>
      <c r="E31" s="325"/>
      <c r="F31" s="326">
        <v>13</v>
      </c>
      <c r="G31" s="326">
        <v>4</v>
      </c>
      <c r="H31" s="327" t="s">
        <v>386</v>
      </c>
      <c r="I31" s="326" t="s">
        <v>225</v>
      </c>
    </row>
    <row r="32" spans="1:10" x14ac:dyDescent="0.2">
      <c r="A32" s="240">
        <v>4</v>
      </c>
      <c r="B32" s="198" t="s">
        <v>172</v>
      </c>
      <c r="C32" s="326">
        <v>10</v>
      </c>
      <c r="D32" s="326">
        <v>10</v>
      </c>
      <c r="E32" s="326">
        <v>8</v>
      </c>
      <c r="F32" s="325"/>
      <c r="G32" s="326">
        <v>5</v>
      </c>
      <c r="H32" s="327" t="s">
        <v>390</v>
      </c>
      <c r="I32" s="326" t="s">
        <v>388</v>
      </c>
    </row>
    <row r="33" spans="1:9" x14ac:dyDescent="0.2">
      <c r="A33" s="240">
        <v>5</v>
      </c>
      <c r="B33" s="198" t="s">
        <v>163</v>
      </c>
      <c r="C33" s="326">
        <v>4</v>
      </c>
      <c r="D33" s="326">
        <v>13</v>
      </c>
      <c r="E33" s="326">
        <v>13</v>
      </c>
      <c r="F33" s="326">
        <v>13</v>
      </c>
      <c r="G33" s="325"/>
      <c r="H33" s="327" t="s">
        <v>387</v>
      </c>
      <c r="I33" s="326" t="s">
        <v>226</v>
      </c>
    </row>
    <row r="34" spans="1:9" x14ac:dyDescent="0.2">
      <c r="A34" s="65"/>
      <c r="B34" s="64"/>
      <c r="C34" s="64"/>
      <c r="D34" s="64"/>
      <c r="E34" s="64"/>
      <c r="F34" s="64"/>
      <c r="G34" s="248"/>
      <c r="H34" s="64"/>
      <c r="I34" s="64"/>
    </row>
    <row r="35" spans="1:9" x14ac:dyDescent="0.2">
      <c r="A35" s="65"/>
      <c r="B35" s="328" t="s">
        <v>341</v>
      </c>
      <c r="C35" s="249" t="s">
        <v>334</v>
      </c>
      <c r="D35" s="249" t="s">
        <v>348</v>
      </c>
      <c r="F35" s="64"/>
      <c r="G35" s="248"/>
      <c r="H35" s="64"/>
      <c r="I35" s="64"/>
    </row>
    <row r="36" spans="1:9" x14ac:dyDescent="0.2">
      <c r="A36" s="65"/>
      <c r="B36" s="328" t="s">
        <v>344</v>
      </c>
      <c r="C36" s="249" t="s">
        <v>345</v>
      </c>
      <c r="D36" s="249" t="s">
        <v>391</v>
      </c>
      <c r="F36" s="64"/>
      <c r="G36" s="248"/>
      <c r="H36" s="64"/>
      <c r="I36" s="64"/>
    </row>
    <row r="37" spans="1:9" x14ac:dyDescent="0.2">
      <c r="A37" s="65"/>
      <c r="B37" s="328" t="s">
        <v>347</v>
      </c>
      <c r="C37" s="249" t="s">
        <v>392</v>
      </c>
      <c r="D37" s="249" t="s">
        <v>346</v>
      </c>
      <c r="F37" s="64"/>
      <c r="G37" s="248"/>
      <c r="H37" s="64"/>
      <c r="I37" s="64"/>
    </row>
    <row r="38" spans="1:9" x14ac:dyDescent="0.2">
      <c r="A38" s="65"/>
      <c r="B38" s="328" t="s">
        <v>393</v>
      </c>
      <c r="C38" s="249" t="s">
        <v>342</v>
      </c>
      <c r="D38" s="249" t="s">
        <v>394</v>
      </c>
      <c r="F38" s="64"/>
      <c r="G38" s="248"/>
      <c r="H38" s="64"/>
      <c r="I38" s="64"/>
    </row>
    <row r="39" spans="1:9" x14ac:dyDescent="0.2">
      <c r="A39" s="65"/>
      <c r="B39" s="328" t="s">
        <v>395</v>
      </c>
      <c r="C39" s="249" t="s">
        <v>343</v>
      </c>
      <c r="D39" s="249" t="s">
        <v>396</v>
      </c>
      <c r="F39" s="64"/>
      <c r="G39" s="248"/>
      <c r="H39" s="64"/>
      <c r="I39" s="64"/>
    </row>
    <row r="41" spans="1:9" s="290" customFormat="1" x14ac:dyDescent="0.2">
      <c r="A41" s="289" t="s">
        <v>284</v>
      </c>
    </row>
    <row r="42" spans="1:9" s="290" customFormat="1" x14ac:dyDescent="0.2">
      <c r="A42" s="289"/>
    </row>
    <row r="43" spans="1:9" s="290" customFormat="1" x14ac:dyDescent="0.2">
      <c r="A43" s="291" t="s">
        <v>241</v>
      </c>
      <c r="B43" s="290" t="s">
        <v>156</v>
      </c>
      <c r="C43" s="296">
        <v>12</v>
      </c>
    </row>
    <row r="44" spans="1:9" s="290" customFormat="1" x14ac:dyDescent="0.2">
      <c r="A44" s="292"/>
      <c r="B44" s="293"/>
      <c r="C44" s="294" t="s">
        <v>163</v>
      </c>
      <c r="D44" s="295"/>
      <c r="F44" s="296">
        <v>13</v>
      </c>
    </row>
    <row r="45" spans="1:9" s="290" customFormat="1" x14ac:dyDescent="0.2">
      <c r="A45" s="291" t="s">
        <v>245</v>
      </c>
      <c r="B45" s="281" t="s">
        <v>163</v>
      </c>
      <c r="C45" s="297">
        <v>13</v>
      </c>
      <c r="E45" s="298"/>
    </row>
    <row r="46" spans="1:9" s="290" customFormat="1" x14ac:dyDescent="0.2">
      <c r="A46" s="292"/>
      <c r="D46" s="299"/>
      <c r="E46" s="300"/>
      <c r="F46" s="290" t="s">
        <v>163</v>
      </c>
      <c r="I46" s="296">
        <v>3</v>
      </c>
    </row>
    <row r="47" spans="1:9" s="290" customFormat="1" x14ac:dyDescent="0.2">
      <c r="A47" s="291" t="s">
        <v>232</v>
      </c>
      <c r="B47" s="282" t="s">
        <v>162</v>
      </c>
      <c r="C47" s="301">
        <v>11</v>
      </c>
      <c r="E47" s="300"/>
      <c r="F47" s="293"/>
      <c r="G47" s="293"/>
      <c r="H47" s="298"/>
    </row>
    <row r="48" spans="1:9" s="290" customFormat="1" x14ac:dyDescent="0.2">
      <c r="A48" s="292"/>
      <c r="B48" s="293"/>
      <c r="C48" s="302" t="s">
        <v>158</v>
      </c>
      <c r="E48" s="303"/>
      <c r="F48" s="301">
        <v>12</v>
      </c>
      <c r="G48" s="299"/>
      <c r="H48" s="300"/>
    </row>
    <row r="49" spans="1:11" s="290" customFormat="1" x14ac:dyDescent="0.2">
      <c r="A49" s="291" t="s">
        <v>236</v>
      </c>
      <c r="B49" s="281" t="s">
        <v>158</v>
      </c>
      <c r="C49" s="310">
        <v>13</v>
      </c>
      <c r="D49" s="293"/>
      <c r="F49" s="299"/>
      <c r="G49" s="299"/>
      <c r="H49" s="300"/>
    </row>
    <row r="50" spans="1:11" s="290" customFormat="1" ht="13.5" thickBot="1" x14ac:dyDescent="0.25">
      <c r="A50" s="292"/>
      <c r="F50" s="299"/>
      <c r="G50" s="299"/>
      <c r="H50" s="300"/>
      <c r="J50" s="290" t="s">
        <v>155</v>
      </c>
    </row>
    <row r="51" spans="1:11" s="290" customFormat="1" x14ac:dyDescent="0.2">
      <c r="A51" s="291" t="s">
        <v>242</v>
      </c>
      <c r="B51" s="290" t="s">
        <v>178</v>
      </c>
      <c r="C51" s="296">
        <v>13</v>
      </c>
      <c r="F51" s="299"/>
      <c r="G51" s="299"/>
      <c r="H51" s="300"/>
      <c r="I51" s="304"/>
      <c r="J51" s="305" t="s">
        <v>240</v>
      </c>
      <c r="K51" s="306"/>
    </row>
    <row r="52" spans="1:11" s="290" customFormat="1" x14ac:dyDescent="0.2">
      <c r="A52" s="292"/>
      <c r="B52" s="293"/>
      <c r="C52" s="294" t="s">
        <v>178</v>
      </c>
      <c r="D52" s="295"/>
      <c r="F52" s="301">
        <v>10</v>
      </c>
      <c r="G52" s="299"/>
      <c r="H52" s="300"/>
    </row>
    <row r="53" spans="1:11" s="290" customFormat="1" ht="13.5" thickBot="1" x14ac:dyDescent="0.25">
      <c r="A53" s="291" t="s">
        <v>246</v>
      </c>
      <c r="B53" s="295" t="s">
        <v>160</v>
      </c>
      <c r="C53" s="297">
        <v>9</v>
      </c>
      <c r="E53" s="298"/>
      <c r="F53" s="299"/>
      <c r="G53" s="299"/>
      <c r="H53" s="300"/>
      <c r="J53" s="307" t="s">
        <v>163</v>
      </c>
      <c r="K53" s="307"/>
    </row>
    <row r="54" spans="1:11" s="290" customFormat="1" x14ac:dyDescent="0.2">
      <c r="A54" s="292"/>
      <c r="D54" s="299"/>
      <c r="E54" s="300"/>
      <c r="F54" s="295" t="s">
        <v>155</v>
      </c>
      <c r="G54" s="295"/>
      <c r="H54" s="303"/>
      <c r="I54" s="296">
        <v>13</v>
      </c>
      <c r="J54" s="305" t="s">
        <v>244</v>
      </c>
    </row>
    <row r="55" spans="1:11" s="290" customFormat="1" x14ac:dyDescent="0.2">
      <c r="A55" s="291" t="s">
        <v>233</v>
      </c>
      <c r="B55" s="290" t="s">
        <v>167</v>
      </c>
      <c r="C55" s="301">
        <v>11</v>
      </c>
      <c r="E55" s="300"/>
    </row>
    <row r="56" spans="1:11" s="290" customFormat="1" x14ac:dyDescent="0.2">
      <c r="A56" s="292"/>
      <c r="B56" s="293"/>
      <c r="C56" s="302" t="s">
        <v>155</v>
      </c>
      <c r="E56" s="303"/>
      <c r="F56" s="296">
        <v>13</v>
      </c>
    </row>
    <row r="57" spans="1:11" s="290" customFormat="1" x14ac:dyDescent="0.2">
      <c r="A57" s="291" t="s">
        <v>234</v>
      </c>
      <c r="B57" s="295" t="s">
        <v>155</v>
      </c>
      <c r="C57" s="310">
        <v>13</v>
      </c>
      <c r="D57" s="293"/>
    </row>
    <row r="58" spans="1:11" s="290" customFormat="1" x14ac:dyDescent="0.2">
      <c r="F58" s="290" t="s">
        <v>158</v>
      </c>
      <c r="I58" s="301">
        <v>13</v>
      </c>
      <c r="J58" s="299"/>
      <c r="K58" s="299"/>
    </row>
    <row r="59" spans="1:11" s="290" customFormat="1" ht="13.5" thickBot="1" x14ac:dyDescent="0.25">
      <c r="F59" s="293"/>
      <c r="G59" s="293"/>
      <c r="H59" s="298"/>
      <c r="I59" s="307"/>
      <c r="J59" s="307" t="s">
        <v>158</v>
      </c>
      <c r="K59" s="307"/>
    </row>
    <row r="60" spans="1:11" s="290" customFormat="1" x14ac:dyDescent="0.2">
      <c r="F60" s="295" t="s">
        <v>178</v>
      </c>
      <c r="G60" s="295"/>
      <c r="H60" s="303"/>
      <c r="I60" s="296">
        <v>12</v>
      </c>
      <c r="J60" s="308" t="s">
        <v>247</v>
      </c>
      <c r="K60" s="299"/>
    </row>
    <row r="61" spans="1:11" s="290" customFormat="1" x14ac:dyDescent="0.2">
      <c r="J61" s="299"/>
      <c r="K61" s="299"/>
    </row>
    <row r="62" spans="1:11" s="290" customFormat="1" ht="13.5" thickBot="1" x14ac:dyDescent="0.25">
      <c r="G62" s="299"/>
      <c r="H62" s="299"/>
      <c r="J62" s="307" t="s">
        <v>178</v>
      </c>
      <c r="K62" s="307"/>
    </row>
    <row r="63" spans="1:11" s="290" customFormat="1" x14ac:dyDescent="0.2">
      <c r="C63" s="290" t="s">
        <v>156</v>
      </c>
      <c r="F63" s="296">
        <v>13</v>
      </c>
      <c r="J63" s="309" t="s">
        <v>248</v>
      </c>
    </row>
    <row r="64" spans="1:11" s="290" customFormat="1" x14ac:dyDescent="0.2">
      <c r="C64" s="293"/>
      <c r="D64" s="293"/>
      <c r="E64" s="298"/>
      <c r="F64" s="294" t="s">
        <v>156</v>
      </c>
      <c r="G64" s="295"/>
      <c r="H64" s="295"/>
      <c r="I64" s="296">
        <v>13</v>
      </c>
    </row>
    <row r="65" spans="1:11" s="290" customFormat="1" x14ac:dyDescent="0.2">
      <c r="C65" s="295" t="s">
        <v>162</v>
      </c>
      <c r="D65" s="295"/>
      <c r="E65" s="303"/>
      <c r="F65" s="297">
        <v>4</v>
      </c>
      <c r="H65" s="300"/>
    </row>
    <row r="66" spans="1:11" s="290" customFormat="1" ht="13.5" thickBot="1" x14ac:dyDescent="0.25">
      <c r="F66" s="299"/>
      <c r="H66" s="300"/>
      <c r="J66" s="290" t="s">
        <v>156</v>
      </c>
    </row>
    <row r="67" spans="1:11" s="290" customFormat="1" x14ac:dyDescent="0.2">
      <c r="C67" s="290" t="s">
        <v>160</v>
      </c>
      <c r="F67" s="301">
        <v>13</v>
      </c>
      <c r="H67" s="300"/>
      <c r="I67" s="304"/>
      <c r="J67" s="305" t="s">
        <v>250</v>
      </c>
      <c r="K67" s="306"/>
    </row>
    <row r="68" spans="1:11" s="290" customFormat="1" x14ac:dyDescent="0.2">
      <c r="C68" s="293"/>
      <c r="D68" s="293"/>
      <c r="E68" s="298"/>
      <c r="F68" s="302" t="s">
        <v>160</v>
      </c>
      <c r="H68" s="303"/>
      <c r="I68" s="301">
        <v>9</v>
      </c>
    </row>
    <row r="69" spans="1:11" s="290" customFormat="1" ht="13.5" thickBot="1" x14ac:dyDescent="0.25">
      <c r="C69" s="295" t="s">
        <v>167</v>
      </c>
      <c r="D69" s="295"/>
      <c r="E69" s="303"/>
      <c r="F69" s="310">
        <v>9</v>
      </c>
      <c r="G69" s="293"/>
      <c r="I69" s="299"/>
      <c r="J69" s="299" t="s">
        <v>160</v>
      </c>
      <c r="K69" s="307"/>
    </row>
    <row r="70" spans="1:11" s="290" customFormat="1" x14ac:dyDescent="0.2">
      <c r="I70" s="299"/>
      <c r="J70" s="305" t="s">
        <v>251</v>
      </c>
      <c r="K70" s="299"/>
    </row>
    <row r="71" spans="1:11" s="290" customFormat="1" x14ac:dyDescent="0.2">
      <c r="F71" s="290" t="s">
        <v>162</v>
      </c>
      <c r="I71" s="301">
        <v>6</v>
      </c>
      <c r="J71" s="299"/>
      <c r="K71" s="299"/>
    </row>
    <row r="72" spans="1:11" s="290" customFormat="1" ht="13.5" thickBot="1" x14ac:dyDescent="0.25">
      <c r="F72" s="293"/>
      <c r="G72" s="293"/>
      <c r="H72" s="298"/>
      <c r="I72" s="307"/>
      <c r="J72" s="307" t="s">
        <v>167</v>
      </c>
      <c r="K72" s="307"/>
    </row>
    <row r="73" spans="1:11" s="290" customFormat="1" x14ac:dyDescent="0.2">
      <c r="F73" s="295" t="s">
        <v>167</v>
      </c>
      <c r="G73" s="295"/>
      <c r="H73" s="303"/>
      <c r="I73" s="296">
        <v>13</v>
      </c>
      <c r="J73" s="308" t="s">
        <v>252</v>
      </c>
      <c r="K73" s="299"/>
    </row>
    <row r="74" spans="1:11" s="290" customFormat="1" x14ac:dyDescent="0.2">
      <c r="J74" s="299"/>
      <c r="K74" s="299"/>
    </row>
    <row r="75" spans="1:11" s="290" customFormat="1" ht="13.5" thickBot="1" x14ac:dyDescent="0.25">
      <c r="G75" s="299"/>
      <c r="H75" s="299"/>
      <c r="J75" s="307" t="s">
        <v>162</v>
      </c>
      <c r="K75" s="307"/>
    </row>
    <row r="76" spans="1:11" s="290" customFormat="1" x14ac:dyDescent="0.2">
      <c r="G76" s="299"/>
      <c r="H76" s="299"/>
      <c r="J76" s="309" t="s">
        <v>253</v>
      </c>
    </row>
    <row r="77" spans="1:11" s="290" customFormat="1" x14ac:dyDescent="0.2"/>
    <row r="78" spans="1:11" s="290" customFormat="1" x14ac:dyDescent="0.2">
      <c r="A78" s="289" t="s">
        <v>304</v>
      </c>
    </row>
    <row r="79" spans="1:11" s="290" customFormat="1" x14ac:dyDescent="0.2">
      <c r="A79" s="289"/>
    </row>
    <row r="80" spans="1:11" s="290" customFormat="1" x14ac:dyDescent="0.2">
      <c r="A80" s="291" t="s">
        <v>262</v>
      </c>
      <c r="B80" s="282" t="s">
        <v>185</v>
      </c>
      <c r="C80" s="296">
        <v>12</v>
      </c>
    </row>
    <row r="81" spans="1:11" s="290" customFormat="1" x14ac:dyDescent="0.2">
      <c r="A81" s="292"/>
      <c r="B81" s="293"/>
      <c r="C81" s="294" t="s">
        <v>165</v>
      </c>
      <c r="D81" s="295"/>
      <c r="F81" s="296">
        <v>12</v>
      </c>
    </row>
    <row r="82" spans="1:11" s="290" customFormat="1" x14ac:dyDescent="0.2">
      <c r="A82" s="291" t="s">
        <v>305</v>
      </c>
      <c r="B82" s="281" t="s">
        <v>165</v>
      </c>
      <c r="C82" s="297">
        <v>13</v>
      </c>
      <c r="E82" s="298"/>
    </row>
    <row r="83" spans="1:11" s="290" customFormat="1" x14ac:dyDescent="0.2">
      <c r="A83" s="292"/>
      <c r="D83" s="299"/>
      <c r="E83" s="300"/>
      <c r="F83" s="290" t="s">
        <v>164</v>
      </c>
      <c r="I83" s="296">
        <v>13</v>
      </c>
    </row>
    <row r="84" spans="1:11" s="290" customFormat="1" x14ac:dyDescent="0.2">
      <c r="A84" s="291" t="s">
        <v>267</v>
      </c>
      <c r="B84" s="282" t="s">
        <v>164</v>
      </c>
      <c r="C84" s="301">
        <v>13</v>
      </c>
      <c r="E84" s="300"/>
      <c r="F84" s="293"/>
      <c r="G84" s="293"/>
      <c r="H84" s="298"/>
    </row>
    <row r="85" spans="1:11" s="290" customFormat="1" x14ac:dyDescent="0.2">
      <c r="A85" s="292"/>
      <c r="B85" s="293"/>
      <c r="C85" s="302" t="s">
        <v>164</v>
      </c>
      <c r="E85" s="303"/>
      <c r="F85" s="301">
        <v>13</v>
      </c>
      <c r="G85" s="299"/>
      <c r="H85" s="300"/>
    </row>
    <row r="86" spans="1:11" s="290" customFormat="1" x14ac:dyDescent="0.2">
      <c r="A86" s="291" t="s">
        <v>286</v>
      </c>
      <c r="B86" s="281" t="s">
        <v>157</v>
      </c>
      <c r="C86" s="310">
        <v>10</v>
      </c>
      <c r="D86" s="293"/>
      <c r="F86" s="299"/>
      <c r="G86" s="299"/>
      <c r="H86" s="300"/>
    </row>
    <row r="87" spans="1:11" s="290" customFormat="1" ht="13.5" thickBot="1" x14ac:dyDescent="0.25">
      <c r="A87" s="292"/>
      <c r="F87" s="299"/>
      <c r="G87" s="299"/>
      <c r="H87" s="300"/>
      <c r="J87" s="290" t="s">
        <v>164</v>
      </c>
    </row>
    <row r="88" spans="1:11" s="290" customFormat="1" x14ac:dyDescent="0.2">
      <c r="A88" s="291" t="s">
        <v>306</v>
      </c>
      <c r="B88" s="290" t="s">
        <v>169</v>
      </c>
      <c r="C88" s="296">
        <v>10</v>
      </c>
      <c r="F88" s="299"/>
      <c r="G88" s="299"/>
      <c r="H88" s="300"/>
      <c r="I88" s="304"/>
      <c r="J88" s="305" t="s">
        <v>255</v>
      </c>
      <c r="K88" s="306"/>
    </row>
    <row r="89" spans="1:11" s="290" customFormat="1" x14ac:dyDescent="0.2">
      <c r="A89" s="292"/>
      <c r="B89" s="293"/>
      <c r="C89" s="294" t="s">
        <v>186</v>
      </c>
      <c r="D89" s="295"/>
      <c r="F89" s="301">
        <v>13</v>
      </c>
      <c r="G89" s="299"/>
      <c r="H89" s="300"/>
    </row>
    <row r="90" spans="1:11" s="290" customFormat="1" ht="13.5" thickBot="1" x14ac:dyDescent="0.25">
      <c r="A90" s="291" t="s">
        <v>264</v>
      </c>
      <c r="B90" s="295" t="s">
        <v>186</v>
      </c>
      <c r="C90" s="297">
        <v>13</v>
      </c>
      <c r="E90" s="298"/>
      <c r="F90" s="299"/>
      <c r="G90" s="299"/>
      <c r="H90" s="300"/>
      <c r="J90" s="307" t="s">
        <v>186</v>
      </c>
      <c r="K90" s="307"/>
    </row>
    <row r="91" spans="1:11" s="290" customFormat="1" x14ac:dyDescent="0.2">
      <c r="A91" s="292"/>
      <c r="D91" s="299"/>
      <c r="E91" s="300"/>
      <c r="F91" s="295" t="s">
        <v>186</v>
      </c>
      <c r="G91" s="295"/>
      <c r="H91" s="303"/>
      <c r="I91" s="296">
        <v>9</v>
      </c>
      <c r="J91" s="305" t="s">
        <v>256</v>
      </c>
    </row>
    <row r="92" spans="1:11" s="290" customFormat="1" x14ac:dyDescent="0.2">
      <c r="A92" s="291" t="s">
        <v>287</v>
      </c>
      <c r="B92" s="290" t="s">
        <v>159</v>
      </c>
      <c r="C92" s="301">
        <v>8</v>
      </c>
      <c r="E92" s="300"/>
    </row>
    <row r="93" spans="1:11" s="290" customFormat="1" x14ac:dyDescent="0.2">
      <c r="A93" s="292"/>
      <c r="B93" s="293"/>
      <c r="C93" s="302" t="s">
        <v>168</v>
      </c>
      <c r="E93" s="303"/>
      <c r="F93" s="296">
        <v>7</v>
      </c>
    </row>
    <row r="94" spans="1:11" s="290" customFormat="1" x14ac:dyDescent="0.2">
      <c r="A94" s="291" t="s">
        <v>266</v>
      </c>
      <c r="B94" s="295" t="s">
        <v>168</v>
      </c>
      <c r="C94" s="310">
        <v>13</v>
      </c>
      <c r="D94" s="293"/>
    </row>
    <row r="95" spans="1:11" s="290" customFormat="1" x14ac:dyDescent="0.2">
      <c r="F95" s="290" t="s">
        <v>165</v>
      </c>
      <c r="I95" s="301">
        <v>6</v>
      </c>
      <c r="J95" s="299"/>
      <c r="K95" s="299"/>
    </row>
    <row r="96" spans="1:11" s="290" customFormat="1" ht="13.5" thickBot="1" x14ac:dyDescent="0.25">
      <c r="F96" s="293"/>
      <c r="G96" s="293"/>
      <c r="H96" s="298"/>
      <c r="I96" s="307"/>
      <c r="J96" s="307" t="s">
        <v>168</v>
      </c>
      <c r="K96" s="307"/>
    </row>
    <row r="97" spans="3:11" s="290" customFormat="1" x14ac:dyDescent="0.2">
      <c r="F97" s="295" t="s">
        <v>168</v>
      </c>
      <c r="G97" s="295"/>
      <c r="H97" s="303"/>
      <c r="I97" s="296">
        <v>13</v>
      </c>
      <c r="J97" s="308" t="s">
        <v>257</v>
      </c>
      <c r="K97" s="299"/>
    </row>
    <row r="98" spans="3:11" s="290" customFormat="1" x14ac:dyDescent="0.2">
      <c r="J98" s="299"/>
      <c r="K98" s="299"/>
    </row>
    <row r="99" spans="3:11" s="290" customFormat="1" ht="13.5" thickBot="1" x14ac:dyDescent="0.25">
      <c r="G99" s="299"/>
      <c r="H99" s="299"/>
      <c r="J99" s="307" t="s">
        <v>165</v>
      </c>
      <c r="K99" s="307"/>
    </row>
    <row r="100" spans="3:11" s="290" customFormat="1" x14ac:dyDescent="0.2">
      <c r="C100" s="290" t="s">
        <v>185</v>
      </c>
      <c r="F100" s="296">
        <v>13</v>
      </c>
      <c r="J100" s="309" t="s">
        <v>258</v>
      </c>
    </row>
    <row r="101" spans="3:11" s="290" customFormat="1" x14ac:dyDescent="0.2">
      <c r="C101" s="293"/>
      <c r="D101" s="293"/>
      <c r="E101" s="298"/>
      <c r="F101" s="294" t="s">
        <v>185</v>
      </c>
      <c r="G101" s="295"/>
      <c r="H101" s="295"/>
      <c r="I101" s="296">
        <v>11</v>
      </c>
    </row>
    <row r="102" spans="3:11" s="290" customFormat="1" x14ac:dyDescent="0.2">
      <c r="C102" s="295" t="s">
        <v>157</v>
      </c>
      <c r="D102" s="295"/>
      <c r="E102" s="303"/>
      <c r="F102" s="297">
        <v>8</v>
      </c>
      <c r="H102" s="300"/>
    </row>
    <row r="103" spans="3:11" s="290" customFormat="1" ht="13.5" thickBot="1" x14ac:dyDescent="0.25">
      <c r="F103" s="299"/>
      <c r="H103" s="300"/>
      <c r="J103" s="290" t="s">
        <v>169</v>
      </c>
    </row>
    <row r="104" spans="3:11" s="290" customFormat="1" x14ac:dyDescent="0.2">
      <c r="C104" s="290" t="s">
        <v>169</v>
      </c>
      <c r="F104" s="301">
        <v>13</v>
      </c>
      <c r="H104" s="300"/>
      <c r="I104" s="304"/>
      <c r="J104" s="305" t="s">
        <v>263</v>
      </c>
      <c r="K104" s="306"/>
    </row>
    <row r="105" spans="3:11" s="290" customFormat="1" x14ac:dyDescent="0.2">
      <c r="C105" s="293"/>
      <c r="D105" s="293"/>
      <c r="E105" s="298"/>
      <c r="F105" s="302" t="s">
        <v>169</v>
      </c>
      <c r="H105" s="303"/>
      <c r="I105" s="301">
        <v>13</v>
      </c>
    </row>
    <row r="106" spans="3:11" s="290" customFormat="1" ht="13.5" thickBot="1" x14ac:dyDescent="0.25">
      <c r="C106" s="295" t="s">
        <v>159</v>
      </c>
      <c r="D106" s="295"/>
      <c r="E106" s="303"/>
      <c r="F106" s="310">
        <v>8</v>
      </c>
      <c r="G106" s="293"/>
      <c r="I106" s="299"/>
      <c r="J106" s="299" t="s">
        <v>185</v>
      </c>
      <c r="K106" s="307"/>
    </row>
    <row r="107" spans="3:11" s="290" customFormat="1" x14ac:dyDescent="0.2">
      <c r="C107" s="296"/>
      <c r="I107" s="299"/>
      <c r="J107" s="305" t="s">
        <v>265</v>
      </c>
      <c r="K107" s="299"/>
    </row>
    <row r="108" spans="3:11" s="290" customFormat="1" x14ac:dyDescent="0.2">
      <c r="F108" s="290" t="s">
        <v>157</v>
      </c>
      <c r="I108" s="301">
        <v>6</v>
      </c>
      <c r="J108" s="299"/>
      <c r="K108" s="299"/>
    </row>
    <row r="109" spans="3:11" s="290" customFormat="1" ht="13.5" thickBot="1" x14ac:dyDescent="0.25">
      <c r="F109" s="293"/>
      <c r="G109" s="293"/>
      <c r="H109" s="298"/>
      <c r="I109" s="307"/>
      <c r="J109" s="307" t="s">
        <v>159</v>
      </c>
      <c r="K109" s="307"/>
    </row>
    <row r="110" spans="3:11" s="290" customFormat="1" x14ac:dyDescent="0.2">
      <c r="F110" s="295" t="s">
        <v>159</v>
      </c>
      <c r="G110" s="295"/>
      <c r="H110" s="303"/>
      <c r="I110" s="296">
        <v>13</v>
      </c>
      <c r="J110" s="308" t="s">
        <v>268</v>
      </c>
      <c r="K110" s="299"/>
    </row>
    <row r="111" spans="3:11" s="290" customFormat="1" x14ac:dyDescent="0.2">
      <c r="J111" s="299"/>
      <c r="K111" s="299"/>
    </row>
    <row r="112" spans="3:11" s="290" customFormat="1" ht="13.5" thickBot="1" x14ac:dyDescent="0.25">
      <c r="G112" s="299"/>
      <c r="H112" s="299"/>
      <c r="J112" s="307" t="s">
        <v>157</v>
      </c>
      <c r="K112" s="307"/>
    </row>
    <row r="113" spans="1:11" s="290" customFormat="1" x14ac:dyDescent="0.2">
      <c r="G113" s="299"/>
      <c r="H113" s="299"/>
      <c r="J113" s="309" t="s">
        <v>269</v>
      </c>
    </row>
    <row r="114" spans="1:11" s="290" customFormat="1" x14ac:dyDescent="0.2">
      <c r="G114" s="299"/>
      <c r="H114" s="299"/>
      <c r="J114" s="309"/>
    </row>
    <row r="115" spans="1:11" s="290" customFormat="1" x14ac:dyDescent="0.2">
      <c r="A115" s="289" t="s">
        <v>397</v>
      </c>
      <c r="G115" s="299"/>
      <c r="H115" s="299"/>
    </row>
    <row r="116" spans="1:11" s="290" customFormat="1" x14ac:dyDescent="0.2">
      <c r="F116" s="59"/>
      <c r="G116" s="59"/>
      <c r="H116" s="59"/>
      <c r="I116" s="59"/>
    </row>
    <row r="117" spans="1:11" x14ac:dyDescent="0.2">
      <c r="A117" s="240"/>
      <c r="B117" s="240"/>
      <c r="C117" s="287">
        <v>1</v>
      </c>
      <c r="D117" s="287">
        <v>2</v>
      </c>
      <c r="E117" s="287">
        <v>3</v>
      </c>
      <c r="F117" s="287" t="s">
        <v>330</v>
      </c>
      <c r="G117" s="287" t="s">
        <v>222</v>
      </c>
    </row>
    <row r="118" spans="1:11" ht="13.5" thickBot="1" x14ac:dyDescent="0.25">
      <c r="A118" s="240">
        <v>1</v>
      </c>
      <c r="B118" s="219" t="s">
        <v>166</v>
      </c>
      <c r="C118" s="325"/>
      <c r="D118" s="326">
        <v>2</v>
      </c>
      <c r="E118" s="326">
        <v>2</v>
      </c>
      <c r="F118" s="327" t="s">
        <v>398</v>
      </c>
      <c r="G118" s="326" t="s">
        <v>225</v>
      </c>
      <c r="J118" s="299" t="s">
        <v>19</v>
      </c>
      <c r="K118" s="307"/>
    </row>
    <row r="119" spans="1:11" x14ac:dyDescent="0.2">
      <c r="A119" s="240">
        <v>2</v>
      </c>
      <c r="B119" s="244" t="s">
        <v>19</v>
      </c>
      <c r="C119" s="326">
        <v>13</v>
      </c>
      <c r="D119" s="325"/>
      <c r="E119" s="326">
        <v>13</v>
      </c>
      <c r="F119" s="327" t="s">
        <v>399</v>
      </c>
      <c r="G119" s="326" t="s">
        <v>224</v>
      </c>
      <c r="J119" s="305" t="s">
        <v>270</v>
      </c>
      <c r="K119" s="299"/>
    </row>
    <row r="120" spans="1:11" x14ac:dyDescent="0.2">
      <c r="A120" s="240">
        <v>3</v>
      </c>
      <c r="B120" s="219" t="s">
        <v>172</v>
      </c>
      <c r="C120" s="326">
        <v>13</v>
      </c>
      <c r="D120" s="326">
        <v>3</v>
      </c>
      <c r="E120" s="325"/>
      <c r="F120" s="327" t="s">
        <v>400</v>
      </c>
      <c r="G120" s="326" t="s">
        <v>226</v>
      </c>
      <c r="J120" s="299"/>
      <c r="K120" s="299"/>
    </row>
    <row r="121" spans="1:11" ht="13.5" thickBot="1" x14ac:dyDescent="0.25">
      <c r="A121" s="65"/>
      <c r="B121" s="64"/>
      <c r="C121" s="247"/>
      <c r="D121" s="247"/>
      <c r="E121" s="248"/>
      <c r="F121" s="249"/>
      <c r="G121" s="247"/>
      <c r="J121" s="307" t="s">
        <v>172</v>
      </c>
      <c r="K121" s="307"/>
    </row>
    <row r="122" spans="1:11" x14ac:dyDescent="0.2">
      <c r="J122" s="308" t="s">
        <v>318</v>
      </c>
      <c r="K122" s="299"/>
    </row>
    <row r="123" spans="1:11" x14ac:dyDescent="0.2">
      <c r="A123" s="240">
        <v>1</v>
      </c>
      <c r="B123" s="285" t="s">
        <v>155</v>
      </c>
      <c r="J123" s="299"/>
      <c r="K123" s="299"/>
    </row>
    <row r="124" spans="1:11" ht="13.5" thickBot="1" x14ac:dyDescent="0.25">
      <c r="A124" s="240">
        <v>2</v>
      </c>
      <c r="B124" s="215" t="s">
        <v>163</v>
      </c>
      <c r="J124" s="307" t="s">
        <v>166</v>
      </c>
      <c r="K124" s="307"/>
    </row>
    <row r="125" spans="1:11" x14ac:dyDescent="0.2">
      <c r="A125" s="240">
        <v>3</v>
      </c>
      <c r="B125" s="216" t="s">
        <v>158</v>
      </c>
      <c r="J125" s="309" t="s">
        <v>319</v>
      </c>
      <c r="K125" s="290"/>
    </row>
    <row r="126" spans="1:11" x14ac:dyDescent="0.2">
      <c r="A126" s="240">
        <v>4</v>
      </c>
      <c r="B126" s="219" t="s">
        <v>178</v>
      </c>
    </row>
    <row r="127" spans="1:11" x14ac:dyDescent="0.2">
      <c r="A127" s="240">
        <v>5</v>
      </c>
      <c r="B127" s="219" t="s">
        <v>156</v>
      </c>
    </row>
    <row r="128" spans="1:11" x14ac:dyDescent="0.2">
      <c r="A128" s="240">
        <v>6</v>
      </c>
      <c r="B128" s="219" t="s">
        <v>160</v>
      </c>
    </row>
    <row r="129" spans="1:2" x14ac:dyDescent="0.2">
      <c r="A129" s="240">
        <v>7</v>
      </c>
      <c r="B129" s="219" t="s">
        <v>167</v>
      </c>
    </row>
    <row r="130" spans="1:2" x14ac:dyDescent="0.2">
      <c r="A130" s="240">
        <v>8</v>
      </c>
      <c r="B130" s="219" t="s">
        <v>162</v>
      </c>
    </row>
    <row r="131" spans="1:2" x14ac:dyDescent="0.2">
      <c r="A131" s="240">
        <v>9</v>
      </c>
      <c r="B131" s="219" t="s">
        <v>164</v>
      </c>
    </row>
    <row r="132" spans="1:2" x14ac:dyDescent="0.2">
      <c r="A132" s="240">
        <v>10</v>
      </c>
      <c r="B132" s="219" t="s">
        <v>186</v>
      </c>
    </row>
    <row r="133" spans="1:2" x14ac:dyDescent="0.2">
      <c r="A133" s="240">
        <v>11</v>
      </c>
      <c r="B133" s="219" t="s">
        <v>168</v>
      </c>
    </row>
    <row r="134" spans="1:2" x14ac:dyDescent="0.2">
      <c r="A134" s="240">
        <v>12</v>
      </c>
      <c r="B134" s="219" t="s">
        <v>165</v>
      </c>
    </row>
    <row r="135" spans="1:2" x14ac:dyDescent="0.2">
      <c r="A135" s="240">
        <v>13</v>
      </c>
      <c r="B135" s="219" t="s">
        <v>169</v>
      </c>
    </row>
    <row r="136" spans="1:2" x14ac:dyDescent="0.2">
      <c r="A136" s="240">
        <v>14</v>
      </c>
      <c r="B136" s="219" t="s">
        <v>185</v>
      </c>
    </row>
    <row r="137" spans="1:2" x14ac:dyDescent="0.2">
      <c r="A137" s="240">
        <v>15</v>
      </c>
      <c r="B137" s="219" t="s">
        <v>159</v>
      </c>
    </row>
    <row r="138" spans="1:2" x14ac:dyDescent="0.2">
      <c r="A138" s="240">
        <v>16</v>
      </c>
      <c r="B138" s="219" t="s">
        <v>157</v>
      </c>
    </row>
    <row r="139" spans="1:2" x14ac:dyDescent="0.2">
      <c r="A139" s="240">
        <v>17</v>
      </c>
      <c r="B139" s="219" t="s">
        <v>19</v>
      </c>
    </row>
    <row r="140" spans="1:2" x14ac:dyDescent="0.2">
      <c r="A140" s="240">
        <v>18</v>
      </c>
      <c r="B140" s="219" t="s">
        <v>172</v>
      </c>
    </row>
    <row r="141" spans="1:2" x14ac:dyDescent="0.2">
      <c r="A141" s="240">
        <v>19</v>
      </c>
      <c r="B141" s="219" t="s">
        <v>166</v>
      </c>
    </row>
  </sheetData>
  <conditionalFormatting sqref="B9">
    <cfRule type="duplicateValues" dxfId="177" priority="19" stopIfTrue="1"/>
  </conditionalFormatting>
  <conditionalFormatting sqref="B10">
    <cfRule type="duplicateValues" dxfId="176" priority="18" stopIfTrue="1"/>
  </conditionalFormatting>
  <conditionalFormatting sqref="B11">
    <cfRule type="duplicateValues" dxfId="175" priority="17" stopIfTrue="1"/>
  </conditionalFormatting>
  <conditionalFormatting sqref="B12">
    <cfRule type="duplicateValues" dxfId="174" priority="16" stopIfTrue="1"/>
  </conditionalFormatting>
  <conditionalFormatting sqref="B15">
    <cfRule type="duplicateValues" dxfId="173" priority="15" stopIfTrue="1"/>
  </conditionalFormatting>
  <conditionalFormatting sqref="B16">
    <cfRule type="duplicateValues" dxfId="172" priority="14" stopIfTrue="1"/>
  </conditionalFormatting>
  <conditionalFormatting sqref="B17">
    <cfRule type="duplicateValues" dxfId="171" priority="13" stopIfTrue="1"/>
  </conditionalFormatting>
  <conditionalFormatting sqref="B19">
    <cfRule type="duplicateValues" dxfId="170" priority="12" stopIfTrue="1"/>
  </conditionalFormatting>
  <conditionalFormatting sqref="B22">
    <cfRule type="duplicateValues" dxfId="169" priority="11" stopIfTrue="1"/>
  </conditionalFormatting>
  <conditionalFormatting sqref="B23">
    <cfRule type="duplicateValues" dxfId="168" priority="10" stopIfTrue="1"/>
  </conditionalFormatting>
  <conditionalFormatting sqref="B25">
    <cfRule type="duplicateValues" dxfId="167" priority="9" stopIfTrue="1"/>
  </conditionalFormatting>
  <conditionalFormatting sqref="B26">
    <cfRule type="duplicateValues" dxfId="166" priority="8" stopIfTrue="1"/>
  </conditionalFormatting>
  <conditionalFormatting sqref="B29">
    <cfRule type="duplicateValues" dxfId="165" priority="7" stopIfTrue="1"/>
  </conditionalFormatting>
  <conditionalFormatting sqref="B30">
    <cfRule type="duplicateValues" dxfId="164" priority="6" stopIfTrue="1"/>
  </conditionalFormatting>
  <conditionalFormatting sqref="B31">
    <cfRule type="duplicateValues" dxfId="163" priority="5" stopIfTrue="1"/>
  </conditionalFormatting>
  <conditionalFormatting sqref="B32">
    <cfRule type="duplicateValues" dxfId="162" priority="4" stopIfTrue="1"/>
  </conditionalFormatting>
  <conditionalFormatting sqref="B33">
    <cfRule type="duplicateValues" dxfId="161" priority="3" stopIfTrue="1"/>
  </conditionalFormatting>
  <conditionalFormatting sqref="B80">
    <cfRule type="duplicateValues" dxfId="160" priority="2" stopIfTrue="1"/>
  </conditionalFormatting>
  <conditionalFormatting sqref="C9:I120">
    <cfRule type="cellIs" dxfId="159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verticalDpi="180" r:id="rId1"/>
  <headerFooter>
    <oddHeader>&amp;R&amp;"Arial,Regular"&amp;9Page &amp;P of &amp;N</oddHeader>
  </headerFooter>
  <rowBreaks count="3" manualBreakCount="3">
    <brk id="39" max="16383" man="1"/>
    <brk id="76" max="16383" man="1"/>
    <brk id="113" max="16383" man="1"/>
  </rowBreaks>
  <ignoredErrors>
    <ignoredError sqref="J15:J17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07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K1" sqref="K1"/>
    </sheetView>
  </sheetViews>
  <sheetFormatPr defaultRowHeight="12.75" x14ac:dyDescent="0.2"/>
  <cols>
    <col min="1" max="1" width="3.28515625" style="59" customWidth="1"/>
    <col min="2" max="2" width="28.140625" style="59" bestFit="1" customWidth="1"/>
    <col min="3" max="3" width="7.28515625" style="59" bestFit="1" customWidth="1"/>
    <col min="4" max="4" width="7.42578125" style="59" customWidth="1"/>
    <col min="5" max="5" width="9.140625" style="59" bestFit="1" customWidth="1"/>
    <col min="6" max="6" width="6.7109375" style="59" bestFit="1" customWidth="1"/>
    <col min="7" max="7" width="5.140625" style="59" bestFit="1" customWidth="1"/>
    <col min="8" max="8" width="9.140625" style="59" customWidth="1"/>
    <col min="9" max="16384" width="9.140625" style="59"/>
  </cols>
  <sheetData>
    <row r="1" spans="1:9" x14ac:dyDescent="0.2">
      <c r="A1" s="58" t="str">
        <f>UPPER((Kalend!E31)&amp;" - "&amp;(Kalend!C31)&amp;" - "&amp;(Kalend!D31))</f>
        <v>8 - IDA-VIRUMAA MV - DUO</v>
      </c>
      <c r="G1" s="239" t="str">
        <f>HYPERLINK("#'Kalend'!I1","Kalender")</f>
        <v>Kalender</v>
      </c>
      <c r="I1" s="239" t="str">
        <f>HYPERLINK("#'Reit'!G1","Reiting")</f>
        <v>Reiting</v>
      </c>
    </row>
    <row r="2" spans="1:9" x14ac:dyDescent="0.2">
      <c r="A2" s="59" t="str">
        <f>"Toimumisaeg: "&amp;(Kalend!A31)&amp;" kell "&amp;(Kalend!B31)</f>
        <v>Toimumisaeg: P, 09.08.2015 kell 11:00</v>
      </c>
    </row>
    <row r="3" spans="1:9" x14ac:dyDescent="0.2">
      <c r="A3" s="59" t="str">
        <f>"Toimumiskoht: "&amp;(Kalend!F31)</f>
        <v>Toimumiskoht: K-Nõmme, Kaevanduspark</v>
      </c>
    </row>
    <row r="4" spans="1:9" x14ac:dyDescent="0.2">
      <c r="A4" s="59" t="str">
        <f>"Korraldaja: "&amp;(Kalend!G31)</f>
        <v>Korraldaja: K-Järve SHK, Ivar Viljaste</v>
      </c>
    </row>
    <row r="6" spans="1:9" x14ac:dyDescent="0.2">
      <c r="A6" s="240" t="s">
        <v>217</v>
      </c>
      <c r="B6" s="240"/>
      <c r="C6" s="287" t="s">
        <v>218</v>
      </c>
      <c r="D6" s="287" t="s">
        <v>219</v>
      </c>
      <c r="E6" s="287" t="s">
        <v>220</v>
      </c>
      <c r="F6" s="287" t="s">
        <v>221</v>
      </c>
      <c r="G6" s="287" t="s">
        <v>222</v>
      </c>
    </row>
    <row r="7" spans="1:9" x14ac:dyDescent="0.2">
      <c r="A7" s="240">
        <v>1</v>
      </c>
      <c r="B7" s="198" t="s">
        <v>401</v>
      </c>
      <c r="C7" s="242">
        <v>13</v>
      </c>
      <c r="D7" s="242">
        <v>13</v>
      </c>
      <c r="E7" s="242"/>
      <c r="F7" s="242"/>
      <c r="G7" s="243" t="s">
        <v>224</v>
      </c>
    </row>
    <row r="8" spans="1:9" x14ac:dyDescent="0.2">
      <c r="A8" s="240">
        <v>2</v>
      </c>
      <c r="B8" s="198" t="s">
        <v>303</v>
      </c>
      <c r="C8" s="242">
        <v>13</v>
      </c>
      <c r="D8" s="242">
        <v>0</v>
      </c>
      <c r="E8" s="242"/>
      <c r="F8" s="242">
        <v>13</v>
      </c>
      <c r="G8" s="243" t="s">
        <v>226</v>
      </c>
    </row>
    <row r="9" spans="1:9" x14ac:dyDescent="0.2">
      <c r="A9" s="240">
        <v>3</v>
      </c>
      <c r="B9" s="198" t="s">
        <v>296</v>
      </c>
      <c r="C9" s="242">
        <v>8</v>
      </c>
      <c r="D9" s="242"/>
      <c r="E9" s="242">
        <v>13</v>
      </c>
      <c r="F9" s="242">
        <v>9</v>
      </c>
      <c r="G9" s="243" t="s">
        <v>225</v>
      </c>
      <c r="H9" s="376" t="s">
        <v>402</v>
      </c>
    </row>
    <row r="10" spans="1:9" x14ac:dyDescent="0.2">
      <c r="A10" s="240">
        <v>4</v>
      </c>
      <c r="B10" s="288"/>
      <c r="C10" s="242">
        <v>0</v>
      </c>
      <c r="D10" s="242"/>
      <c r="E10" s="242">
        <v>0</v>
      </c>
      <c r="F10" s="242"/>
      <c r="G10" s="243"/>
    </row>
    <row r="11" spans="1:9" x14ac:dyDescent="0.2">
      <c r="A11" s="65"/>
      <c r="B11" s="64"/>
      <c r="C11" s="247"/>
      <c r="D11" s="247"/>
      <c r="E11" s="247"/>
      <c r="F11" s="248"/>
      <c r="G11" s="249"/>
    </row>
    <row r="12" spans="1:9" x14ac:dyDescent="0.2">
      <c r="A12" s="240" t="s">
        <v>227</v>
      </c>
      <c r="B12" s="240"/>
      <c r="C12" s="287" t="s">
        <v>218</v>
      </c>
      <c r="D12" s="287" t="s">
        <v>219</v>
      </c>
      <c r="E12" s="287" t="s">
        <v>220</v>
      </c>
      <c r="F12" s="287" t="s">
        <v>221</v>
      </c>
      <c r="G12" s="287" t="s">
        <v>222</v>
      </c>
    </row>
    <row r="13" spans="1:9" x14ac:dyDescent="0.2">
      <c r="A13" s="240">
        <v>1</v>
      </c>
      <c r="B13" s="198" t="s">
        <v>288</v>
      </c>
      <c r="C13" s="242">
        <v>13</v>
      </c>
      <c r="D13" s="242">
        <v>13</v>
      </c>
      <c r="E13" s="242"/>
      <c r="F13" s="242"/>
      <c r="G13" s="243" t="s">
        <v>224</v>
      </c>
    </row>
    <row r="14" spans="1:9" x14ac:dyDescent="0.2">
      <c r="A14" s="240">
        <v>2</v>
      </c>
      <c r="B14" s="198" t="s">
        <v>289</v>
      </c>
      <c r="C14" s="242">
        <v>10</v>
      </c>
      <c r="D14" s="242"/>
      <c r="E14" s="242">
        <v>13</v>
      </c>
      <c r="F14" s="242">
        <v>13</v>
      </c>
      <c r="G14" s="243" t="s">
        <v>226</v>
      </c>
    </row>
    <row r="15" spans="1:9" x14ac:dyDescent="0.2">
      <c r="A15" s="240">
        <v>3</v>
      </c>
      <c r="B15" s="198" t="s">
        <v>403</v>
      </c>
      <c r="C15" s="242">
        <v>13</v>
      </c>
      <c r="D15" s="242">
        <v>8</v>
      </c>
      <c r="E15" s="242"/>
      <c r="F15" s="242">
        <v>0</v>
      </c>
      <c r="G15" s="243" t="s">
        <v>225</v>
      </c>
    </row>
    <row r="16" spans="1:9" x14ac:dyDescent="0.2">
      <c r="A16" s="240">
        <v>4</v>
      </c>
      <c r="B16" s="288" t="s">
        <v>404</v>
      </c>
      <c r="C16" s="242">
        <v>3</v>
      </c>
      <c r="D16" s="242"/>
      <c r="E16" s="242">
        <v>1</v>
      </c>
      <c r="F16" s="242"/>
      <c r="G16" s="243" t="s">
        <v>276</v>
      </c>
    </row>
    <row r="17" spans="1:9" x14ac:dyDescent="0.2">
      <c r="A17" s="65"/>
      <c r="B17" s="64"/>
      <c r="C17" s="247"/>
      <c r="D17" s="247"/>
      <c r="E17" s="247"/>
      <c r="F17" s="248"/>
      <c r="G17" s="249"/>
    </row>
    <row r="18" spans="1:9" x14ac:dyDescent="0.2">
      <c r="A18" s="240" t="s">
        <v>229</v>
      </c>
      <c r="B18" s="240"/>
      <c r="C18" s="287" t="s">
        <v>218</v>
      </c>
      <c r="D18" s="287" t="s">
        <v>219</v>
      </c>
      <c r="E18" s="287" t="s">
        <v>220</v>
      </c>
      <c r="F18" s="287" t="s">
        <v>221</v>
      </c>
      <c r="G18" s="287" t="s">
        <v>222</v>
      </c>
    </row>
    <row r="19" spans="1:9" x14ac:dyDescent="0.2">
      <c r="A19" s="240">
        <v>1</v>
      </c>
      <c r="B19" s="198" t="s">
        <v>405</v>
      </c>
      <c r="C19" s="242">
        <v>12</v>
      </c>
      <c r="D19" s="242"/>
      <c r="E19" s="242">
        <v>13</v>
      </c>
      <c r="F19" s="242">
        <v>13</v>
      </c>
      <c r="G19" s="243" t="s">
        <v>226</v>
      </c>
    </row>
    <row r="20" spans="1:9" x14ac:dyDescent="0.2">
      <c r="A20" s="240">
        <v>2</v>
      </c>
      <c r="B20" s="198" t="s">
        <v>297</v>
      </c>
      <c r="C20" s="242">
        <v>12</v>
      </c>
      <c r="D20" s="242"/>
      <c r="E20" s="242">
        <v>9</v>
      </c>
      <c r="F20" s="377"/>
      <c r="G20" s="243" t="s">
        <v>276</v>
      </c>
    </row>
    <row r="21" spans="1:9" x14ac:dyDescent="0.2">
      <c r="A21" s="240">
        <v>3</v>
      </c>
      <c r="B21" s="198" t="s">
        <v>406</v>
      </c>
      <c r="C21" s="242">
        <v>13</v>
      </c>
      <c r="D21" s="242">
        <v>13</v>
      </c>
      <c r="E21" s="242"/>
      <c r="F21" s="242"/>
      <c r="G21" s="243" t="s">
        <v>224</v>
      </c>
    </row>
    <row r="22" spans="1:9" x14ac:dyDescent="0.2">
      <c r="A22" s="240">
        <v>4</v>
      </c>
      <c r="B22" s="198" t="s">
        <v>375</v>
      </c>
      <c r="C22" s="242">
        <v>13</v>
      </c>
      <c r="D22" s="242">
        <v>1</v>
      </c>
      <c r="E22" s="242"/>
      <c r="F22" s="242">
        <v>5</v>
      </c>
      <c r="G22" s="243" t="s">
        <v>225</v>
      </c>
    </row>
    <row r="24" spans="1:9" s="290" customFormat="1" x14ac:dyDescent="0.2">
      <c r="A24" s="289" t="s">
        <v>407</v>
      </c>
    </row>
    <row r="25" spans="1:9" s="290" customFormat="1" x14ac:dyDescent="0.2">
      <c r="A25" s="289"/>
    </row>
    <row r="26" spans="1:9" s="290" customFormat="1" x14ac:dyDescent="0.2">
      <c r="A26" s="291"/>
      <c r="B26" s="290" t="s">
        <v>288</v>
      </c>
      <c r="C26" s="296">
        <v>13</v>
      </c>
    </row>
    <row r="27" spans="1:9" s="290" customFormat="1" x14ac:dyDescent="0.2">
      <c r="A27" s="292"/>
      <c r="B27" s="293"/>
      <c r="C27" s="294" t="s">
        <v>288</v>
      </c>
      <c r="D27" s="295"/>
      <c r="F27" s="296">
        <v>13</v>
      </c>
    </row>
    <row r="28" spans="1:9" s="290" customFormat="1" x14ac:dyDescent="0.2">
      <c r="A28" s="291"/>
      <c r="B28" s="281" t="s">
        <v>235</v>
      </c>
      <c r="C28" s="297">
        <v>0</v>
      </c>
      <c r="E28" s="298"/>
    </row>
    <row r="29" spans="1:9" s="290" customFormat="1" x14ac:dyDescent="0.2">
      <c r="A29" s="292"/>
      <c r="D29" s="299"/>
      <c r="E29" s="300"/>
      <c r="F29" s="290" t="s">
        <v>288</v>
      </c>
      <c r="I29" s="296">
        <v>9</v>
      </c>
    </row>
    <row r="30" spans="1:9" s="290" customFormat="1" x14ac:dyDescent="0.2">
      <c r="A30" s="291"/>
      <c r="B30" s="282" t="s">
        <v>406</v>
      </c>
      <c r="C30" s="301">
        <v>9</v>
      </c>
      <c r="E30" s="300"/>
      <c r="F30" s="293"/>
      <c r="G30" s="293"/>
      <c r="H30" s="298"/>
    </row>
    <row r="31" spans="1:9" s="290" customFormat="1" x14ac:dyDescent="0.2">
      <c r="A31" s="292"/>
      <c r="B31" s="293"/>
      <c r="C31" s="302" t="s">
        <v>303</v>
      </c>
      <c r="E31" s="303"/>
      <c r="F31" s="301">
        <v>5</v>
      </c>
      <c r="G31" s="299"/>
      <c r="H31" s="300"/>
    </row>
    <row r="32" spans="1:9" s="290" customFormat="1" x14ac:dyDescent="0.2">
      <c r="A32" s="291"/>
      <c r="B32" s="281" t="s">
        <v>303</v>
      </c>
      <c r="C32" s="310">
        <v>13</v>
      </c>
      <c r="D32" s="293"/>
      <c r="F32" s="299"/>
      <c r="G32" s="299"/>
      <c r="H32" s="300"/>
    </row>
    <row r="33" spans="1:11" s="290" customFormat="1" ht="13.5" thickBot="1" x14ac:dyDescent="0.25">
      <c r="A33" s="292"/>
      <c r="F33" s="299"/>
      <c r="G33" s="299"/>
      <c r="H33" s="300"/>
      <c r="J33" s="290" t="s">
        <v>401</v>
      </c>
    </row>
    <row r="34" spans="1:11" s="290" customFormat="1" x14ac:dyDescent="0.2">
      <c r="A34" s="291" t="s">
        <v>236</v>
      </c>
      <c r="B34" s="290" t="s">
        <v>405</v>
      </c>
      <c r="C34" s="296">
        <v>10</v>
      </c>
      <c r="F34" s="299"/>
      <c r="G34" s="299"/>
      <c r="H34" s="300"/>
      <c r="I34" s="304"/>
      <c r="J34" s="305" t="s">
        <v>240</v>
      </c>
      <c r="K34" s="306"/>
    </row>
    <row r="35" spans="1:11" s="290" customFormat="1" x14ac:dyDescent="0.2">
      <c r="A35" s="292"/>
      <c r="B35" s="293"/>
      <c r="C35" s="294" t="s">
        <v>289</v>
      </c>
      <c r="D35" s="295"/>
      <c r="F35" s="301">
        <v>4</v>
      </c>
      <c r="G35" s="299"/>
      <c r="H35" s="300"/>
    </row>
    <row r="36" spans="1:11" s="290" customFormat="1" ht="13.5" thickBot="1" x14ac:dyDescent="0.25">
      <c r="A36" s="291" t="s">
        <v>242</v>
      </c>
      <c r="B36" s="295" t="s">
        <v>289</v>
      </c>
      <c r="C36" s="297">
        <v>13</v>
      </c>
      <c r="E36" s="298"/>
      <c r="F36" s="299"/>
      <c r="G36" s="299"/>
      <c r="H36" s="300"/>
      <c r="J36" s="307" t="s">
        <v>288</v>
      </c>
      <c r="K36" s="307"/>
    </row>
    <row r="37" spans="1:11" s="290" customFormat="1" x14ac:dyDescent="0.2">
      <c r="A37" s="292"/>
      <c r="D37" s="299"/>
      <c r="E37" s="300"/>
      <c r="F37" s="295" t="s">
        <v>401</v>
      </c>
      <c r="G37" s="295"/>
      <c r="H37" s="303"/>
      <c r="I37" s="296">
        <v>13</v>
      </c>
      <c r="J37" s="305" t="s">
        <v>244</v>
      </c>
    </row>
    <row r="38" spans="1:11" s="290" customFormat="1" x14ac:dyDescent="0.2">
      <c r="A38" s="291"/>
      <c r="B38" s="290" t="s">
        <v>401</v>
      </c>
      <c r="C38" s="301">
        <v>13</v>
      </c>
      <c r="E38" s="300"/>
    </row>
    <row r="39" spans="1:11" s="290" customFormat="1" x14ac:dyDescent="0.2">
      <c r="A39" s="292"/>
      <c r="B39" s="293"/>
      <c r="C39" s="302" t="s">
        <v>401</v>
      </c>
      <c r="E39" s="303"/>
      <c r="F39" s="296">
        <v>13</v>
      </c>
    </row>
    <row r="40" spans="1:11" s="290" customFormat="1" x14ac:dyDescent="0.2">
      <c r="A40" s="291"/>
      <c r="B40" s="295" t="s">
        <v>235</v>
      </c>
      <c r="C40" s="310">
        <v>0</v>
      </c>
      <c r="D40" s="293"/>
    </row>
    <row r="41" spans="1:11" s="290" customFormat="1" x14ac:dyDescent="0.2">
      <c r="F41" s="290" t="s">
        <v>303</v>
      </c>
      <c r="I41" s="301">
        <v>13</v>
      </c>
      <c r="J41" s="299"/>
      <c r="K41" s="299"/>
    </row>
    <row r="42" spans="1:11" s="290" customFormat="1" ht="13.5" thickBot="1" x14ac:dyDescent="0.25">
      <c r="F42" s="293"/>
      <c r="G42" s="293"/>
      <c r="H42" s="298"/>
      <c r="I42" s="307"/>
      <c r="J42" s="307" t="s">
        <v>303</v>
      </c>
      <c r="K42" s="307"/>
    </row>
    <row r="43" spans="1:11" s="290" customFormat="1" x14ac:dyDescent="0.2">
      <c r="F43" s="295" t="s">
        <v>289</v>
      </c>
      <c r="G43" s="295"/>
      <c r="H43" s="303"/>
      <c r="I43" s="296">
        <v>8</v>
      </c>
      <c r="J43" s="308" t="s">
        <v>247</v>
      </c>
      <c r="K43" s="299"/>
    </row>
    <row r="44" spans="1:11" s="290" customFormat="1" x14ac:dyDescent="0.2">
      <c r="J44" s="299"/>
      <c r="K44" s="299"/>
    </row>
    <row r="45" spans="1:11" s="290" customFormat="1" ht="13.5" thickBot="1" x14ac:dyDescent="0.25">
      <c r="G45" s="299"/>
      <c r="H45" s="299"/>
      <c r="J45" s="307" t="s">
        <v>289</v>
      </c>
      <c r="K45" s="307"/>
    </row>
    <row r="46" spans="1:11" s="290" customFormat="1" x14ac:dyDescent="0.2">
      <c r="C46" s="290" t="s">
        <v>235</v>
      </c>
      <c r="F46" s="296">
        <v>0</v>
      </c>
      <c r="J46" s="309" t="s">
        <v>248</v>
      </c>
    </row>
    <row r="47" spans="1:11" s="290" customFormat="1" x14ac:dyDescent="0.2">
      <c r="C47" s="293"/>
      <c r="D47" s="293"/>
      <c r="E47" s="298"/>
      <c r="F47" s="294" t="s">
        <v>406</v>
      </c>
      <c r="G47" s="295"/>
      <c r="H47" s="295"/>
      <c r="I47" s="296" t="s">
        <v>136</v>
      </c>
    </row>
    <row r="48" spans="1:11" s="290" customFormat="1" x14ac:dyDescent="0.2">
      <c r="C48" s="295" t="s">
        <v>406</v>
      </c>
      <c r="D48" s="295"/>
      <c r="E48" s="303"/>
      <c r="F48" s="297">
        <v>13</v>
      </c>
      <c r="H48" s="300"/>
    </row>
    <row r="49" spans="1:11" s="290" customFormat="1" ht="13.5" thickBot="1" x14ac:dyDescent="0.25">
      <c r="F49" s="299"/>
      <c r="H49" s="300"/>
      <c r="J49" s="290" t="s">
        <v>405</v>
      </c>
    </row>
    <row r="50" spans="1:11" s="290" customFormat="1" x14ac:dyDescent="0.2">
      <c r="C50" s="290" t="s">
        <v>405</v>
      </c>
      <c r="F50" s="301">
        <v>13</v>
      </c>
      <c r="H50" s="300"/>
      <c r="I50" s="304"/>
      <c r="J50" s="305" t="s">
        <v>250</v>
      </c>
      <c r="K50" s="306"/>
    </row>
    <row r="51" spans="1:11" s="290" customFormat="1" x14ac:dyDescent="0.2">
      <c r="C51" s="293"/>
      <c r="D51" s="293"/>
      <c r="E51" s="298"/>
      <c r="F51" s="302" t="s">
        <v>405</v>
      </c>
      <c r="H51" s="303"/>
      <c r="I51" s="301">
        <v>13</v>
      </c>
    </row>
    <row r="52" spans="1:11" s="290" customFormat="1" ht="13.5" thickBot="1" x14ac:dyDescent="0.25">
      <c r="C52" s="295" t="s">
        <v>235</v>
      </c>
      <c r="D52" s="295"/>
      <c r="E52" s="303"/>
      <c r="F52" s="310">
        <v>0</v>
      </c>
      <c r="G52" s="293"/>
      <c r="I52" s="299"/>
      <c r="J52" s="299" t="s">
        <v>406</v>
      </c>
      <c r="K52" s="307"/>
    </row>
    <row r="53" spans="1:11" s="290" customFormat="1" x14ac:dyDescent="0.2">
      <c r="I53" s="299"/>
      <c r="J53" s="305" t="s">
        <v>251</v>
      </c>
      <c r="K53" s="299"/>
    </row>
    <row r="54" spans="1:11" s="290" customFormat="1" x14ac:dyDescent="0.2"/>
    <row r="55" spans="1:11" s="290" customFormat="1" x14ac:dyDescent="0.2">
      <c r="A55" s="289" t="s">
        <v>408</v>
      </c>
    </row>
    <row r="56" spans="1:11" s="290" customFormat="1" x14ac:dyDescent="0.2">
      <c r="A56" s="289"/>
    </row>
    <row r="57" spans="1:11" x14ac:dyDescent="0.2">
      <c r="D57" s="252" t="s">
        <v>267</v>
      </c>
      <c r="E57" s="59" t="s">
        <v>403</v>
      </c>
      <c r="F57" s="253">
        <v>13</v>
      </c>
    </row>
    <row r="58" spans="1:11" x14ac:dyDescent="0.2">
      <c r="D58" s="254"/>
      <c r="E58" s="255"/>
      <c r="F58" s="256" t="s">
        <v>403</v>
      </c>
      <c r="G58" s="257"/>
      <c r="H58" s="257"/>
      <c r="I58" s="253">
        <v>13</v>
      </c>
    </row>
    <row r="59" spans="1:11" x14ac:dyDescent="0.2">
      <c r="D59" s="254" t="s">
        <v>286</v>
      </c>
      <c r="E59" s="257" t="s">
        <v>297</v>
      </c>
      <c r="F59" s="265">
        <v>5</v>
      </c>
      <c r="H59" s="259"/>
    </row>
    <row r="60" spans="1:11" ht="13.5" thickBot="1" x14ac:dyDescent="0.25">
      <c r="D60" s="254"/>
      <c r="F60" s="64"/>
      <c r="H60" s="259"/>
      <c r="J60" s="59" t="s">
        <v>403</v>
      </c>
    </row>
    <row r="61" spans="1:11" x14ac:dyDescent="0.2">
      <c r="D61" s="254" t="s">
        <v>264</v>
      </c>
      <c r="E61" s="59" t="s">
        <v>375</v>
      </c>
      <c r="F61" s="263">
        <v>9</v>
      </c>
      <c r="H61" s="259"/>
      <c r="I61" s="266"/>
      <c r="J61" s="267" t="s">
        <v>252</v>
      </c>
      <c r="K61" s="268"/>
    </row>
    <row r="62" spans="1:11" x14ac:dyDescent="0.2">
      <c r="D62" s="254"/>
      <c r="E62" s="255"/>
      <c r="F62" s="260" t="s">
        <v>404</v>
      </c>
      <c r="H62" s="262"/>
      <c r="I62" s="263">
        <v>4</v>
      </c>
    </row>
    <row r="63" spans="1:11" ht="13.5" thickBot="1" x14ac:dyDescent="0.25">
      <c r="D63" s="254" t="s">
        <v>306</v>
      </c>
      <c r="E63" s="257" t="s">
        <v>404</v>
      </c>
      <c r="F63" s="264">
        <v>13</v>
      </c>
      <c r="G63" s="255"/>
      <c r="I63" s="64"/>
      <c r="J63" s="64" t="s">
        <v>404</v>
      </c>
      <c r="K63" s="269"/>
    </row>
    <row r="64" spans="1:11" x14ac:dyDescent="0.2">
      <c r="I64" s="64"/>
      <c r="J64" s="267" t="s">
        <v>253</v>
      </c>
      <c r="K64" s="64"/>
    </row>
    <row r="65" spans="1:11" x14ac:dyDescent="0.2">
      <c r="F65" s="59" t="s">
        <v>297</v>
      </c>
      <c r="I65" s="263">
        <v>9</v>
      </c>
      <c r="J65" s="64"/>
      <c r="K65" s="64"/>
    </row>
    <row r="66" spans="1:11" ht="13.5" thickBot="1" x14ac:dyDescent="0.25">
      <c r="F66" s="255"/>
      <c r="G66" s="255"/>
      <c r="H66" s="258"/>
      <c r="I66" s="269"/>
      <c r="J66" s="269" t="s">
        <v>375</v>
      </c>
      <c r="K66" s="269"/>
    </row>
    <row r="67" spans="1:11" x14ac:dyDescent="0.2">
      <c r="F67" s="257" t="s">
        <v>375</v>
      </c>
      <c r="G67" s="257"/>
      <c r="H67" s="262"/>
      <c r="I67" s="253">
        <v>13</v>
      </c>
      <c r="J67" s="65" t="s">
        <v>255</v>
      </c>
      <c r="K67" s="64"/>
    </row>
    <row r="68" spans="1:11" x14ac:dyDescent="0.2">
      <c r="J68" s="64"/>
      <c r="K68" s="64"/>
    </row>
    <row r="69" spans="1:11" ht="13.5" thickBot="1" x14ac:dyDescent="0.25">
      <c r="G69" s="64"/>
      <c r="H69" s="64"/>
      <c r="J69" s="269" t="s">
        <v>297</v>
      </c>
      <c r="K69" s="269"/>
    </row>
    <row r="70" spans="1:11" x14ac:dyDescent="0.2">
      <c r="G70" s="64"/>
      <c r="H70" s="64"/>
      <c r="J70" s="58" t="s">
        <v>256</v>
      </c>
    </row>
    <row r="71" spans="1:11" s="290" customFormat="1" x14ac:dyDescent="0.2">
      <c r="C71" s="299"/>
      <c r="D71" s="299"/>
      <c r="E71" s="299"/>
      <c r="F71" s="299"/>
      <c r="G71" s="299"/>
      <c r="H71" s="299"/>
      <c r="I71" s="296"/>
    </row>
    <row r="72" spans="1:11" ht="13.5" thickBot="1" x14ac:dyDescent="0.25">
      <c r="A72" s="240">
        <v>1</v>
      </c>
      <c r="B72" s="285" t="s">
        <v>401</v>
      </c>
      <c r="C72" s="64"/>
      <c r="D72" s="64"/>
      <c r="E72" s="64"/>
      <c r="F72" s="64"/>
      <c r="J72" s="269" t="s">
        <v>296</v>
      </c>
      <c r="K72" s="269"/>
    </row>
    <row r="73" spans="1:11" x14ac:dyDescent="0.2">
      <c r="A73" s="240">
        <v>2</v>
      </c>
      <c r="B73" s="215" t="s">
        <v>288</v>
      </c>
      <c r="J73" s="58" t="s">
        <v>257</v>
      </c>
    </row>
    <row r="74" spans="1:11" x14ac:dyDescent="0.2">
      <c r="A74" s="240">
        <v>3</v>
      </c>
      <c r="B74" s="216" t="s">
        <v>303</v>
      </c>
    </row>
    <row r="75" spans="1:11" x14ac:dyDescent="0.2">
      <c r="A75" s="240">
        <v>4</v>
      </c>
      <c r="B75" s="219" t="s">
        <v>289</v>
      </c>
    </row>
    <row r="76" spans="1:11" x14ac:dyDescent="0.2">
      <c r="A76" s="240">
        <v>5</v>
      </c>
      <c r="B76" s="219" t="s">
        <v>405</v>
      </c>
    </row>
    <row r="77" spans="1:11" x14ac:dyDescent="0.2">
      <c r="A77" s="240">
        <v>6</v>
      </c>
      <c r="B77" s="219" t="s">
        <v>406</v>
      </c>
    </row>
    <row r="78" spans="1:11" x14ac:dyDescent="0.2">
      <c r="A78" s="240">
        <v>7</v>
      </c>
      <c r="B78" s="219" t="s">
        <v>403</v>
      </c>
    </row>
    <row r="79" spans="1:11" x14ac:dyDescent="0.2">
      <c r="A79" s="240">
        <v>8</v>
      </c>
      <c r="B79" s="219" t="s">
        <v>404</v>
      </c>
    </row>
    <row r="80" spans="1:11" x14ac:dyDescent="0.2">
      <c r="A80" s="240">
        <v>9</v>
      </c>
      <c r="B80" s="219" t="s">
        <v>375</v>
      </c>
    </row>
    <row r="81" spans="1:2" x14ac:dyDescent="0.2">
      <c r="A81" s="240">
        <v>10</v>
      </c>
      <c r="B81" s="219" t="s">
        <v>297</v>
      </c>
    </row>
    <row r="82" spans="1:2" x14ac:dyDescent="0.2">
      <c r="A82" s="240">
        <v>11</v>
      </c>
      <c r="B82" s="219" t="s">
        <v>296</v>
      </c>
    </row>
    <row r="107" spans="3:3" x14ac:dyDescent="0.2">
      <c r="C107" s="253"/>
    </row>
  </sheetData>
  <conditionalFormatting sqref="C7:I67">
    <cfRule type="cellIs" dxfId="158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2" manualBreakCount="2">
    <brk id="22" max="16383" man="1"/>
    <brk id="5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44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M1" sqref="M1"/>
    </sheetView>
  </sheetViews>
  <sheetFormatPr defaultRowHeight="12.75" x14ac:dyDescent="0.2"/>
  <cols>
    <col min="1" max="1" width="3.28515625" style="134" customWidth="1"/>
    <col min="2" max="2" width="15.42578125" style="134" bestFit="1" customWidth="1"/>
    <col min="3" max="9" width="7.28515625" style="134" customWidth="1"/>
    <col min="10" max="11" width="6.85546875" style="134" customWidth="1"/>
    <col min="12" max="17" width="4.7109375" style="134" customWidth="1"/>
    <col min="18" max="16384" width="9.140625" style="134"/>
  </cols>
  <sheetData>
    <row r="1" spans="1:12" x14ac:dyDescent="0.2">
      <c r="A1" s="58" t="str">
        <f>UPPER((Kalend!E33)&amp;" - "&amp;(Kalend!C33)&amp;" - "&amp;(Kalend!D33))</f>
        <v>9 - IDA-VIRUMAA MV - ÜKSIK</v>
      </c>
      <c r="I1" s="239" t="str">
        <f>HYPERLINK("#'Kalend'!I1","Kalender")</f>
        <v>Kalender</v>
      </c>
      <c r="J1" s="59"/>
      <c r="K1" s="239" t="str">
        <f>HYPERLINK("#'Reit'!G1","Reiting")</f>
        <v>Reiting</v>
      </c>
      <c r="L1" s="59"/>
    </row>
    <row r="2" spans="1:12" x14ac:dyDescent="0.2">
      <c r="A2" s="59" t="str">
        <f>"Toimumisaeg: "&amp;(Kalend!A33)&amp;" kell "&amp;(Kalend!B33)</f>
        <v>Toimumisaeg: N, 20.08.2015 kell 11:00</v>
      </c>
    </row>
    <row r="3" spans="1:12" x14ac:dyDescent="0.2">
      <c r="A3" s="59" t="str">
        <f>"Toimumiskoht: "&amp;(Kalend!F33)</f>
        <v>Toimumiskoht: K-Järve spordihoone</v>
      </c>
    </row>
    <row r="4" spans="1:12" x14ac:dyDescent="0.2">
      <c r="A4" s="59" t="str">
        <f>"Korraldaja: "&amp;(Kalend!G33)</f>
        <v>Korraldaja: K-Järve SHK, Ivar Viljaste</v>
      </c>
    </row>
    <row r="6" spans="1:12" s="59" customFormat="1" x14ac:dyDescent="0.2">
      <c r="A6" s="240" t="s">
        <v>329</v>
      </c>
      <c r="B6" s="240"/>
      <c r="C6" s="287">
        <v>1</v>
      </c>
      <c r="D6" s="287">
        <v>2</v>
      </c>
      <c r="E6" s="287">
        <v>3</v>
      </c>
      <c r="F6" s="287">
        <v>4</v>
      </c>
      <c r="G6" s="287">
        <v>5</v>
      </c>
      <c r="H6" s="287" t="s">
        <v>330</v>
      </c>
      <c r="I6" s="287" t="s">
        <v>222</v>
      </c>
    </row>
    <row r="7" spans="1:12" s="59" customFormat="1" x14ac:dyDescent="0.2">
      <c r="A7" s="240">
        <v>1</v>
      </c>
      <c r="B7" s="219" t="s">
        <v>155</v>
      </c>
      <c r="C7" s="325"/>
      <c r="D7" s="326">
        <v>13</v>
      </c>
      <c r="E7" s="326">
        <v>13</v>
      </c>
      <c r="F7" s="326">
        <v>12</v>
      </c>
      <c r="G7" s="326">
        <v>13</v>
      </c>
      <c r="H7" s="327" t="s">
        <v>387</v>
      </c>
      <c r="I7" s="326" t="s">
        <v>226</v>
      </c>
    </row>
    <row r="8" spans="1:12" s="59" customFormat="1" x14ac:dyDescent="0.2">
      <c r="A8" s="240">
        <v>2</v>
      </c>
      <c r="B8" s="219" t="s">
        <v>161</v>
      </c>
      <c r="C8" s="326">
        <v>8</v>
      </c>
      <c r="D8" s="325"/>
      <c r="E8" s="326">
        <v>7</v>
      </c>
      <c r="F8" s="326">
        <v>13</v>
      </c>
      <c r="G8" s="326">
        <v>10</v>
      </c>
      <c r="H8" s="327" t="s">
        <v>345</v>
      </c>
      <c r="I8" s="326" t="s">
        <v>388</v>
      </c>
    </row>
    <row r="9" spans="1:12" s="59" customFormat="1" x14ac:dyDescent="0.2">
      <c r="A9" s="240">
        <v>3</v>
      </c>
      <c r="B9" s="219" t="s">
        <v>171</v>
      </c>
      <c r="C9" s="326">
        <v>4</v>
      </c>
      <c r="D9" s="326">
        <v>13</v>
      </c>
      <c r="E9" s="325"/>
      <c r="F9" s="326">
        <v>11</v>
      </c>
      <c r="G9" s="326">
        <v>2</v>
      </c>
      <c r="H9" s="327" t="s">
        <v>345</v>
      </c>
      <c r="I9" s="326" t="s">
        <v>276</v>
      </c>
    </row>
    <row r="10" spans="1:12" s="59" customFormat="1" x14ac:dyDescent="0.2">
      <c r="A10" s="240">
        <v>4</v>
      </c>
      <c r="B10" s="219" t="s">
        <v>174</v>
      </c>
      <c r="C10" s="326">
        <v>13</v>
      </c>
      <c r="D10" s="326">
        <v>12</v>
      </c>
      <c r="E10" s="326">
        <v>13</v>
      </c>
      <c r="F10" s="325"/>
      <c r="G10" s="326">
        <v>13</v>
      </c>
      <c r="H10" s="327" t="s">
        <v>387</v>
      </c>
      <c r="I10" s="326" t="s">
        <v>224</v>
      </c>
    </row>
    <row r="11" spans="1:12" s="59" customFormat="1" x14ac:dyDescent="0.2">
      <c r="A11" s="240">
        <v>5</v>
      </c>
      <c r="B11" s="219" t="s">
        <v>195</v>
      </c>
      <c r="C11" s="326">
        <v>2</v>
      </c>
      <c r="D11" s="326">
        <v>13</v>
      </c>
      <c r="E11" s="326">
        <v>13</v>
      </c>
      <c r="F11" s="326">
        <v>0</v>
      </c>
      <c r="G11" s="325"/>
      <c r="H11" s="327" t="s">
        <v>386</v>
      </c>
      <c r="I11" s="326" t="s">
        <v>225</v>
      </c>
    </row>
    <row r="12" spans="1:12" s="59" customFormat="1" x14ac:dyDescent="0.2"/>
    <row r="13" spans="1:12" s="59" customFormat="1" x14ac:dyDescent="0.2">
      <c r="A13" s="240" t="s">
        <v>337</v>
      </c>
      <c r="B13" s="240"/>
      <c r="C13" s="287">
        <v>1</v>
      </c>
      <c r="D13" s="287">
        <v>2</v>
      </c>
      <c r="E13" s="287">
        <v>3</v>
      </c>
      <c r="F13" s="287">
        <v>4</v>
      </c>
      <c r="G13" s="287">
        <v>5</v>
      </c>
      <c r="H13" s="287" t="s">
        <v>330</v>
      </c>
      <c r="I13" s="287" t="s">
        <v>222</v>
      </c>
    </row>
    <row r="14" spans="1:12" s="59" customFormat="1" x14ac:dyDescent="0.2">
      <c r="A14" s="240">
        <v>1</v>
      </c>
      <c r="B14" s="219" t="s">
        <v>156</v>
      </c>
      <c r="C14" s="325"/>
      <c r="D14" s="326">
        <v>13</v>
      </c>
      <c r="E14" s="326">
        <v>13</v>
      </c>
      <c r="F14" s="326">
        <v>13</v>
      </c>
      <c r="G14" s="326">
        <v>13</v>
      </c>
      <c r="H14" s="327" t="s">
        <v>389</v>
      </c>
      <c r="I14" s="326" t="s">
        <v>224</v>
      </c>
    </row>
    <row r="15" spans="1:12" s="59" customFormat="1" x14ac:dyDescent="0.2">
      <c r="A15" s="240">
        <v>2</v>
      </c>
      <c r="B15" s="219" t="s">
        <v>160</v>
      </c>
      <c r="C15" s="326">
        <v>10</v>
      </c>
      <c r="D15" s="325"/>
      <c r="E15" s="326">
        <v>13</v>
      </c>
      <c r="F15" s="326">
        <v>13</v>
      </c>
      <c r="G15" s="326">
        <v>13</v>
      </c>
      <c r="H15" s="327" t="s">
        <v>336</v>
      </c>
      <c r="I15" s="326" t="s">
        <v>226</v>
      </c>
    </row>
    <row r="16" spans="1:12" s="59" customFormat="1" x14ac:dyDescent="0.2">
      <c r="A16" s="240">
        <v>3</v>
      </c>
      <c r="B16" s="219" t="s">
        <v>166</v>
      </c>
      <c r="C16" s="326">
        <v>9</v>
      </c>
      <c r="D16" s="326">
        <v>11</v>
      </c>
      <c r="E16" s="325"/>
      <c r="F16" s="326">
        <v>13</v>
      </c>
      <c r="G16" s="326">
        <v>13</v>
      </c>
      <c r="H16" s="327" t="s">
        <v>386</v>
      </c>
      <c r="I16" s="326" t="s">
        <v>225</v>
      </c>
    </row>
    <row r="17" spans="1:9" s="59" customFormat="1" x14ac:dyDescent="0.2">
      <c r="A17" s="240">
        <v>4</v>
      </c>
      <c r="B17" s="219" t="s">
        <v>175</v>
      </c>
      <c r="C17" s="326">
        <v>12</v>
      </c>
      <c r="D17" s="326">
        <v>7</v>
      </c>
      <c r="E17" s="326">
        <v>7</v>
      </c>
      <c r="F17" s="325"/>
      <c r="G17" s="326">
        <v>13</v>
      </c>
      <c r="H17" s="327" t="s">
        <v>345</v>
      </c>
      <c r="I17" s="326" t="s">
        <v>276</v>
      </c>
    </row>
    <row r="18" spans="1:9" s="59" customFormat="1" x14ac:dyDescent="0.2">
      <c r="A18" s="240">
        <v>5</v>
      </c>
      <c r="B18" s="219" t="s">
        <v>186</v>
      </c>
      <c r="C18" s="326">
        <v>1</v>
      </c>
      <c r="D18" s="326">
        <v>7</v>
      </c>
      <c r="E18" s="326">
        <v>8</v>
      </c>
      <c r="F18" s="326">
        <v>9</v>
      </c>
      <c r="G18" s="325"/>
      <c r="H18" s="327" t="s">
        <v>390</v>
      </c>
      <c r="I18" s="326" t="s">
        <v>388</v>
      </c>
    </row>
    <row r="19" spans="1:9" s="59" customFormat="1" x14ac:dyDescent="0.2"/>
    <row r="20" spans="1:9" s="59" customFormat="1" x14ac:dyDescent="0.2">
      <c r="A20" s="240" t="s">
        <v>364</v>
      </c>
      <c r="B20" s="240"/>
      <c r="C20" s="287">
        <v>1</v>
      </c>
      <c r="D20" s="287">
        <v>2</v>
      </c>
      <c r="E20" s="287">
        <v>3</v>
      </c>
      <c r="F20" s="287">
        <v>4</v>
      </c>
      <c r="G20" s="287">
        <v>5</v>
      </c>
      <c r="H20" s="287" t="s">
        <v>330</v>
      </c>
      <c r="I20" s="287" t="s">
        <v>222</v>
      </c>
    </row>
    <row r="21" spans="1:9" s="59" customFormat="1" x14ac:dyDescent="0.2">
      <c r="A21" s="240">
        <v>1</v>
      </c>
      <c r="B21" s="219" t="s">
        <v>153</v>
      </c>
      <c r="C21" s="325"/>
      <c r="D21" s="326">
        <v>12</v>
      </c>
      <c r="E21" s="326">
        <v>13</v>
      </c>
      <c r="F21" s="326">
        <v>13</v>
      </c>
      <c r="G21" s="326">
        <v>13</v>
      </c>
      <c r="H21" s="327" t="s">
        <v>387</v>
      </c>
      <c r="I21" s="326" t="s">
        <v>226</v>
      </c>
    </row>
    <row r="22" spans="1:9" s="59" customFormat="1" x14ac:dyDescent="0.2">
      <c r="A22" s="240">
        <v>2</v>
      </c>
      <c r="B22" s="219" t="s">
        <v>157</v>
      </c>
      <c r="C22" s="326">
        <v>13</v>
      </c>
      <c r="D22" s="325"/>
      <c r="E22" s="326">
        <v>13</v>
      </c>
      <c r="F22" s="326">
        <v>13</v>
      </c>
      <c r="G22" s="326">
        <v>13</v>
      </c>
      <c r="H22" s="327" t="s">
        <v>389</v>
      </c>
      <c r="I22" s="326" t="s">
        <v>224</v>
      </c>
    </row>
    <row r="23" spans="1:9" s="59" customFormat="1" x14ac:dyDescent="0.2">
      <c r="A23" s="240">
        <v>3</v>
      </c>
      <c r="B23" s="219" t="s">
        <v>159</v>
      </c>
      <c r="C23" s="326">
        <v>1</v>
      </c>
      <c r="D23" s="326">
        <v>10</v>
      </c>
      <c r="E23" s="325"/>
      <c r="F23" s="326">
        <v>10</v>
      </c>
      <c r="G23" s="326">
        <v>13</v>
      </c>
      <c r="H23" s="327" t="s">
        <v>345</v>
      </c>
      <c r="I23" s="326" t="s">
        <v>276</v>
      </c>
    </row>
    <row r="24" spans="1:9" s="59" customFormat="1" x14ac:dyDescent="0.2">
      <c r="A24" s="240">
        <v>4</v>
      </c>
      <c r="B24" s="219" t="s">
        <v>172</v>
      </c>
      <c r="C24" s="326">
        <v>0</v>
      </c>
      <c r="D24" s="326">
        <v>4</v>
      </c>
      <c r="E24" s="326">
        <v>13</v>
      </c>
      <c r="F24" s="325"/>
      <c r="G24" s="326">
        <v>13</v>
      </c>
      <c r="H24" s="327" t="s">
        <v>386</v>
      </c>
      <c r="I24" s="326" t="s">
        <v>225</v>
      </c>
    </row>
    <row r="25" spans="1:9" s="59" customFormat="1" x14ac:dyDescent="0.2">
      <c r="A25" s="240">
        <v>5</v>
      </c>
      <c r="B25" s="219" t="s">
        <v>182</v>
      </c>
      <c r="C25" s="326">
        <v>11</v>
      </c>
      <c r="D25" s="326">
        <v>6</v>
      </c>
      <c r="E25" s="326">
        <v>6</v>
      </c>
      <c r="F25" s="326">
        <v>8</v>
      </c>
      <c r="G25" s="325"/>
      <c r="H25" s="327" t="s">
        <v>390</v>
      </c>
      <c r="I25" s="326" t="s">
        <v>388</v>
      </c>
    </row>
    <row r="26" spans="1:9" s="59" customFormat="1" x14ac:dyDescent="0.2"/>
    <row r="27" spans="1:9" s="59" customFormat="1" x14ac:dyDescent="0.2">
      <c r="A27" s="240" t="s">
        <v>365</v>
      </c>
      <c r="B27" s="240"/>
      <c r="C27" s="287">
        <v>1</v>
      </c>
      <c r="D27" s="287">
        <v>2</v>
      </c>
      <c r="E27" s="287">
        <v>3</v>
      </c>
      <c r="F27" s="287">
        <v>4</v>
      </c>
      <c r="G27" s="287">
        <v>5</v>
      </c>
      <c r="H27" s="287" t="s">
        <v>330</v>
      </c>
      <c r="I27" s="287" t="s">
        <v>222</v>
      </c>
    </row>
    <row r="28" spans="1:9" s="59" customFormat="1" x14ac:dyDescent="0.2">
      <c r="A28" s="240">
        <v>1</v>
      </c>
      <c r="B28" s="219" t="s">
        <v>158</v>
      </c>
      <c r="C28" s="325"/>
      <c r="D28" s="326">
        <v>13</v>
      </c>
      <c r="E28" s="326">
        <v>6</v>
      </c>
      <c r="F28" s="326">
        <v>13</v>
      </c>
      <c r="G28" s="326">
        <v>11</v>
      </c>
      <c r="H28" s="327" t="s">
        <v>386</v>
      </c>
      <c r="I28" s="326" t="s">
        <v>226</v>
      </c>
    </row>
    <row r="29" spans="1:9" s="59" customFormat="1" x14ac:dyDescent="0.2">
      <c r="A29" s="240">
        <v>2</v>
      </c>
      <c r="B29" s="219" t="s">
        <v>164</v>
      </c>
      <c r="C29" s="326">
        <v>12</v>
      </c>
      <c r="D29" s="325"/>
      <c r="E29" s="326">
        <v>10</v>
      </c>
      <c r="F29" s="326">
        <v>13</v>
      </c>
      <c r="G29" s="326">
        <v>13</v>
      </c>
      <c r="H29" s="327" t="s">
        <v>386</v>
      </c>
      <c r="I29" s="326" t="s">
        <v>225</v>
      </c>
    </row>
    <row r="30" spans="1:9" s="59" customFormat="1" x14ac:dyDescent="0.2">
      <c r="A30" s="240">
        <v>3</v>
      </c>
      <c r="B30" s="219" t="s">
        <v>163</v>
      </c>
      <c r="C30" s="326">
        <v>13</v>
      </c>
      <c r="D30" s="326">
        <v>13</v>
      </c>
      <c r="E30" s="325"/>
      <c r="F30" s="326">
        <v>10</v>
      </c>
      <c r="G30" s="326">
        <v>13</v>
      </c>
      <c r="H30" s="327" t="s">
        <v>409</v>
      </c>
      <c r="I30" s="326" t="s">
        <v>224</v>
      </c>
    </row>
    <row r="31" spans="1:9" s="59" customFormat="1" x14ac:dyDescent="0.2">
      <c r="A31" s="240">
        <v>4</v>
      </c>
      <c r="B31" s="219" t="s">
        <v>168</v>
      </c>
      <c r="C31" s="326">
        <v>10</v>
      </c>
      <c r="D31" s="326">
        <v>12</v>
      </c>
      <c r="E31" s="326">
        <v>13</v>
      </c>
      <c r="F31" s="325"/>
      <c r="G31" s="326">
        <v>13</v>
      </c>
      <c r="H31" s="327" t="s">
        <v>386</v>
      </c>
      <c r="I31" s="326" t="s">
        <v>276</v>
      </c>
    </row>
    <row r="32" spans="1:9" s="59" customFormat="1" x14ac:dyDescent="0.2">
      <c r="A32" s="240">
        <v>5</v>
      </c>
      <c r="B32" s="219" t="s">
        <v>199</v>
      </c>
      <c r="C32" s="326">
        <v>13</v>
      </c>
      <c r="D32" s="326">
        <v>5</v>
      </c>
      <c r="E32" s="326">
        <v>0</v>
      </c>
      <c r="F32" s="326">
        <v>4</v>
      </c>
      <c r="G32" s="325"/>
      <c r="H32" s="327" t="s">
        <v>345</v>
      </c>
      <c r="I32" s="326" t="s">
        <v>388</v>
      </c>
    </row>
    <row r="34" spans="1:11" s="290" customFormat="1" x14ac:dyDescent="0.2">
      <c r="A34" s="289" t="s">
        <v>284</v>
      </c>
    </row>
    <row r="35" spans="1:11" s="290" customFormat="1" x14ac:dyDescent="0.2">
      <c r="A35" s="289"/>
    </row>
    <row r="36" spans="1:11" s="290" customFormat="1" x14ac:dyDescent="0.2">
      <c r="A36" s="291" t="s">
        <v>241</v>
      </c>
      <c r="B36" s="290" t="s">
        <v>174</v>
      </c>
      <c r="C36" s="296">
        <v>13</v>
      </c>
    </row>
    <row r="37" spans="1:11" s="290" customFormat="1" x14ac:dyDescent="0.2">
      <c r="A37" s="292"/>
      <c r="B37" s="293"/>
      <c r="C37" s="294" t="s">
        <v>174</v>
      </c>
      <c r="D37" s="295"/>
      <c r="F37" s="296">
        <v>6</v>
      </c>
    </row>
    <row r="38" spans="1:11" s="290" customFormat="1" x14ac:dyDescent="0.2">
      <c r="A38" s="291" t="s">
        <v>242</v>
      </c>
      <c r="B38" s="281" t="s">
        <v>160</v>
      </c>
      <c r="C38" s="297">
        <v>7</v>
      </c>
      <c r="E38" s="298"/>
    </row>
    <row r="39" spans="1:11" s="290" customFormat="1" x14ac:dyDescent="0.2">
      <c r="A39" s="292"/>
      <c r="D39" s="299"/>
      <c r="E39" s="300"/>
      <c r="F39" s="290" t="s">
        <v>153</v>
      </c>
      <c r="I39" s="296">
        <v>13</v>
      </c>
    </row>
    <row r="40" spans="1:11" s="290" customFormat="1" x14ac:dyDescent="0.2">
      <c r="A40" s="291" t="s">
        <v>234</v>
      </c>
      <c r="B40" s="282" t="s">
        <v>163</v>
      </c>
      <c r="C40" s="301">
        <v>7</v>
      </c>
      <c r="E40" s="300"/>
      <c r="F40" s="293"/>
      <c r="G40" s="293"/>
      <c r="H40" s="298"/>
    </row>
    <row r="41" spans="1:11" s="290" customFormat="1" x14ac:dyDescent="0.2">
      <c r="A41" s="292"/>
      <c r="B41" s="293"/>
      <c r="C41" s="302" t="s">
        <v>153</v>
      </c>
      <c r="E41" s="303"/>
      <c r="F41" s="301">
        <v>13</v>
      </c>
      <c r="G41" s="299"/>
      <c r="H41" s="300"/>
    </row>
    <row r="42" spans="1:11" s="290" customFormat="1" x14ac:dyDescent="0.2">
      <c r="A42" s="291" t="s">
        <v>236</v>
      </c>
      <c r="B42" s="281" t="s">
        <v>153</v>
      </c>
      <c r="C42" s="310">
        <v>13</v>
      </c>
      <c r="D42" s="293"/>
      <c r="F42" s="299"/>
      <c r="G42" s="299"/>
      <c r="H42" s="300"/>
    </row>
    <row r="43" spans="1:11" s="290" customFormat="1" ht="13.5" thickBot="1" x14ac:dyDescent="0.25">
      <c r="A43" s="292"/>
      <c r="F43" s="299"/>
      <c r="G43" s="299"/>
      <c r="H43" s="300"/>
      <c r="J43" s="290" t="s">
        <v>153</v>
      </c>
    </row>
    <row r="44" spans="1:11" s="290" customFormat="1" x14ac:dyDescent="0.2">
      <c r="A44" s="291" t="s">
        <v>246</v>
      </c>
      <c r="B44" s="290" t="s">
        <v>157</v>
      </c>
      <c r="C44" s="296">
        <v>13</v>
      </c>
      <c r="F44" s="299"/>
      <c r="G44" s="299"/>
      <c r="H44" s="300"/>
      <c r="I44" s="304"/>
      <c r="J44" s="305" t="s">
        <v>240</v>
      </c>
      <c r="K44" s="306"/>
    </row>
    <row r="45" spans="1:11" s="290" customFormat="1" x14ac:dyDescent="0.2">
      <c r="A45" s="292"/>
      <c r="B45" s="293"/>
      <c r="C45" s="294" t="s">
        <v>157</v>
      </c>
      <c r="D45" s="295"/>
      <c r="F45" s="301">
        <v>11</v>
      </c>
      <c r="G45" s="299"/>
      <c r="H45" s="300"/>
    </row>
    <row r="46" spans="1:11" s="290" customFormat="1" ht="13.5" thickBot="1" x14ac:dyDescent="0.25">
      <c r="A46" s="291" t="s">
        <v>245</v>
      </c>
      <c r="B46" s="295" t="s">
        <v>158</v>
      </c>
      <c r="C46" s="297">
        <v>9</v>
      </c>
      <c r="E46" s="298"/>
      <c r="F46" s="299"/>
      <c r="G46" s="299"/>
      <c r="H46" s="300"/>
      <c r="J46" s="307" t="s">
        <v>155</v>
      </c>
      <c r="K46" s="307"/>
    </row>
    <row r="47" spans="1:11" s="290" customFormat="1" x14ac:dyDescent="0.2">
      <c r="A47" s="292"/>
      <c r="D47" s="299"/>
      <c r="E47" s="300"/>
      <c r="F47" s="295" t="s">
        <v>155</v>
      </c>
      <c r="G47" s="295"/>
      <c r="H47" s="303"/>
      <c r="I47" s="296">
        <v>8</v>
      </c>
      <c r="J47" s="305" t="s">
        <v>244</v>
      </c>
    </row>
    <row r="48" spans="1:11" s="290" customFormat="1" x14ac:dyDescent="0.2">
      <c r="A48" s="291" t="s">
        <v>232</v>
      </c>
      <c r="B48" s="290" t="s">
        <v>156</v>
      </c>
      <c r="C48" s="301">
        <v>4</v>
      </c>
      <c r="E48" s="300"/>
    </row>
    <row r="49" spans="1:11" s="290" customFormat="1" x14ac:dyDescent="0.2">
      <c r="A49" s="292"/>
      <c r="B49" s="293"/>
      <c r="C49" s="302" t="s">
        <v>155</v>
      </c>
      <c r="E49" s="303"/>
      <c r="F49" s="296">
        <v>13</v>
      </c>
    </row>
    <row r="50" spans="1:11" s="290" customFormat="1" x14ac:dyDescent="0.2">
      <c r="A50" s="291" t="s">
        <v>233</v>
      </c>
      <c r="B50" s="295" t="s">
        <v>155</v>
      </c>
      <c r="C50" s="310">
        <v>13</v>
      </c>
      <c r="D50" s="293"/>
    </row>
    <row r="51" spans="1:11" s="290" customFormat="1" x14ac:dyDescent="0.2">
      <c r="F51" s="290" t="s">
        <v>174</v>
      </c>
      <c r="I51" s="301"/>
      <c r="J51" s="299"/>
      <c r="K51" s="299"/>
    </row>
    <row r="52" spans="1:11" s="290" customFormat="1" ht="13.5" thickBot="1" x14ac:dyDescent="0.25">
      <c r="F52" s="293"/>
      <c r="G52" s="293"/>
      <c r="H52" s="298"/>
      <c r="I52" s="307"/>
      <c r="J52" s="307" t="s">
        <v>157</v>
      </c>
      <c r="K52" s="307"/>
    </row>
    <row r="53" spans="1:11" s="290" customFormat="1" x14ac:dyDescent="0.2">
      <c r="F53" s="295" t="s">
        <v>157</v>
      </c>
      <c r="G53" s="295"/>
      <c r="H53" s="303"/>
      <c r="I53" s="296">
        <v>13</v>
      </c>
      <c r="J53" s="308" t="s">
        <v>247</v>
      </c>
      <c r="K53" s="299"/>
    </row>
    <row r="54" spans="1:11" s="290" customFormat="1" x14ac:dyDescent="0.2">
      <c r="J54" s="299"/>
      <c r="K54" s="299"/>
    </row>
    <row r="55" spans="1:11" s="290" customFormat="1" ht="13.5" thickBot="1" x14ac:dyDescent="0.25">
      <c r="G55" s="299"/>
      <c r="H55" s="299"/>
      <c r="J55" s="307" t="s">
        <v>174</v>
      </c>
      <c r="K55" s="307"/>
    </row>
    <row r="56" spans="1:11" s="290" customFormat="1" x14ac:dyDescent="0.2">
      <c r="C56" s="290" t="s">
        <v>160</v>
      </c>
      <c r="F56" s="296">
        <v>13</v>
      </c>
      <c r="J56" s="309" t="s">
        <v>248</v>
      </c>
    </row>
    <row r="57" spans="1:11" s="290" customFormat="1" x14ac:dyDescent="0.2">
      <c r="C57" s="293"/>
      <c r="D57" s="293"/>
      <c r="E57" s="298"/>
      <c r="F57" s="294" t="s">
        <v>160</v>
      </c>
      <c r="G57" s="295"/>
      <c r="H57" s="295"/>
      <c r="I57" s="296">
        <v>13</v>
      </c>
    </row>
    <row r="58" spans="1:11" s="290" customFormat="1" x14ac:dyDescent="0.2">
      <c r="C58" s="295" t="s">
        <v>163</v>
      </c>
      <c r="D58" s="295"/>
      <c r="E58" s="303"/>
      <c r="F58" s="297">
        <v>11</v>
      </c>
      <c r="H58" s="300"/>
    </row>
    <row r="59" spans="1:11" s="290" customFormat="1" ht="13.5" thickBot="1" x14ac:dyDescent="0.25">
      <c r="F59" s="299"/>
      <c r="H59" s="300"/>
      <c r="J59" s="290" t="s">
        <v>160</v>
      </c>
    </row>
    <row r="60" spans="1:11" s="290" customFormat="1" x14ac:dyDescent="0.2">
      <c r="C60" s="290" t="s">
        <v>158</v>
      </c>
      <c r="F60" s="301"/>
      <c r="H60" s="300"/>
      <c r="I60" s="304"/>
      <c r="J60" s="305" t="s">
        <v>250</v>
      </c>
      <c r="K60" s="306"/>
    </row>
    <row r="61" spans="1:11" s="290" customFormat="1" x14ac:dyDescent="0.2">
      <c r="C61" s="293"/>
      <c r="D61" s="293"/>
      <c r="E61" s="298"/>
      <c r="F61" s="302" t="s">
        <v>158</v>
      </c>
      <c r="H61" s="303"/>
      <c r="I61" s="301">
        <v>2</v>
      </c>
    </row>
    <row r="62" spans="1:11" s="290" customFormat="1" ht="13.5" thickBot="1" x14ac:dyDescent="0.25">
      <c r="C62" s="295" t="s">
        <v>156</v>
      </c>
      <c r="D62" s="295"/>
      <c r="E62" s="303"/>
      <c r="F62" s="310">
        <v>10</v>
      </c>
      <c r="G62" s="293"/>
      <c r="I62" s="299"/>
      <c r="J62" s="299" t="s">
        <v>158</v>
      </c>
      <c r="K62" s="307"/>
    </row>
    <row r="63" spans="1:11" s="290" customFormat="1" x14ac:dyDescent="0.2">
      <c r="I63" s="299"/>
      <c r="J63" s="305" t="s">
        <v>251</v>
      </c>
      <c r="K63" s="299"/>
    </row>
    <row r="64" spans="1:11" s="290" customFormat="1" x14ac:dyDescent="0.2">
      <c r="F64" s="290" t="s">
        <v>163</v>
      </c>
      <c r="I64" s="301">
        <v>13</v>
      </c>
      <c r="J64" s="299"/>
      <c r="K64" s="299"/>
    </row>
    <row r="65" spans="1:11" s="290" customFormat="1" ht="13.5" thickBot="1" x14ac:dyDescent="0.25">
      <c r="F65" s="293"/>
      <c r="G65" s="293"/>
      <c r="H65" s="298"/>
      <c r="I65" s="307"/>
      <c r="J65" s="307" t="s">
        <v>163</v>
      </c>
      <c r="K65" s="307"/>
    </row>
    <row r="66" spans="1:11" s="290" customFormat="1" x14ac:dyDescent="0.2">
      <c r="F66" s="295" t="s">
        <v>156</v>
      </c>
      <c r="G66" s="295"/>
      <c r="H66" s="303"/>
      <c r="I66" s="296">
        <v>4</v>
      </c>
      <c r="J66" s="308" t="s">
        <v>252</v>
      </c>
      <c r="K66" s="299"/>
    </row>
    <row r="67" spans="1:11" s="290" customFormat="1" x14ac:dyDescent="0.2">
      <c r="J67" s="299"/>
      <c r="K67" s="299"/>
    </row>
    <row r="68" spans="1:11" s="290" customFormat="1" ht="13.5" thickBot="1" x14ac:dyDescent="0.25">
      <c r="G68" s="299"/>
      <c r="H68" s="299"/>
      <c r="J68" s="307" t="s">
        <v>156</v>
      </c>
      <c r="K68" s="307"/>
    </row>
    <row r="69" spans="1:11" s="290" customFormat="1" x14ac:dyDescent="0.2">
      <c r="G69" s="299"/>
      <c r="H69" s="299"/>
      <c r="J69" s="309" t="s">
        <v>253</v>
      </c>
    </row>
    <row r="70" spans="1:11" s="290" customFormat="1" x14ac:dyDescent="0.2"/>
    <row r="71" spans="1:11" s="290" customFormat="1" x14ac:dyDescent="0.2">
      <c r="A71" s="289" t="s">
        <v>304</v>
      </c>
    </row>
    <row r="72" spans="1:11" s="290" customFormat="1" x14ac:dyDescent="0.2">
      <c r="A72" s="289"/>
    </row>
    <row r="73" spans="1:11" s="290" customFormat="1" x14ac:dyDescent="0.2">
      <c r="A73" s="291" t="s">
        <v>262</v>
      </c>
      <c r="B73" s="290" t="s">
        <v>195</v>
      </c>
      <c r="C73" s="296">
        <v>11</v>
      </c>
    </row>
    <row r="74" spans="1:11" s="290" customFormat="1" x14ac:dyDescent="0.2">
      <c r="A74" s="292"/>
      <c r="B74" s="293"/>
      <c r="C74" s="294" t="s">
        <v>175</v>
      </c>
      <c r="D74" s="295"/>
      <c r="F74" s="296">
        <v>13</v>
      </c>
    </row>
    <row r="75" spans="1:11" s="290" customFormat="1" x14ac:dyDescent="0.2">
      <c r="A75" s="291" t="s">
        <v>306</v>
      </c>
      <c r="B75" s="281" t="s">
        <v>175</v>
      </c>
      <c r="C75" s="297">
        <v>13</v>
      </c>
      <c r="E75" s="298"/>
    </row>
    <row r="76" spans="1:11" s="290" customFormat="1" x14ac:dyDescent="0.2">
      <c r="A76" s="292"/>
      <c r="D76" s="299"/>
      <c r="E76" s="300"/>
      <c r="F76" s="290" t="s">
        <v>175</v>
      </c>
      <c r="I76" s="296">
        <v>13</v>
      </c>
    </row>
    <row r="77" spans="1:11" s="290" customFormat="1" x14ac:dyDescent="0.2">
      <c r="A77" s="291" t="s">
        <v>266</v>
      </c>
      <c r="B77" s="282" t="s">
        <v>164</v>
      </c>
      <c r="C77" s="301">
        <v>11</v>
      </c>
      <c r="E77" s="300"/>
      <c r="F77" s="293"/>
      <c r="G77" s="293"/>
      <c r="H77" s="298"/>
    </row>
    <row r="78" spans="1:11" s="290" customFormat="1" x14ac:dyDescent="0.2">
      <c r="A78" s="292"/>
      <c r="B78" s="293"/>
      <c r="C78" s="302" t="s">
        <v>159</v>
      </c>
      <c r="E78" s="303"/>
      <c r="F78" s="301"/>
      <c r="G78" s="299"/>
      <c r="H78" s="300"/>
    </row>
    <row r="79" spans="1:11" s="290" customFormat="1" x14ac:dyDescent="0.2">
      <c r="A79" s="291" t="s">
        <v>286</v>
      </c>
      <c r="B79" s="281" t="s">
        <v>159</v>
      </c>
      <c r="C79" s="310">
        <v>13</v>
      </c>
      <c r="D79" s="293"/>
      <c r="F79" s="299"/>
      <c r="G79" s="299"/>
      <c r="H79" s="300"/>
    </row>
    <row r="80" spans="1:11" s="290" customFormat="1" ht="13.5" thickBot="1" x14ac:dyDescent="0.25">
      <c r="A80" s="292"/>
      <c r="F80" s="299"/>
      <c r="G80" s="299"/>
      <c r="H80" s="300"/>
      <c r="J80" s="290" t="s">
        <v>175</v>
      </c>
    </row>
    <row r="81" spans="1:11" s="290" customFormat="1" x14ac:dyDescent="0.2">
      <c r="A81" s="291" t="s">
        <v>264</v>
      </c>
      <c r="B81" s="290" t="s">
        <v>172</v>
      </c>
      <c r="C81" s="296"/>
      <c r="F81" s="299"/>
      <c r="G81" s="299"/>
      <c r="H81" s="300"/>
      <c r="I81" s="304"/>
      <c r="J81" s="305" t="s">
        <v>255</v>
      </c>
      <c r="K81" s="306"/>
    </row>
    <row r="82" spans="1:11" s="290" customFormat="1" x14ac:dyDescent="0.2">
      <c r="A82" s="292"/>
      <c r="B82" s="293"/>
      <c r="C82" s="294" t="s">
        <v>168</v>
      </c>
      <c r="D82" s="295"/>
      <c r="F82" s="301">
        <v>9</v>
      </c>
      <c r="G82" s="299"/>
      <c r="H82" s="300"/>
    </row>
    <row r="83" spans="1:11" s="290" customFormat="1" ht="13.5" thickBot="1" x14ac:dyDescent="0.25">
      <c r="A83" s="291" t="s">
        <v>305</v>
      </c>
      <c r="B83" s="295" t="s">
        <v>168</v>
      </c>
      <c r="C83" s="297">
        <v>13</v>
      </c>
      <c r="E83" s="298"/>
      <c r="F83" s="299"/>
      <c r="G83" s="299"/>
      <c r="H83" s="300"/>
      <c r="J83" s="307" t="s">
        <v>166</v>
      </c>
      <c r="K83" s="307"/>
    </row>
    <row r="84" spans="1:11" s="290" customFormat="1" x14ac:dyDescent="0.2">
      <c r="A84" s="292"/>
      <c r="D84" s="299"/>
      <c r="E84" s="300"/>
      <c r="F84" s="295" t="s">
        <v>166</v>
      </c>
      <c r="G84" s="295"/>
      <c r="H84" s="303"/>
      <c r="I84" s="296" t="s">
        <v>235</v>
      </c>
      <c r="J84" s="305" t="s">
        <v>256</v>
      </c>
    </row>
    <row r="85" spans="1:11" s="290" customFormat="1" x14ac:dyDescent="0.2">
      <c r="A85" s="291" t="s">
        <v>267</v>
      </c>
      <c r="B85" s="290" t="s">
        <v>166</v>
      </c>
      <c r="C85" s="301">
        <v>13</v>
      </c>
      <c r="E85" s="300"/>
    </row>
    <row r="86" spans="1:11" s="290" customFormat="1" x14ac:dyDescent="0.2">
      <c r="A86" s="292"/>
      <c r="B86" s="293"/>
      <c r="C86" s="302" t="s">
        <v>166</v>
      </c>
      <c r="E86" s="303"/>
      <c r="F86" s="296">
        <v>13</v>
      </c>
    </row>
    <row r="87" spans="1:11" s="290" customFormat="1" x14ac:dyDescent="0.2">
      <c r="A87" s="291" t="s">
        <v>287</v>
      </c>
      <c r="B87" s="295" t="s">
        <v>171</v>
      </c>
      <c r="C87" s="310">
        <v>9</v>
      </c>
      <c r="D87" s="293"/>
    </row>
    <row r="88" spans="1:11" s="290" customFormat="1" x14ac:dyDescent="0.2">
      <c r="F88" s="290" t="s">
        <v>159</v>
      </c>
      <c r="I88" s="301">
        <v>7</v>
      </c>
      <c r="J88" s="299"/>
      <c r="K88" s="299"/>
    </row>
    <row r="89" spans="1:11" s="290" customFormat="1" ht="13.5" thickBot="1" x14ac:dyDescent="0.25">
      <c r="F89" s="293"/>
      <c r="G89" s="293"/>
      <c r="H89" s="298"/>
      <c r="I89" s="307"/>
      <c r="J89" s="307" t="s">
        <v>168</v>
      </c>
      <c r="K89" s="307"/>
    </row>
    <row r="90" spans="1:11" s="290" customFormat="1" x14ac:dyDescent="0.2">
      <c r="F90" s="295" t="s">
        <v>168</v>
      </c>
      <c r="G90" s="295"/>
      <c r="H90" s="303"/>
      <c r="I90" s="296">
        <v>13</v>
      </c>
      <c r="J90" s="308" t="s">
        <v>257</v>
      </c>
      <c r="K90" s="299"/>
    </row>
    <row r="91" spans="1:11" s="290" customFormat="1" x14ac:dyDescent="0.2">
      <c r="J91" s="299"/>
      <c r="K91" s="299"/>
    </row>
    <row r="92" spans="1:11" s="290" customFormat="1" ht="13.5" thickBot="1" x14ac:dyDescent="0.25">
      <c r="G92" s="299"/>
      <c r="H92" s="299"/>
      <c r="J92" s="307" t="s">
        <v>159</v>
      </c>
      <c r="K92" s="307"/>
    </row>
    <row r="93" spans="1:11" s="290" customFormat="1" x14ac:dyDescent="0.2">
      <c r="C93" s="290" t="s">
        <v>195</v>
      </c>
      <c r="F93" s="296">
        <v>13</v>
      </c>
      <c r="J93" s="309" t="s">
        <v>258</v>
      </c>
    </row>
    <row r="94" spans="1:11" s="290" customFormat="1" x14ac:dyDescent="0.2">
      <c r="C94" s="293"/>
      <c r="D94" s="293"/>
      <c r="E94" s="298"/>
      <c r="F94" s="294" t="s">
        <v>195</v>
      </c>
      <c r="G94" s="295"/>
      <c r="H94" s="295"/>
      <c r="I94" s="296">
        <v>9</v>
      </c>
    </row>
    <row r="95" spans="1:11" s="290" customFormat="1" x14ac:dyDescent="0.2">
      <c r="C95" s="295" t="s">
        <v>164</v>
      </c>
      <c r="D95" s="295"/>
      <c r="E95" s="303"/>
      <c r="F95" s="297" t="s">
        <v>235</v>
      </c>
      <c r="H95" s="300"/>
    </row>
    <row r="96" spans="1:11" s="290" customFormat="1" ht="13.5" thickBot="1" x14ac:dyDescent="0.25">
      <c r="F96" s="299"/>
      <c r="H96" s="300"/>
      <c r="J96" s="290" t="s">
        <v>171</v>
      </c>
    </row>
    <row r="97" spans="1:11" s="290" customFormat="1" x14ac:dyDescent="0.2">
      <c r="C97" s="290" t="s">
        <v>172</v>
      </c>
      <c r="F97" s="301" t="s">
        <v>235</v>
      </c>
      <c r="H97" s="300"/>
      <c r="I97" s="304"/>
      <c r="J97" s="305" t="s">
        <v>263</v>
      </c>
      <c r="K97" s="306"/>
    </row>
    <row r="98" spans="1:11" s="290" customFormat="1" x14ac:dyDescent="0.2">
      <c r="C98" s="293"/>
      <c r="D98" s="293"/>
      <c r="E98" s="298"/>
      <c r="F98" s="302" t="s">
        <v>171</v>
      </c>
      <c r="H98" s="303"/>
      <c r="I98" s="301">
        <v>13</v>
      </c>
    </row>
    <row r="99" spans="1:11" s="290" customFormat="1" ht="13.5" thickBot="1" x14ac:dyDescent="0.25">
      <c r="C99" s="295" t="s">
        <v>171</v>
      </c>
      <c r="D99" s="295"/>
      <c r="E99" s="303"/>
      <c r="F99" s="310">
        <v>13</v>
      </c>
      <c r="G99" s="293"/>
      <c r="I99" s="299"/>
      <c r="J99" s="299" t="s">
        <v>195</v>
      </c>
      <c r="K99" s="307"/>
    </row>
    <row r="100" spans="1:11" s="290" customFormat="1" x14ac:dyDescent="0.2">
      <c r="I100" s="299"/>
      <c r="J100" s="305" t="s">
        <v>265</v>
      </c>
      <c r="K100" s="299"/>
    </row>
    <row r="101" spans="1:11" s="290" customFormat="1" x14ac:dyDescent="0.2">
      <c r="F101" s="290" t="s">
        <v>164</v>
      </c>
      <c r="I101" s="301" t="s">
        <v>235</v>
      </c>
      <c r="J101" s="299"/>
      <c r="K101" s="299"/>
    </row>
    <row r="102" spans="1:11" s="290" customFormat="1" ht="13.5" thickBot="1" x14ac:dyDescent="0.25">
      <c r="F102" s="293"/>
      <c r="G102" s="293"/>
      <c r="H102" s="298"/>
      <c r="I102" s="307"/>
      <c r="J102" s="307" t="s">
        <v>172</v>
      </c>
      <c r="K102" s="307"/>
    </row>
    <row r="103" spans="1:11" s="290" customFormat="1" x14ac:dyDescent="0.2">
      <c r="F103" s="295" t="s">
        <v>172</v>
      </c>
      <c r="G103" s="295"/>
      <c r="H103" s="303"/>
      <c r="I103" s="296" t="s">
        <v>235</v>
      </c>
      <c r="J103" s="308" t="s">
        <v>268</v>
      </c>
      <c r="K103" s="299"/>
    </row>
    <row r="104" spans="1:11" s="290" customFormat="1" x14ac:dyDescent="0.2">
      <c r="J104" s="299"/>
      <c r="K104" s="299"/>
    </row>
    <row r="105" spans="1:11" s="290" customFormat="1" ht="13.5" thickBot="1" x14ac:dyDescent="0.25">
      <c r="G105" s="299"/>
      <c r="H105" s="299"/>
      <c r="J105" s="307" t="s">
        <v>164</v>
      </c>
      <c r="K105" s="307"/>
    </row>
    <row r="106" spans="1:11" s="290" customFormat="1" x14ac:dyDescent="0.2">
      <c r="G106" s="299"/>
      <c r="H106" s="299"/>
      <c r="J106" s="309" t="s">
        <v>268</v>
      </c>
    </row>
    <row r="107" spans="1:11" s="290" customFormat="1" x14ac:dyDescent="0.2">
      <c r="C107" s="296"/>
      <c r="G107" s="299"/>
      <c r="H107" s="299"/>
      <c r="J107" s="309"/>
    </row>
    <row r="108" spans="1:11" s="290" customFormat="1" x14ac:dyDescent="0.2">
      <c r="A108" s="289" t="s">
        <v>410</v>
      </c>
      <c r="G108" s="299"/>
      <c r="H108" s="299"/>
      <c r="J108" s="309"/>
    </row>
    <row r="110" spans="1:11" s="59" customFormat="1" x14ac:dyDescent="0.2">
      <c r="D110" s="252" t="s">
        <v>411</v>
      </c>
      <c r="E110" s="59" t="s">
        <v>161</v>
      </c>
      <c r="F110" s="253">
        <v>13</v>
      </c>
    </row>
    <row r="111" spans="1:11" s="59" customFormat="1" x14ac:dyDescent="0.2">
      <c r="D111" s="254"/>
      <c r="E111" s="255"/>
      <c r="F111" s="256" t="s">
        <v>161</v>
      </c>
      <c r="G111" s="257"/>
      <c r="H111" s="257"/>
      <c r="I111" s="253">
        <v>13</v>
      </c>
    </row>
    <row r="112" spans="1:11" s="59" customFormat="1" x14ac:dyDescent="0.2">
      <c r="D112" s="254" t="s">
        <v>412</v>
      </c>
      <c r="E112" s="257" t="s">
        <v>199</v>
      </c>
      <c r="F112" s="265">
        <v>8</v>
      </c>
      <c r="H112" s="259"/>
    </row>
    <row r="113" spans="1:11" s="59" customFormat="1" ht="13.5" thickBot="1" x14ac:dyDescent="0.25">
      <c r="D113" s="254"/>
      <c r="F113" s="64"/>
      <c r="H113" s="259"/>
      <c r="J113" s="59" t="s">
        <v>161</v>
      </c>
    </row>
    <row r="114" spans="1:11" s="59" customFormat="1" x14ac:dyDescent="0.2">
      <c r="D114" s="254" t="s">
        <v>413</v>
      </c>
      <c r="E114" s="59" t="s">
        <v>182</v>
      </c>
      <c r="F114" s="263">
        <v>13</v>
      </c>
      <c r="H114" s="259"/>
      <c r="I114" s="266"/>
      <c r="J114" s="267" t="s">
        <v>270</v>
      </c>
      <c r="K114" s="268"/>
    </row>
    <row r="115" spans="1:11" s="59" customFormat="1" x14ac:dyDescent="0.2">
      <c r="D115" s="254"/>
      <c r="E115" s="255"/>
      <c r="F115" s="260" t="s">
        <v>182</v>
      </c>
      <c r="H115" s="262"/>
      <c r="I115" s="263">
        <v>2</v>
      </c>
    </row>
    <row r="116" spans="1:11" s="59" customFormat="1" ht="13.5" thickBot="1" x14ac:dyDescent="0.25">
      <c r="D116" s="254" t="s">
        <v>414</v>
      </c>
      <c r="E116" s="257" t="s">
        <v>186</v>
      </c>
      <c r="F116" s="264">
        <v>11</v>
      </c>
      <c r="G116" s="255"/>
      <c r="I116" s="64"/>
      <c r="J116" s="64" t="s">
        <v>182</v>
      </c>
      <c r="K116" s="269"/>
    </row>
    <row r="117" spans="1:11" s="59" customFormat="1" x14ac:dyDescent="0.2">
      <c r="I117" s="64"/>
      <c r="J117" s="267" t="s">
        <v>318</v>
      </c>
      <c r="K117" s="64"/>
    </row>
    <row r="118" spans="1:11" s="59" customFormat="1" x14ac:dyDescent="0.2">
      <c r="F118" s="59" t="s">
        <v>199</v>
      </c>
      <c r="I118" s="263">
        <v>8</v>
      </c>
      <c r="J118" s="64"/>
      <c r="K118" s="64"/>
    </row>
    <row r="119" spans="1:11" s="59" customFormat="1" ht="13.5" thickBot="1" x14ac:dyDescent="0.25">
      <c r="F119" s="255"/>
      <c r="G119" s="255"/>
      <c r="H119" s="258"/>
      <c r="I119" s="269"/>
      <c r="J119" s="269" t="s">
        <v>186</v>
      </c>
      <c r="K119" s="269"/>
    </row>
    <row r="120" spans="1:11" s="59" customFormat="1" x14ac:dyDescent="0.2">
      <c r="F120" s="257" t="s">
        <v>186</v>
      </c>
      <c r="G120" s="257"/>
      <c r="H120" s="262"/>
      <c r="I120" s="253">
        <v>13</v>
      </c>
      <c r="J120" s="65" t="s">
        <v>319</v>
      </c>
      <c r="K120" s="64"/>
    </row>
    <row r="121" spans="1:11" s="59" customFormat="1" x14ac:dyDescent="0.2">
      <c r="J121" s="64"/>
      <c r="K121" s="64"/>
    </row>
    <row r="122" spans="1:11" s="59" customFormat="1" ht="13.5" thickBot="1" x14ac:dyDescent="0.25">
      <c r="G122" s="64"/>
      <c r="H122" s="64"/>
      <c r="J122" s="269" t="s">
        <v>199</v>
      </c>
      <c r="K122" s="269"/>
    </row>
    <row r="123" spans="1:11" s="59" customFormat="1" x14ac:dyDescent="0.2">
      <c r="G123" s="64"/>
      <c r="H123" s="64"/>
      <c r="J123" s="58" t="s">
        <v>320</v>
      </c>
    </row>
    <row r="125" spans="1:11" x14ac:dyDescent="0.2">
      <c r="A125" s="240">
        <v>1</v>
      </c>
      <c r="B125" s="285" t="s">
        <v>153</v>
      </c>
    </row>
    <row r="126" spans="1:11" x14ac:dyDescent="0.2">
      <c r="A126" s="240">
        <v>2</v>
      </c>
      <c r="B126" s="215" t="s">
        <v>155</v>
      </c>
    </row>
    <row r="127" spans="1:11" x14ac:dyDescent="0.2">
      <c r="A127" s="240">
        <v>3</v>
      </c>
      <c r="B127" s="216" t="s">
        <v>157</v>
      </c>
    </row>
    <row r="128" spans="1:11" x14ac:dyDescent="0.2">
      <c r="A128" s="240">
        <v>4</v>
      </c>
      <c r="B128" s="219" t="s">
        <v>174</v>
      </c>
    </row>
    <row r="129" spans="1:2" x14ac:dyDescent="0.2">
      <c r="A129" s="240">
        <v>5</v>
      </c>
      <c r="B129" s="219" t="s">
        <v>160</v>
      </c>
    </row>
    <row r="130" spans="1:2" x14ac:dyDescent="0.2">
      <c r="A130" s="240">
        <v>6</v>
      </c>
      <c r="B130" s="219" t="s">
        <v>158</v>
      </c>
    </row>
    <row r="131" spans="1:2" x14ac:dyDescent="0.2">
      <c r="A131" s="240">
        <v>7</v>
      </c>
      <c r="B131" s="219" t="s">
        <v>163</v>
      </c>
    </row>
    <row r="132" spans="1:2" x14ac:dyDescent="0.2">
      <c r="A132" s="240">
        <v>8</v>
      </c>
      <c r="B132" s="219" t="s">
        <v>156</v>
      </c>
    </row>
    <row r="133" spans="1:2" x14ac:dyDescent="0.2">
      <c r="A133" s="240">
        <v>9</v>
      </c>
      <c r="B133" s="219" t="s">
        <v>175</v>
      </c>
    </row>
    <row r="134" spans="1:2" x14ac:dyDescent="0.2">
      <c r="A134" s="240">
        <v>10</v>
      </c>
      <c r="B134" s="219" t="s">
        <v>166</v>
      </c>
    </row>
    <row r="135" spans="1:2" x14ac:dyDescent="0.2">
      <c r="A135" s="240">
        <v>11</v>
      </c>
      <c r="B135" s="219" t="s">
        <v>168</v>
      </c>
    </row>
    <row r="136" spans="1:2" x14ac:dyDescent="0.2">
      <c r="A136" s="240">
        <v>12</v>
      </c>
      <c r="B136" s="219" t="s">
        <v>159</v>
      </c>
    </row>
    <row r="137" spans="1:2" x14ac:dyDescent="0.2">
      <c r="A137" s="240">
        <v>13</v>
      </c>
      <c r="B137" s="219" t="s">
        <v>171</v>
      </c>
    </row>
    <row r="138" spans="1:2" x14ac:dyDescent="0.2">
      <c r="A138" s="240">
        <v>14</v>
      </c>
      <c r="B138" s="219" t="s">
        <v>195</v>
      </c>
    </row>
    <row r="139" spans="1:2" x14ac:dyDescent="0.2">
      <c r="A139" s="240">
        <v>15</v>
      </c>
      <c r="B139" s="219" t="s">
        <v>172</v>
      </c>
    </row>
    <row r="140" spans="1:2" x14ac:dyDescent="0.2">
      <c r="A140" s="240">
        <v>15</v>
      </c>
      <c r="B140" s="219" t="s">
        <v>164</v>
      </c>
    </row>
    <row r="141" spans="1:2" x14ac:dyDescent="0.2">
      <c r="A141" s="240">
        <v>17</v>
      </c>
      <c r="B141" s="219" t="s">
        <v>161</v>
      </c>
    </row>
    <row r="142" spans="1:2" x14ac:dyDescent="0.2">
      <c r="A142" s="240">
        <v>18</v>
      </c>
      <c r="B142" s="219" t="s">
        <v>182</v>
      </c>
    </row>
    <row r="143" spans="1:2" x14ac:dyDescent="0.2">
      <c r="A143" s="240">
        <v>19</v>
      </c>
      <c r="B143" s="219" t="s">
        <v>186</v>
      </c>
    </row>
    <row r="144" spans="1:2" x14ac:dyDescent="0.2">
      <c r="A144" s="240">
        <v>20</v>
      </c>
      <c r="B144" s="219" t="s">
        <v>199</v>
      </c>
    </row>
  </sheetData>
  <conditionalFormatting sqref="C7:I120">
    <cfRule type="cellIs" dxfId="157" priority="1" stopIfTrue="1" operator="equal">
      <formula>13</formula>
    </cfRule>
  </conditionalFormatting>
  <pageMargins left="0.39370078740157483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4" manualBreakCount="4">
    <brk id="32" max="16383" man="1"/>
    <brk id="69" max="16383" man="1"/>
    <brk id="106" max="16383" man="1"/>
    <brk id="15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07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J1" sqref="J1"/>
    </sheetView>
  </sheetViews>
  <sheetFormatPr defaultRowHeight="12.75" x14ac:dyDescent="0.2"/>
  <cols>
    <col min="1" max="1" width="3.28515625" style="59" customWidth="1"/>
    <col min="2" max="2" width="36.5703125" style="59" bestFit="1" customWidth="1"/>
    <col min="3" max="3" width="7.28515625" style="59" bestFit="1" customWidth="1"/>
    <col min="4" max="4" width="7.42578125" style="59" bestFit="1" customWidth="1"/>
    <col min="5" max="5" width="9.140625" style="59"/>
    <col min="6" max="6" width="6.7109375" style="59" bestFit="1" customWidth="1"/>
    <col min="7" max="7" width="5.140625" style="59" bestFit="1" customWidth="1"/>
    <col min="8" max="8" width="5.140625" style="59" customWidth="1"/>
    <col min="9" max="16384" width="9.140625" style="59"/>
  </cols>
  <sheetData>
    <row r="1" spans="1:9" s="134" customFormat="1" x14ac:dyDescent="0.2">
      <c r="A1" s="58" t="str">
        <f>UPPER((Kalend!E37)&amp;" - "&amp;(Kalend!C37)&amp;" - "&amp;(Kalend!D37))</f>
        <v>10 - K-JÄRVE 14. MV - TRIO</v>
      </c>
      <c r="F1" s="239" t="str">
        <f>HYPERLINK("#'Kalend'!I1","Kalender")</f>
        <v>Kalender</v>
      </c>
      <c r="G1" s="59"/>
      <c r="H1" s="239" t="str">
        <f>HYPERLINK("#'Reit'!G1","Reiting")</f>
        <v>Reiting</v>
      </c>
      <c r="I1" s="59"/>
    </row>
    <row r="2" spans="1:9" s="134" customFormat="1" x14ac:dyDescent="0.2">
      <c r="A2" s="59" t="str">
        <f>"Toimumisaeg: "&amp;(Kalend!A37)&amp;" kell "&amp;(Kalend!B37)</f>
        <v>Toimumisaeg: N, 27.08.2015 kell 18:00</v>
      </c>
    </row>
    <row r="3" spans="1:9" s="134" customFormat="1" x14ac:dyDescent="0.2">
      <c r="A3" s="59" t="str">
        <f>"Toimumiskoht: "&amp;(Kalend!F37)</f>
        <v>Toimumiskoht: K-Järve spordihoone</v>
      </c>
    </row>
    <row r="4" spans="1:9" s="134" customFormat="1" x14ac:dyDescent="0.2">
      <c r="A4" s="59" t="str">
        <f>"Korraldaja: "&amp;(Kalend!G37)</f>
        <v>Korraldaja: K-Järve SHK, Ivar Viljaste</v>
      </c>
    </row>
    <row r="6" spans="1:9" x14ac:dyDescent="0.2">
      <c r="A6" s="240" t="s">
        <v>217</v>
      </c>
      <c r="B6" s="240"/>
      <c r="C6" s="287" t="s">
        <v>218</v>
      </c>
      <c r="D6" s="287" t="s">
        <v>219</v>
      </c>
      <c r="E6" s="287" t="s">
        <v>220</v>
      </c>
      <c r="F6" s="287" t="s">
        <v>221</v>
      </c>
      <c r="G6" s="287" t="s">
        <v>222</v>
      </c>
    </row>
    <row r="7" spans="1:9" x14ac:dyDescent="0.2">
      <c r="A7" s="240">
        <v>1</v>
      </c>
      <c r="B7" s="198" t="s">
        <v>415</v>
      </c>
      <c r="C7" s="242">
        <v>13</v>
      </c>
      <c r="D7" s="242">
        <v>4</v>
      </c>
      <c r="E7" s="242"/>
      <c r="F7" s="242">
        <v>13</v>
      </c>
      <c r="G7" s="243" t="s">
        <v>226</v>
      </c>
    </row>
    <row r="8" spans="1:9" x14ac:dyDescent="0.2">
      <c r="A8" s="240">
        <v>2</v>
      </c>
      <c r="B8" s="59" t="s">
        <v>416</v>
      </c>
      <c r="C8" s="242">
        <v>2</v>
      </c>
      <c r="D8" s="242"/>
      <c r="E8" s="242">
        <v>13</v>
      </c>
      <c r="F8" s="242">
        <v>11</v>
      </c>
      <c r="G8" s="243" t="s">
        <v>225</v>
      </c>
    </row>
    <row r="9" spans="1:9" x14ac:dyDescent="0.2">
      <c r="A9" s="240">
        <v>3</v>
      </c>
      <c r="B9" s="198" t="s">
        <v>333</v>
      </c>
      <c r="C9" s="242">
        <v>13</v>
      </c>
      <c r="D9" s="242">
        <v>13</v>
      </c>
      <c r="E9" s="242"/>
      <c r="F9" s="242"/>
      <c r="G9" s="243" t="s">
        <v>224</v>
      </c>
    </row>
    <row r="10" spans="1:9" x14ac:dyDescent="0.2">
      <c r="A10" s="240">
        <v>4</v>
      </c>
      <c r="B10" s="288"/>
      <c r="C10" s="242">
        <v>0</v>
      </c>
      <c r="D10" s="242"/>
      <c r="E10" s="242">
        <v>0</v>
      </c>
      <c r="F10" s="242"/>
      <c r="G10" s="243"/>
    </row>
    <row r="11" spans="1:9" x14ac:dyDescent="0.2">
      <c r="A11" s="65"/>
      <c r="B11" s="64"/>
      <c r="C11" s="247"/>
      <c r="D11" s="247"/>
      <c r="E11" s="247"/>
      <c r="F11" s="248"/>
      <c r="G11" s="249"/>
    </row>
    <row r="12" spans="1:9" x14ac:dyDescent="0.2">
      <c r="A12" s="240" t="s">
        <v>227</v>
      </c>
      <c r="B12" s="240"/>
      <c r="C12" s="287" t="s">
        <v>218</v>
      </c>
      <c r="D12" s="287" t="s">
        <v>219</v>
      </c>
      <c r="E12" s="287" t="s">
        <v>220</v>
      </c>
      <c r="F12" s="287" t="s">
        <v>221</v>
      </c>
      <c r="G12" s="287" t="s">
        <v>222</v>
      </c>
    </row>
    <row r="13" spans="1:9" x14ac:dyDescent="0.2">
      <c r="A13" s="240">
        <v>1</v>
      </c>
      <c r="B13" s="198" t="s">
        <v>382</v>
      </c>
      <c r="C13" s="242">
        <v>13</v>
      </c>
      <c r="D13" s="242">
        <v>13</v>
      </c>
      <c r="E13" s="242"/>
      <c r="F13" s="242"/>
      <c r="G13" s="243" t="s">
        <v>224</v>
      </c>
    </row>
    <row r="14" spans="1:9" x14ac:dyDescent="0.2">
      <c r="A14" s="240">
        <v>2</v>
      </c>
      <c r="B14" s="198" t="s">
        <v>279</v>
      </c>
      <c r="C14" s="242">
        <v>13</v>
      </c>
      <c r="D14" s="242">
        <v>1</v>
      </c>
      <c r="E14" s="242"/>
      <c r="F14" s="242">
        <v>13</v>
      </c>
      <c r="G14" s="243" t="s">
        <v>226</v>
      </c>
    </row>
    <row r="15" spans="1:9" x14ac:dyDescent="0.2">
      <c r="A15" s="240">
        <v>3</v>
      </c>
      <c r="B15" s="198" t="s">
        <v>417</v>
      </c>
      <c r="C15" s="242">
        <v>11</v>
      </c>
      <c r="D15" s="242"/>
      <c r="E15" s="242">
        <v>13</v>
      </c>
      <c r="F15" s="242">
        <v>4</v>
      </c>
      <c r="G15" s="243" t="s">
        <v>225</v>
      </c>
    </row>
    <row r="16" spans="1:9" x14ac:dyDescent="0.2">
      <c r="A16" s="240">
        <v>4</v>
      </c>
      <c r="B16" s="288"/>
      <c r="C16" s="242">
        <v>0</v>
      </c>
      <c r="D16" s="242"/>
      <c r="E16" s="242">
        <v>0</v>
      </c>
      <c r="F16" s="242"/>
      <c r="G16" s="243"/>
    </row>
    <row r="20" spans="1:8" x14ac:dyDescent="0.2">
      <c r="A20" s="252" t="s">
        <v>241</v>
      </c>
      <c r="B20" s="59" t="s">
        <v>333</v>
      </c>
      <c r="C20" s="253">
        <v>12</v>
      </c>
    </row>
    <row r="21" spans="1:8" x14ac:dyDescent="0.2">
      <c r="A21" s="254"/>
      <c r="B21" s="255"/>
      <c r="C21" s="256" t="s">
        <v>279</v>
      </c>
      <c r="D21" s="257"/>
      <c r="F21" s="253">
        <v>9</v>
      </c>
    </row>
    <row r="22" spans="1:8" x14ac:dyDescent="0.2">
      <c r="A22" s="254" t="s">
        <v>242</v>
      </c>
      <c r="B22" s="257" t="s">
        <v>279</v>
      </c>
      <c r="C22" s="265">
        <v>13</v>
      </c>
      <c r="E22" s="258"/>
    </row>
    <row r="23" spans="1:8" ht="13.5" thickBot="1" x14ac:dyDescent="0.25">
      <c r="A23" s="254"/>
      <c r="D23" s="64"/>
      <c r="E23" s="259"/>
      <c r="G23" s="59" t="s">
        <v>382</v>
      </c>
    </row>
    <row r="24" spans="1:8" x14ac:dyDescent="0.2">
      <c r="A24" s="254" t="s">
        <v>232</v>
      </c>
      <c r="B24" s="59" t="s">
        <v>415</v>
      </c>
      <c r="C24" s="263">
        <v>12</v>
      </c>
      <c r="E24" s="259"/>
      <c r="F24" s="266"/>
      <c r="G24" s="267" t="s">
        <v>240</v>
      </c>
      <c r="H24" s="268"/>
    </row>
    <row r="25" spans="1:8" x14ac:dyDescent="0.2">
      <c r="A25" s="254"/>
      <c r="B25" s="255"/>
      <c r="C25" s="260" t="s">
        <v>382</v>
      </c>
      <c r="E25" s="262"/>
      <c r="F25" s="263">
        <v>13</v>
      </c>
    </row>
    <row r="26" spans="1:8" ht="13.5" thickBot="1" x14ac:dyDescent="0.25">
      <c r="A26" s="254" t="s">
        <v>233</v>
      </c>
      <c r="B26" s="257" t="s">
        <v>382</v>
      </c>
      <c r="C26" s="264">
        <v>13</v>
      </c>
      <c r="D26" s="255"/>
      <c r="F26" s="64"/>
      <c r="G26" s="64" t="s">
        <v>279</v>
      </c>
      <c r="H26" s="269"/>
    </row>
    <row r="27" spans="1:8" x14ac:dyDescent="0.2">
      <c r="A27" s="58"/>
      <c r="F27" s="64"/>
      <c r="G27" s="267" t="s">
        <v>244</v>
      </c>
      <c r="H27" s="64"/>
    </row>
    <row r="28" spans="1:8" x14ac:dyDescent="0.2">
      <c r="A28" s="58"/>
      <c r="C28" s="59" t="s">
        <v>333</v>
      </c>
      <c r="F28" s="263">
        <v>13</v>
      </c>
      <c r="G28" s="64"/>
      <c r="H28" s="64"/>
    </row>
    <row r="29" spans="1:8" ht="13.5" thickBot="1" x14ac:dyDescent="0.25">
      <c r="A29" s="58"/>
      <c r="C29" s="255"/>
      <c r="D29" s="255"/>
      <c r="E29" s="258"/>
      <c r="F29" s="269"/>
      <c r="G29" s="269" t="s">
        <v>333</v>
      </c>
      <c r="H29" s="269"/>
    </row>
    <row r="30" spans="1:8" x14ac:dyDescent="0.2">
      <c r="A30" s="58"/>
      <c r="C30" s="257" t="s">
        <v>415</v>
      </c>
      <c r="D30" s="257"/>
      <c r="E30" s="262"/>
      <c r="F30" s="253">
        <v>9</v>
      </c>
      <c r="G30" s="65" t="s">
        <v>247</v>
      </c>
      <c r="H30" s="64"/>
    </row>
    <row r="31" spans="1:8" x14ac:dyDescent="0.2">
      <c r="A31" s="58"/>
      <c r="G31" s="64"/>
      <c r="H31" s="64"/>
    </row>
    <row r="32" spans="1:8" ht="13.5" thickBot="1" x14ac:dyDescent="0.25">
      <c r="A32" s="58"/>
      <c r="D32" s="64"/>
      <c r="E32" s="64"/>
      <c r="G32" s="269" t="s">
        <v>415</v>
      </c>
      <c r="H32" s="269"/>
    </row>
    <row r="33" spans="1:8" x14ac:dyDescent="0.2">
      <c r="A33" s="58"/>
      <c r="D33" s="64"/>
      <c r="E33" s="64"/>
      <c r="G33" s="58" t="s">
        <v>248</v>
      </c>
    </row>
    <row r="34" spans="1:8" x14ac:dyDescent="0.2">
      <c r="A34" s="65"/>
      <c r="B34" s="375" t="s">
        <v>262</v>
      </c>
      <c r="C34" s="59" t="s">
        <v>416</v>
      </c>
      <c r="F34" s="263">
        <v>13</v>
      </c>
      <c r="G34" s="64"/>
      <c r="H34" s="64"/>
    </row>
    <row r="35" spans="1:8" ht="13.5" thickBot="1" x14ac:dyDescent="0.25">
      <c r="A35" s="374"/>
      <c r="B35" s="64"/>
      <c r="C35" s="255"/>
      <c r="D35" s="255"/>
      <c r="E35" s="258"/>
      <c r="F35" s="269"/>
      <c r="G35" s="269" t="s">
        <v>416</v>
      </c>
      <c r="H35" s="269"/>
    </row>
    <row r="36" spans="1:8" x14ac:dyDescent="0.2">
      <c r="A36" s="328"/>
      <c r="B36" s="375" t="s">
        <v>267</v>
      </c>
      <c r="C36" s="257" t="s">
        <v>417</v>
      </c>
      <c r="D36" s="257"/>
      <c r="E36" s="262"/>
      <c r="F36" s="253" t="s">
        <v>136</v>
      </c>
      <c r="G36" s="65" t="s">
        <v>250</v>
      </c>
      <c r="H36" s="64"/>
    </row>
    <row r="37" spans="1:8" x14ac:dyDescent="0.2">
      <c r="A37" s="328"/>
      <c r="B37" s="64"/>
      <c r="G37" s="64"/>
      <c r="H37" s="64"/>
    </row>
    <row r="38" spans="1:8" ht="13.5" thickBot="1" x14ac:dyDescent="0.25">
      <c r="A38" s="328"/>
      <c r="B38" s="64"/>
      <c r="D38" s="64"/>
      <c r="E38" s="64"/>
      <c r="G38" s="269" t="s">
        <v>417</v>
      </c>
      <c r="H38" s="269"/>
    </row>
    <row r="39" spans="1:8" x14ac:dyDescent="0.2">
      <c r="A39" s="328"/>
      <c r="B39" s="64"/>
      <c r="D39" s="64"/>
      <c r="E39" s="64"/>
      <c r="G39" s="58" t="s">
        <v>251</v>
      </c>
    </row>
    <row r="41" spans="1:8" x14ac:dyDescent="0.2">
      <c r="A41" s="240">
        <v>1</v>
      </c>
      <c r="B41" s="373" t="s">
        <v>382</v>
      </c>
    </row>
    <row r="42" spans="1:8" x14ac:dyDescent="0.2">
      <c r="A42" s="240">
        <v>2</v>
      </c>
      <c r="B42" s="215" t="s">
        <v>279</v>
      </c>
    </row>
    <row r="43" spans="1:8" x14ac:dyDescent="0.2">
      <c r="A43" s="240">
        <v>3</v>
      </c>
      <c r="B43" s="216" t="s">
        <v>333</v>
      </c>
    </row>
    <row r="44" spans="1:8" x14ac:dyDescent="0.2">
      <c r="A44" s="240">
        <v>4</v>
      </c>
      <c r="B44" s="198" t="s">
        <v>415</v>
      </c>
    </row>
    <row r="45" spans="1:8" x14ac:dyDescent="0.2">
      <c r="A45" s="240">
        <v>5</v>
      </c>
      <c r="B45" s="219" t="s">
        <v>416</v>
      </c>
    </row>
    <row r="46" spans="1:8" x14ac:dyDescent="0.2">
      <c r="A46" s="240">
        <v>6</v>
      </c>
      <c r="B46" s="219" t="s">
        <v>417</v>
      </c>
    </row>
    <row r="107" spans="3:3" x14ac:dyDescent="0.2">
      <c r="C107" s="253"/>
    </row>
  </sheetData>
  <conditionalFormatting sqref="C7:F36">
    <cfRule type="cellIs" dxfId="156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07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J1" sqref="J1"/>
    </sheetView>
  </sheetViews>
  <sheetFormatPr defaultRowHeight="12.75" x14ac:dyDescent="0.2"/>
  <cols>
    <col min="1" max="1" width="3.28515625" style="379" customWidth="1"/>
    <col min="2" max="2" width="31.28515625" style="379" bestFit="1" customWidth="1"/>
    <col min="3" max="3" width="7.28515625" style="379" customWidth="1"/>
    <col min="4" max="4" width="7.42578125" style="379" bestFit="1" customWidth="1"/>
    <col min="5" max="5" width="9.140625" style="379"/>
    <col min="6" max="6" width="6.7109375" style="379" customWidth="1"/>
    <col min="7" max="7" width="5.140625" style="379" bestFit="1" customWidth="1"/>
    <col min="8" max="16384" width="9.140625" style="379"/>
  </cols>
  <sheetData>
    <row r="1" spans="1:8" s="59" customFormat="1" x14ac:dyDescent="0.2">
      <c r="A1" s="58" t="str">
        <f>UPPER((Kalend!E41)&amp;" - "&amp;(Kalend!C41)&amp;" - "&amp;(Kalend!D41))</f>
        <v>11 - K-JÄRVE 16. MV - DUO</v>
      </c>
      <c r="F1" s="239" t="str">
        <f>HYPERLINK("#'Kalend'!I1","Kalender")</f>
        <v>Kalender</v>
      </c>
      <c r="H1" s="239" t="str">
        <f>HYPERLINK("#'Reit'!G1","Reiting")</f>
        <v>Reiting</v>
      </c>
    </row>
    <row r="2" spans="1:8" s="59" customFormat="1" x14ac:dyDescent="0.2">
      <c r="A2" s="59" t="str">
        <f>"Toimumisaeg: "&amp;(Kalend!A41)&amp;" kell "&amp;(Kalend!B41)</f>
        <v>Toimumisaeg: N, 10.09.2015 kell 18:00</v>
      </c>
    </row>
    <row r="3" spans="1:8" s="59" customFormat="1" x14ac:dyDescent="0.2">
      <c r="A3" s="59" t="str">
        <f>"Toimumiskoht: "&amp;(Kalend!F41)</f>
        <v>Toimumiskoht: K-Järve spordihoone</v>
      </c>
    </row>
    <row r="4" spans="1:8" s="59" customFormat="1" x14ac:dyDescent="0.2">
      <c r="A4" s="59" t="str">
        <f>"Korraldaja: "&amp;(Kalend!G41)</f>
        <v>Korraldaja: K-Järve SHK, Ivar Viljaste</v>
      </c>
    </row>
    <row r="5" spans="1:8" s="59" customFormat="1" x14ac:dyDescent="0.2">
      <c r="A5" s="65"/>
      <c r="B5" s="246"/>
      <c r="C5" s="248"/>
      <c r="D5" s="248"/>
      <c r="E5" s="248"/>
      <c r="F5" s="248"/>
      <c r="G5" s="312"/>
    </row>
    <row r="6" spans="1:8" s="59" customFormat="1" x14ac:dyDescent="0.2">
      <c r="A6" s="286" t="s">
        <v>418</v>
      </c>
    </row>
    <row r="7" spans="1:8" s="59" customFormat="1" x14ac:dyDescent="0.2"/>
    <row r="8" spans="1:8" s="59" customFormat="1" x14ac:dyDescent="0.2">
      <c r="A8" s="240" t="s">
        <v>217</v>
      </c>
      <c r="B8" s="240"/>
      <c r="C8" s="287" t="s">
        <v>218</v>
      </c>
      <c r="D8" s="287" t="s">
        <v>219</v>
      </c>
      <c r="E8" s="287" t="s">
        <v>220</v>
      </c>
      <c r="F8" s="287" t="s">
        <v>221</v>
      </c>
      <c r="G8" s="287" t="s">
        <v>222</v>
      </c>
    </row>
    <row r="9" spans="1:8" s="59" customFormat="1" x14ac:dyDescent="0.2">
      <c r="A9" s="240">
        <v>1</v>
      </c>
      <c r="B9" s="198" t="s">
        <v>288</v>
      </c>
      <c r="C9" s="242">
        <v>13</v>
      </c>
      <c r="D9" s="242">
        <v>13</v>
      </c>
      <c r="E9" s="242"/>
      <c r="F9" s="242"/>
      <c r="G9" s="243" t="s">
        <v>224</v>
      </c>
    </row>
    <row r="10" spans="1:8" s="59" customFormat="1" x14ac:dyDescent="0.2">
      <c r="A10" s="240">
        <v>2</v>
      </c>
      <c r="B10" s="198" t="s">
        <v>303</v>
      </c>
      <c r="C10" s="242">
        <v>5</v>
      </c>
      <c r="D10" s="242"/>
      <c r="E10" s="242">
        <v>13</v>
      </c>
      <c r="F10" s="242">
        <v>4</v>
      </c>
      <c r="G10" s="243" t="s">
        <v>225</v>
      </c>
    </row>
    <row r="11" spans="1:8" s="59" customFormat="1" x14ac:dyDescent="0.2">
      <c r="A11" s="240">
        <v>3</v>
      </c>
      <c r="B11" s="198" t="s">
        <v>297</v>
      </c>
      <c r="C11" s="242">
        <v>13</v>
      </c>
      <c r="D11" s="242">
        <v>11</v>
      </c>
      <c r="E11" s="242"/>
      <c r="F11" s="242">
        <v>13</v>
      </c>
      <c r="G11" s="243" t="s">
        <v>226</v>
      </c>
    </row>
    <row r="12" spans="1:8" s="59" customFormat="1" x14ac:dyDescent="0.2">
      <c r="A12" s="240">
        <v>4</v>
      </c>
      <c r="B12" s="288"/>
      <c r="C12" s="242">
        <v>0</v>
      </c>
      <c r="D12" s="242"/>
      <c r="E12" s="242">
        <v>0</v>
      </c>
      <c r="F12" s="242"/>
      <c r="G12" s="243"/>
    </row>
    <row r="13" spans="1:8" s="59" customFormat="1" x14ac:dyDescent="0.2">
      <c r="A13" s="65"/>
      <c r="B13" s="64"/>
      <c r="C13" s="247"/>
      <c r="D13" s="247"/>
      <c r="E13" s="247"/>
      <c r="F13" s="248"/>
      <c r="G13" s="249"/>
    </row>
    <row r="14" spans="1:8" s="59" customFormat="1" x14ac:dyDescent="0.2">
      <c r="A14" s="240" t="s">
        <v>227</v>
      </c>
      <c r="B14" s="240"/>
      <c r="C14" s="287" t="s">
        <v>218</v>
      </c>
      <c r="D14" s="287" t="s">
        <v>219</v>
      </c>
      <c r="E14" s="287" t="s">
        <v>220</v>
      </c>
      <c r="F14" s="287" t="s">
        <v>221</v>
      </c>
      <c r="G14" s="287" t="s">
        <v>222</v>
      </c>
    </row>
    <row r="15" spans="1:8" s="59" customFormat="1" x14ac:dyDescent="0.2">
      <c r="A15" s="240">
        <v>1</v>
      </c>
      <c r="B15" s="198" t="s">
        <v>405</v>
      </c>
      <c r="C15" s="242">
        <v>13</v>
      </c>
      <c r="D15" s="242">
        <v>7</v>
      </c>
      <c r="E15" s="242"/>
      <c r="F15" s="245">
        <v>10</v>
      </c>
      <c r="G15" s="243" t="s">
        <v>226</v>
      </c>
    </row>
    <row r="16" spans="1:8" s="59" customFormat="1" x14ac:dyDescent="0.2">
      <c r="A16" s="240">
        <v>2</v>
      </c>
      <c r="B16" s="198" t="s">
        <v>292</v>
      </c>
      <c r="C16" s="242">
        <v>13</v>
      </c>
      <c r="D16" s="242">
        <v>13</v>
      </c>
      <c r="E16" s="242"/>
      <c r="F16" s="242"/>
      <c r="G16" s="243" t="s">
        <v>224</v>
      </c>
    </row>
    <row r="17" spans="1:9" s="59" customFormat="1" x14ac:dyDescent="0.2">
      <c r="A17" s="240">
        <v>3</v>
      </c>
      <c r="B17" s="198" t="s">
        <v>419</v>
      </c>
      <c r="C17" s="242">
        <v>8</v>
      </c>
      <c r="D17" s="242"/>
      <c r="E17" s="242">
        <v>13</v>
      </c>
      <c r="F17" s="242">
        <v>9</v>
      </c>
      <c r="G17" s="243" t="s">
        <v>225</v>
      </c>
    </row>
    <row r="18" spans="1:9" s="59" customFormat="1" x14ac:dyDescent="0.2">
      <c r="A18" s="240">
        <v>4</v>
      </c>
      <c r="B18" s="288" t="s">
        <v>420</v>
      </c>
      <c r="C18" s="242">
        <v>7</v>
      </c>
      <c r="D18" s="242"/>
      <c r="E18" s="242">
        <v>3</v>
      </c>
      <c r="F18" s="242"/>
      <c r="G18" s="243" t="s">
        <v>276</v>
      </c>
    </row>
    <row r="19" spans="1:9" s="59" customFormat="1" x14ac:dyDescent="0.2"/>
    <row r="20" spans="1:9" s="59" customFormat="1" x14ac:dyDescent="0.2">
      <c r="A20" s="240" t="s">
        <v>229</v>
      </c>
      <c r="B20" s="240"/>
      <c r="C20" s="287" t="s">
        <v>218</v>
      </c>
      <c r="D20" s="287" t="s">
        <v>219</v>
      </c>
      <c r="E20" s="287" t="s">
        <v>220</v>
      </c>
      <c r="F20" s="287" t="s">
        <v>221</v>
      </c>
      <c r="G20" s="287" t="s">
        <v>222</v>
      </c>
    </row>
    <row r="21" spans="1:9" s="59" customFormat="1" x14ac:dyDescent="0.2">
      <c r="A21" s="240">
        <v>1</v>
      </c>
      <c r="B21" s="288" t="s">
        <v>401</v>
      </c>
      <c r="C21" s="242">
        <v>13</v>
      </c>
      <c r="D21" s="242">
        <v>7</v>
      </c>
      <c r="E21" s="242"/>
      <c r="F21" s="242">
        <v>13</v>
      </c>
      <c r="G21" s="243" t="s">
        <v>226</v>
      </c>
    </row>
    <row r="22" spans="1:9" s="59" customFormat="1" x14ac:dyDescent="0.2">
      <c r="A22" s="240">
        <v>2</v>
      </c>
      <c r="B22" s="198" t="s">
        <v>279</v>
      </c>
      <c r="C22" s="242">
        <v>13</v>
      </c>
      <c r="D22" s="245">
        <v>11</v>
      </c>
      <c r="E22" s="242"/>
      <c r="F22" s="242"/>
      <c r="G22" s="243" t="s">
        <v>224</v>
      </c>
    </row>
    <row r="23" spans="1:9" s="59" customFormat="1" x14ac:dyDescent="0.2">
      <c r="A23" s="240">
        <v>3</v>
      </c>
      <c r="B23" s="241" t="s">
        <v>296</v>
      </c>
      <c r="C23" s="242">
        <v>11</v>
      </c>
      <c r="D23" s="242"/>
      <c r="E23" s="242">
        <v>13</v>
      </c>
      <c r="F23" s="242">
        <v>12</v>
      </c>
      <c r="G23" s="243" t="s">
        <v>225</v>
      </c>
    </row>
    <row r="24" spans="1:9" s="59" customFormat="1" x14ac:dyDescent="0.2">
      <c r="A24" s="240">
        <v>4</v>
      </c>
      <c r="B24" s="288"/>
      <c r="C24" s="242">
        <v>0</v>
      </c>
      <c r="D24" s="242"/>
      <c r="E24" s="242">
        <v>0</v>
      </c>
      <c r="F24" s="242"/>
      <c r="G24" s="243"/>
    </row>
    <row r="26" spans="1:9" s="290" customFormat="1" x14ac:dyDescent="0.2">
      <c r="A26" s="289" t="s">
        <v>407</v>
      </c>
    </row>
    <row r="27" spans="1:9" s="290" customFormat="1" x14ac:dyDescent="0.2">
      <c r="A27" s="289"/>
    </row>
    <row r="28" spans="1:9" s="290" customFormat="1" x14ac:dyDescent="0.2">
      <c r="A28" s="309" t="s">
        <v>241</v>
      </c>
      <c r="B28" s="290" t="s">
        <v>288</v>
      </c>
      <c r="C28" s="296">
        <v>13</v>
      </c>
    </row>
    <row r="29" spans="1:9" s="290" customFormat="1" x14ac:dyDescent="0.2">
      <c r="B29" s="293"/>
      <c r="C29" s="294" t="s">
        <v>288</v>
      </c>
      <c r="D29" s="295"/>
      <c r="F29" s="296">
        <v>13</v>
      </c>
    </row>
    <row r="30" spans="1:9" s="290" customFormat="1" x14ac:dyDescent="0.2">
      <c r="A30" s="309" t="s">
        <v>242</v>
      </c>
      <c r="B30" s="281" t="s">
        <v>405</v>
      </c>
      <c r="C30" s="297">
        <v>2</v>
      </c>
      <c r="E30" s="298"/>
    </row>
    <row r="31" spans="1:9" s="290" customFormat="1" x14ac:dyDescent="0.2">
      <c r="D31" s="299"/>
      <c r="E31" s="300"/>
      <c r="F31" s="290" t="s">
        <v>288</v>
      </c>
      <c r="I31" s="296">
        <v>12</v>
      </c>
    </row>
    <row r="32" spans="1:9" s="290" customFormat="1" x14ac:dyDescent="0.2">
      <c r="A32" s="309" t="s">
        <v>246</v>
      </c>
      <c r="B32" s="282" t="s">
        <v>279</v>
      </c>
      <c r="C32" s="301">
        <v>13</v>
      </c>
      <c r="E32" s="300"/>
      <c r="F32" s="293"/>
      <c r="G32" s="293"/>
      <c r="H32" s="298"/>
    </row>
    <row r="33" spans="1:11" s="290" customFormat="1" x14ac:dyDescent="0.2">
      <c r="B33" s="293"/>
      <c r="C33" s="302" t="s">
        <v>279</v>
      </c>
      <c r="E33" s="303"/>
      <c r="F33" s="301">
        <v>0</v>
      </c>
      <c r="G33" s="299"/>
      <c r="H33" s="300"/>
    </row>
    <row r="34" spans="1:11" s="290" customFormat="1" x14ac:dyDescent="0.2">
      <c r="A34" s="309"/>
      <c r="B34" s="281" t="s">
        <v>235</v>
      </c>
      <c r="C34" s="310">
        <v>0</v>
      </c>
      <c r="D34" s="293"/>
      <c r="F34" s="299"/>
      <c r="G34" s="299"/>
      <c r="H34" s="300"/>
    </row>
    <row r="35" spans="1:11" s="290" customFormat="1" ht="13.5" thickBot="1" x14ac:dyDescent="0.25">
      <c r="F35" s="299"/>
      <c r="G35" s="299"/>
      <c r="H35" s="300"/>
      <c r="J35" s="290" t="s">
        <v>401</v>
      </c>
    </row>
    <row r="36" spans="1:11" s="290" customFormat="1" x14ac:dyDescent="0.2">
      <c r="A36" s="309" t="s">
        <v>236</v>
      </c>
      <c r="B36" s="290" t="s">
        <v>401</v>
      </c>
      <c r="C36" s="296">
        <v>13</v>
      </c>
      <c r="F36" s="299"/>
      <c r="G36" s="299"/>
      <c r="H36" s="300"/>
      <c r="I36" s="304"/>
      <c r="J36" s="305" t="s">
        <v>240</v>
      </c>
      <c r="K36" s="306"/>
    </row>
    <row r="37" spans="1:11" s="290" customFormat="1" x14ac:dyDescent="0.2">
      <c r="B37" s="293"/>
      <c r="C37" s="294" t="s">
        <v>401</v>
      </c>
      <c r="D37" s="295"/>
      <c r="F37" s="301">
        <v>13</v>
      </c>
      <c r="G37" s="299"/>
      <c r="H37" s="300"/>
    </row>
    <row r="38" spans="1:11" s="290" customFormat="1" ht="13.5" thickBot="1" x14ac:dyDescent="0.25">
      <c r="A38" s="309" t="s">
        <v>233</v>
      </c>
      <c r="B38" s="295" t="s">
        <v>297</v>
      </c>
      <c r="C38" s="297">
        <v>2</v>
      </c>
      <c r="E38" s="298"/>
      <c r="F38" s="299"/>
      <c r="G38" s="299"/>
      <c r="H38" s="300"/>
      <c r="J38" s="307" t="s">
        <v>288</v>
      </c>
      <c r="K38" s="307"/>
    </row>
    <row r="39" spans="1:11" s="290" customFormat="1" x14ac:dyDescent="0.2">
      <c r="D39" s="299"/>
      <c r="E39" s="300"/>
      <c r="F39" s="295" t="s">
        <v>401</v>
      </c>
      <c r="G39" s="295"/>
      <c r="H39" s="303"/>
      <c r="I39" s="296">
        <v>13</v>
      </c>
      <c r="J39" s="305" t="s">
        <v>244</v>
      </c>
    </row>
    <row r="40" spans="1:11" s="290" customFormat="1" x14ac:dyDescent="0.2">
      <c r="A40" s="309" t="s">
        <v>232</v>
      </c>
      <c r="B40" s="290" t="s">
        <v>292</v>
      </c>
      <c r="C40" s="301">
        <v>13</v>
      </c>
      <c r="E40" s="300"/>
    </row>
    <row r="41" spans="1:11" s="290" customFormat="1" x14ac:dyDescent="0.2">
      <c r="B41" s="293"/>
      <c r="C41" s="302" t="s">
        <v>292</v>
      </c>
      <c r="E41" s="303"/>
      <c r="F41" s="296">
        <v>9</v>
      </c>
    </row>
    <row r="42" spans="1:11" s="290" customFormat="1" x14ac:dyDescent="0.2">
      <c r="A42" s="309"/>
      <c r="B42" s="295" t="s">
        <v>235</v>
      </c>
      <c r="C42" s="310">
        <v>0</v>
      </c>
      <c r="D42" s="293"/>
    </row>
    <row r="43" spans="1:11" s="290" customFormat="1" x14ac:dyDescent="0.2">
      <c r="F43" s="290" t="s">
        <v>279</v>
      </c>
      <c r="I43" s="301">
        <v>4</v>
      </c>
      <c r="J43" s="299"/>
      <c r="K43" s="299"/>
    </row>
    <row r="44" spans="1:11" s="290" customFormat="1" ht="13.5" thickBot="1" x14ac:dyDescent="0.25">
      <c r="F44" s="293"/>
      <c r="G44" s="293"/>
      <c r="H44" s="298"/>
      <c r="I44" s="307"/>
      <c r="J44" s="307" t="s">
        <v>292</v>
      </c>
      <c r="K44" s="307"/>
    </row>
    <row r="45" spans="1:11" s="290" customFormat="1" x14ac:dyDescent="0.2">
      <c r="F45" s="295" t="s">
        <v>292</v>
      </c>
      <c r="G45" s="295"/>
      <c r="H45" s="303"/>
      <c r="I45" s="296">
        <v>13</v>
      </c>
      <c r="J45" s="308" t="s">
        <v>247</v>
      </c>
      <c r="K45" s="299"/>
    </row>
    <row r="46" spans="1:11" s="290" customFormat="1" x14ac:dyDescent="0.2">
      <c r="J46" s="299"/>
      <c r="K46" s="299"/>
    </row>
    <row r="47" spans="1:11" s="290" customFormat="1" ht="13.5" thickBot="1" x14ac:dyDescent="0.25">
      <c r="G47" s="299"/>
      <c r="H47" s="299"/>
      <c r="J47" s="307" t="s">
        <v>279</v>
      </c>
      <c r="K47" s="307"/>
    </row>
    <row r="48" spans="1:11" s="290" customFormat="1" x14ac:dyDescent="0.2">
      <c r="C48" s="290" t="s">
        <v>405</v>
      </c>
      <c r="F48" s="296">
        <v>13</v>
      </c>
      <c r="J48" s="309" t="s">
        <v>248</v>
      </c>
    </row>
    <row r="49" spans="1:11" s="290" customFormat="1" x14ac:dyDescent="0.2">
      <c r="C49" s="293"/>
      <c r="D49" s="293"/>
      <c r="E49" s="298"/>
      <c r="F49" s="294" t="s">
        <v>405</v>
      </c>
      <c r="G49" s="295"/>
      <c r="H49" s="295"/>
      <c r="I49" s="296">
        <v>13</v>
      </c>
    </row>
    <row r="50" spans="1:11" s="290" customFormat="1" x14ac:dyDescent="0.2">
      <c r="C50" s="295" t="s">
        <v>235</v>
      </c>
      <c r="D50" s="295"/>
      <c r="E50" s="303"/>
      <c r="F50" s="297">
        <v>0</v>
      </c>
      <c r="H50" s="300"/>
    </row>
    <row r="51" spans="1:11" s="290" customFormat="1" ht="13.5" thickBot="1" x14ac:dyDescent="0.25">
      <c r="F51" s="299"/>
      <c r="H51" s="300"/>
      <c r="J51" s="290" t="s">
        <v>405</v>
      </c>
    </row>
    <row r="52" spans="1:11" s="290" customFormat="1" x14ac:dyDescent="0.2">
      <c r="C52" s="290" t="s">
        <v>297</v>
      </c>
      <c r="F52" s="301">
        <v>13</v>
      </c>
      <c r="H52" s="300"/>
      <c r="I52" s="304"/>
      <c r="J52" s="305" t="s">
        <v>250</v>
      </c>
      <c r="K52" s="306"/>
    </row>
    <row r="53" spans="1:11" s="290" customFormat="1" x14ac:dyDescent="0.2">
      <c r="C53" s="293"/>
      <c r="D53" s="293"/>
      <c r="E53" s="298"/>
      <c r="F53" s="302" t="s">
        <v>297</v>
      </c>
      <c r="H53" s="303"/>
      <c r="I53" s="301">
        <v>0</v>
      </c>
    </row>
    <row r="54" spans="1:11" s="290" customFormat="1" ht="13.5" thickBot="1" x14ac:dyDescent="0.25">
      <c r="C54" s="295" t="s">
        <v>235</v>
      </c>
      <c r="D54" s="295"/>
      <c r="E54" s="303"/>
      <c r="F54" s="310">
        <v>0</v>
      </c>
      <c r="G54" s="293"/>
      <c r="I54" s="299"/>
      <c r="J54" s="299" t="s">
        <v>297</v>
      </c>
      <c r="K54" s="307"/>
    </row>
    <row r="55" spans="1:11" s="290" customFormat="1" x14ac:dyDescent="0.2">
      <c r="I55" s="299"/>
      <c r="J55" s="305" t="s">
        <v>251</v>
      </c>
      <c r="K55" s="299"/>
    </row>
    <row r="56" spans="1:11" s="290" customFormat="1" x14ac:dyDescent="0.2">
      <c r="F56" s="290" t="s">
        <v>235</v>
      </c>
      <c r="I56" s="301"/>
      <c r="J56" s="299"/>
      <c r="K56" s="299"/>
    </row>
    <row r="57" spans="1:11" s="290" customFormat="1" ht="13.5" thickBot="1" x14ac:dyDescent="0.25">
      <c r="F57" s="293"/>
      <c r="G57" s="293"/>
      <c r="H57" s="298"/>
      <c r="I57" s="307"/>
      <c r="J57" s="307"/>
      <c r="K57" s="307"/>
    </row>
    <row r="58" spans="1:11" s="290" customFormat="1" x14ac:dyDescent="0.2">
      <c r="F58" s="295" t="s">
        <v>235</v>
      </c>
      <c r="G58" s="295"/>
      <c r="H58" s="303"/>
      <c r="I58" s="296"/>
      <c r="J58" s="308"/>
      <c r="K58" s="299"/>
    </row>
    <row r="59" spans="1:11" s="290" customFormat="1" x14ac:dyDescent="0.2">
      <c r="J59" s="299"/>
      <c r="K59" s="299"/>
    </row>
    <row r="60" spans="1:11" s="290" customFormat="1" ht="13.5" thickBot="1" x14ac:dyDescent="0.25">
      <c r="G60" s="299"/>
      <c r="H60" s="299"/>
      <c r="J60" s="307"/>
      <c r="K60" s="307"/>
    </row>
    <row r="61" spans="1:11" s="290" customFormat="1" x14ac:dyDescent="0.2">
      <c r="G61" s="299"/>
      <c r="H61" s="299"/>
      <c r="J61" s="309"/>
    </row>
    <row r="62" spans="1:11" s="290" customFormat="1" x14ac:dyDescent="0.2"/>
    <row r="63" spans="1:11" s="290" customFormat="1" x14ac:dyDescent="0.2">
      <c r="A63" s="289" t="s">
        <v>408</v>
      </c>
    </row>
    <row r="64" spans="1:11" s="290" customFormat="1" x14ac:dyDescent="0.2">
      <c r="B64" s="291" t="s">
        <v>262</v>
      </c>
      <c r="C64" s="290" t="s">
        <v>303</v>
      </c>
      <c r="F64" s="296">
        <v>0</v>
      </c>
    </row>
    <row r="65" spans="1:11" s="290" customFormat="1" x14ac:dyDescent="0.2">
      <c r="C65" s="293"/>
      <c r="D65" s="293"/>
      <c r="E65" s="298"/>
      <c r="F65" s="294" t="s">
        <v>420</v>
      </c>
      <c r="G65" s="295"/>
      <c r="H65" s="295"/>
      <c r="I65" s="296">
        <v>9</v>
      </c>
    </row>
    <row r="66" spans="1:11" s="290" customFormat="1" x14ac:dyDescent="0.2">
      <c r="B66" s="291" t="s">
        <v>306</v>
      </c>
      <c r="C66" s="295" t="s">
        <v>420</v>
      </c>
      <c r="D66" s="295"/>
      <c r="E66" s="303"/>
      <c r="F66" s="297">
        <v>13</v>
      </c>
      <c r="H66" s="300"/>
    </row>
    <row r="67" spans="1:11" s="290" customFormat="1" ht="13.5" thickBot="1" x14ac:dyDescent="0.25">
      <c r="F67" s="299"/>
      <c r="H67" s="300"/>
      <c r="J67" s="290" t="s">
        <v>419</v>
      </c>
    </row>
    <row r="68" spans="1:11" s="290" customFormat="1" x14ac:dyDescent="0.2">
      <c r="B68" s="291" t="s">
        <v>264</v>
      </c>
      <c r="C68" s="290" t="s">
        <v>296</v>
      </c>
      <c r="F68" s="301">
        <v>9</v>
      </c>
      <c r="H68" s="300"/>
      <c r="I68" s="304"/>
      <c r="J68" s="305" t="s">
        <v>252</v>
      </c>
      <c r="K68" s="306"/>
    </row>
    <row r="69" spans="1:11" s="290" customFormat="1" x14ac:dyDescent="0.2">
      <c r="C69" s="293"/>
      <c r="D69" s="293"/>
      <c r="E69" s="298"/>
      <c r="F69" s="302" t="s">
        <v>419</v>
      </c>
      <c r="H69" s="303"/>
      <c r="I69" s="301">
        <v>13</v>
      </c>
    </row>
    <row r="70" spans="1:11" s="290" customFormat="1" ht="13.5" thickBot="1" x14ac:dyDescent="0.25">
      <c r="B70" s="291" t="s">
        <v>267</v>
      </c>
      <c r="C70" s="295" t="s">
        <v>419</v>
      </c>
      <c r="D70" s="295"/>
      <c r="E70" s="303"/>
      <c r="F70" s="310">
        <v>13</v>
      </c>
      <c r="G70" s="293"/>
      <c r="I70" s="299"/>
      <c r="J70" s="299" t="s">
        <v>420</v>
      </c>
      <c r="K70" s="307"/>
    </row>
    <row r="71" spans="1:11" s="290" customFormat="1" x14ac:dyDescent="0.2">
      <c r="I71" s="299"/>
      <c r="J71" s="305" t="s">
        <v>253</v>
      </c>
      <c r="K71" s="299"/>
    </row>
    <row r="72" spans="1:11" s="290" customFormat="1" x14ac:dyDescent="0.2">
      <c r="I72" s="299"/>
      <c r="J72" s="308"/>
      <c r="K72" s="299"/>
    </row>
    <row r="73" spans="1:11" s="290" customFormat="1" x14ac:dyDescent="0.2">
      <c r="F73" s="290" t="s">
        <v>303</v>
      </c>
      <c r="I73" s="301">
        <v>0</v>
      </c>
      <c r="J73" s="299"/>
      <c r="K73" s="299"/>
    </row>
    <row r="74" spans="1:11" s="290" customFormat="1" ht="13.5" thickBot="1" x14ac:dyDescent="0.25">
      <c r="F74" s="293"/>
      <c r="G74" s="293"/>
      <c r="H74" s="298"/>
      <c r="I74" s="307"/>
      <c r="J74" s="307" t="s">
        <v>296</v>
      </c>
      <c r="K74" s="307"/>
    </row>
    <row r="75" spans="1:11" s="290" customFormat="1" x14ac:dyDescent="0.2">
      <c r="F75" s="295" t="s">
        <v>296</v>
      </c>
      <c r="G75" s="295"/>
      <c r="H75" s="303"/>
      <c r="I75" s="296">
        <v>13</v>
      </c>
      <c r="J75" s="308" t="s">
        <v>255</v>
      </c>
      <c r="K75" s="299"/>
    </row>
    <row r="76" spans="1:11" s="290" customFormat="1" x14ac:dyDescent="0.2">
      <c r="J76" s="299"/>
      <c r="K76" s="299"/>
    </row>
    <row r="77" spans="1:11" s="290" customFormat="1" ht="13.5" thickBot="1" x14ac:dyDescent="0.25">
      <c r="G77" s="299"/>
      <c r="H77" s="299"/>
      <c r="J77" s="307" t="s">
        <v>303</v>
      </c>
      <c r="K77" s="307"/>
    </row>
    <row r="78" spans="1:11" s="290" customFormat="1" x14ac:dyDescent="0.2">
      <c r="G78" s="299"/>
      <c r="H78" s="299"/>
      <c r="J78" s="309" t="s">
        <v>256</v>
      </c>
    </row>
    <row r="79" spans="1:11" s="290" customFormat="1" x14ac:dyDescent="0.2"/>
    <row r="80" spans="1:11" s="290" customFormat="1" x14ac:dyDescent="0.2">
      <c r="A80" s="372">
        <v>1</v>
      </c>
      <c r="B80" s="373" t="s">
        <v>401</v>
      </c>
    </row>
    <row r="81" spans="1:4" s="290" customFormat="1" x14ac:dyDescent="0.2">
      <c r="A81" s="372">
        <v>2</v>
      </c>
      <c r="B81" s="322" t="s">
        <v>288</v>
      </c>
    </row>
    <row r="82" spans="1:4" s="290" customFormat="1" x14ac:dyDescent="0.2">
      <c r="A82" s="372">
        <v>3</v>
      </c>
      <c r="B82" s="323" t="s">
        <v>292</v>
      </c>
    </row>
    <row r="83" spans="1:4" s="290" customFormat="1" x14ac:dyDescent="0.2">
      <c r="A83" s="372">
        <v>4</v>
      </c>
      <c r="B83" s="208" t="s">
        <v>279</v>
      </c>
    </row>
    <row r="84" spans="1:4" s="290" customFormat="1" x14ac:dyDescent="0.2">
      <c r="A84" s="372">
        <v>5</v>
      </c>
      <c r="B84" s="208" t="s">
        <v>405</v>
      </c>
    </row>
    <row r="85" spans="1:4" s="290" customFormat="1" x14ac:dyDescent="0.2">
      <c r="A85" s="372">
        <v>6</v>
      </c>
      <c r="B85" s="208" t="s">
        <v>297</v>
      </c>
    </row>
    <row r="86" spans="1:4" s="290" customFormat="1" x14ac:dyDescent="0.2">
      <c r="A86" s="372">
        <v>7</v>
      </c>
      <c r="B86" s="208" t="s">
        <v>419</v>
      </c>
    </row>
    <row r="87" spans="1:4" s="290" customFormat="1" x14ac:dyDescent="0.2">
      <c r="A87" s="372">
        <v>8</v>
      </c>
      <c r="B87" s="208" t="s">
        <v>420</v>
      </c>
    </row>
    <row r="88" spans="1:4" s="290" customFormat="1" x14ac:dyDescent="0.2">
      <c r="A88" s="372">
        <v>9</v>
      </c>
      <c r="B88" s="198" t="s">
        <v>296</v>
      </c>
      <c r="D88" s="311"/>
    </row>
    <row r="89" spans="1:4" s="290" customFormat="1" x14ac:dyDescent="0.2">
      <c r="A89" s="372">
        <v>10</v>
      </c>
      <c r="B89" s="198" t="s">
        <v>303</v>
      </c>
      <c r="D89" s="311"/>
    </row>
    <row r="107" spans="3:3" x14ac:dyDescent="0.2">
      <c r="C107" s="378"/>
    </row>
  </sheetData>
  <conditionalFormatting sqref="C9:I75">
    <cfRule type="cellIs" dxfId="155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2" manualBreakCount="2">
    <brk id="24" max="16383" man="1"/>
    <brk id="6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97"/>
  <sheetViews>
    <sheetView showGridLines="0" zoomScaleNormal="100" workbookViewId="0">
      <pane ySplit="7" topLeftCell="A8" activePane="bottomLeft" state="frozen"/>
      <selection pane="bottomLeft" activeCell="W1" sqref="W1"/>
    </sheetView>
  </sheetViews>
  <sheetFormatPr defaultRowHeight="12.75" x14ac:dyDescent="0.2"/>
  <cols>
    <col min="1" max="1" width="3" style="379" customWidth="1"/>
    <col min="2" max="2" width="18.7109375" style="379" bestFit="1" customWidth="1"/>
    <col min="3" max="22" width="2.85546875" style="379" customWidth="1"/>
    <col min="23" max="23" width="3" style="379" bestFit="1" customWidth="1"/>
    <col min="24" max="24" width="10.5703125" style="379" customWidth="1"/>
    <col min="25" max="16384" width="9.140625" style="379"/>
  </cols>
  <sheetData>
    <row r="1" spans="1:24" s="380" customFormat="1" x14ac:dyDescent="0.2">
      <c r="A1" s="58" t="str">
        <f>UPPER((Kalend!E43)&amp;" - "&amp;(Kalend!C43)&amp;" - "&amp;(Kalend!D43))</f>
        <v>12,T6 - IVARI KARIKAS, NELJAPÄEVAK 6 - TULISTAMINE</v>
      </c>
      <c r="N1" s="239" t="str">
        <f>HYPERLINK("#'Kalend'!I1","Kalender")</f>
        <v>Kalender</v>
      </c>
      <c r="O1" s="59"/>
      <c r="Q1" s="59"/>
      <c r="R1" s="239" t="str">
        <f>HYPERLINK("#'Reit'!G1","Reiting")</f>
        <v>Reiting</v>
      </c>
      <c r="S1" s="59"/>
      <c r="U1" s="381"/>
    </row>
    <row r="2" spans="1:24" s="380" customFormat="1" x14ac:dyDescent="0.2">
      <c r="A2" s="59" t="str">
        <f>"Toimumisaeg: "&amp;(Kalend!A43)&amp;" kell "&amp;(Kalend!B43)</f>
        <v>Toimumisaeg: P, 20.09.2015 kell 12:00</v>
      </c>
    </row>
    <row r="3" spans="1:24" s="380" customFormat="1" x14ac:dyDescent="0.2">
      <c r="A3" s="59" t="str">
        <f>"Toimumiskoht: "&amp;(Kalend!F43)</f>
        <v>Toimumiskoht: K-Järve spordihoone</v>
      </c>
    </row>
    <row r="4" spans="1:24" s="380" customFormat="1" x14ac:dyDescent="0.2">
      <c r="A4" s="59" t="str">
        <f>"Korraldaja: "&amp;(Kalend!G43)</f>
        <v>Korraldaja: K-Järve SHK, Ivar Viljaste</v>
      </c>
    </row>
    <row r="5" spans="1:24" s="380" customFormat="1" ht="13.5" thickBot="1" x14ac:dyDescent="0.25"/>
    <row r="6" spans="1:24" ht="63.75" customHeight="1" thickBot="1" x14ac:dyDescent="0.25">
      <c r="A6" s="648"/>
      <c r="B6" s="658"/>
      <c r="C6" s="657"/>
      <c r="D6" s="657"/>
      <c r="E6" s="657"/>
      <c r="F6" s="657"/>
      <c r="G6" s="659"/>
      <c r="H6" s="657"/>
      <c r="I6" s="657"/>
      <c r="J6" s="660"/>
      <c r="K6" s="657"/>
      <c r="L6" s="657"/>
      <c r="M6" s="657"/>
      <c r="N6" s="657"/>
      <c r="O6" s="659"/>
      <c r="P6" s="657"/>
      <c r="Q6" s="657"/>
      <c r="R6" s="660"/>
      <c r="S6" s="657"/>
      <c r="T6" s="657"/>
      <c r="U6" s="657"/>
      <c r="V6" s="657"/>
      <c r="W6" s="661"/>
      <c r="X6" s="661"/>
    </row>
    <row r="7" spans="1:24" s="309" customFormat="1" ht="13.5" thickBot="1" x14ac:dyDescent="0.25">
      <c r="A7" s="668"/>
      <c r="B7" s="662"/>
      <c r="C7" s="663">
        <v>6</v>
      </c>
      <c r="D7" s="664">
        <v>7</v>
      </c>
      <c r="E7" s="664">
        <v>8</v>
      </c>
      <c r="F7" s="665">
        <v>9</v>
      </c>
      <c r="G7" s="663">
        <v>6</v>
      </c>
      <c r="H7" s="664">
        <v>7</v>
      </c>
      <c r="I7" s="664">
        <v>8</v>
      </c>
      <c r="J7" s="665">
        <v>9</v>
      </c>
      <c r="K7" s="663">
        <v>6</v>
      </c>
      <c r="L7" s="664">
        <v>7</v>
      </c>
      <c r="M7" s="664">
        <v>8</v>
      </c>
      <c r="N7" s="665">
        <v>9</v>
      </c>
      <c r="O7" s="663">
        <v>6</v>
      </c>
      <c r="P7" s="664">
        <v>7</v>
      </c>
      <c r="Q7" s="664">
        <v>8</v>
      </c>
      <c r="R7" s="665">
        <v>9</v>
      </c>
      <c r="S7" s="663">
        <v>6</v>
      </c>
      <c r="T7" s="664">
        <v>7</v>
      </c>
      <c r="U7" s="664">
        <v>8</v>
      </c>
      <c r="V7" s="665">
        <v>9</v>
      </c>
      <c r="W7" s="666" t="s">
        <v>148</v>
      </c>
      <c r="X7" s="667" t="s">
        <v>580</v>
      </c>
    </row>
    <row r="8" spans="1:24" s="290" customFormat="1" x14ac:dyDescent="0.2">
      <c r="A8" s="669"/>
      <c r="B8" s="656" t="s">
        <v>579</v>
      </c>
      <c r="C8" s="650"/>
      <c r="D8" s="651"/>
      <c r="E8" s="651"/>
      <c r="F8" s="652"/>
      <c r="G8" s="650"/>
      <c r="H8" s="651"/>
      <c r="I8" s="651"/>
      <c r="J8" s="652"/>
      <c r="K8" s="650"/>
      <c r="L8" s="651"/>
      <c r="M8" s="651"/>
      <c r="N8" s="652"/>
      <c r="O8" s="650"/>
      <c r="P8" s="651"/>
      <c r="Q8" s="651"/>
      <c r="R8" s="652"/>
      <c r="S8" s="650"/>
      <c r="T8" s="651"/>
      <c r="U8" s="651"/>
      <c r="V8" s="652"/>
      <c r="W8" s="669"/>
      <c r="X8" s="654"/>
    </row>
    <row r="9" spans="1:24" s="290" customFormat="1" x14ac:dyDescent="0.2">
      <c r="A9" s="389">
        <v>1</v>
      </c>
      <c r="B9" s="390" t="s">
        <v>162</v>
      </c>
      <c r="C9" s="391">
        <v>0</v>
      </c>
      <c r="D9" s="392">
        <v>5</v>
      </c>
      <c r="E9" s="392">
        <v>0</v>
      </c>
      <c r="F9" s="393">
        <v>0</v>
      </c>
      <c r="G9" s="391">
        <v>0</v>
      </c>
      <c r="H9" s="392">
        <v>0</v>
      </c>
      <c r="I9" s="392">
        <v>0</v>
      </c>
      <c r="J9" s="393">
        <v>0</v>
      </c>
      <c r="K9" s="391">
        <v>1</v>
      </c>
      <c r="L9" s="392">
        <v>1</v>
      </c>
      <c r="M9" s="392">
        <v>0</v>
      </c>
      <c r="N9" s="393">
        <v>0</v>
      </c>
      <c r="O9" s="391">
        <v>0</v>
      </c>
      <c r="P9" s="392">
        <v>3</v>
      </c>
      <c r="Q9" s="392">
        <v>0</v>
      </c>
      <c r="R9" s="393">
        <v>0</v>
      </c>
      <c r="S9" s="391">
        <v>0</v>
      </c>
      <c r="T9" s="392">
        <v>0</v>
      </c>
      <c r="U9" s="392">
        <v>0</v>
      </c>
      <c r="V9" s="393">
        <v>0</v>
      </c>
      <c r="W9" s="394">
        <f t="shared" ref="W9:W24" si="0">SUM(C9:V9)</f>
        <v>10</v>
      </c>
      <c r="X9" s="395">
        <v>11</v>
      </c>
    </row>
    <row r="10" spans="1:24" s="290" customFormat="1" x14ac:dyDescent="0.2">
      <c r="A10" s="389">
        <v>2</v>
      </c>
      <c r="B10" s="396" t="s">
        <v>160</v>
      </c>
      <c r="C10" s="391">
        <v>0</v>
      </c>
      <c r="D10" s="392">
        <v>5</v>
      </c>
      <c r="E10" s="392">
        <v>3</v>
      </c>
      <c r="F10" s="393">
        <v>0</v>
      </c>
      <c r="G10" s="391">
        <v>0</v>
      </c>
      <c r="H10" s="392">
        <v>0</v>
      </c>
      <c r="I10" s="392">
        <v>0</v>
      </c>
      <c r="J10" s="393">
        <v>0</v>
      </c>
      <c r="K10" s="391">
        <v>0</v>
      </c>
      <c r="L10" s="392">
        <v>1</v>
      </c>
      <c r="M10" s="392">
        <v>0</v>
      </c>
      <c r="N10" s="393">
        <v>0</v>
      </c>
      <c r="O10" s="391">
        <v>0</v>
      </c>
      <c r="P10" s="392">
        <v>0</v>
      </c>
      <c r="Q10" s="392">
        <v>0</v>
      </c>
      <c r="R10" s="393">
        <v>0</v>
      </c>
      <c r="S10" s="391">
        <v>5</v>
      </c>
      <c r="T10" s="392">
        <v>0</v>
      </c>
      <c r="U10" s="392">
        <v>0</v>
      </c>
      <c r="V10" s="393">
        <v>0</v>
      </c>
      <c r="W10" s="394">
        <f t="shared" si="0"/>
        <v>14</v>
      </c>
      <c r="X10" s="394" t="s">
        <v>421</v>
      </c>
    </row>
    <row r="11" spans="1:24" s="290" customFormat="1" x14ac:dyDescent="0.2">
      <c r="A11" s="384">
        <v>3</v>
      </c>
      <c r="B11" s="397" t="s">
        <v>155</v>
      </c>
      <c r="C11" s="398">
        <v>0</v>
      </c>
      <c r="D11" s="399">
        <v>5</v>
      </c>
      <c r="E11" s="399">
        <v>0</v>
      </c>
      <c r="F11" s="400">
        <v>0</v>
      </c>
      <c r="G11" s="398">
        <v>0</v>
      </c>
      <c r="H11" s="399">
        <v>0</v>
      </c>
      <c r="I11" s="399">
        <v>0</v>
      </c>
      <c r="J11" s="400">
        <v>0</v>
      </c>
      <c r="K11" s="398">
        <v>1</v>
      </c>
      <c r="L11" s="399">
        <v>0</v>
      </c>
      <c r="M11" s="399">
        <v>0</v>
      </c>
      <c r="N11" s="400">
        <v>0</v>
      </c>
      <c r="O11" s="398">
        <v>0</v>
      </c>
      <c r="P11" s="399">
        <v>0</v>
      </c>
      <c r="Q11" s="399">
        <v>0</v>
      </c>
      <c r="R11" s="400">
        <v>0</v>
      </c>
      <c r="S11" s="398">
        <v>0</v>
      </c>
      <c r="T11" s="399">
        <v>0</v>
      </c>
      <c r="U11" s="399">
        <v>0</v>
      </c>
      <c r="V11" s="400">
        <v>0</v>
      </c>
      <c r="W11" s="401">
        <f t="shared" si="0"/>
        <v>6</v>
      </c>
      <c r="X11" s="402">
        <v>13</v>
      </c>
    </row>
    <row r="12" spans="1:24" s="290" customFormat="1" x14ac:dyDescent="0.2">
      <c r="A12" s="384">
        <v>4</v>
      </c>
      <c r="B12" s="403" t="s">
        <v>181</v>
      </c>
      <c r="C12" s="398">
        <v>3</v>
      </c>
      <c r="D12" s="399">
        <v>0</v>
      </c>
      <c r="E12" s="399">
        <v>0</v>
      </c>
      <c r="F12" s="400">
        <v>0</v>
      </c>
      <c r="G12" s="398">
        <v>0</v>
      </c>
      <c r="H12" s="399">
        <v>1</v>
      </c>
      <c r="I12" s="399">
        <v>0</v>
      </c>
      <c r="J12" s="400">
        <v>0</v>
      </c>
      <c r="K12" s="398">
        <v>0</v>
      </c>
      <c r="L12" s="399">
        <v>3</v>
      </c>
      <c r="M12" s="399">
        <v>0</v>
      </c>
      <c r="N12" s="400">
        <v>0</v>
      </c>
      <c r="O12" s="398">
        <v>0</v>
      </c>
      <c r="P12" s="399">
        <v>3</v>
      </c>
      <c r="Q12" s="399">
        <v>3</v>
      </c>
      <c r="R12" s="400">
        <v>0</v>
      </c>
      <c r="S12" s="398">
        <v>0</v>
      </c>
      <c r="T12" s="399">
        <v>0</v>
      </c>
      <c r="U12" s="399">
        <v>0</v>
      </c>
      <c r="V12" s="400">
        <v>0</v>
      </c>
      <c r="W12" s="401">
        <f t="shared" si="0"/>
        <v>13</v>
      </c>
      <c r="X12" s="402">
        <v>9</v>
      </c>
    </row>
    <row r="13" spans="1:24" s="290" customFormat="1" x14ac:dyDescent="0.2">
      <c r="A13" s="389">
        <v>5</v>
      </c>
      <c r="B13" s="396" t="s">
        <v>161</v>
      </c>
      <c r="C13" s="391">
        <v>0</v>
      </c>
      <c r="D13" s="392">
        <v>0</v>
      </c>
      <c r="E13" s="392">
        <v>0</v>
      </c>
      <c r="F13" s="393">
        <v>5</v>
      </c>
      <c r="G13" s="391">
        <v>5</v>
      </c>
      <c r="H13" s="392">
        <v>0</v>
      </c>
      <c r="I13" s="392">
        <v>0</v>
      </c>
      <c r="J13" s="393">
        <v>0</v>
      </c>
      <c r="K13" s="391">
        <v>0</v>
      </c>
      <c r="L13" s="392">
        <v>1</v>
      </c>
      <c r="M13" s="392">
        <v>1</v>
      </c>
      <c r="N13" s="393">
        <v>0</v>
      </c>
      <c r="O13" s="391">
        <v>0</v>
      </c>
      <c r="P13" s="392">
        <v>5</v>
      </c>
      <c r="Q13" s="392">
        <v>0</v>
      </c>
      <c r="R13" s="393">
        <v>0</v>
      </c>
      <c r="S13" s="391">
        <v>5</v>
      </c>
      <c r="T13" s="392">
        <v>5</v>
      </c>
      <c r="U13" s="392">
        <v>0</v>
      </c>
      <c r="V13" s="393">
        <v>5</v>
      </c>
      <c r="W13" s="404">
        <f t="shared" si="0"/>
        <v>32</v>
      </c>
      <c r="X13" s="394" t="s">
        <v>422</v>
      </c>
    </row>
    <row r="14" spans="1:24" s="290" customFormat="1" x14ac:dyDescent="0.2">
      <c r="A14" s="389">
        <v>6</v>
      </c>
      <c r="B14" s="390" t="s">
        <v>166</v>
      </c>
      <c r="C14" s="391">
        <v>0</v>
      </c>
      <c r="D14" s="392">
        <v>0</v>
      </c>
      <c r="E14" s="392">
        <v>0</v>
      </c>
      <c r="F14" s="393">
        <v>0</v>
      </c>
      <c r="G14" s="391">
        <v>1</v>
      </c>
      <c r="H14" s="392">
        <v>0</v>
      </c>
      <c r="I14" s="392">
        <v>0</v>
      </c>
      <c r="J14" s="393">
        <v>0</v>
      </c>
      <c r="K14" s="391">
        <v>0</v>
      </c>
      <c r="L14" s="392">
        <v>3</v>
      </c>
      <c r="M14" s="392">
        <v>5</v>
      </c>
      <c r="N14" s="393">
        <v>0</v>
      </c>
      <c r="O14" s="391">
        <v>3</v>
      </c>
      <c r="P14" s="392">
        <v>0</v>
      </c>
      <c r="Q14" s="392">
        <v>0</v>
      </c>
      <c r="R14" s="393">
        <v>0</v>
      </c>
      <c r="S14" s="391">
        <v>0</v>
      </c>
      <c r="T14" s="392">
        <v>0</v>
      </c>
      <c r="U14" s="392">
        <v>0</v>
      </c>
      <c r="V14" s="393">
        <v>0</v>
      </c>
      <c r="W14" s="394">
        <f t="shared" si="0"/>
        <v>12</v>
      </c>
      <c r="X14" s="395">
        <v>10</v>
      </c>
    </row>
    <row r="15" spans="1:24" s="290" customFormat="1" x14ac:dyDescent="0.2">
      <c r="A15" s="384">
        <v>7</v>
      </c>
      <c r="B15" s="405" t="s">
        <v>172</v>
      </c>
      <c r="C15" s="398">
        <v>0</v>
      </c>
      <c r="D15" s="399">
        <v>0</v>
      </c>
      <c r="E15" s="399">
        <v>1</v>
      </c>
      <c r="F15" s="400">
        <v>0</v>
      </c>
      <c r="G15" s="398">
        <v>3</v>
      </c>
      <c r="H15" s="399">
        <v>0</v>
      </c>
      <c r="I15" s="399">
        <v>0</v>
      </c>
      <c r="J15" s="400">
        <v>0</v>
      </c>
      <c r="K15" s="398">
        <v>0</v>
      </c>
      <c r="L15" s="399">
        <v>1</v>
      </c>
      <c r="M15" s="399">
        <v>0</v>
      </c>
      <c r="N15" s="400">
        <v>0</v>
      </c>
      <c r="O15" s="398">
        <v>3</v>
      </c>
      <c r="P15" s="399">
        <v>3</v>
      </c>
      <c r="Q15" s="399">
        <v>3</v>
      </c>
      <c r="R15" s="400">
        <v>0</v>
      </c>
      <c r="S15" s="398">
        <v>0</v>
      </c>
      <c r="T15" s="399">
        <v>0</v>
      </c>
      <c r="U15" s="399">
        <v>3</v>
      </c>
      <c r="V15" s="400">
        <v>0</v>
      </c>
      <c r="W15" s="404">
        <f t="shared" si="0"/>
        <v>17</v>
      </c>
      <c r="X15" s="401" t="s">
        <v>423</v>
      </c>
    </row>
    <row r="16" spans="1:24" s="290" customFormat="1" x14ac:dyDescent="0.2">
      <c r="A16" s="384">
        <v>8</v>
      </c>
      <c r="B16" s="406" t="s">
        <v>157</v>
      </c>
      <c r="C16" s="398">
        <v>0</v>
      </c>
      <c r="D16" s="399">
        <v>1</v>
      </c>
      <c r="E16" s="399">
        <v>0</v>
      </c>
      <c r="F16" s="400">
        <v>5</v>
      </c>
      <c r="G16" s="398">
        <v>0</v>
      </c>
      <c r="H16" s="399">
        <v>1</v>
      </c>
      <c r="I16" s="399">
        <v>0</v>
      </c>
      <c r="J16" s="400">
        <v>0</v>
      </c>
      <c r="K16" s="398">
        <v>1</v>
      </c>
      <c r="L16" s="399">
        <v>0</v>
      </c>
      <c r="M16" s="399">
        <v>0</v>
      </c>
      <c r="N16" s="400">
        <v>0</v>
      </c>
      <c r="O16" s="398">
        <v>0</v>
      </c>
      <c r="P16" s="399">
        <v>0</v>
      </c>
      <c r="Q16" s="399">
        <v>0</v>
      </c>
      <c r="R16" s="400">
        <v>0</v>
      </c>
      <c r="S16" s="398">
        <v>0</v>
      </c>
      <c r="T16" s="399">
        <v>0</v>
      </c>
      <c r="U16" s="399">
        <v>0</v>
      </c>
      <c r="V16" s="400">
        <v>0</v>
      </c>
      <c r="W16" s="401">
        <f t="shared" si="0"/>
        <v>8</v>
      </c>
      <c r="X16" s="402">
        <v>12</v>
      </c>
    </row>
    <row r="17" spans="1:24" s="290" customFormat="1" x14ac:dyDescent="0.2">
      <c r="A17" s="389">
        <v>9</v>
      </c>
      <c r="B17" s="396" t="s">
        <v>159</v>
      </c>
      <c r="C17" s="391">
        <v>0</v>
      </c>
      <c r="D17" s="392">
        <v>0</v>
      </c>
      <c r="E17" s="392">
        <v>0</v>
      </c>
      <c r="F17" s="393">
        <v>5</v>
      </c>
      <c r="G17" s="391">
        <v>0</v>
      </c>
      <c r="H17" s="392">
        <v>3</v>
      </c>
      <c r="I17" s="392">
        <v>0</v>
      </c>
      <c r="J17" s="393">
        <v>0</v>
      </c>
      <c r="K17" s="391">
        <v>1</v>
      </c>
      <c r="L17" s="392">
        <v>1</v>
      </c>
      <c r="M17" s="392">
        <v>0</v>
      </c>
      <c r="N17" s="393">
        <v>0</v>
      </c>
      <c r="O17" s="391">
        <v>5</v>
      </c>
      <c r="P17" s="392">
        <v>0</v>
      </c>
      <c r="Q17" s="392">
        <v>0</v>
      </c>
      <c r="R17" s="393">
        <v>0</v>
      </c>
      <c r="S17" s="391">
        <v>0</v>
      </c>
      <c r="T17" s="392">
        <v>0</v>
      </c>
      <c r="U17" s="392">
        <v>3</v>
      </c>
      <c r="V17" s="393">
        <v>0</v>
      </c>
      <c r="W17" s="394">
        <f t="shared" si="0"/>
        <v>18</v>
      </c>
      <c r="X17" s="394" t="s">
        <v>424</v>
      </c>
    </row>
    <row r="18" spans="1:24" s="290" customFormat="1" x14ac:dyDescent="0.2">
      <c r="A18" s="389">
        <v>10</v>
      </c>
      <c r="B18" s="396" t="s">
        <v>158</v>
      </c>
      <c r="C18" s="391">
        <v>0</v>
      </c>
      <c r="D18" s="392">
        <v>3</v>
      </c>
      <c r="E18" s="392">
        <v>0</v>
      </c>
      <c r="F18" s="393">
        <v>0</v>
      </c>
      <c r="G18" s="391">
        <v>0</v>
      </c>
      <c r="H18" s="392">
        <v>0</v>
      </c>
      <c r="I18" s="392">
        <v>0</v>
      </c>
      <c r="J18" s="393">
        <v>0</v>
      </c>
      <c r="K18" s="391">
        <v>0</v>
      </c>
      <c r="L18" s="392">
        <v>1</v>
      </c>
      <c r="M18" s="392">
        <v>0</v>
      </c>
      <c r="N18" s="393">
        <v>0</v>
      </c>
      <c r="O18" s="391">
        <v>0</v>
      </c>
      <c r="P18" s="392">
        <v>1</v>
      </c>
      <c r="Q18" s="392">
        <v>0</v>
      </c>
      <c r="R18" s="393">
        <v>0</v>
      </c>
      <c r="S18" s="391">
        <v>0</v>
      </c>
      <c r="T18" s="392">
        <v>0</v>
      </c>
      <c r="U18" s="392">
        <v>0</v>
      </c>
      <c r="V18" s="393">
        <v>0</v>
      </c>
      <c r="W18" s="394">
        <f t="shared" si="0"/>
        <v>5</v>
      </c>
      <c r="X18" s="395">
        <v>14</v>
      </c>
    </row>
    <row r="19" spans="1:24" s="290" customFormat="1" x14ac:dyDescent="0.2">
      <c r="A19" s="384">
        <v>11</v>
      </c>
      <c r="B19" s="403" t="s">
        <v>165</v>
      </c>
      <c r="C19" s="398">
        <v>0</v>
      </c>
      <c r="D19" s="399">
        <v>0</v>
      </c>
      <c r="E19" s="399">
        <v>0</v>
      </c>
      <c r="F19" s="400">
        <v>0</v>
      </c>
      <c r="G19" s="398">
        <v>0</v>
      </c>
      <c r="H19" s="399">
        <v>0</v>
      </c>
      <c r="I19" s="399">
        <v>0</v>
      </c>
      <c r="J19" s="400">
        <v>0</v>
      </c>
      <c r="K19" s="398">
        <v>0</v>
      </c>
      <c r="L19" s="399">
        <v>0</v>
      </c>
      <c r="M19" s="399">
        <v>1</v>
      </c>
      <c r="N19" s="400">
        <v>0</v>
      </c>
      <c r="O19" s="398">
        <v>0</v>
      </c>
      <c r="P19" s="399">
        <v>3</v>
      </c>
      <c r="Q19" s="399">
        <v>0</v>
      </c>
      <c r="R19" s="400">
        <v>0</v>
      </c>
      <c r="S19" s="398">
        <v>0</v>
      </c>
      <c r="T19" s="399">
        <v>0</v>
      </c>
      <c r="U19" s="399">
        <v>0</v>
      </c>
      <c r="V19" s="400">
        <v>0</v>
      </c>
      <c r="W19" s="401">
        <f t="shared" si="0"/>
        <v>4</v>
      </c>
      <c r="X19" s="402">
        <v>15</v>
      </c>
    </row>
    <row r="20" spans="1:24" x14ac:dyDescent="0.2">
      <c r="A20" s="384">
        <v>12</v>
      </c>
      <c r="B20" s="406" t="s">
        <v>169</v>
      </c>
      <c r="C20" s="398">
        <v>0</v>
      </c>
      <c r="D20" s="399">
        <v>0</v>
      </c>
      <c r="E20" s="399">
        <v>3</v>
      </c>
      <c r="F20" s="400">
        <v>0</v>
      </c>
      <c r="G20" s="398">
        <v>0</v>
      </c>
      <c r="H20" s="399">
        <v>3</v>
      </c>
      <c r="I20" s="399">
        <v>0</v>
      </c>
      <c r="J20" s="400">
        <v>0</v>
      </c>
      <c r="K20" s="398">
        <v>1</v>
      </c>
      <c r="L20" s="399">
        <v>0</v>
      </c>
      <c r="M20" s="399">
        <v>3</v>
      </c>
      <c r="N20" s="400">
        <v>0</v>
      </c>
      <c r="O20" s="398">
        <v>1</v>
      </c>
      <c r="P20" s="399">
        <v>0</v>
      </c>
      <c r="Q20" s="399">
        <v>0</v>
      </c>
      <c r="R20" s="400">
        <v>3</v>
      </c>
      <c r="S20" s="398">
        <v>5</v>
      </c>
      <c r="T20" s="399">
        <v>0</v>
      </c>
      <c r="U20" s="399">
        <v>5</v>
      </c>
      <c r="V20" s="400">
        <v>0</v>
      </c>
      <c r="W20" s="404">
        <f t="shared" si="0"/>
        <v>24</v>
      </c>
      <c r="X20" s="401" t="s">
        <v>425</v>
      </c>
    </row>
    <row r="21" spans="1:24" s="290" customFormat="1" x14ac:dyDescent="0.2">
      <c r="A21" s="389">
        <v>13</v>
      </c>
      <c r="B21" s="396" t="s">
        <v>164</v>
      </c>
      <c r="C21" s="391">
        <v>0</v>
      </c>
      <c r="D21" s="392">
        <v>0</v>
      </c>
      <c r="E21" s="392">
        <v>0</v>
      </c>
      <c r="F21" s="393">
        <v>0</v>
      </c>
      <c r="G21" s="391">
        <v>3</v>
      </c>
      <c r="H21" s="392">
        <v>1</v>
      </c>
      <c r="I21" s="392">
        <v>1</v>
      </c>
      <c r="J21" s="393">
        <v>0</v>
      </c>
      <c r="K21" s="391">
        <v>1</v>
      </c>
      <c r="L21" s="392">
        <v>5</v>
      </c>
      <c r="M21" s="392">
        <v>1</v>
      </c>
      <c r="N21" s="393">
        <v>0</v>
      </c>
      <c r="O21" s="391">
        <v>3</v>
      </c>
      <c r="P21" s="392">
        <v>0</v>
      </c>
      <c r="Q21" s="392">
        <v>3</v>
      </c>
      <c r="R21" s="393">
        <v>0</v>
      </c>
      <c r="S21" s="391">
        <v>3</v>
      </c>
      <c r="T21" s="392">
        <v>0</v>
      </c>
      <c r="U21" s="392">
        <v>0</v>
      </c>
      <c r="V21" s="393">
        <v>5</v>
      </c>
      <c r="W21" s="394">
        <f t="shared" si="0"/>
        <v>26</v>
      </c>
      <c r="X21" s="394" t="s">
        <v>426</v>
      </c>
    </row>
    <row r="22" spans="1:24" s="290" customFormat="1" x14ac:dyDescent="0.2">
      <c r="A22" s="389">
        <v>14</v>
      </c>
      <c r="B22" s="396" t="s">
        <v>153</v>
      </c>
      <c r="C22" s="391">
        <v>1</v>
      </c>
      <c r="D22" s="392">
        <v>3</v>
      </c>
      <c r="E22" s="392">
        <v>3</v>
      </c>
      <c r="F22" s="393">
        <v>1</v>
      </c>
      <c r="G22" s="391">
        <v>3</v>
      </c>
      <c r="H22" s="392">
        <v>0</v>
      </c>
      <c r="I22" s="392">
        <v>0</v>
      </c>
      <c r="J22" s="393">
        <v>3</v>
      </c>
      <c r="K22" s="391">
        <v>1</v>
      </c>
      <c r="L22" s="392">
        <v>3</v>
      </c>
      <c r="M22" s="392">
        <v>1</v>
      </c>
      <c r="N22" s="393">
        <v>3</v>
      </c>
      <c r="O22" s="391">
        <v>0</v>
      </c>
      <c r="P22" s="392">
        <v>0</v>
      </c>
      <c r="Q22" s="392">
        <v>0</v>
      </c>
      <c r="R22" s="393">
        <v>0</v>
      </c>
      <c r="S22" s="391">
        <v>5</v>
      </c>
      <c r="T22" s="392">
        <v>0</v>
      </c>
      <c r="U22" s="392">
        <v>0</v>
      </c>
      <c r="V22" s="393">
        <v>0</v>
      </c>
      <c r="W22" s="394">
        <f t="shared" si="0"/>
        <v>27</v>
      </c>
      <c r="X22" s="407" t="s">
        <v>427</v>
      </c>
    </row>
    <row r="23" spans="1:24" s="290" customFormat="1" x14ac:dyDescent="0.2">
      <c r="A23" s="384">
        <v>15</v>
      </c>
      <c r="B23" s="397" t="s">
        <v>170</v>
      </c>
      <c r="C23" s="398">
        <v>0</v>
      </c>
      <c r="D23" s="399">
        <v>0</v>
      </c>
      <c r="E23" s="399">
        <v>3</v>
      </c>
      <c r="F23" s="400">
        <v>0</v>
      </c>
      <c r="G23" s="398">
        <v>3</v>
      </c>
      <c r="H23" s="399">
        <v>0</v>
      </c>
      <c r="I23" s="399">
        <v>5</v>
      </c>
      <c r="J23" s="400">
        <v>1</v>
      </c>
      <c r="K23" s="398">
        <v>0</v>
      </c>
      <c r="L23" s="399">
        <v>3</v>
      </c>
      <c r="M23" s="399">
        <v>0</v>
      </c>
      <c r="N23" s="400">
        <v>1</v>
      </c>
      <c r="O23" s="398">
        <v>3</v>
      </c>
      <c r="P23" s="399">
        <v>0</v>
      </c>
      <c r="Q23" s="399">
        <v>0</v>
      </c>
      <c r="R23" s="400">
        <v>0</v>
      </c>
      <c r="S23" s="398">
        <v>0</v>
      </c>
      <c r="T23" s="399">
        <v>0</v>
      </c>
      <c r="U23" s="399">
        <v>0</v>
      </c>
      <c r="V23" s="400">
        <v>0</v>
      </c>
      <c r="W23" s="401">
        <f t="shared" si="0"/>
        <v>19</v>
      </c>
      <c r="X23" s="408" t="s">
        <v>428</v>
      </c>
    </row>
    <row r="24" spans="1:24" ht="13.5" thickBot="1" x14ac:dyDescent="0.25">
      <c r="A24" s="409">
        <v>16</v>
      </c>
      <c r="B24" s="410" t="s">
        <v>173</v>
      </c>
      <c r="C24" s="411">
        <v>0</v>
      </c>
      <c r="D24" s="412">
        <v>0</v>
      </c>
      <c r="E24" s="412">
        <v>0</v>
      </c>
      <c r="F24" s="413">
        <v>0</v>
      </c>
      <c r="G24" s="411">
        <v>0</v>
      </c>
      <c r="H24" s="412">
        <v>0</v>
      </c>
      <c r="I24" s="412">
        <v>0</v>
      </c>
      <c r="J24" s="413">
        <v>0</v>
      </c>
      <c r="K24" s="411">
        <v>0</v>
      </c>
      <c r="L24" s="412">
        <v>0</v>
      </c>
      <c r="M24" s="412">
        <v>0</v>
      </c>
      <c r="N24" s="413">
        <v>0</v>
      </c>
      <c r="O24" s="411">
        <v>0</v>
      </c>
      <c r="P24" s="412">
        <v>0</v>
      </c>
      <c r="Q24" s="412">
        <v>0</v>
      </c>
      <c r="R24" s="413">
        <v>0</v>
      </c>
      <c r="S24" s="411">
        <v>0</v>
      </c>
      <c r="T24" s="412">
        <v>0</v>
      </c>
      <c r="U24" s="412">
        <v>0</v>
      </c>
      <c r="V24" s="413">
        <v>0</v>
      </c>
      <c r="W24" s="414">
        <f t="shared" si="0"/>
        <v>0</v>
      </c>
      <c r="X24" s="415">
        <v>16</v>
      </c>
    </row>
    <row r="25" spans="1:24" x14ac:dyDescent="0.2">
      <c r="A25" s="382"/>
      <c r="B25" s="656" t="s">
        <v>429</v>
      </c>
      <c r="C25" s="650"/>
      <c r="D25" s="651"/>
      <c r="E25" s="651"/>
      <c r="F25" s="652"/>
      <c r="G25" s="650"/>
      <c r="H25" s="651"/>
      <c r="I25" s="651"/>
      <c r="J25" s="652"/>
      <c r="K25" s="650"/>
      <c r="L25" s="651"/>
      <c r="M25" s="651"/>
      <c r="N25" s="652"/>
      <c r="O25" s="650"/>
      <c r="P25" s="651"/>
      <c r="Q25" s="651"/>
      <c r="R25" s="652"/>
      <c r="S25" s="650"/>
      <c r="T25" s="651"/>
      <c r="U25" s="651"/>
      <c r="V25" s="652"/>
      <c r="W25" s="654"/>
      <c r="X25" s="654"/>
    </row>
    <row r="26" spans="1:24" x14ac:dyDescent="0.2">
      <c r="A26" s="670">
        <v>4</v>
      </c>
      <c r="B26" s="671" t="s">
        <v>169</v>
      </c>
      <c r="C26" s="672">
        <v>0</v>
      </c>
      <c r="D26" s="673">
        <v>3</v>
      </c>
      <c r="E26" s="673">
        <v>0</v>
      </c>
      <c r="F26" s="674">
        <v>0</v>
      </c>
      <c r="G26" s="672">
        <v>0</v>
      </c>
      <c r="H26" s="673">
        <v>0</v>
      </c>
      <c r="I26" s="673">
        <v>3</v>
      </c>
      <c r="J26" s="674">
        <v>0</v>
      </c>
      <c r="K26" s="672">
        <v>1</v>
      </c>
      <c r="L26" s="673">
        <v>0</v>
      </c>
      <c r="M26" s="673">
        <v>0</v>
      </c>
      <c r="N26" s="674">
        <v>0</v>
      </c>
      <c r="O26" s="672">
        <v>0</v>
      </c>
      <c r="P26" s="673">
        <v>0</v>
      </c>
      <c r="Q26" s="673">
        <v>0</v>
      </c>
      <c r="R26" s="674">
        <v>0</v>
      </c>
      <c r="S26" s="672">
        <v>0</v>
      </c>
      <c r="T26" s="673">
        <v>0</v>
      </c>
      <c r="U26" s="673">
        <v>0</v>
      </c>
      <c r="V26" s="674">
        <v>0</v>
      </c>
      <c r="W26" s="394">
        <f t="shared" ref="W26:W33" si="1">SUM(C26:V26)</f>
        <v>7</v>
      </c>
      <c r="X26" s="675">
        <v>7</v>
      </c>
    </row>
    <row r="27" spans="1:24" x14ac:dyDescent="0.2">
      <c r="A27" s="670">
        <v>5</v>
      </c>
      <c r="B27" s="390" t="s">
        <v>170</v>
      </c>
      <c r="C27" s="672">
        <v>1</v>
      </c>
      <c r="D27" s="673">
        <v>0</v>
      </c>
      <c r="E27" s="673">
        <v>0</v>
      </c>
      <c r="F27" s="674">
        <v>3</v>
      </c>
      <c r="G27" s="672">
        <v>0</v>
      </c>
      <c r="H27" s="673">
        <v>1</v>
      </c>
      <c r="I27" s="673">
        <v>0</v>
      </c>
      <c r="J27" s="674">
        <v>1</v>
      </c>
      <c r="K27" s="672">
        <v>1</v>
      </c>
      <c r="L27" s="673">
        <v>5</v>
      </c>
      <c r="M27" s="673">
        <v>0</v>
      </c>
      <c r="N27" s="674">
        <v>0</v>
      </c>
      <c r="O27" s="672">
        <v>0</v>
      </c>
      <c r="P27" s="673">
        <v>0</v>
      </c>
      <c r="Q27" s="673">
        <v>3</v>
      </c>
      <c r="R27" s="674">
        <v>0</v>
      </c>
      <c r="S27" s="672">
        <v>0</v>
      </c>
      <c r="T27" s="673">
        <v>0</v>
      </c>
      <c r="U27" s="673">
        <v>0</v>
      </c>
      <c r="V27" s="674">
        <v>0</v>
      </c>
      <c r="W27" s="394">
        <f t="shared" si="1"/>
        <v>15</v>
      </c>
      <c r="X27" s="676" t="s">
        <v>425</v>
      </c>
    </row>
    <row r="28" spans="1:24" x14ac:dyDescent="0.2">
      <c r="A28" s="416">
        <v>3</v>
      </c>
      <c r="B28" s="418" t="s">
        <v>164</v>
      </c>
      <c r="C28" s="386">
        <v>0</v>
      </c>
      <c r="D28" s="320">
        <v>3</v>
      </c>
      <c r="E28" s="320">
        <v>0</v>
      </c>
      <c r="F28" s="387">
        <v>3</v>
      </c>
      <c r="G28" s="386">
        <v>3</v>
      </c>
      <c r="H28" s="320">
        <v>0</v>
      </c>
      <c r="I28" s="320">
        <v>0</v>
      </c>
      <c r="J28" s="387">
        <v>0</v>
      </c>
      <c r="K28" s="386">
        <v>0</v>
      </c>
      <c r="L28" s="320">
        <v>0</v>
      </c>
      <c r="M28" s="320">
        <v>0</v>
      </c>
      <c r="N28" s="387">
        <v>1</v>
      </c>
      <c r="O28" s="386">
        <v>0</v>
      </c>
      <c r="P28" s="320">
        <v>0</v>
      </c>
      <c r="Q28" s="320">
        <v>0</v>
      </c>
      <c r="R28" s="387">
        <v>1</v>
      </c>
      <c r="S28" s="386">
        <v>0</v>
      </c>
      <c r="T28" s="320">
        <v>0</v>
      </c>
      <c r="U28" s="320">
        <v>0</v>
      </c>
      <c r="V28" s="387">
        <v>5</v>
      </c>
      <c r="W28" s="401">
        <f t="shared" si="1"/>
        <v>16</v>
      </c>
      <c r="X28" s="419">
        <v>5</v>
      </c>
    </row>
    <row r="29" spans="1:24" x14ac:dyDescent="0.2">
      <c r="A29" s="416">
        <v>6</v>
      </c>
      <c r="B29" s="418" t="s">
        <v>159</v>
      </c>
      <c r="C29" s="386">
        <v>3</v>
      </c>
      <c r="D29" s="320">
        <v>0</v>
      </c>
      <c r="E29" s="320">
        <v>0</v>
      </c>
      <c r="F29" s="387">
        <v>0</v>
      </c>
      <c r="G29" s="386">
        <v>0</v>
      </c>
      <c r="H29" s="320">
        <v>1</v>
      </c>
      <c r="I29" s="320">
        <v>3</v>
      </c>
      <c r="J29" s="387">
        <v>3</v>
      </c>
      <c r="K29" s="386">
        <v>1</v>
      </c>
      <c r="L29" s="320">
        <v>5</v>
      </c>
      <c r="M29" s="320">
        <v>0</v>
      </c>
      <c r="N29" s="387">
        <v>0</v>
      </c>
      <c r="O29" s="386">
        <v>0</v>
      </c>
      <c r="P29" s="320">
        <v>0</v>
      </c>
      <c r="Q29" s="320">
        <v>0</v>
      </c>
      <c r="R29" s="387">
        <v>3</v>
      </c>
      <c r="S29" s="386">
        <v>0</v>
      </c>
      <c r="T29" s="320">
        <v>0</v>
      </c>
      <c r="U29" s="320">
        <v>0</v>
      </c>
      <c r="V29" s="387">
        <v>3</v>
      </c>
      <c r="W29" s="401">
        <f t="shared" si="1"/>
        <v>22</v>
      </c>
      <c r="X29" s="388" t="s">
        <v>427</v>
      </c>
    </row>
    <row r="30" spans="1:24" x14ac:dyDescent="0.2">
      <c r="A30" s="670">
        <v>2</v>
      </c>
      <c r="B30" s="677" t="s">
        <v>153</v>
      </c>
      <c r="C30" s="672">
        <v>3</v>
      </c>
      <c r="D30" s="673">
        <v>1</v>
      </c>
      <c r="E30" s="673">
        <v>0</v>
      </c>
      <c r="F30" s="674">
        <v>3</v>
      </c>
      <c r="G30" s="672">
        <v>3</v>
      </c>
      <c r="H30" s="673">
        <v>5</v>
      </c>
      <c r="I30" s="673">
        <v>0</v>
      </c>
      <c r="J30" s="674">
        <v>3</v>
      </c>
      <c r="K30" s="672">
        <v>0</v>
      </c>
      <c r="L30" s="673">
        <v>1</v>
      </c>
      <c r="M30" s="673">
        <v>0</v>
      </c>
      <c r="N30" s="674">
        <v>0</v>
      </c>
      <c r="O30" s="672">
        <v>0</v>
      </c>
      <c r="P30" s="673">
        <v>3</v>
      </c>
      <c r="Q30" s="673">
        <v>1</v>
      </c>
      <c r="R30" s="674">
        <v>1</v>
      </c>
      <c r="S30" s="672">
        <v>5</v>
      </c>
      <c r="T30" s="673">
        <v>3</v>
      </c>
      <c r="U30" s="673">
        <v>0</v>
      </c>
      <c r="V30" s="674">
        <v>0</v>
      </c>
      <c r="W30" s="394">
        <f t="shared" si="1"/>
        <v>32</v>
      </c>
      <c r="X30" s="676" t="s">
        <v>422</v>
      </c>
    </row>
    <row r="31" spans="1:24" x14ac:dyDescent="0.2">
      <c r="A31" s="670">
        <v>7</v>
      </c>
      <c r="B31" s="677" t="s">
        <v>172</v>
      </c>
      <c r="C31" s="672">
        <v>0</v>
      </c>
      <c r="D31" s="673">
        <v>3</v>
      </c>
      <c r="E31" s="673">
        <v>3</v>
      </c>
      <c r="F31" s="674">
        <v>0</v>
      </c>
      <c r="G31" s="672">
        <v>0</v>
      </c>
      <c r="H31" s="673">
        <v>0</v>
      </c>
      <c r="I31" s="673">
        <v>3</v>
      </c>
      <c r="J31" s="674">
        <v>0</v>
      </c>
      <c r="K31" s="672">
        <v>0</v>
      </c>
      <c r="L31" s="673">
        <v>3</v>
      </c>
      <c r="M31" s="673">
        <v>1</v>
      </c>
      <c r="N31" s="674">
        <v>0</v>
      </c>
      <c r="O31" s="672">
        <v>0</v>
      </c>
      <c r="P31" s="673">
        <v>0</v>
      </c>
      <c r="Q31" s="673">
        <v>0</v>
      </c>
      <c r="R31" s="674">
        <v>0</v>
      </c>
      <c r="S31" s="672">
        <v>0</v>
      </c>
      <c r="T31" s="673">
        <v>0</v>
      </c>
      <c r="U31" s="673">
        <v>0</v>
      </c>
      <c r="V31" s="674">
        <v>0</v>
      </c>
      <c r="W31" s="420">
        <f t="shared" si="1"/>
        <v>13</v>
      </c>
      <c r="X31" s="675">
        <v>6</v>
      </c>
    </row>
    <row r="32" spans="1:24" x14ac:dyDescent="0.2">
      <c r="A32" s="416">
        <v>1</v>
      </c>
      <c r="B32" s="417" t="s">
        <v>161</v>
      </c>
      <c r="C32" s="386">
        <v>3</v>
      </c>
      <c r="D32" s="320">
        <v>0</v>
      </c>
      <c r="E32" s="320">
        <v>0</v>
      </c>
      <c r="F32" s="387">
        <v>1</v>
      </c>
      <c r="G32" s="386">
        <v>0</v>
      </c>
      <c r="H32" s="320">
        <v>0</v>
      </c>
      <c r="I32" s="320">
        <v>0</v>
      </c>
      <c r="J32" s="387">
        <v>0</v>
      </c>
      <c r="K32" s="386">
        <v>0</v>
      </c>
      <c r="L32" s="320">
        <v>0</v>
      </c>
      <c r="M32" s="320">
        <v>0</v>
      </c>
      <c r="N32" s="387">
        <v>0</v>
      </c>
      <c r="O32" s="386">
        <v>0</v>
      </c>
      <c r="P32" s="320">
        <v>0</v>
      </c>
      <c r="Q32" s="320">
        <v>0</v>
      </c>
      <c r="R32" s="387">
        <v>0</v>
      </c>
      <c r="S32" s="386">
        <v>0</v>
      </c>
      <c r="T32" s="320">
        <v>0</v>
      </c>
      <c r="U32" s="320">
        <v>0</v>
      </c>
      <c r="V32" s="387">
        <v>0</v>
      </c>
      <c r="W32" s="401">
        <f t="shared" si="1"/>
        <v>4</v>
      </c>
      <c r="X32" s="383">
        <v>8</v>
      </c>
    </row>
    <row r="33" spans="1:24" ht="13.5" thickBot="1" x14ac:dyDescent="0.25">
      <c r="A33" s="423">
        <v>8</v>
      </c>
      <c r="B33" s="646" t="s">
        <v>160</v>
      </c>
      <c r="C33" s="425">
        <v>3</v>
      </c>
      <c r="D33" s="426">
        <v>3</v>
      </c>
      <c r="E33" s="426">
        <v>3</v>
      </c>
      <c r="F33" s="427">
        <v>3</v>
      </c>
      <c r="G33" s="425">
        <v>0</v>
      </c>
      <c r="H33" s="426">
        <v>0</v>
      </c>
      <c r="I33" s="426">
        <v>0</v>
      </c>
      <c r="J33" s="427">
        <v>0</v>
      </c>
      <c r="K33" s="425">
        <v>0</v>
      </c>
      <c r="L33" s="426">
        <v>0</v>
      </c>
      <c r="M33" s="426">
        <v>1</v>
      </c>
      <c r="N33" s="427">
        <v>0</v>
      </c>
      <c r="O33" s="425">
        <v>3</v>
      </c>
      <c r="P33" s="426">
        <v>0</v>
      </c>
      <c r="Q33" s="426">
        <v>0</v>
      </c>
      <c r="R33" s="427">
        <v>0</v>
      </c>
      <c r="S33" s="425">
        <v>0</v>
      </c>
      <c r="T33" s="426">
        <v>0</v>
      </c>
      <c r="U33" s="426">
        <v>0</v>
      </c>
      <c r="V33" s="427">
        <v>0</v>
      </c>
      <c r="W33" s="655">
        <f t="shared" si="1"/>
        <v>16</v>
      </c>
      <c r="X33" s="647" t="s">
        <v>426</v>
      </c>
    </row>
    <row r="34" spans="1:24" x14ac:dyDescent="0.2">
      <c r="A34" s="382"/>
      <c r="B34" s="656" t="s">
        <v>430</v>
      </c>
      <c r="C34" s="650"/>
      <c r="D34" s="651"/>
      <c r="E34" s="651"/>
      <c r="F34" s="652"/>
      <c r="G34" s="650"/>
      <c r="H34" s="651"/>
      <c r="I34" s="651"/>
      <c r="J34" s="652"/>
      <c r="K34" s="650"/>
      <c r="L34" s="651"/>
      <c r="M34" s="651"/>
      <c r="N34" s="652"/>
      <c r="O34" s="650"/>
      <c r="P34" s="651"/>
      <c r="Q34" s="651"/>
      <c r="R34" s="652"/>
      <c r="S34" s="650"/>
      <c r="T34" s="651"/>
      <c r="U34" s="651"/>
      <c r="V34" s="652"/>
      <c r="W34" s="654"/>
      <c r="X34" s="654"/>
    </row>
    <row r="35" spans="1:24" x14ac:dyDescent="0.2">
      <c r="A35" s="670">
        <v>2</v>
      </c>
      <c r="B35" s="678" t="s">
        <v>159</v>
      </c>
      <c r="C35" s="672">
        <v>3</v>
      </c>
      <c r="D35" s="673">
        <v>0</v>
      </c>
      <c r="E35" s="673">
        <v>0</v>
      </c>
      <c r="F35" s="674">
        <v>0</v>
      </c>
      <c r="G35" s="672">
        <v>0</v>
      </c>
      <c r="H35" s="673">
        <v>0</v>
      </c>
      <c r="I35" s="673">
        <v>0</v>
      </c>
      <c r="J35" s="674">
        <v>0</v>
      </c>
      <c r="K35" s="672">
        <v>1</v>
      </c>
      <c r="L35" s="673">
        <v>0</v>
      </c>
      <c r="M35" s="673">
        <v>0</v>
      </c>
      <c r="N35" s="674">
        <v>0</v>
      </c>
      <c r="O35" s="672">
        <v>0</v>
      </c>
      <c r="P35" s="673">
        <v>0</v>
      </c>
      <c r="Q35" s="673">
        <v>3</v>
      </c>
      <c r="R35" s="674">
        <v>0</v>
      </c>
      <c r="S35" s="672">
        <v>5</v>
      </c>
      <c r="T35" s="673">
        <v>5</v>
      </c>
      <c r="U35" s="673">
        <v>3</v>
      </c>
      <c r="V35" s="674">
        <v>3</v>
      </c>
      <c r="W35" s="394">
        <f>SUM(C35:V35)</f>
        <v>23</v>
      </c>
      <c r="X35" s="676" t="str">
        <f ca="1">IF( INDIRECT("RC[-1]",0)=MAX(( INDIRECT("R[-1]C[-1]",0)):( INDIRECT("R[1]C[-1]",0))),"finaali","pronksi")</f>
        <v>finaali</v>
      </c>
    </row>
    <row r="36" spans="1:24" x14ac:dyDescent="0.2">
      <c r="A36" s="684">
        <v>4</v>
      </c>
      <c r="B36" s="390" t="s">
        <v>170</v>
      </c>
      <c r="C36" s="672">
        <v>0</v>
      </c>
      <c r="D36" s="673">
        <v>1</v>
      </c>
      <c r="E36" s="673">
        <v>3</v>
      </c>
      <c r="F36" s="674">
        <v>3</v>
      </c>
      <c r="G36" s="672">
        <v>0</v>
      </c>
      <c r="H36" s="673">
        <v>0</v>
      </c>
      <c r="I36" s="673">
        <v>0</v>
      </c>
      <c r="J36" s="674">
        <v>0</v>
      </c>
      <c r="K36" s="672">
        <v>0</v>
      </c>
      <c r="L36" s="673">
        <v>1</v>
      </c>
      <c r="M36" s="673">
        <v>0</v>
      </c>
      <c r="N36" s="674">
        <v>0</v>
      </c>
      <c r="O36" s="672">
        <v>0</v>
      </c>
      <c r="P36" s="673">
        <v>0</v>
      </c>
      <c r="Q36" s="673">
        <v>0</v>
      </c>
      <c r="R36" s="674">
        <v>0</v>
      </c>
      <c r="S36" s="672">
        <v>3</v>
      </c>
      <c r="T36" s="673">
        <v>0</v>
      </c>
      <c r="U36" s="673">
        <v>0</v>
      </c>
      <c r="V36" s="674">
        <v>0</v>
      </c>
      <c r="W36" s="394">
        <f>SUM(C36:V36)</f>
        <v>11</v>
      </c>
      <c r="X36" s="676" t="str">
        <f ca="1">IF( INDIRECT("RC[-1]",0)=MAX(( INDIRECT("R[-1]C[-1]",0)):( INDIRECT("R[1]C[-1]",0))),"finaali","pronksi")</f>
        <v>pronksi</v>
      </c>
    </row>
    <row r="37" spans="1:24" x14ac:dyDescent="0.2">
      <c r="A37" s="416">
        <v>1</v>
      </c>
      <c r="B37" s="417" t="s">
        <v>153</v>
      </c>
      <c r="C37" s="386">
        <v>0</v>
      </c>
      <c r="D37" s="320">
        <v>0</v>
      </c>
      <c r="E37" s="320">
        <v>1</v>
      </c>
      <c r="F37" s="387">
        <v>1</v>
      </c>
      <c r="G37" s="386">
        <v>0</v>
      </c>
      <c r="H37" s="320">
        <v>0</v>
      </c>
      <c r="I37" s="320">
        <v>3</v>
      </c>
      <c r="J37" s="387">
        <v>3</v>
      </c>
      <c r="K37" s="386">
        <v>0</v>
      </c>
      <c r="L37" s="320">
        <v>0</v>
      </c>
      <c r="M37" s="320">
        <v>5</v>
      </c>
      <c r="N37" s="387">
        <v>1</v>
      </c>
      <c r="O37" s="386">
        <v>3</v>
      </c>
      <c r="P37" s="320">
        <v>0</v>
      </c>
      <c r="Q37" s="320">
        <v>1</v>
      </c>
      <c r="R37" s="387">
        <v>0</v>
      </c>
      <c r="S37" s="386">
        <v>0</v>
      </c>
      <c r="T37" s="320">
        <v>0</v>
      </c>
      <c r="U37" s="320">
        <v>3</v>
      </c>
      <c r="V37" s="387">
        <v>3</v>
      </c>
      <c r="W37" s="401">
        <f>SUM(C37:V37)</f>
        <v>24</v>
      </c>
      <c r="X37" s="388" t="str">
        <f ca="1">IF( INDIRECT("RC[-1]",0)=MAX(( INDIRECT("R[-1]C[-1]",0)):( INDIRECT("R[1]C[-1]",0))),"finaali","pronksi")</f>
        <v>finaali</v>
      </c>
    </row>
    <row r="38" spans="1:24" ht="13.5" thickBot="1" x14ac:dyDescent="0.25">
      <c r="A38" s="685">
        <v>3</v>
      </c>
      <c r="B38" s="646" t="s">
        <v>160</v>
      </c>
      <c r="C38" s="425">
        <v>3</v>
      </c>
      <c r="D38" s="426">
        <v>5</v>
      </c>
      <c r="E38" s="426">
        <v>0</v>
      </c>
      <c r="F38" s="427">
        <v>0</v>
      </c>
      <c r="G38" s="425">
        <v>0</v>
      </c>
      <c r="H38" s="426">
        <v>0</v>
      </c>
      <c r="I38" s="426">
        <v>0</v>
      </c>
      <c r="J38" s="427">
        <v>0</v>
      </c>
      <c r="K38" s="425">
        <v>3</v>
      </c>
      <c r="L38" s="426">
        <v>0</v>
      </c>
      <c r="M38" s="426">
        <v>0</v>
      </c>
      <c r="N38" s="427">
        <v>0</v>
      </c>
      <c r="O38" s="425">
        <v>0</v>
      </c>
      <c r="P38" s="426">
        <v>0</v>
      </c>
      <c r="Q38" s="426">
        <v>0</v>
      </c>
      <c r="R38" s="427">
        <v>3</v>
      </c>
      <c r="S38" s="425">
        <v>0</v>
      </c>
      <c r="T38" s="426">
        <v>0</v>
      </c>
      <c r="U38" s="426">
        <v>3</v>
      </c>
      <c r="V38" s="427">
        <v>0</v>
      </c>
      <c r="W38" s="414">
        <f>SUM(C38:V38)</f>
        <v>17</v>
      </c>
      <c r="X38" s="647" t="str">
        <f ca="1">IF( INDIRECT("RC[-1]",0)=MAX(( INDIRECT("R[-1]C[-1]",0)):( INDIRECT("R[1]C[-1]",0))),"finaali","pronksi")</f>
        <v>pronksi</v>
      </c>
    </row>
    <row r="39" spans="1:24" x14ac:dyDescent="0.2">
      <c r="A39" s="382"/>
      <c r="B39" s="649" t="s">
        <v>431</v>
      </c>
      <c r="C39" s="650"/>
      <c r="D39" s="651"/>
      <c r="E39" s="651"/>
      <c r="F39" s="652"/>
      <c r="G39" s="650"/>
      <c r="H39" s="651"/>
      <c r="I39" s="651"/>
      <c r="J39" s="652"/>
      <c r="K39" s="650"/>
      <c r="L39" s="651"/>
      <c r="M39" s="651"/>
      <c r="N39" s="652"/>
      <c r="O39" s="650"/>
      <c r="P39" s="651"/>
      <c r="Q39" s="651"/>
      <c r="R39" s="652"/>
      <c r="S39" s="650"/>
      <c r="T39" s="651"/>
      <c r="U39" s="651"/>
      <c r="V39" s="652"/>
      <c r="W39" s="653"/>
      <c r="X39" s="654"/>
    </row>
    <row r="40" spans="1:24" x14ac:dyDescent="0.2">
      <c r="A40" s="416"/>
      <c r="B40" s="397" t="s">
        <v>170</v>
      </c>
      <c r="C40" s="386">
        <v>3</v>
      </c>
      <c r="D40" s="320">
        <v>0</v>
      </c>
      <c r="E40" s="320">
        <v>3</v>
      </c>
      <c r="F40" s="387">
        <v>3</v>
      </c>
      <c r="G40" s="386">
        <v>0</v>
      </c>
      <c r="H40" s="320">
        <v>0</v>
      </c>
      <c r="I40" s="320">
        <v>5</v>
      </c>
      <c r="J40" s="387">
        <v>0</v>
      </c>
      <c r="K40" s="386">
        <v>1</v>
      </c>
      <c r="L40" s="320">
        <v>3</v>
      </c>
      <c r="M40" s="320">
        <v>0</v>
      </c>
      <c r="N40" s="387">
        <v>0</v>
      </c>
      <c r="O40" s="386">
        <v>0</v>
      </c>
      <c r="P40" s="320">
        <v>5</v>
      </c>
      <c r="Q40" s="320">
        <v>5</v>
      </c>
      <c r="R40" s="387">
        <v>0</v>
      </c>
      <c r="S40" s="386">
        <v>0</v>
      </c>
      <c r="T40" s="320">
        <v>0</v>
      </c>
      <c r="U40" s="320">
        <v>0</v>
      </c>
      <c r="V40" s="387">
        <v>0</v>
      </c>
      <c r="W40" s="404">
        <f>SUM(C40:V40)</f>
        <v>28</v>
      </c>
      <c r="X40" s="383" t="str">
        <f ca="1">IF( INDIRECT("RC[-1]",0)=MAX(( INDIRECT("R[-1]C[-1]",0)):( INDIRECT("R[1]C[-1]",0))),"3","4")</f>
        <v>4</v>
      </c>
    </row>
    <row r="41" spans="1:24" x14ac:dyDescent="0.2">
      <c r="A41" s="416"/>
      <c r="B41" s="417" t="s">
        <v>160</v>
      </c>
      <c r="C41" s="386">
        <v>3</v>
      </c>
      <c r="D41" s="320">
        <v>3</v>
      </c>
      <c r="E41" s="320">
        <v>0</v>
      </c>
      <c r="F41" s="387">
        <v>3</v>
      </c>
      <c r="G41" s="386">
        <v>3</v>
      </c>
      <c r="H41" s="320">
        <v>0</v>
      </c>
      <c r="I41" s="320">
        <v>5</v>
      </c>
      <c r="J41" s="422">
        <v>3</v>
      </c>
      <c r="K41" s="386">
        <v>1</v>
      </c>
      <c r="L41" s="320">
        <v>0</v>
      </c>
      <c r="M41" s="320">
        <v>3</v>
      </c>
      <c r="N41" s="387">
        <v>0</v>
      </c>
      <c r="O41" s="386">
        <v>0</v>
      </c>
      <c r="P41" s="320">
        <v>1</v>
      </c>
      <c r="Q41" s="320">
        <v>3</v>
      </c>
      <c r="R41" s="387">
        <v>0</v>
      </c>
      <c r="S41" s="386">
        <v>0</v>
      </c>
      <c r="T41" s="320">
        <v>0</v>
      </c>
      <c r="U41" s="320">
        <v>0</v>
      </c>
      <c r="V41" s="387">
        <v>3</v>
      </c>
      <c r="W41" s="420">
        <f>SUM(C41:V41)</f>
        <v>31</v>
      </c>
      <c r="X41" s="383" t="str">
        <f ca="1">IF( INDIRECT("RC[-1]",0)=MAX(( INDIRECT("R[-1]C[-1]",0)):( INDIRECT("R[1]C[-1]",0))),"3","4")</f>
        <v>3</v>
      </c>
    </row>
    <row r="42" spans="1:24" x14ac:dyDescent="0.2">
      <c r="A42" s="416"/>
      <c r="B42" s="421" t="s">
        <v>432</v>
      </c>
      <c r="C42" s="386"/>
      <c r="D42" s="320"/>
      <c r="E42" s="320"/>
      <c r="F42" s="387"/>
      <c r="G42" s="386"/>
      <c r="H42" s="320"/>
      <c r="I42" s="320"/>
      <c r="J42" s="387"/>
      <c r="K42" s="386"/>
      <c r="L42" s="320"/>
      <c r="M42" s="320"/>
      <c r="N42" s="387"/>
      <c r="O42" s="386"/>
      <c r="P42" s="320"/>
      <c r="Q42" s="320"/>
      <c r="R42" s="387"/>
      <c r="S42" s="386"/>
      <c r="T42" s="320"/>
      <c r="U42" s="320"/>
      <c r="V42" s="387"/>
      <c r="W42" s="401"/>
      <c r="X42" s="388"/>
    </row>
    <row r="43" spans="1:24" x14ac:dyDescent="0.2">
      <c r="A43" s="416"/>
      <c r="B43" s="417" t="s">
        <v>153</v>
      </c>
      <c r="C43" s="386">
        <v>0</v>
      </c>
      <c r="D43" s="320">
        <v>3</v>
      </c>
      <c r="E43" s="320">
        <v>0</v>
      </c>
      <c r="F43" s="387">
        <v>3</v>
      </c>
      <c r="G43" s="386">
        <v>0</v>
      </c>
      <c r="H43" s="320">
        <v>3</v>
      </c>
      <c r="I43" s="320">
        <v>5</v>
      </c>
      <c r="J43" s="387">
        <v>0</v>
      </c>
      <c r="K43" s="386">
        <v>1</v>
      </c>
      <c r="L43" s="320">
        <v>0</v>
      </c>
      <c r="M43" s="320">
        <v>0</v>
      </c>
      <c r="N43" s="387">
        <v>0</v>
      </c>
      <c r="O43" s="386">
        <v>0</v>
      </c>
      <c r="P43" s="320">
        <v>0</v>
      </c>
      <c r="Q43" s="320">
        <v>1</v>
      </c>
      <c r="R43" s="387">
        <v>0</v>
      </c>
      <c r="S43" s="386">
        <v>5</v>
      </c>
      <c r="T43" s="320">
        <v>0</v>
      </c>
      <c r="U43" s="320">
        <v>3</v>
      </c>
      <c r="V43" s="387">
        <v>3</v>
      </c>
      <c r="W43" s="401">
        <f>SUM(C43:V43)</f>
        <v>27</v>
      </c>
      <c r="X43" s="383" t="str">
        <f ca="1">IF( INDIRECT("RC[-1]",0)=MAX(( INDIRECT("R[-1]C[-1]",0)):( INDIRECT("R[1]C[-1]",0))),"1","2")</f>
        <v>1</v>
      </c>
    </row>
    <row r="44" spans="1:24" ht="13.5" thickBot="1" x14ac:dyDescent="0.25">
      <c r="A44" s="423"/>
      <c r="B44" s="424" t="s">
        <v>159</v>
      </c>
      <c r="C44" s="425">
        <v>3</v>
      </c>
      <c r="D44" s="426">
        <v>3</v>
      </c>
      <c r="E44" s="426">
        <v>0</v>
      </c>
      <c r="F44" s="427">
        <v>0</v>
      </c>
      <c r="G44" s="425">
        <v>3</v>
      </c>
      <c r="H44" s="426">
        <v>0</v>
      </c>
      <c r="I44" s="426">
        <v>3</v>
      </c>
      <c r="J44" s="427">
        <v>1</v>
      </c>
      <c r="K44" s="425">
        <v>0</v>
      </c>
      <c r="L44" s="426">
        <v>0</v>
      </c>
      <c r="M44" s="426">
        <v>1</v>
      </c>
      <c r="N44" s="427">
        <v>0</v>
      </c>
      <c r="O44" s="425">
        <v>0</v>
      </c>
      <c r="P44" s="426">
        <v>0</v>
      </c>
      <c r="Q44" s="426">
        <v>0</v>
      </c>
      <c r="R44" s="427">
        <v>0</v>
      </c>
      <c r="S44" s="425">
        <v>0</v>
      </c>
      <c r="T44" s="426">
        <v>0</v>
      </c>
      <c r="U44" s="426">
        <v>0</v>
      </c>
      <c r="V44" s="427">
        <v>0</v>
      </c>
      <c r="W44" s="414">
        <f>SUM(C44:V44)</f>
        <v>14</v>
      </c>
      <c r="X44" s="428" t="str">
        <f ca="1">IF( INDIRECT("RC[-1]",0)=MAX(( INDIRECT("R[-1]C[-1]",0)):( INDIRECT("R[1]C[-1]",0))),"1","2")</f>
        <v>2</v>
      </c>
    </row>
    <row r="46" spans="1:24" x14ac:dyDescent="0.2">
      <c r="A46" s="429">
        <v>1</v>
      </c>
      <c r="B46" s="430" t="s">
        <v>153</v>
      </c>
      <c r="G46" s="429">
        <v>11</v>
      </c>
      <c r="H46" s="679" t="s">
        <v>162</v>
      </c>
      <c r="I46" s="680"/>
      <c r="J46" s="680"/>
      <c r="K46" s="680"/>
      <c r="L46" s="680"/>
      <c r="M46" s="680"/>
      <c r="N46" s="681"/>
    </row>
    <row r="47" spans="1:24" x14ac:dyDescent="0.2">
      <c r="A47" s="429">
        <v>2</v>
      </c>
      <c r="B47" s="431" t="s">
        <v>159</v>
      </c>
      <c r="G47" s="429">
        <v>12</v>
      </c>
      <c r="H47" s="679" t="s">
        <v>157</v>
      </c>
      <c r="I47" s="680"/>
      <c r="J47" s="680"/>
      <c r="K47" s="680"/>
      <c r="L47" s="680"/>
      <c r="M47" s="680"/>
      <c r="N47" s="681"/>
    </row>
    <row r="48" spans="1:24" x14ac:dyDescent="0.2">
      <c r="A48" s="429">
        <v>3</v>
      </c>
      <c r="B48" s="432" t="s">
        <v>160</v>
      </c>
      <c r="G48" s="429">
        <v>13</v>
      </c>
      <c r="H48" s="682" t="s">
        <v>155</v>
      </c>
      <c r="I48" s="680"/>
      <c r="J48" s="680"/>
      <c r="K48" s="680"/>
      <c r="L48" s="680"/>
      <c r="M48" s="680"/>
      <c r="N48" s="681"/>
    </row>
    <row r="49" spans="1:14" x14ac:dyDescent="0.2">
      <c r="A49" s="429">
        <v>4</v>
      </c>
      <c r="B49" s="433" t="s">
        <v>170</v>
      </c>
      <c r="G49" s="429">
        <v>14</v>
      </c>
      <c r="H49" s="679" t="s">
        <v>158</v>
      </c>
      <c r="I49" s="680"/>
      <c r="J49" s="680"/>
      <c r="K49" s="680"/>
      <c r="L49" s="680"/>
      <c r="M49" s="680"/>
      <c r="N49" s="681"/>
    </row>
    <row r="50" spans="1:14" x14ac:dyDescent="0.2">
      <c r="A50" s="429">
        <v>5</v>
      </c>
      <c r="B50" s="434" t="s">
        <v>164</v>
      </c>
      <c r="G50" s="429">
        <v>15</v>
      </c>
      <c r="H50" s="683" t="s">
        <v>165</v>
      </c>
      <c r="I50" s="680"/>
      <c r="J50" s="680"/>
      <c r="K50" s="680"/>
      <c r="L50" s="680"/>
      <c r="M50" s="680"/>
      <c r="N50" s="681"/>
    </row>
    <row r="51" spans="1:14" x14ac:dyDescent="0.2">
      <c r="A51" s="429">
        <v>6</v>
      </c>
      <c r="B51" s="435" t="s">
        <v>172</v>
      </c>
      <c r="G51" s="429">
        <v>16</v>
      </c>
      <c r="H51" s="679" t="s">
        <v>173</v>
      </c>
      <c r="I51" s="680"/>
      <c r="J51" s="680"/>
      <c r="K51" s="680"/>
      <c r="L51" s="680"/>
      <c r="M51" s="680"/>
      <c r="N51" s="681"/>
    </row>
    <row r="52" spans="1:14" x14ac:dyDescent="0.2">
      <c r="A52" s="429">
        <v>7</v>
      </c>
      <c r="B52" s="433" t="s">
        <v>169</v>
      </c>
    </row>
    <row r="53" spans="1:14" x14ac:dyDescent="0.2">
      <c r="A53" s="429">
        <v>8</v>
      </c>
      <c r="B53" s="435" t="s">
        <v>161</v>
      </c>
    </row>
    <row r="54" spans="1:14" x14ac:dyDescent="0.2">
      <c r="A54" s="429">
        <v>9</v>
      </c>
      <c r="B54" s="435" t="s">
        <v>181</v>
      </c>
    </row>
    <row r="55" spans="1:14" x14ac:dyDescent="0.2">
      <c r="A55" s="429">
        <v>10</v>
      </c>
      <c r="B55" s="433" t="s">
        <v>166</v>
      </c>
    </row>
    <row r="97" spans="3:3" x14ac:dyDescent="0.2">
      <c r="C97" s="378"/>
    </row>
  </sheetData>
  <conditionalFormatting sqref="W43:W44">
    <cfRule type="top10" dxfId="154" priority="13" rank="1"/>
  </conditionalFormatting>
  <conditionalFormatting sqref="W26:W27">
    <cfRule type="top10" dxfId="153" priority="20" rank="1"/>
  </conditionalFormatting>
  <conditionalFormatting sqref="W28:W29">
    <cfRule type="top10" dxfId="152" priority="19" rank="1"/>
  </conditionalFormatting>
  <conditionalFormatting sqref="W30:W31">
    <cfRule type="top10" dxfId="151" priority="18" rank="1"/>
  </conditionalFormatting>
  <conditionalFormatting sqref="W32:W33">
    <cfRule type="top10" dxfId="150" priority="17" rank="1"/>
  </conditionalFormatting>
  <conditionalFormatting sqref="W35:W36">
    <cfRule type="top10" dxfId="149" priority="16" rank="1"/>
  </conditionalFormatting>
  <conditionalFormatting sqref="W37:W38">
    <cfRule type="top10" dxfId="148" priority="15" rank="1"/>
  </conditionalFormatting>
  <conditionalFormatting sqref="W40:W41">
    <cfRule type="top10" dxfId="147" priority="14" rank="1"/>
  </conditionalFormatting>
  <conditionalFormatting sqref="B12">
    <cfRule type="duplicateValues" dxfId="146" priority="12" stopIfTrue="1"/>
  </conditionalFormatting>
  <conditionalFormatting sqref="B12">
    <cfRule type="duplicateValues" dxfId="145" priority="11" stopIfTrue="1"/>
  </conditionalFormatting>
  <conditionalFormatting sqref="B16">
    <cfRule type="duplicateValues" dxfId="144" priority="10" stopIfTrue="1"/>
  </conditionalFormatting>
  <conditionalFormatting sqref="B16">
    <cfRule type="duplicateValues" dxfId="143" priority="9" stopIfTrue="1"/>
  </conditionalFormatting>
  <conditionalFormatting sqref="B19">
    <cfRule type="duplicateValues" dxfId="142" priority="8" stopIfTrue="1"/>
  </conditionalFormatting>
  <conditionalFormatting sqref="B19">
    <cfRule type="duplicateValues" dxfId="141" priority="7" stopIfTrue="1"/>
  </conditionalFormatting>
  <conditionalFormatting sqref="B54">
    <cfRule type="duplicateValues" dxfId="140" priority="6" stopIfTrue="1"/>
  </conditionalFormatting>
  <conditionalFormatting sqref="B54">
    <cfRule type="duplicateValues" dxfId="139" priority="5" stopIfTrue="1"/>
  </conditionalFormatting>
  <conditionalFormatting sqref="H47">
    <cfRule type="duplicateValues" dxfId="138" priority="4" stopIfTrue="1"/>
  </conditionalFormatting>
  <conditionalFormatting sqref="H47">
    <cfRule type="duplicateValues" dxfId="137" priority="3" stopIfTrue="1"/>
  </conditionalFormatting>
  <conditionalFormatting sqref="H50">
    <cfRule type="duplicateValues" dxfId="136" priority="2" stopIfTrue="1"/>
  </conditionalFormatting>
  <conditionalFormatting sqref="H50">
    <cfRule type="duplicateValues" dxfId="135" priority="1" stopIfTrue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41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N1" sqref="N1"/>
    </sheetView>
  </sheetViews>
  <sheetFormatPr defaultRowHeight="12.75" x14ac:dyDescent="0.2"/>
  <cols>
    <col min="1" max="1" width="3.28515625" style="59" customWidth="1"/>
    <col min="2" max="2" width="20" style="59" bestFit="1" customWidth="1"/>
    <col min="3" max="11" width="6.140625" style="59" customWidth="1"/>
    <col min="12" max="24" width="2.7109375" style="59" customWidth="1"/>
    <col min="25" max="16384" width="9.140625" style="59"/>
  </cols>
  <sheetData>
    <row r="1" spans="1:11" x14ac:dyDescent="0.2">
      <c r="A1" s="58" t="str">
        <f>UPPER((Kalend!E44)&amp;" - "&amp;(Kalend!C44)&amp;" - "&amp;(Kalend!D44))</f>
        <v>13 - K-JÄRVE 16. MV - ÜKSIK</v>
      </c>
      <c r="I1" s="239" t="str">
        <f>HYPERLINK("#'Kalend'!I1","Kalender")</f>
        <v>Kalender</v>
      </c>
      <c r="K1" s="239" t="str">
        <f>HYPERLINK("#'Reit'!G1","Reiting")</f>
        <v>Reiting</v>
      </c>
    </row>
    <row r="2" spans="1:11" x14ac:dyDescent="0.2">
      <c r="A2" s="59" t="str">
        <f>"Toimumisaeg: "&amp;(Kalend!A44)&amp;" kell "&amp;(Kalend!B44)</f>
        <v>Toimumisaeg: P, 27.09.2015 kell 11:00</v>
      </c>
    </row>
    <row r="3" spans="1:11" x14ac:dyDescent="0.2">
      <c r="A3" s="59" t="str">
        <f>"Toimumiskoht: "&amp;(Kalend!F44)</f>
        <v>Toimumiskoht: K-Järve spordihoone</v>
      </c>
    </row>
    <row r="4" spans="1:11" x14ac:dyDescent="0.2">
      <c r="A4" s="59" t="str">
        <f>"Korraldaja: "&amp;(Kalend!G44)</f>
        <v>Korraldaja: K-Järve SHK, Ivar Viljaste</v>
      </c>
    </row>
    <row r="6" spans="1:11" x14ac:dyDescent="0.2">
      <c r="A6" s="240" t="s">
        <v>329</v>
      </c>
      <c r="B6" s="240"/>
      <c r="C6" s="287">
        <v>1</v>
      </c>
      <c r="D6" s="287">
        <v>2</v>
      </c>
      <c r="E6" s="287">
        <v>3</v>
      </c>
      <c r="F6" s="287">
        <v>4</v>
      </c>
      <c r="G6" s="287">
        <v>5</v>
      </c>
      <c r="H6" s="287" t="s">
        <v>330</v>
      </c>
      <c r="I6" s="287" t="s">
        <v>222</v>
      </c>
    </row>
    <row r="7" spans="1:11" x14ac:dyDescent="0.2">
      <c r="A7" s="240">
        <v>1</v>
      </c>
      <c r="B7" s="219" t="s">
        <v>155</v>
      </c>
      <c r="C7" s="325"/>
      <c r="D7" s="326">
        <v>13</v>
      </c>
      <c r="E7" s="326">
        <v>13</v>
      </c>
      <c r="F7" s="326">
        <v>13</v>
      </c>
      <c r="G7" s="326">
        <v>13</v>
      </c>
      <c r="H7" s="327" t="s">
        <v>389</v>
      </c>
      <c r="I7" s="326" t="s">
        <v>224</v>
      </c>
    </row>
    <row r="8" spans="1:11" x14ac:dyDescent="0.2">
      <c r="A8" s="240">
        <v>2</v>
      </c>
      <c r="B8" s="219" t="s">
        <v>161</v>
      </c>
      <c r="C8" s="326">
        <v>3</v>
      </c>
      <c r="D8" s="325"/>
      <c r="E8" s="326">
        <v>11</v>
      </c>
      <c r="F8" s="326">
        <v>9</v>
      </c>
      <c r="G8" s="326">
        <v>13</v>
      </c>
      <c r="H8" s="327" t="s">
        <v>345</v>
      </c>
      <c r="I8" s="326" t="s">
        <v>276</v>
      </c>
    </row>
    <row r="9" spans="1:11" x14ac:dyDescent="0.2">
      <c r="A9" s="240">
        <v>3</v>
      </c>
      <c r="B9" s="219" t="s">
        <v>168</v>
      </c>
      <c r="C9" s="326">
        <v>9</v>
      </c>
      <c r="D9" s="326">
        <v>13</v>
      </c>
      <c r="E9" s="325"/>
      <c r="F9" s="326">
        <v>13</v>
      </c>
      <c r="G9" s="326">
        <v>13</v>
      </c>
      <c r="H9" s="327" t="s">
        <v>387</v>
      </c>
      <c r="I9" s="326" t="s">
        <v>226</v>
      </c>
    </row>
    <row r="10" spans="1:11" x14ac:dyDescent="0.2">
      <c r="A10" s="240">
        <v>4</v>
      </c>
      <c r="B10" s="219" t="s">
        <v>176</v>
      </c>
      <c r="C10" s="326">
        <v>3</v>
      </c>
      <c r="D10" s="326">
        <v>13</v>
      </c>
      <c r="E10" s="326">
        <v>5</v>
      </c>
      <c r="F10" s="325"/>
      <c r="G10" s="326">
        <v>13</v>
      </c>
      <c r="H10" s="327" t="s">
        <v>386</v>
      </c>
      <c r="I10" s="326" t="s">
        <v>225</v>
      </c>
    </row>
    <row r="11" spans="1:11" x14ac:dyDescent="0.2">
      <c r="A11" s="240">
        <v>5</v>
      </c>
      <c r="B11" s="219" t="s">
        <v>200</v>
      </c>
      <c r="C11" s="326">
        <v>5</v>
      </c>
      <c r="D11" s="326">
        <v>5</v>
      </c>
      <c r="E11" s="326">
        <v>6</v>
      </c>
      <c r="F11" s="326">
        <v>12</v>
      </c>
      <c r="G11" s="325"/>
      <c r="H11" s="327" t="s">
        <v>331</v>
      </c>
      <c r="I11" s="326" t="s">
        <v>388</v>
      </c>
    </row>
    <row r="13" spans="1:11" x14ac:dyDescent="0.2">
      <c r="A13" s="240" t="s">
        <v>337</v>
      </c>
      <c r="B13" s="240"/>
      <c r="C13" s="287">
        <v>1</v>
      </c>
      <c r="D13" s="287">
        <v>2</v>
      </c>
      <c r="E13" s="287">
        <v>3</v>
      </c>
      <c r="F13" s="287">
        <v>4</v>
      </c>
      <c r="G13" s="287">
        <v>5</v>
      </c>
      <c r="H13" s="287" t="s">
        <v>330</v>
      </c>
      <c r="I13" s="287" t="s">
        <v>222</v>
      </c>
    </row>
    <row r="14" spans="1:11" x14ac:dyDescent="0.2">
      <c r="A14" s="240">
        <v>1</v>
      </c>
      <c r="B14" s="219" t="s">
        <v>158</v>
      </c>
      <c r="C14" s="325"/>
      <c r="D14" s="326">
        <v>10</v>
      </c>
      <c r="E14" s="326">
        <v>4</v>
      </c>
      <c r="F14" s="326">
        <v>13</v>
      </c>
      <c r="G14" s="326">
        <v>13</v>
      </c>
      <c r="H14" s="327" t="s">
        <v>386</v>
      </c>
      <c r="I14" s="326" t="s">
        <v>225</v>
      </c>
    </row>
    <row r="15" spans="1:11" x14ac:dyDescent="0.2">
      <c r="A15" s="240">
        <v>2</v>
      </c>
      <c r="B15" s="219" t="s">
        <v>159</v>
      </c>
      <c r="C15" s="326">
        <v>13</v>
      </c>
      <c r="D15" s="325"/>
      <c r="E15" s="326">
        <v>8</v>
      </c>
      <c r="F15" s="326">
        <v>13</v>
      </c>
      <c r="G15" s="326">
        <v>13</v>
      </c>
      <c r="H15" s="327" t="s">
        <v>387</v>
      </c>
      <c r="I15" s="326" t="s">
        <v>226</v>
      </c>
    </row>
    <row r="16" spans="1:11" x14ac:dyDescent="0.2">
      <c r="A16" s="240">
        <v>3</v>
      </c>
      <c r="B16" s="219" t="s">
        <v>166</v>
      </c>
      <c r="C16" s="326">
        <v>13</v>
      </c>
      <c r="D16" s="326">
        <v>13</v>
      </c>
      <c r="E16" s="325"/>
      <c r="F16" s="326">
        <v>13</v>
      </c>
      <c r="G16" s="326">
        <v>5</v>
      </c>
      <c r="H16" s="327" t="s">
        <v>387</v>
      </c>
      <c r="I16" s="326" t="s">
        <v>224</v>
      </c>
    </row>
    <row r="17" spans="1:9" x14ac:dyDescent="0.2">
      <c r="A17" s="240">
        <v>4</v>
      </c>
      <c r="B17" s="219" t="s">
        <v>433</v>
      </c>
      <c r="C17" s="326">
        <v>8</v>
      </c>
      <c r="D17" s="326">
        <v>5</v>
      </c>
      <c r="E17" s="326">
        <v>1</v>
      </c>
      <c r="F17" s="325"/>
      <c r="G17" s="326">
        <v>7</v>
      </c>
      <c r="H17" s="327" t="s">
        <v>390</v>
      </c>
      <c r="I17" s="326" t="s">
        <v>388</v>
      </c>
    </row>
    <row r="18" spans="1:9" x14ac:dyDescent="0.2">
      <c r="A18" s="240">
        <v>5</v>
      </c>
      <c r="B18" s="219" t="s">
        <v>434</v>
      </c>
      <c r="C18" s="326">
        <v>7</v>
      </c>
      <c r="D18" s="326">
        <v>11</v>
      </c>
      <c r="E18" s="326">
        <v>13</v>
      </c>
      <c r="F18" s="326">
        <v>13</v>
      </c>
      <c r="G18" s="325"/>
      <c r="H18" s="327" t="s">
        <v>386</v>
      </c>
      <c r="I18" s="326" t="s">
        <v>276</v>
      </c>
    </row>
    <row r="20" spans="1:9" x14ac:dyDescent="0.2">
      <c r="A20" s="65"/>
      <c r="B20" s="328" t="s">
        <v>341</v>
      </c>
      <c r="C20" s="249" t="s">
        <v>392</v>
      </c>
      <c r="D20" s="249" t="s">
        <v>346</v>
      </c>
      <c r="F20" s="64"/>
      <c r="G20" s="248"/>
      <c r="H20" s="64"/>
      <c r="I20" s="64"/>
    </row>
    <row r="21" spans="1:9" x14ac:dyDescent="0.2">
      <c r="A21" s="65"/>
      <c r="B21" s="328" t="s">
        <v>344</v>
      </c>
      <c r="C21" s="249" t="s">
        <v>345</v>
      </c>
      <c r="D21" s="249" t="s">
        <v>396</v>
      </c>
      <c r="F21" s="64"/>
      <c r="G21" s="248"/>
      <c r="H21" s="64"/>
      <c r="I21" s="64"/>
    </row>
    <row r="22" spans="1:9" x14ac:dyDescent="0.2">
      <c r="A22" s="65"/>
      <c r="B22" s="328" t="s">
        <v>347</v>
      </c>
      <c r="C22" s="249" t="s">
        <v>391</v>
      </c>
      <c r="D22" s="249" t="s">
        <v>348</v>
      </c>
      <c r="F22" s="64"/>
      <c r="G22" s="248"/>
      <c r="H22" s="64"/>
      <c r="I22" s="64"/>
    </row>
    <row r="23" spans="1:9" x14ac:dyDescent="0.2">
      <c r="A23" s="65"/>
      <c r="B23" s="328" t="s">
        <v>393</v>
      </c>
      <c r="C23" s="249" t="s">
        <v>332</v>
      </c>
      <c r="D23" s="249" t="s">
        <v>394</v>
      </c>
      <c r="F23" s="64"/>
      <c r="G23" s="248"/>
      <c r="H23" s="64"/>
      <c r="I23" s="64"/>
    </row>
    <row r="24" spans="1:9" x14ac:dyDescent="0.2">
      <c r="A24" s="65"/>
      <c r="B24" s="328" t="s">
        <v>395</v>
      </c>
      <c r="C24" s="249" t="s">
        <v>343</v>
      </c>
      <c r="D24" s="249" t="s">
        <v>342</v>
      </c>
      <c r="F24" s="64"/>
      <c r="G24" s="248"/>
      <c r="H24" s="64"/>
      <c r="I24" s="64"/>
    </row>
    <row r="26" spans="1:9" x14ac:dyDescent="0.2">
      <c r="A26" s="240" t="s">
        <v>364</v>
      </c>
      <c r="B26" s="240"/>
      <c r="C26" s="287">
        <v>1</v>
      </c>
      <c r="D26" s="287">
        <v>2</v>
      </c>
      <c r="E26" s="287">
        <v>3</v>
      </c>
      <c r="F26" s="287">
        <v>4</v>
      </c>
      <c r="G26" s="287" t="s">
        <v>330</v>
      </c>
      <c r="H26" s="287" t="s">
        <v>222</v>
      </c>
    </row>
    <row r="27" spans="1:9" x14ac:dyDescent="0.2">
      <c r="A27" s="240">
        <v>1</v>
      </c>
      <c r="B27" s="219" t="s">
        <v>156</v>
      </c>
      <c r="C27" s="325"/>
      <c r="D27" s="326">
        <v>8</v>
      </c>
      <c r="E27" s="326">
        <v>11</v>
      </c>
      <c r="F27" s="326">
        <v>9</v>
      </c>
      <c r="G27" s="327" t="s">
        <v>331</v>
      </c>
      <c r="H27" s="326" t="s">
        <v>276</v>
      </c>
    </row>
    <row r="28" spans="1:9" x14ac:dyDescent="0.2">
      <c r="A28" s="240">
        <v>2</v>
      </c>
      <c r="B28" s="219" t="s">
        <v>157</v>
      </c>
      <c r="C28" s="326">
        <v>13</v>
      </c>
      <c r="D28" s="325"/>
      <c r="E28" s="326">
        <v>12</v>
      </c>
      <c r="F28" s="326">
        <v>13</v>
      </c>
      <c r="G28" s="327" t="s">
        <v>332</v>
      </c>
      <c r="H28" s="326" t="s">
        <v>226</v>
      </c>
    </row>
    <row r="29" spans="1:9" x14ac:dyDescent="0.2">
      <c r="A29" s="240">
        <v>3</v>
      </c>
      <c r="B29" s="219" t="s">
        <v>162</v>
      </c>
      <c r="C29" s="326">
        <v>13</v>
      </c>
      <c r="D29" s="326">
        <v>13</v>
      </c>
      <c r="E29" s="325"/>
      <c r="F29" s="326">
        <v>13</v>
      </c>
      <c r="G29" s="327" t="s">
        <v>336</v>
      </c>
      <c r="H29" s="326" t="s">
        <v>224</v>
      </c>
    </row>
    <row r="30" spans="1:9" x14ac:dyDescent="0.2">
      <c r="A30" s="240">
        <v>4</v>
      </c>
      <c r="B30" s="219" t="s">
        <v>182</v>
      </c>
      <c r="C30" s="326">
        <v>13</v>
      </c>
      <c r="D30" s="326">
        <v>9</v>
      </c>
      <c r="E30" s="326">
        <v>10</v>
      </c>
      <c r="F30" s="325"/>
      <c r="G30" s="327" t="s">
        <v>334</v>
      </c>
      <c r="H30" s="326" t="s">
        <v>225</v>
      </c>
    </row>
    <row r="32" spans="1:9" x14ac:dyDescent="0.2">
      <c r="A32" s="240" t="s">
        <v>365</v>
      </c>
      <c r="B32" s="240"/>
      <c r="C32" s="287">
        <v>1</v>
      </c>
      <c r="D32" s="287">
        <v>2</v>
      </c>
      <c r="E32" s="287">
        <v>3</v>
      </c>
      <c r="F32" s="287">
        <v>4</v>
      </c>
      <c r="G32" s="287" t="s">
        <v>330</v>
      </c>
      <c r="H32" s="287" t="s">
        <v>222</v>
      </c>
    </row>
    <row r="33" spans="1:9" x14ac:dyDescent="0.2">
      <c r="A33" s="240">
        <v>1</v>
      </c>
      <c r="B33" s="219" t="s">
        <v>153</v>
      </c>
      <c r="C33" s="325"/>
      <c r="D33" s="326">
        <v>13</v>
      </c>
      <c r="E33" s="326">
        <v>1</v>
      </c>
      <c r="F33" s="326">
        <v>13</v>
      </c>
      <c r="G33" s="327" t="s">
        <v>332</v>
      </c>
      <c r="H33" s="326" t="s">
        <v>226</v>
      </c>
    </row>
    <row r="34" spans="1:9" x14ac:dyDescent="0.2">
      <c r="A34" s="240">
        <v>2</v>
      </c>
      <c r="B34" s="219" t="s">
        <v>160</v>
      </c>
      <c r="C34" s="326">
        <v>8</v>
      </c>
      <c r="D34" s="325"/>
      <c r="E34" s="326">
        <v>3</v>
      </c>
      <c r="F34" s="326">
        <v>5</v>
      </c>
      <c r="G34" s="327" t="s">
        <v>331</v>
      </c>
      <c r="H34" s="326" t="s">
        <v>276</v>
      </c>
    </row>
    <row r="35" spans="1:9" x14ac:dyDescent="0.2">
      <c r="A35" s="240">
        <v>3</v>
      </c>
      <c r="B35" s="219" t="s">
        <v>163</v>
      </c>
      <c r="C35" s="326">
        <v>13</v>
      </c>
      <c r="D35" s="326">
        <v>13</v>
      </c>
      <c r="E35" s="325"/>
      <c r="F35" s="326">
        <v>13</v>
      </c>
      <c r="G35" s="327" t="s">
        <v>336</v>
      </c>
      <c r="H35" s="326" t="s">
        <v>224</v>
      </c>
    </row>
    <row r="36" spans="1:9" x14ac:dyDescent="0.2">
      <c r="A36" s="240">
        <v>4</v>
      </c>
      <c r="B36" s="219" t="s">
        <v>171</v>
      </c>
      <c r="C36" s="326">
        <v>8</v>
      </c>
      <c r="D36" s="326">
        <v>13</v>
      </c>
      <c r="E36" s="326">
        <v>7</v>
      </c>
      <c r="F36" s="325"/>
      <c r="G36" s="327" t="s">
        <v>334</v>
      </c>
      <c r="H36" s="326" t="s">
        <v>225</v>
      </c>
    </row>
    <row r="38" spans="1:9" x14ac:dyDescent="0.2">
      <c r="B38" s="328" t="s">
        <v>341</v>
      </c>
      <c r="C38" s="249" t="s">
        <v>342</v>
      </c>
      <c r="D38" s="249" t="s">
        <v>343</v>
      </c>
    </row>
    <row r="39" spans="1:9" x14ac:dyDescent="0.2">
      <c r="B39" s="328" t="s">
        <v>344</v>
      </c>
      <c r="C39" s="249" t="s">
        <v>345</v>
      </c>
      <c r="D39" s="249" t="s">
        <v>346</v>
      </c>
    </row>
    <row r="40" spans="1:9" x14ac:dyDescent="0.2">
      <c r="B40" s="328" t="s">
        <v>347</v>
      </c>
      <c r="C40" s="249" t="s">
        <v>334</v>
      </c>
      <c r="D40" s="249" t="s">
        <v>348</v>
      </c>
    </row>
    <row r="42" spans="1:9" s="290" customFormat="1" x14ac:dyDescent="0.2">
      <c r="A42" s="289" t="s">
        <v>284</v>
      </c>
    </row>
    <row r="43" spans="1:9" s="290" customFormat="1" x14ac:dyDescent="0.2">
      <c r="A43" s="289"/>
    </row>
    <row r="44" spans="1:9" s="290" customFormat="1" x14ac:dyDescent="0.2">
      <c r="A44" s="291" t="s">
        <v>241</v>
      </c>
      <c r="B44" s="290" t="s">
        <v>155</v>
      </c>
      <c r="C44" s="296">
        <v>13</v>
      </c>
    </row>
    <row r="45" spans="1:9" s="290" customFormat="1" x14ac:dyDescent="0.2">
      <c r="A45" s="292"/>
      <c r="B45" s="293"/>
      <c r="C45" s="294" t="s">
        <v>155</v>
      </c>
      <c r="D45" s="295"/>
      <c r="F45" s="296">
        <v>2</v>
      </c>
    </row>
    <row r="46" spans="1:9" s="290" customFormat="1" x14ac:dyDescent="0.2">
      <c r="A46" s="291" t="s">
        <v>242</v>
      </c>
      <c r="B46" s="281" t="s">
        <v>159</v>
      </c>
      <c r="C46" s="297">
        <v>11</v>
      </c>
      <c r="E46" s="298"/>
    </row>
    <row r="47" spans="1:9" s="290" customFormat="1" x14ac:dyDescent="0.2">
      <c r="A47" s="292"/>
      <c r="D47" s="299"/>
      <c r="E47" s="300"/>
      <c r="F47" s="290" t="s">
        <v>153</v>
      </c>
      <c r="I47" s="296">
        <v>13</v>
      </c>
    </row>
    <row r="48" spans="1:9" s="290" customFormat="1" x14ac:dyDescent="0.2">
      <c r="A48" s="291" t="s">
        <v>246</v>
      </c>
      <c r="B48" s="282" t="s">
        <v>162</v>
      </c>
      <c r="C48" s="301">
        <v>12</v>
      </c>
      <c r="E48" s="300"/>
      <c r="F48" s="293"/>
      <c r="G48" s="293"/>
      <c r="H48" s="298"/>
    </row>
    <row r="49" spans="1:11" s="290" customFormat="1" x14ac:dyDescent="0.2">
      <c r="A49" s="292"/>
      <c r="B49" s="293"/>
      <c r="C49" s="302" t="s">
        <v>153</v>
      </c>
      <c r="E49" s="303"/>
      <c r="F49" s="301">
        <v>13</v>
      </c>
      <c r="G49" s="299"/>
      <c r="H49" s="300"/>
    </row>
    <row r="50" spans="1:11" s="290" customFormat="1" x14ac:dyDescent="0.2">
      <c r="A50" s="291" t="s">
        <v>245</v>
      </c>
      <c r="B50" s="281" t="s">
        <v>153</v>
      </c>
      <c r="C50" s="310">
        <v>13</v>
      </c>
      <c r="D50" s="293"/>
      <c r="F50" s="299"/>
      <c r="G50" s="299"/>
      <c r="H50" s="300"/>
    </row>
    <row r="51" spans="1:11" s="290" customFormat="1" ht="13.5" thickBot="1" x14ac:dyDescent="0.25">
      <c r="A51" s="292"/>
      <c r="F51" s="299"/>
      <c r="G51" s="299"/>
      <c r="H51" s="300"/>
      <c r="J51" s="290" t="s">
        <v>153</v>
      </c>
    </row>
    <row r="52" spans="1:11" s="290" customFormat="1" x14ac:dyDescent="0.2">
      <c r="A52" s="291" t="s">
        <v>232</v>
      </c>
      <c r="B52" s="290" t="s">
        <v>166</v>
      </c>
      <c r="C52" s="296">
        <v>13</v>
      </c>
      <c r="F52" s="299"/>
      <c r="G52" s="299"/>
      <c r="H52" s="300"/>
      <c r="I52" s="304"/>
      <c r="J52" s="305" t="s">
        <v>240</v>
      </c>
      <c r="K52" s="306"/>
    </row>
    <row r="53" spans="1:11" s="290" customFormat="1" x14ac:dyDescent="0.2">
      <c r="A53" s="292"/>
      <c r="B53" s="293"/>
      <c r="C53" s="294" t="s">
        <v>166</v>
      </c>
      <c r="D53" s="295"/>
      <c r="F53" s="301">
        <v>13</v>
      </c>
      <c r="G53" s="299"/>
      <c r="H53" s="300"/>
    </row>
    <row r="54" spans="1:11" s="290" customFormat="1" ht="13.5" thickBot="1" x14ac:dyDescent="0.25">
      <c r="A54" s="291" t="s">
        <v>236</v>
      </c>
      <c r="B54" s="295" t="s">
        <v>157</v>
      </c>
      <c r="C54" s="297">
        <v>11</v>
      </c>
      <c r="E54" s="298"/>
      <c r="F54" s="299"/>
      <c r="G54" s="299"/>
      <c r="H54" s="300"/>
      <c r="J54" s="307" t="s">
        <v>166</v>
      </c>
      <c r="K54" s="307"/>
    </row>
    <row r="55" spans="1:11" s="290" customFormat="1" x14ac:dyDescent="0.2">
      <c r="A55" s="292"/>
      <c r="D55" s="299"/>
      <c r="E55" s="300"/>
      <c r="F55" s="295" t="s">
        <v>166</v>
      </c>
      <c r="G55" s="295"/>
      <c r="H55" s="303"/>
      <c r="I55" s="296">
        <v>4</v>
      </c>
      <c r="J55" s="305" t="s">
        <v>244</v>
      </c>
    </row>
    <row r="56" spans="1:11" s="290" customFormat="1" x14ac:dyDescent="0.2">
      <c r="A56" s="291" t="s">
        <v>233</v>
      </c>
      <c r="B56" s="290" t="s">
        <v>168</v>
      </c>
      <c r="C56" s="301">
        <v>6</v>
      </c>
      <c r="E56" s="300"/>
    </row>
    <row r="57" spans="1:11" s="290" customFormat="1" x14ac:dyDescent="0.2">
      <c r="A57" s="292"/>
      <c r="B57" s="293"/>
      <c r="C57" s="302" t="s">
        <v>163</v>
      </c>
      <c r="E57" s="303"/>
      <c r="F57" s="296">
        <v>3</v>
      </c>
    </row>
    <row r="58" spans="1:11" s="290" customFormat="1" x14ac:dyDescent="0.2">
      <c r="A58" s="291" t="s">
        <v>234</v>
      </c>
      <c r="B58" s="295" t="s">
        <v>163</v>
      </c>
      <c r="C58" s="310">
        <v>13</v>
      </c>
      <c r="D58" s="293"/>
    </row>
    <row r="59" spans="1:11" s="290" customFormat="1" x14ac:dyDescent="0.2">
      <c r="F59" s="290" t="s">
        <v>155</v>
      </c>
      <c r="I59" s="301"/>
      <c r="J59" s="299"/>
      <c r="K59" s="299"/>
    </row>
    <row r="60" spans="1:11" s="290" customFormat="1" ht="13.5" thickBot="1" x14ac:dyDescent="0.25">
      <c r="F60" s="293"/>
      <c r="G60" s="293"/>
      <c r="H60" s="298"/>
      <c r="I60" s="307"/>
      <c r="J60" s="307" t="s">
        <v>163</v>
      </c>
      <c r="K60" s="307"/>
    </row>
    <row r="61" spans="1:11" s="290" customFormat="1" x14ac:dyDescent="0.2">
      <c r="F61" s="295" t="s">
        <v>163</v>
      </c>
      <c r="G61" s="295"/>
      <c r="H61" s="303"/>
      <c r="I61" s="296">
        <v>13</v>
      </c>
      <c r="J61" s="308" t="s">
        <v>247</v>
      </c>
      <c r="K61" s="299"/>
    </row>
    <row r="62" spans="1:11" s="290" customFormat="1" x14ac:dyDescent="0.2">
      <c r="J62" s="299"/>
      <c r="K62" s="299"/>
    </row>
    <row r="63" spans="1:11" s="290" customFormat="1" ht="13.5" thickBot="1" x14ac:dyDescent="0.25">
      <c r="G63" s="299"/>
      <c r="H63" s="299"/>
      <c r="J63" s="307" t="s">
        <v>155</v>
      </c>
      <c r="K63" s="307"/>
    </row>
    <row r="64" spans="1:11" s="290" customFormat="1" x14ac:dyDescent="0.2">
      <c r="C64" s="290" t="s">
        <v>159</v>
      </c>
      <c r="F64" s="296">
        <v>12</v>
      </c>
      <c r="J64" s="309" t="s">
        <v>248</v>
      </c>
    </row>
    <row r="65" spans="1:11" s="290" customFormat="1" x14ac:dyDescent="0.2">
      <c r="C65" s="293"/>
      <c r="D65" s="293"/>
      <c r="E65" s="298"/>
      <c r="F65" s="294" t="s">
        <v>162</v>
      </c>
      <c r="G65" s="295"/>
      <c r="H65" s="295"/>
      <c r="I65" s="296">
        <v>13</v>
      </c>
    </row>
    <row r="66" spans="1:11" s="290" customFormat="1" x14ac:dyDescent="0.2">
      <c r="C66" s="295" t="s">
        <v>162</v>
      </c>
      <c r="D66" s="295"/>
      <c r="E66" s="303"/>
      <c r="F66" s="297">
        <v>13</v>
      </c>
      <c r="H66" s="300"/>
    </row>
    <row r="67" spans="1:11" s="290" customFormat="1" ht="13.5" thickBot="1" x14ac:dyDescent="0.25">
      <c r="F67" s="299"/>
      <c r="H67" s="300"/>
      <c r="J67" s="290" t="s">
        <v>162</v>
      </c>
    </row>
    <row r="68" spans="1:11" s="290" customFormat="1" x14ac:dyDescent="0.2">
      <c r="C68" s="290" t="s">
        <v>157</v>
      </c>
      <c r="F68" s="301">
        <v>13</v>
      </c>
      <c r="H68" s="300"/>
      <c r="I68" s="304"/>
      <c r="J68" s="305" t="s">
        <v>250</v>
      </c>
      <c r="K68" s="306"/>
    </row>
    <row r="69" spans="1:11" s="290" customFormat="1" x14ac:dyDescent="0.2">
      <c r="C69" s="293"/>
      <c r="D69" s="293"/>
      <c r="E69" s="298"/>
      <c r="F69" s="302" t="s">
        <v>157</v>
      </c>
      <c r="H69" s="303"/>
      <c r="I69" s="301">
        <v>12</v>
      </c>
    </row>
    <row r="70" spans="1:11" s="290" customFormat="1" ht="13.5" thickBot="1" x14ac:dyDescent="0.25">
      <c r="C70" s="295" t="s">
        <v>168</v>
      </c>
      <c r="D70" s="295"/>
      <c r="E70" s="303"/>
      <c r="F70" s="310">
        <v>10</v>
      </c>
      <c r="G70" s="293"/>
      <c r="I70" s="299"/>
      <c r="J70" s="299" t="s">
        <v>157</v>
      </c>
      <c r="K70" s="307"/>
    </row>
    <row r="71" spans="1:11" s="290" customFormat="1" x14ac:dyDescent="0.2">
      <c r="I71" s="299"/>
      <c r="J71" s="305" t="s">
        <v>251</v>
      </c>
      <c r="K71" s="299"/>
    </row>
    <row r="72" spans="1:11" s="290" customFormat="1" x14ac:dyDescent="0.2">
      <c r="F72" s="290" t="s">
        <v>159</v>
      </c>
      <c r="I72" s="301">
        <v>6</v>
      </c>
      <c r="J72" s="299"/>
      <c r="K72" s="299"/>
    </row>
    <row r="73" spans="1:11" s="290" customFormat="1" ht="13.5" thickBot="1" x14ac:dyDescent="0.25">
      <c r="F73" s="293"/>
      <c r="G73" s="293"/>
      <c r="H73" s="298"/>
      <c r="I73" s="307"/>
      <c r="J73" s="307" t="s">
        <v>168</v>
      </c>
      <c r="K73" s="307"/>
    </row>
    <row r="74" spans="1:11" s="290" customFormat="1" x14ac:dyDescent="0.2">
      <c r="F74" s="295" t="s">
        <v>168</v>
      </c>
      <c r="G74" s="295"/>
      <c r="H74" s="303"/>
      <c r="I74" s="296">
        <v>13</v>
      </c>
      <c r="J74" s="308" t="s">
        <v>252</v>
      </c>
      <c r="K74" s="299"/>
    </row>
    <row r="75" spans="1:11" s="290" customFormat="1" x14ac:dyDescent="0.2">
      <c r="J75" s="299"/>
      <c r="K75" s="299"/>
    </row>
    <row r="76" spans="1:11" s="290" customFormat="1" ht="13.5" thickBot="1" x14ac:dyDescent="0.25">
      <c r="G76" s="299"/>
      <c r="H76" s="299"/>
      <c r="J76" s="307" t="s">
        <v>159</v>
      </c>
      <c r="K76" s="307"/>
    </row>
    <row r="77" spans="1:11" s="290" customFormat="1" x14ac:dyDescent="0.2">
      <c r="G77" s="299"/>
      <c r="H77" s="299"/>
      <c r="J77" s="309" t="s">
        <v>253</v>
      </c>
    </row>
    <row r="78" spans="1:11" s="290" customFormat="1" x14ac:dyDescent="0.2"/>
    <row r="79" spans="1:11" s="290" customFormat="1" x14ac:dyDescent="0.2">
      <c r="A79" s="289" t="s">
        <v>304</v>
      </c>
    </row>
    <row r="80" spans="1:11" s="290" customFormat="1" x14ac:dyDescent="0.2">
      <c r="A80" s="289"/>
    </row>
    <row r="81" spans="1:11" s="290" customFormat="1" x14ac:dyDescent="0.2">
      <c r="A81" s="291" t="s">
        <v>262</v>
      </c>
      <c r="B81" s="290" t="s">
        <v>176</v>
      </c>
      <c r="C81" s="296">
        <v>13</v>
      </c>
    </row>
    <row r="82" spans="1:11" s="290" customFormat="1" x14ac:dyDescent="0.2">
      <c r="A82" s="292"/>
      <c r="B82" s="293"/>
      <c r="C82" s="294" t="s">
        <v>176</v>
      </c>
      <c r="D82" s="295"/>
      <c r="F82" s="296">
        <v>11</v>
      </c>
    </row>
    <row r="83" spans="1:11" s="290" customFormat="1" x14ac:dyDescent="0.2">
      <c r="A83" s="291" t="s">
        <v>306</v>
      </c>
      <c r="B83" s="281" t="s">
        <v>434</v>
      </c>
      <c r="C83" s="297">
        <v>4</v>
      </c>
      <c r="E83" s="298"/>
    </row>
    <row r="84" spans="1:11" s="290" customFormat="1" x14ac:dyDescent="0.2">
      <c r="A84" s="292"/>
      <c r="D84" s="299"/>
      <c r="E84" s="300"/>
      <c r="F84" s="290" t="s">
        <v>160</v>
      </c>
      <c r="I84" s="296">
        <v>13</v>
      </c>
    </row>
    <row r="85" spans="1:11" s="290" customFormat="1" x14ac:dyDescent="0.2">
      <c r="A85" s="291" t="s">
        <v>264</v>
      </c>
      <c r="B85" s="282" t="s">
        <v>182</v>
      </c>
      <c r="C85" s="301">
        <v>7</v>
      </c>
      <c r="E85" s="300"/>
      <c r="F85" s="293"/>
      <c r="G85" s="293"/>
      <c r="H85" s="298"/>
    </row>
    <row r="86" spans="1:11" s="290" customFormat="1" x14ac:dyDescent="0.2">
      <c r="A86" s="292"/>
      <c r="B86" s="293"/>
      <c r="C86" s="302" t="s">
        <v>160</v>
      </c>
      <c r="E86" s="303"/>
      <c r="F86" s="301">
        <v>13</v>
      </c>
      <c r="G86" s="299"/>
      <c r="H86" s="300"/>
    </row>
    <row r="87" spans="1:11" s="290" customFormat="1" x14ac:dyDescent="0.2">
      <c r="A87" s="291" t="s">
        <v>305</v>
      </c>
      <c r="B87" s="281" t="s">
        <v>160</v>
      </c>
      <c r="C87" s="310">
        <v>13</v>
      </c>
      <c r="D87" s="293"/>
      <c r="F87" s="299"/>
      <c r="G87" s="299"/>
      <c r="H87" s="300"/>
    </row>
    <row r="88" spans="1:11" s="290" customFormat="1" ht="13.5" thickBot="1" x14ac:dyDescent="0.25">
      <c r="A88" s="292"/>
      <c r="F88" s="299"/>
      <c r="G88" s="299"/>
      <c r="H88" s="300"/>
      <c r="J88" s="290" t="s">
        <v>160</v>
      </c>
    </row>
    <row r="89" spans="1:11" s="290" customFormat="1" x14ac:dyDescent="0.2">
      <c r="A89" s="291" t="s">
        <v>267</v>
      </c>
      <c r="B89" s="290" t="s">
        <v>158</v>
      </c>
      <c r="C89" s="296">
        <v>12</v>
      </c>
      <c r="F89" s="299"/>
      <c r="G89" s="299"/>
      <c r="H89" s="300"/>
      <c r="I89" s="304"/>
      <c r="J89" s="305" t="s">
        <v>255</v>
      </c>
      <c r="K89" s="306"/>
    </row>
    <row r="90" spans="1:11" s="290" customFormat="1" x14ac:dyDescent="0.2">
      <c r="A90" s="292"/>
      <c r="B90" s="293"/>
      <c r="C90" s="294" t="s">
        <v>156</v>
      </c>
      <c r="D90" s="295"/>
      <c r="F90" s="301">
        <v>13</v>
      </c>
      <c r="G90" s="299"/>
      <c r="H90" s="300"/>
    </row>
    <row r="91" spans="1:11" s="290" customFormat="1" ht="13.5" thickBot="1" x14ac:dyDescent="0.25">
      <c r="A91" s="291" t="s">
        <v>286</v>
      </c>
      <c r="B91" s="295" t="s">
        <v>156</v>
      </c>
      <c r="C91" s="297">
        <v>13</v>
      </c>
      <c r="E91" s="298"/>
      <c r="F91" s="299"/>
      <c r="G91" s="299"/>
      <c r="H91" s="300"/>
      <c r="J91" s="307" t="s">
        <v>156</v>
      </c>
      <c r="K91" s="307"/>
    </row>
    <row r="92" spans="1:11" s="290" customFormat="1" x14ac:dyDescent="0.2">
      <c r="A92" s="292"/>
      <c r="D92" s="299"/>
      <c r="E92" s="300"/>
      <c r="F92" s="295" t="s">
        <v>156</v>
      </c>
      <c r="G92" s="295"/>
      <c r="H92" s="303"/>
      <c r="I92" s="296">
        <v>4</v>
      </c>
      <c r="J92" s="305" t="s">
        <v>256</v>
      </c>
    </row>
    <row r="93" spans="1:11" s="290" customFormat="1" x14ac:dyDescent="0.2">
      <c r="A93" s="291" t="s">
        <v>287</v>
      </c>
      <c r="B93" s="290" t="s">
        <v>161</v>
      </c>
      <c r="C93" s="301">
        <v>13</v>
      </c>
      <c r="E93" s="300"/>
    </row>
    <row r="94" spans="1:11" s="290" customFormat="1" x14ac:dyDescent="0.2">
      <c r="A94" s="292"/>
      <c r="B94" s="293"/>
      <c r="C94" s="302" t="s">
        <v>161</v>
      </c>
      <c r="E94" s="303"/>
      <c r="F94" s="296">
        <v>2</v>
      </c>
    </row>
    <row r="95" spans="1:11" s="290" customFormat="1" x14ac:dyDescent="0.2">
      <c r="A95" s="291" t="s">
        <v>266</v>
      </c>
      <c r="B95" s="295" t="s">
        <v>171</v>
      </c>
      <c r="C95" s="310"/>
      <c r="D95" s="293"/>
    </row>
    <row r="96" spans="1:11" s="290" customFormat="1" x14ac:dyDescent="0.2">
      <c r="F96" s="290" t="s">
        <v>176</v>
      </c>
      <c r="I96" s="301">
        <v>11</v>
      </c>
      <c r="J96" s="299"/>
      <c r="K96" s="299"/>
    </row>
    <row r="97" spans="3:11" s="290" customFormat="1" ht="13.5" thickBot="1" x14ac:dyDescent="0.25">
      <c r="F97" s="293"/>
      <c r="G97" s="293"/>
      <c r="H97" s="298"/>
      <c r="I97" s="307"/>
      <c r="J97" s="307" t="s">
        <v>161</v>
      </c>
      <c r="K97" s="307"/>
    </row>
    <row r="98" spans="3:11" s="290" customFormat="1" x14ac:dyDescent="0.2">
      <c r="F98" s="295" t="s">
        <v>161</v>
      </c>
      <c r="G98" s="295"/>
      <c r="H98" s="303"/>
      <c r="I98" s="296">
        <v>13</v>
      </c>
      <c r="J98" s="308" t="s">
        <v>257</v>
      </c>
      <c r="K98" s="299"/>
    </row>
    <row r="99" spans="3:11" s="290" customFormat="1" x14ac:dyDescent="0.2">
      <c r="J99" s="299"/>
      <c r="K99" s="299"/>
    </row>
    <row r="100" spans="3:11" s="290" customFormat="1" ht="13.5" thickBot="1" x14ac:dyDescent="0.25">
      <c r="G100" s="299"/>
      <c r="H100" s="299"/>
      <c r="J100" s="307" t="s">
        <v>176</v>
      </c>
      <c r="K100" s="307"/>
    </row>
    <row r="101" spans="3:11" s="290" customFormat="1" x14ac:dyDescent="0.2">
      <c r="C101" s="290" t="s">
        <v>434</v>
      </c>
      <c r="F101" s="296">
        <v>13</v>
      </c>
      <c r="J101" s="309" t="s">
        <v>258</v>
      </c>
    </row>
    <row r="102" spans="3:11" s="290" customFormat="1" x14ac:dyDescent="0.2">
      <c r="C102" s="293"/>
      <c r="D102" s="293"/>
      <c r="E102" s="298"/>
      <c r="F102" s="294" t="s">
        <v>434</v>
      </c>
      <c r="G102" s="295"/>
      <c r="H102" s="295"/>
      <c r="I102" s="296">
        <v>6</v>
      </c>
    </row>
    <row r="103" spans="3:11" s="290" customFormat="1" x14ac:dyDescent="0.2">
      <c r="C103" s="295" t="s">
        <v>182</v>
      </c>
      <c r="D103" s="295"/>
      <c r="E103" s="303"/>
      <c r="F103" s="297">
        <v>12</v>
      </c>
      <c r="H103" s="300"/>
    </row>
    <row r="104" spans="3:11" s="290" customFormat="1" ht="13.5" thickBot="1" x14ac:dyDescent="0.25">
      <c r="F104" s="299"/>
      <c r="H104" s="300"/>
      <c r="J104" s="290" t="s">
        <v>171</v>
      </c>
    </row>
    <row r="105" spans="3:11" s="290" customFormat="1" x14ac:dyDescent="0.2">
      <c r="C105" s="290" t="s">
        <v>158</v>
      </c>
      <c r="F105" s="301">
        <v>7</v>
      </c>
      <c r="H105" s="300"/>
      <c r="I105" s="304"/>
      <c r="J105" s="305" t="s">
        <v>263</v>
      </c>
      <c r="K105" s="306"/>
    </row>
    <row r="106" spans="3:11" s="290" customFormat="1" x14ac:dyDescent="0.2">
      <c r="C106" s="293"/>
      <c r="D106" s="293"/>
      <c r="E106" s="298"/>
      <c r="F106" s="302" t="s">
        <v>171</v>
      </c>
      <c r="H106" s="303"/>
      <c r="I106" s="301">
        <v>13</v>
      </c>
    </row>
    <row r="107" spans="3:11" s="290" customFormat="1" ht="13.5" thickBot="1" x14ac:dyDescent="0.25">
      <c r="C107" s="436" t="s">
        <v>171</v>
      </c>
      <c r="D107" s="295"/>
      <c r="E107" s="303"/>
      <c r="F107" s="310">
        <v>13</v>
      </c>
      <c r="G107" s="293"/>
      <c r="I107" s="299"/>
      <c r="J107" s="299" t="s">
        <v>434</v>
      </c>
      <c r="K107" s="307"/>
    </row>
    <row r="108" spans="3:11" s="290" customFormat="1" x14ac:dyDescent="0.2">
      <c r="I108" s="299"/>
      <c r="J108" s="305" t="s">
        <v>265</v>
      </c>
      <c r="K108" s="299"/>
    </row>
    <row r="109" spans="3:11" s="290" customFormat="1" x14ac:dyDescent="0.2">
      <c r="F109" s="290" t="s">
        <v>182</v>
      </c>
      <c r="I109" s="301">
        <v>13</v>
      </c>
      <c r="J109" s="299"/>
      <c r="K109" s="299"/>
    </row>
    <row r="110" spans="3:11" s="290" customFormat="1" ht="13.5" thickBot="1" x14ac:dyDescent="0.25">
      <c r="F110" s="293"/>
      <c r="G110" s="293"/>
      <c r="H110" s="298"/>
      <c r="I110" s="307"/>
      <c r="J110" s="307" t="s">
        <v>182</v>
      </c>
      <c r="K110" s="307"/>
    </row>
    <row r="111" spans="3:11" s="290" customFormat="1" x14ac:dyDescent="0.2">
      <c r="F111" s="295" t="s">
        <v>158</v>
      </c>
      <c r="G111" s="295"/>
      <c r="H111" s="303"/>
      <c r="I111" s="296">
        <v>10</v>
      </c>
      <c r="J111" s="308" t="s">
        <v>268</v>
      </c>
      <c r="K111" s="299"/>
    </row>
    <row r="112" spans="3:11" s="290" customFormat="1" x14ac:dyDescent="0.2">
      <c r="J112" s="299"/>
      <c r="K112" s="299"/>
    </row>
    <row r="113" spans="1:11" s="290" customFormat="1" ht="13.5" thickBot="1" x14ac:dyDescent="0.25">
      <c r="G113" s="299"/>
      <c r="H113" s="299"/>
      <c r="J113" s="307" t="s">
        <v>158</v>
      </c>
      <c r="K113" s="307"/>
    </row>
    <row r="114" spans="1:11" s="290" customFormat="1" x14ac:dyDescent="0.2">
      <c r="G114" s="299"/>
      <c r="H114" s="299"/>
      <c r="J114" s="309" t="s">
        <v>269</v>
      </c>
    </row>
    <row r="115" spans="1:11" s="290" customFormat="1" x14ac:dyDescent="0.2">
      <c r="G115" s="299"/>
      <c r="H115" s="299"/>
      <c r="J115" s="309"/>
    </row>
    <row r="116" spans="1:11" s="290" customFormat="1" x14ac:dyDescent="0.2">
      <c r="A116" s="289" t="s">
        <v>366</v>
      </c>
      <c r="F116" s="59"/>
      <c r="G116" s="59"/>
      <c r="H116" s="59"/>
      <c r="I116" s="59"/>
    </row>
    <row r="117" spans="1:11" x14ac:dyDescent="0.2">
      <c r="E117" s="280" t="s">
        <v>411</v>
      </c>
      <c r="F117" s="290" t="s">
        <v>200</v>
      </c>
      <c r="G117" s="290"/>
      <c r="H117" s="290"/>
      <c r="I117" s="301">
        <v>8</v>
      </c>
      <c r="J117" s="299"/>
      <c r="K117" s="299"/>
    </row>
    <row r="118" spans="1:11" ht="13.5" thickBot="1" x14ac:dyDescent="0.25">
      <c r="F118" s="293"/>
      <c r="G118" s="293"/>
      <c r="H118" s="298"/>
      <c r="I118" s="307"/>
      <c r="J118" s="307" t="s">
        <v>433</v>
      </c>
      <c r="K118" s="307"/>
    </row>
    <row r="119" spans="1:11" x14ac:dyDescent="0.2">
      <c r="E119" s="280" t="s">
        <v>414</v>
      </c>
      <c r="F119" s="295" t="s">
        <v>433</v>
      </c>
      <c r="G119" s="295"/>
      <c r="H119" s="303"/>
      <c r="I119" s="296">
        <v>13</v>
      </c>
      <c r="J119" s="308" t="s">
        <v>270</v>
      </c>
      <c r="K119" s="299"/>
    </row>
    <row r="120" spans="1:11" x14ac:dyDescent="0.2">
      <c r="F120" s="290"/>
      <c r="G120" s="290"/>
      <c r="H120" s="290"/>
      <c r="I120" s="290"/>
      <c r="J120" s="299"/>
      <c r="K120" s="299"/>
    </row>
    <row r="121" spans="1:11" ht="13.5" thickBot="1" x14ac:dyDescent="0.25">
      <c r="F121" s="290"/>
      <c r="G121" s="299"/>
      <c r="H121" s="299"/>
      <c r="I121" s="290"/>
      <c r="J121" s="307" t="s">
        <v>200</v>
      </c>
      <c r="K121" s="307"/>
    </row>
    <row r="122" spans="1:11" x14ac:dyDescent="0.2">
      <c r="F122" s="296"/>
      <c r="G122" s="290"/>
      <c r="H122" s="290"/>
      <c r="I122" s="290"/>
      <c r="J122" s="309" t="s">
        <v>318</v>
      </c>
      <c r="K122" s="290"/>
    </row>
    <row r="124" spans="1:11" x14ac:dyDescent="0.2">
      <c r="A124" s="240">
        <v>1</v>
      </c>
      <c r="B124" s="285" t="s">
        <v>153</v>
      </c>
    </row>
    <row r="125" spans="1:11" x14ac:dyDescent="0.2">
      <c r="A125" s="240">
        <v>2</v>
      </c>
      <c r="B125" s="215" t="s">
        <v>166</v>
      </c>
    </row>
    <row r="126" spans="1:11" x14ac:dyDescent="0.2">
      <c r="A126" s="240">
        <v>3</v>
      </c>
      <c r="B126" s="216" t="s">
        <v>163</v>
      </c>
    </row>
    <row r="127" spans="1:11" x14ac:dyDescent="0.2">
      <c r="A127" s="240">
        <v>4</v>
      </c>
      <c r="B127" s="219" t="s">
        <v>155</v>
      </c>
    </row>
    <row r="128" spans="1:11" x14ac:dyDescent="0.2">
      <c r="A128" s="240">
        <v>5</v>
      </c>
      <c r="B128" s="219" t="s">
        <v>162</v>
      </c>
    </row>
    <row r="129" spans="1:2" x14ac:dyDescent="0.2">
      <c r="A129" s="240">
        <v>6</v>
      </c>
      <c r="B129" s="219" t="s">
        <v>157</v>
      </c>
    </row>
    <row r="130" spans="1:2" x14ac:dyDescent="0.2">
      <c r="A130" s="240">
        <v>7</v>
      </c>
      <c r="B130" s="219" t="s">
        <v>168</v>
      </c>
    </row>
    <row r="131" spans="1:2" x14ac:dyDescent="0.2">
      <c r="A131" s="240">
        <v>8</v>
      </c>
      <c r="B131" s="219" t="s">
        <v>159</v>
      </c>
    </row>
    <row r="132" spans="1:2" x14ac:dyDescent="0.2">
      <c r="A132" s="240">
        <v>9</v>
      </c>
      <c r="B132" s="219" t="s">
        <v>160</v>
      </c>
    </row>
    <row r="133" spans="1:2" x14ac:dyDescent="0.2">
      <c r="A133" s="240">
        <v>10</v>
      </c>
      <c r="B133" s="219" t="s">
        <v>156</v>
      </c>
    </row>
    <row r="134" spans="1:2" x14ac:dyDescent="0.2">
      <c r="A134" s="240">
        <v>11</v>
      </c>
      <c r="B134" s="219" t="s">
        <v>161</v>
      </c>
    </row>
    <row r="135" spans="1:2" x14ac:dyDescent="0.2">
      <c r="A135" s="240">
        <v>12</v>
      </c>
      <c r="B135" s="219" t="s">
        <v>176</v>
      </c>
    </row>
    <row r="136" spans="1:2" x14ac:dyDescent="0.2">
      <c r="A136" s="240">
        <v>13</v>
      </c>
      <c r="B136" s="219" t="s">
        <v>171</v>
      </c>
    </row>
    <row r="137" spans="1:2" x14ac:dyDescent="0.2">
      <c r="A137" s="240">
        <v>14</v>
      </c>
      <c r="B137" s="219" t="s">
        <v>434</v>
      </c>
    </row>
    <row r="138" spans="1:2" x14ac:dyDescent="0.2">
      <c r="A138" s="240">
        <v>15</v>
      </c>
      <c r="B138" s="219" t="s">
        <v>182</v>
      </c>
    </row>
    <row r="139" spans="1:2" x14ac:dyDescent="0.2">
      <c r="A139" s="240">
        <v>16</v>
      </c>
      <c r="B139" s="219" t="s">
        <v>158</v>
      </c>
    </row>
    <row r="140" spans="1:2" x14ac:dyDescent="0.2">
      <c r="A140" s="240">
        <v>17</v>
      </c>
      <c r="B140" s="219" t="s">
        <v>433</v>
      </c>
    </row>
    <row r="141" spans="1:2" x14ac:dyDescent="0.2">
      <c r="A141" s="240">
        <v>18</v>
      </c>
      <c r="B141" s="219" t="s">
        <v>200</v>
      </c>
    </row>
  </sheetData>
  <conditionalFormatting sqref="B7">
    <cfRule type="duplicateValues" dxfId="134" priority="2" stopIfTrue="1"/>
  </conditionalFormatting>
  <conditionalFormatting sqref="C7:I119">
    <cfRule type="cellIs" dxfId="133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  <rowBreaks count="3" manualBreakCount="3">
    <brk id="40" max="16383" man="1"/>
    <brk id="77" max="16383" man="1"/>
    <brk id="12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showGridLines="0" showRowColHeaders="0" zoomScaleNormal="100" workbookViewId="0">
      <pane ySplit="6" topLeftCell="A7" activePane="bottomLeft" state="frozen"/>
      <selection activeCell="E5" sqref="E5"/>
      <selection pane="bottomLeft" activeCell="R1" sqref="R1"/>
    </sheetView>
  </sheetViews>
  <sheetFormatPr defaultColWidth="9.42578125" defaultRowHeight="12.75" x14ac:dyDescent="0.2"/>
  <cols>
    <col min="1" max="1" width="3.28515625" style="59" customWidth="1"/>
    <col min="2" max="2" width="18.7109375" style="59" bestFit="1" customWidth="1"/>
    <col min="3" max="3" width="5.140625" style="59" bestFit="1" customWidth="1"/>
    <col min="4" max="4" width="6.5703125" style="59" bestFit="1" customWidth="1"/>
    <col min="5" max="20" width="3.42578125" style="59" customWidth="1"/>
    <col min="21" max="21" width="5.28515625" style="59" bestFit="1" customWidth="1"/>
    <col min="22" max="22" width="5.140625" style="59" bestFit="1" customWidth="1"/>
    <col min="23" max="240" width="9.140625" style="59" customWidth="1"/>
    <col min="241" max="16384" width="9.42578125" style="59"/>
  </cols>
  <sheetData>
    <row r="1" spans="1:22" x14ac:dyDescent="0.2">
      <c r="A1" s="58" t="str">
        <f>UPPER((Kalend!E48)&amp;" - "&amp;(Kalend!C48)&amp;" - "&amp;(Kalend!D48))</f>
        <v>L - HOOAJA LÕPETAMINE (PLIKS-PLAKS) - ÜKSIK</v>
      </c>
      <c r="K1" s="239" t="str">
        <f>HYPERLINK("#'Kalend'!I1","Kalender")</f>
        <v>Kalender</v>
      </c>
      <c r="O1" s="239" t="str">
        <f>HYPERLINK("#'Reit'!G1","Reiting")</f>
        <v>Reiting</v>
      </c>
      <c r="T1" s="59" t="s">
        <v>435</v>
      </c>
    </row>
    <row r="2" spans="1:22" x14ac:dyDescent="0.2">
      <c r="A2" s="59" t="str">
        <f>"Toimumisaeg: "&amp;(Kalend!A48)&amp;" kell "&amp;(Kalend!B48)</f>
        <v>Toimumisaeg: R, 09.10.2015 kell 18:00</v>
      </c>
      <c r="T2" s="59" t="s">
        <v>436</v>
      </c>
    </row>
    <row r="3" spans="1:22" x14ac:dyDescent="0.2">
      <c r="A3" s="59" t="str">
        <f>"Toimumiskoht: "&amp;(Kalend!F48)</f>
        <v>Toimumiskoht: K-Järve spordihoone</v>
      </c>
      <c r="T3" s="59" t="s">
        <v>437</v>
      </c>
    </row>
    <row r="4" spans="1:22" x14ac:dyDescent="0.2">
      <c r="A4" s="59" t="str">
        <f>"Korraldaja: "&amp;(Kalend!G48)</f>
        <v>Korraldaja: K-Järve SHK, Ivar Viljaste</v>
      </c>
    </row>
    <row r="6" spans="1:22" x14ac:dyDescent="0.2">
      <c r="A6" s="287"/>
      <c r="B6" s="287" t="s">
        <v>147</v>
      </c>
      <c r="C6" s="287" t="s">
        <v>222</v>
      </c>
      <c r="D6" s="287" t="s">
        <v>438</v>
      </c>
      <c r="E6" s="287">
        <v>1</v>
      </c>
      <c r="F6" s="287">
        <v>2</v>
      </c>
      <c r="G6" s="287">
        <v>3</v>
      </c>
      <c r="H6" s="287">
        <v>4</v>
      </c>
      <c r="I6" s="287">
        <v>5</v>
      </c>
      <c r="J6" s="287">
        <v>6</v>
      </c>
      <c r="K6" s="287">
        <v>7</v>
      </c>
      <c r="L6" s="287">
        <v>8</v>
      </c>
      <c r="M6" s="287">
        <v>9</v>
      </c>
      <c r="N6" s="287">
        <v>10</v>
      </c>
      <c r="O6" s="287">
        <v>11</v>
      </c>
      <c r="P6" s="287">
        <v>12</v>
      </c>
      <c r="Q6" s="287">
        <v>13</v>
      </c>
      <c r="R6" s="287">
        <v>14</v>
      </c>
      <c r="S6" s="287">
        <v>15</v>
      </c>
      <c r="T6" s="287">
        <v>16</v>
      </c>
      <c r="U6" s="59" t="s">
        <v>144</v>
      </c>
      <c r="V6" s="59" t="s">
        <v>439</v>
      </c>
    </row>
    <row r="7" spans="1:22" x14ac:dyDescent="0.2">
      <c r="A7" s="219">
        <v>1</v>
      </c>
      <c r="B7" s="219" t="s">
        <v>169</v>
      </c>
      <c r="C7" s="437">
        <v>7</v>
      </c>
      <c r="D7" s="245">
        <f t="shared" ref="D7:D22" si="0">SUM(E7:T7)</f>
        <v>17</v>
      </c>
      <c r="E7" s="325"/>
      <c r="F7" s="242">
        <v>1</v>
      </c>
      <c r="G7" s="326">
        <v>1</v>
      </c>
      <c r="H7" s="326">
        <v>2</v>
      </c>
      <c r="I7" s="326">
        <v>1</v>
      </c>
      <c r="J7" s="326">
        <v>2</v>
      </c>
      <c r="K7" s="326">
        <v>0</v>
      </c>
      <c r="L7" s="326">
        <v>0</v>
      </c>
      <c r="M7" s="326">
        <v>2</v>
      </c>
      <c r="N7" s="326">
        <v>2</v>
      </c>
      <c r="O7" s="326">
        <v>1</v>
      </c>
      <c r="P7" s="326">
        <v>0</v>
      </c>
      <c r="Q7" s="326">
        <v>2</v>
      </c>
      <c r="R7" s="326">
        <v>0</v>
      </c>
      <c r="S7" s="326">
        <v>2</v>
      </c>
      <c r="T7" s="326">
        <v>1</v>
      </c>
      <c r="U7" s="438">
        <f t="shared" ref="U7:U22" si="1">COUNTIF(E7:T7,"=2")</f>
        <v>6</v>
      </c>
      <c r="V7" s="376">
        <f t="shared" ref="V7:V22" si="2">COUNTIF(E7:T7,"=1")</f>
        <v>5</v>
      </c>
    </row>
    <row r="8" spans="1:22" x14ac:dyDescent="0.2">
      <c r="A8" s="219">
        <v>2</v>
      </c>
      <c r="B8" s="322" t="s">
        <v>158</v>
      </c>
      <c r="C8" s="439">
        <v>2</v>
      </c>
      <c r="D8" s="245">
        <f t="shared" si="0"/>
        <v>21</v>
      </c>
      <c r="E8" s="242">
        <v>1</v>
      </c>
      <c r="F8" s="325"/>
      <c r="G8" s="326">
        <v>0</v>
      </c>
      <c r="H8" s="326">
        <v>2</v>
      </c>
      <c r="I8" s="326">
        <v>1</v>
      </c>
      <c r="J8" s="326">
        <v>2</v>
      </c>
      <c r="K8" s="326">
        <v>2</v>
      </c>
      <c r="L8" s="326">
        <v>2</v>
      </c>
      <c r="M8" s="326">
        <v>2</v>
      </c>
      <c r="N8" s="326">
        <v>2</v>
      </c>
      <c r="O8" s="326">
        <v>2</v>
      </c>
      <c r="P8" s="326">
        <v>2</v>
      </c>
      <c r="Q8" s="326">
        <v>1</v>
      </c>
      <c r="R8" s="326">
        <v>1</v>
      </c>
      <c r="S8" s="326">
        <v>0</v>
      </c>
      <c r="T8" s="326">
        <v>1</v>
      </c>
      <c r="U8" s="438">
        <f t="shared" si="1"/>
        <v>8</v>
      </c>
      <c r="V8" s="376">
        <f t="shared" si="2"/>
        <v>5</v>
      </c>
    </row>
    <row r="9" spans="1:22" x14ac:dyDescent="0.2">
      <c r="A9" s="219">
        <v>3</v>
      </c>
      <c r="B9" s="288" t="s">
        <v>160</v>
      </c>
      <c r="C9" s="437">
        <v>5</v>
      </c>
      <c r="D9" s="245">
        <f t="shared" si="0"/>
        <v>20</v>
      </c>
      <c r="E9" s="242">
        <v>1</v>
      </c>
      <c r="F9" s="326">
        <v>2</v>
      </c>
      <c r="G9" s="325"/>
      <c r="H9" s="326">
        <v>2</v>
      </c>
      <c r="I9" s="326">
        <v>2</v>
      </c>
      <c r="J9" s="326">
        <v>2</v>
      </c>
      <c r="K9" s="326">
        <v>0</v>
      </c>
      <c r="L9" s="326">
        <v>0</v>
      </c>
      <c r="M9" s="326">
        <v>1</v>
      </c>
      <c r="N9" s="326">
        <v>1</v>
      </c>
      <c r="O9" s="326">
        <v>1</v>
      </c>
      <c r="P9" s="326">
        <v>2</v>
      </c>
      <c r="Q9" s="326">
        <v>2</v>
      </c>
      <c r="R9" s="326">
        <v>2</v>
      </c>
      <c r="S9" s="326">
        <v>2</v>
      </c>
      <c r="T9" s="326">
        <v>0</v>
      </c>
      <c r="U9" s="438">
        <f t="shared" si="1"/>
        <v>8</v>
      </c>
      <c r="V9" s="376">
        <f t="shared" si="2"/>
        <v>4</v>
      </c>
    </row>
    <row r="10" spans="1:22" x14ac:dyDescent="0.2">
      <c r="A10" s="219">
        <v>4</v>
      </c>
      <c r="B10" s="288" t="s">
        <v>162</v>
      </c>
      <c r="C10" s="437">
        <v>15</v>
      </c>
      <c r="D10" s="245">
        <f t="shared" si="0"/>
        <v>9</v>
      </c>
      <c r="E10" s="242">
        <v>0</v>
      </c>
      <c r="F10" s="326">
        <v>0</v>
      </c>
      <c r="G10" s="326">
        <v>0</v>
      </c>
      <c r="H10" s="325"/>
      <c r="I10" s="326">
        <v>0</v>
      </c>
      <c r="J10" s="326">
        <v>2</v>
      </c>
      <c r="K10" s="326">
        <v>2</v>
      </c>
      <c r="L10" s="326">
        <v>0</v>
      </c>
      <c r="M10" s="326">
        <v>1</v>
      </c>
      <c r="N10" s="326">
        <v>0</v>
      </c>
      <c r="O10" s="326">
        <v>1</v>
      </c>
      <c r="P10" s="326">
        <v>1</v>
      </c>
      <c r="Q10" s="326">
        <v>1</v>
      </c>
      <c r="R10" s="326">
        <v>0</v>
      </c>
      <c r="S10" s="326">
        <v>0</v>
      </c>
      <c r="T10" s="326">
        <v>1</v>
      </c>
      <c r="U10" s="438">
        <f t="shared" si="1"/>
        <v>2</v>
      </c>
      <c r="V10" s="376">
        <f t="shared" si="2"/>
        <v>5</v>
      </c>
    </row>
    <row r="11" spans="1:22" x14ac:dyDescent="0.2">
      <c r="A11" s="219">
        <v>5</v>
      </c>
      <c r="B11" s="288" t="s">
        <v>157</v>
      </c>
      <c r="C11" s="440">
        <v>13</v>
      </c>
      <c r="D11" s="245">
        <f t="shared" si="0"/>
        <v>10</v>
      </c>
      <c r="E11" s="242">
        <v>1</v>
      </c>
      <c r="F11" s="326">
        <v>1</v>
      </c>
      <c r="G11" s="326">
        <v>0</v>
      </c>
      <c r="H11" s="326">
        <v>2</v>
      </c>
      <c r="I11" s="325"/>
      <c r="J11" s="242">
        <v>0</v>
      </c>
      <c r="K11" s="326">
        <v>1</v>
      </c>
      <c r="L11" s="326">
        <v>0</v>
      </c>
      <c r="M11" s="326">
        <v>1</v>
      </c>
      <c r="N11" s="326">
        <v>0</v>
      </c>
      <c r="O11" s="326">
        <v>0</v>
      </c>
      <c r="P11" s="326">
        <v>2</v>
      </c>
      <c r="Q11" s="326">
        <v>2</v>
      </c>
      <c r="R11" s="326">
        <v>0</v>
      </c>
      <c r="S11" s="326">
        <v>0</v>
      </c>
      <c r="T11" s="326">
        <v>0</v>
      </c>
      <c r="U11" s="438">
        <f t="shared" si="1"/>
        <v>3</v>
      </c>
      <c r="V11" s="376">
        <f t="shared" si="2"/>
        <v>4</v>
      </c>
    </row>
    <row r="12" spans="1:22" x14ac:dyDescent="0.2">
      <c r="A12" s="219">
        <v>6</v>
      </c>
      <c r="B12" s="288" t="s">
        <v>159</v>
      </c>
      <c r="C12" s="440">
        <v>14</v>
      </c>
      <c r="D12" s="245">
        <f t="shared" si="0"/>
        <v>9</v>
      </c>
      <c r="E12" s="242">
        <v>0</v>
      </c>
      <c r="F12" s="326">
        <v>0</v>
      </c>
      <c r="G12" s="326">
        <v>0</v>
      </c>
      <c r="H12" s="326">
        <v>0</v>
      </c>
      <c r="I12" s="326">
        <v>2</v>
      </c>
      <c r="J12" s="325"/>
      <c r="K12" s="326">
        <v>0</v>
      </c>
      <c r="L12" s="326">
        <v>0</v>
      </c>
      <c r="M12" s="326">
        <v>0</v>
      </c>
      <c r="N12" s="326">
        <v>2</v>
      </c>
      <c r="O12" s="326">
        <v>1</v>
      </c>
      <c r="P12" s="326">
        <v>2</v>
      </c>
      <c r="Q12" s="326">
        <v>0</v>
      </c>
      <c r="R12" s="326">
        <v>2</v>
      </c>
      <c r="S12" s="326">
        <v>0</v>
      </c>
      <c r="T12" s="326">
        <v>0</v>
      </c>
      <c r="U12" s="438">
        <f t="shared" si="1"/>
        <v>4</v>
      </c>
      <c r="V12" s="376">
        <f t="shared" si="2"/>
        <v>1</v>
      </c>
    </row>
    <row r="13" spans="1:22" x14ac:dyDescent="0.2">
      <c r="A13" s="219">
        <v>7</v>
      </c>
      <c r="B13" s="288" t="s">
        <v>177</v>
      </c>
      <c r="C13" s="437">
        <v>4</v>
      </c>
      <c r="D13" s="245">
        <f t="shared" si="0"/>
        <v>20</v>
      </c>
      <c r="E13" s="242">
        <v>2</v>
      </c>
      <c r="F13" s="326">
        <v>0</v>
      </c>
      <c r="G13" s="326">
        <v>2</v>
      </c>
      <c r="H13" s="326">
        <v>0</v>
      </c>
      <c r="I13" s="326">
        <v>1</v>
      </c>
      <c r="J13" s="326">
        <v>2</v>
      </c>
      <c r="K13" s="325"/>
      <c r="L13" s="326">
        <v>2</v>
      </c>
      <c r="M13" s="326">
        <v>0</v>
      </c>
      <c r="N13" s="326">
        <v>2</v>
      </c>
      <c r="O13" s="326">
        <v>1</v>
      </c>
      <c r="P13" s="326">
        <v>0</v>
      </c>
      <c r="Q13" s="326">
        <v>2</v>
      </c>
      <c r="R13" s="326">
        <v>2</v>
      </c>
      <c r="S13" s="326">
        <v>2</v>
      </c>
      <c r="T13" s="326">
        <v>2</v>
      </c>
      <c r="U13" s="438">
        <f t="shared" si="1"/>
        <v>9</v>
      </c>
      <c r="V13" s="376">
        <f t="shared" si="2"/>
        <v>2</v>
      </c>
    </row>
    <row r="14" spans="1:22" x14ac:dyDescent="0.2">
      <c r="A14" s="219">
        <v>8</v>
      </c>
      <c r="B14" s="285" t="s">
        <v>153</v>
      </c>
      <c r="C14" s="441">
        <v>1</v>
      </c>
      <c r="D14" s="245">
        <f t="shared" si="0"/>
        <v>21</v>
      </c>
      <c r="E14" s="242">
        <v>2</v>
      </c>
      <c r="F14" s="326">
        <v>0</v>
      </c>
      <c r="G14" s="326">
        <v>2</v>
      </c>
      <c r="H14" s="326">
        <v>2</v>
      </c>
      <c r="I14" s="326">
        <v>2</v>
      </c>
      <c r="J14" s="326">
        <v>2</v>
      </c>
      <c r="K14" s="326">
        <v>0</v>
      </c>
      <c r="L14" s="325"/>
      <c r="M14" s="326">
        <v>0</v>
      </c>
      <c r="N14" s="326">
        <v>2</v>
      </c>
      <c r="O14" s="326">
        <v>1</v>
      </c>
      <c r="P14" s="326">
        <v>2</v>
      </c>
      <c r="Q14" s="326">
        <v>2</v>
      </c>
      <c r="R14" s="326">
        <v>1</v>
      </c>
      <c r="S14" s="326">
        <v>1</v>
      </c>
      <c r="T14" s="326">
        <v>2</v>
      </c>
      <c r="U14" s="438">
        <f t="shared" si="1"/>
        <v>9</v>
      </c>
      <c r="V14" s="376">
        <f t="shared" si="2"/>
        <v>3</v>
      </c>
    </row>
    <row r="15" spans="1:22" x14ac:dyDescent="0.2">
      <c r="A15" s="219">
        <v>9</v>
      </c>
      <c r="B15" s="288" t="s">
        <v>172</v>
      </c>
      <c r="C15" s="440">
        <v>8</v>
      </c>
      <c r="D15" s="245">
        <f t="shared" si="0"/>
        <v>14</v>
      </c>
      <c r="E15" s="242">
        <v>0</v>
      </c>
      <c r="F15" s="326">
        <v>0</v>
      </c>
      <c r="G15" s="326">
        <v>1</v>
      </c>
      <c r="H15" s="326">
        <v>1</v>
      </c>
      <c r="I15" s="326">
        <v>1</v>
      </c>
      <c r="J15" s="326">
        <v>2</v>
      </c>
      <c r="K15" s="326">
        <v>2</v>
      </c>
      <c r="L15" s="326">
        <v>2</v>
      </c>
      <c r="M15" s="325"/>
      <c r="N15" s="326">
        <v>1</v>
      </c>
      <c r="O15" s="326">
        <v>1</v>
      </c>
      <c r="P15" s="326">
        <v>0</v>
      </c>
      <c r="Q15" s="326">
        <v>2</v>
      </c>
      <c r="R15" s="326">
        <v>0</v>
      </c>
      <c r="S15" s="326">
        <v>0</v>
      </c>
      <c r="T15" s="326">
        <v>1</v>
      </c>
      <c r="U15" s="438">
        <f t="shared" si="1"/>
        <v>4</v>
      </c>
      <c r="V15" s="376">
        <f t="shared" si="2"/>
        <v>6</v>
      </c>
    </row>
    <row r="16" spans="1:22" x14ac:dyDescent="0.2">
      <c r="A16" s="219">
        <v>10</v>
      </c>
      <c r="B16" s="288" t="s">
        <v>176</v>
      </c>
      <c r="C16" s="437">
        <v>12</v>
      </c>
      <c r="D16" s="245">
        <f t="shared" si="0"/>
        <v>11</v>
      </c>
      <c r="E16" s="242">
        <v>0</v>
      </c>
      <c r="F16" s="326">
        <v>0</v>
      </c>
      <c r="G16" s="326">
        <v>1</v>
      </c>
      <c r="H16" s="326">
        <v>2</v>
      </c>
      <c r="I16" s="326">
        <v>2</v>
      </c>
      <c r="J16" s="326">
        <v>0</v>
      </c>
      <c r="K16" s="326">
        <v>0</v>
      </c>
      <c r="L16" s="326">
        <v>0</v>
      </c>
      <c r="M16" s="326">
        <v>1</v>
      </c>
      <c r="N16" s="325"/>
      <c r="O16" s="326">
        <v>2</v>
      </c>
      <c r="P16" s="326">
        <v>0</v>
      </c>
      <c r="Q16" s="326">
        <v>1</v>
      </c>
      <c r="R16" s="326">
        <v>1</v>
      </c>
      <c r="S16" s="326">
        <v>1</v>
      </c>
      <c r="T16" s="326">
        <v>0</v>
      </c>
      <c r="U16" s="438">
        <f t="shared" si="1"/>
        <v>3</v>
      </c>
      <c r="V16" s="376">
        <f t="shared" si="2"/>
        <v>5</v>
      </c>
    </row>
    <row r="17" spans="1:22" x14ac:dyDescent="0.2">
      <c r="A17" s="219">
        <v>11</v>
      </c>
      <c r="B17" s="288" t="s">
        <v>180</v>
      </c>
      <c r="C17" s="437">
        <v>9</v>
      </c>
      <c r="D17" s="245">
        <f t="shared" si="0"/>
        <v>14</v>
      </c>
      <c r="E17" s="242">
        <v>1</v>
      </c>
      <c r="F17" s="326">
        <v>0</v>
      </c>
      <c r="G17" s="326">
        <v>1</v>
      </c>
      <c r="H17" s="326">
        <v>1</v>
      </c>
      <c r="I17" s="326">
        <v>2</v>
      </c>
      <c r="J17" s="326">
        <v>1</v>
      </c>
      <c r="K17" s="326">
        <v>1</v>
      </c>
      <c r="L17" s="326">
        <v>1</v>
      </c>
      <c r="M17" s="326">
        <v>1</v>
      </c>
      <c r="N17" s="326">
        <v>0</v>
      </c>
      <c r="O17" s="325"/>
      <c r="P17" s="326">
        <v>2</v>
      </c>
      <c r="Q17" s="326">
        <v>0</v>
      </c>
      <c r="R17" s="326">
        <v>1</v>
      </c>
      <c r="S17" s="326">
        <v>1</v>
      </c>
      <c r="T17" s="326">
        <v>1</v>
      </c>
      <c r="U17" s="438">
        <f t="shared" si="1"/>
        <v>2</v>
      </c>
      <c r="V17" s="376">
        <f t="shared" si="2"/>
        <v>10</v>
      </c>
    </row>
    <row r="18" spans="1:22" x14ac:dyDescent="0.2">
      <c r="A18" s="219">
        <v>12</v>
      </c>
      <c r="B18" s="288" t="s">
        <v>173</v>
      </c>
      <c r="C18" s="437">
        <v>10</v>
      </c>
      <c r="D18" s="245">
        <f t="shared" si="0"/>
        <v>13</v>
      </c>
      <c r="E18" s="242">
        <v>2</v>
      </c>
      <c r="F18" s="326">
        <v>0</v>
      </c>
      <c r="G18" s="326">
        <v>0</v>
      </c>
      <c r="H18" s="326">
        <v>1</v>
      </c>
      <c r="I18" s="326">
        <v>0</v>
      </c>
      <c r="J18" s="326">
        <v>0</v>
      </c>
      <c r="K18" s="326">
        <v>2</v>
      </c>
      <c r="L18" s="326">
        <v>0</v>
      </c>
      <c r="M18" s="326">
        <v>2</v>
      </c>
      <c r="N18" s="326">
        <v>2</v>
      </c>
      <c r="O18" s="326">
        <v>0</v>
      </c>
      <c r="P18" s="325"/>
      <c r="Q18" s="326">
        <v>2</v>
      </c>
      <c r="R18" s="326">
        <v>2</v>
      </c>
      <c r="S18" s="326">
        <v>0</v>
      </c>
      <c r="T18" s="326">
        <v>0</v>
      </c>
      <c r="U18" s="438">
        <f t="shared" si="1"/>
        <v>6</v>
      </c>
      <c r="V18" s="376">
        <f t="shared" si="2"/>
        <v>1</v>
      </c>
    </row>
    <row r="19" spans="1:22" x14ac:dyDescent="0.2">
      <c r="A19" s="219">
        <v>13</v>
      </c>
      <c r="B19" s="288" t="s">
        <v>170</v>
      </c>
      <c r="C19" s="437">
        <v>16</v>
      </c>
      <c r="D19" s="245">
        <f t="shared" si="0"/>
        <v>8</v>
      </c>
      <c r="E19" s="242">
        <v>0</v>
      </c>
      <c r="F19" s="326">
        <v>1</v>
      </c>
      <c r="G19" s="326">
        <v>0</v>
      </c>
      <c r="H19" s="326">
        <v>1</v>
      </c>
      <c r="I19" s="326">
        <v>0</v>
      </c>
      <c r="J19" s="326">
        <v>2</v>
      </c>
      <c r="K19" s="326">
        <v>0</v>
      </c>
      <c r="L19" s="326">
        <v>0</v>
      </c>
      <c r="M19" s="326">
        <v>0</v>
      </c>
      <c r="N19" s="326">
        <v>1</v>
      </c>
      <c r="O19" s="326">
        <v>2</v>
      </c>
      <c r="P19" s="326">
        <v>0</v>
      </c>
      <c r="Q19" s="325"/>
      <c r="R19" s="326">
        <v>1</v>
      </c>
      <c r="S19" s="326">
        <v>0</v>
      </c>
      <c r="T19" s="326">
        <v>0</v>
      </c>
      <c r="U19" s="438">
        <f t="shared" si="1"/>
        <v>2</v>
      </c>
      <c r="V19" s="376">
        <f t="shared" si="2"/>
        <v>4</v>
      </c>
    </row>
    <row r="20" spans="1:22" x14ac:dyDescent="0.2">
      <c r="A20" s="219">
        <v>14</v>
      </c>
      <c r="B20" s="219" t="s">
        <v>155</v>
      </c>
      <c r="C20" s="437">
        <v>11</v>
      </c>
      <c r="D20" s="245">
        <f t="shared" si="0"/>
        <v>13</v>
      </c>
      <c r="E20" s="242">
        <v>2</v>
      </c>
      <c r="F20" s="326">
        <v>1</v>
      </c>
      <c r="G20" s="326">
        <v>0</v>
      </c>
      <c r="H20" s="326">
        <v>2</v>
      </c>
      <c r="I20" s="326">
        <v>2</v>
      </c>
      <c r="J20" s="326">
        <v>0</v>
      </c>
      <c r="K20" s="326">
        <v>0</v>
      </c>
      <c r="L20" s="326">
        <v>1</v>
      </c>
      <c r="M20" s="326">
        <v>2</v>
      </c>
      <c r="N20" s="326">
        <v>1</v>
      </c>
      <c r="O20" s="326">
        <v>1</v>
      </c>
      <c r="P20" s="326">
        <v>0</v>
      </c>
      <c r="Q20" s="326">
        <v>1</v>
      </c>
      <c r="R20" s="325"/>
      <c r="S20" s="326">
        <v>0</v>
      </c>
      <c r="T20" s="326">
        <v>0</v>
      </c>
      <c r="U20" s="438">
        <f t="shared" si="1"/>
        <v>4</v>
      </c>
      <c r="V20" s="376">
        <f t="shared" si="2"/>
        <v>5</v>
      </c>
    </row>
    <row r="21" spans="1:22" x14ac:dyDescent="0.2">
      <c r="A21" s="219">
        <v>15</v>
      </c>
      <c r="B21" s="219" t="s">
        <v>156</v>
      </c>
      <c r="C21" s="437">
        <v>6</v>
      </c>
      <c r="D21" s="245">
        <f t="shared" si="0"/>
        <v>19</v>
      </c>
      <c r="E21" s="242">
        <v>0</v>
      </c>
      <c r="F21" s="326">
        <v>2</v>
      </c>
      <c r="G21" s="326">
        <v>0</v>
      </c>
      <c r="H21" s="326">
        <v>2</v>
      </c>
      <c r="I21" s="326">
        <v>2</v>
      </c>
      <c r="J21" s="326">
        <v>2</v>
      </c>
      <c r="K21" s="326">
        <v>0</v>
      </c>
      <c r="L21" s="326">
        <v>1</v>
      </c>
      <c r="M21" s="326">
        <v>2</v>
      </c>
      <c r="N21" s="326">
        <v>1</v>
      </c>
      <c r="O21" s="326">
        <v>1</v>
      </c>
      <c r="P21" s="326">
        <v>2</v>
      </c>
      <c r="Q21" s="326">
        <v>2</v>
      </c>
      <c r="R21" s="326">
        <v>2</v>
      </c>
      <c r="S21" s="325"/>
      <c r="T21" s="326">
        <v>0</v>
      </c>
      <c r="U21" s="438">
        <f t="shared" si="1"/>
        <v>8</v>
      </c>
      <c r="V21" s="376">
        <f t="shared" si="2"/>
        <v>3</v>
      </c>
    </row>
    <row r="22" spans="1:22" x14ac:dyDescent="0.2">
      <c r="A22" s="219">
        <v>16</v>
      </c>
      <c r="B22" s="216" t="s">
        <v>161</v>
      </c>
      <c r="C22" s="442">
        <v>3</v>
      </c>
      <c r="D22" s="245">
        <f t="shared" si="0"/>
        <v>21</v>
      </c>
      <c r="E22" s="242">
        <v>1</v>
      </c>
      <c r="F22" s="326">
        <v>1</v>
      </c>
      <c r="G22" s="326">
        <v>2</v>
      </c>
      <c r="H22" s="326">
        <v>1</v>
      </c>
      <c r="I22" s="326">
        <v>2</v>
      </c>
      <c r="J22" s="326">
        <v>2</v>
      </c>
      <c r="K22" s="326">
        <v>0</v>
      </c>
      <c r="L22" s="326">
        <v>0</v>
      </c>
      <c r="M22" s="326">
        <v>1</v>
      </c>
      <c r="N22" s="326">
        <v>2</v>
      </c>
      <c r="O22" s="326">
        <v>1</v>
      </c>
      <c r="P22" s="326">
        <v>2</v>
      </c>
      <c r="Q22" s="326">
        <v>2</v>
      </c>
      <c r="R22" s="326">
        <v>2</v>
      </c>
      <c r="S22" s="326">
        <v>2</v>
      </c>
      <c r="T22" s="325"/>
      <c r="U22" s="438">
        <f t="shared" si="1"/>
        <v>8</v>
      </c>
      <c r="V22" s="376">
        <f t="shared" si="2"/>
        <v>5</v>
      </c>
    </row>
    <row r="23" spans="1:22" x14ac:dyDescent="0.2">
      <c r="A23" s="287"/>
      <c r="B23" s="287"/>
      <c r="C23" s="287"/>
      <c r="D23" s="287"/>
      <c r="E23" s="287">
        <v>1</v>
      </c>
      <c r="F23" s="287">
        <v>2</v>
      </c>
      <c r="G23" s="287">
        <v>3</v>
      </c>
      <c r="H23" s="287">
        <v>4</v>
      </c>
      <c r="I23" s="287">
        <v>5</v>
      </c>
      <c r="J23" s="287">
        <v>6</v>
      </c>
      <c r="K23" s="287">
        <v>7</v>
      </c>
      <c r="L23" s="287">
        <v>8</v>
      </c>
      <c r="M23" s="287">
        <v>9</v>
      </c>
      <c r="N23" s="287">
        <v>10</v>
      </c>
      <c r="O23" s="287">
        <v>11</v>
      </c>
      <c r="P23" s="287">
        <v>12</v>
      </c>
      <c r="Q23" s="287">
        <v>13</v>
      </c>
      <c r="R23" s="287">
        <v>14</v>
      </c>
      <c r="S23" s="287">
        <v>15</v>
      </c>
      <c r="T23" s="287">
        <v>16</v>
      </c>
    </row>
    <row r="25" spans="1:22" x14ac:dyDescent="0.2">
      <c r="A25" s="59" t="s">
        <v>440</v>
      </c>
    </row>
    <row r="26" spans="1:22" x14ac:dyDescent="0.2">
      <c r="A26" s="59" t="s">
        <v>441</v>
      </c>
    </row>
    <row r="27" spans="1:22" x14ac:dyDescent="0.2">
      <c r="A27" s="59" t="s">
        <v>442</v>
      </c>
    </row>
  </sheetData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1" manualBreakCount="1">
    <brk id="3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M33"/>
  <sheetViews>
    <sheetView showGridLines="0" showRowColHeaders="0" zoomScaleNormal="100" workbookViewId="0">
      <pane ySplit="6" topLeftCell="A7" activePane="bottomLeft" state="frozen"/>
      <selection activeCell="E5" sqref="E5"/>
      <selection pane="bottomLeft" activeCell="F1" sqref="F1"/>
    </sheetView>
  </sheetViews>
  <sheetFormatPr defaultRowHeight="12.75" x14ac:dyDescent="0.2"/>
  <cols>
    <col min="1" max="1" width="3.28515625" style="236" customWidth="1"/>
    <col min="2" max="2" width="21.7109375" style="192" bestFit="1" customWidth="1"/>
    <col min="3" max="3" width="4" style="220" bestFit="1" customWidth="1"/>
    <col min="4" max="4" width="4.5703125" style="220" customWidth="1"/>
    <col min="5" max="5" width="5.5703125" style="236" customWidth="1"/>
    <col min="6" max="9" width="5.5703125" style="236" bestFit="1" customWidth="1"/>
    <col min="10" max="10" width="7.28515625" style="236" bestFit="1" customWidth="1"/>
    <col min="11" max="13" width="3.28515625" style="192" bestFit="1" customWidth="1"/>
    <col min="14" max="14" width="3.85546875" style="192" customWidth="1"/>
    <col min="15" max="16384" width="9.140625" style="192"/>
  </cols>
  <sheetData>
    <row r="1" spans="1:13" x14ac:dyDescent="0.2">
      <c r="A1" s="314" t="s">
        <v>443</v>
      </c>
      <c r="B1" s="315"/>
      <c r="C1" s="443"/>
      <c r="D1" s="443"/>
      <c r="E1" s="443"/>
      <c r="F1" s="443"/>
      <c r="G1" s="443"/>
      <c r="H1" s="443"/>
      <c r="I1" s="443"/>
      <c r="J1" s="444" t="s">
        <v>582</v>
      </c>
      <c r="K1" s="190"/>
      <c r="L1" s="191" t="s">
        <v>139</v>
      </c>
      <c r="M1" s="191"/>
    </row>
    <row r="2" spans="1:13" x14ac:dyDescent="0.2">
      <c r="A2" s="445" t="s">
        <v>591</v>
      </c>
      <c r="B2" s="315"/>
      <c r="C2" s="443"/>
      <c r="D2" s="443"/>
      <c r="E2" s="443"/>
      <c r="F2" s="443"/>
      <c r="G2" s="443"/>
      <c r="H2" s="443"/>
      <c r="I2" s="443"/>
      <c r="J2" s="443"/>
      <c r="L2" s="194" t="s">
        <v>140</v>
      </c>
      <c r="M2" s="194"/>
    </row>
    <row r="3" spans="1:13" x14ac:dyDescent="0.2">
      <c r="A3" s="443" t="s">
        <v>136</v>
      </c>
      <c r="B3" s="443" t="s">
        <v>136</v>
      </c>
      <c r="C3" s="443" t="s">
        <v>136</v>
      </c>
      <c r="D3" s="443"/>
      <c r="E3" s="443"/>
      <c r="F3" s="443"/>
      <c r="G3" s="443"/>
      <c r="H3" s="443"/>
      <c r="I3" s="443"/>
      <c r="J3" s="443"/>
      <c r="L3" s="195" t="s">
        <v>141</v>
      </c>
      <c r="M3" s="195"/>
    </row>
    <row r="4" spans="1:13" ht="38.25" customHeight="1" x14ac:dyDescent="0.2">
      <c r="A4" s="446" t="s">
        <v>136</v>
      </c>
      <c r="B4" s="446" t="s">
        <v>136</v>
      </c>
      <c r="C4" s="446" t="s">
        <v>136</v>
      </c>
      <c r="D4" s="446"/>
      <c r="E4" s="447" t="str">
        <f>MID(Kalend!A7,4,5)</f>
        <v>07.05</v>
      </c>
      <c r="F4" s="448" t="str">
        <f>MID(Kalend!A15,4,5)</f>
        <v>04.06</v>
      </c>
      <c r="G4" s="448" t="str">
        <f>MID(Kalend!A22,4,5)</f>
        <v>02.07</v>
      </c>
      <c r="H4" s="448" t="str">
        <f>MID(Kalend!A30,4,5)</f>
        <v>06.08</v>
      </c>
      <c r="I4" s="448" t="str">
        <f>MID(Kalend!A40,4,5)</f>
        <v>03.09</v>
      </c>
      <c r="J4" s="449" t="str">
        <f>"Ivari karikas "&amp;MID(Kalend!A43,4,5)</f>
        <v>Ivari karikas 20.09</v>
      </c>
      <c r="K4" s="805" t="s">
        <v>142</v>
      </c>
      <c r="L4" s="803" t="s">
        <v>143</v>
      </c>
      <c r="M4" s="804" t="s">
        <v>144</v>
      </c>
    </row>
    <row r="5" spans="1:13" ht="15" x14ac:dyDescent="0.25">
      <c r="A5" s="789"/>
      <c r="B5" s="446"/>
      <c r="C5" s="792" t="s">
        <v>621</v>
      </c>
      <c r="D5" s="791"/>
      <c r="E5" s="696" t="str">
        <f>HYPERLINK("#T1!W1"," T1  ")</f>
        <v xml:space="preserve"> T1  </v>
      </c>
      <c r="F5" s="450" t="str">
        <f>HYPERLINK("#T2!W1"," T2  ")</f>
        <v xml:space="preserve"> T2  </v>
      </c>
      <c r="G5" s="450" t="str">
        <f>HYPERLINK("#T3!W1"," T3  ")</f>
        <v xml:space="preserve"> T3  </v>
      </c>
      <c r="H5" s="450" t="str">
        <f>HYPERLINK("#T4!W1"," T4  ")</f>
        <v xml:space="preserve"> T4  </v>
      </c>
      <c r="I5" s="450" t="str">
        <f>HYPERLINK("#T5!W1"," T5  ")</f>
        <v xml:space="preserve"> T5  </v>
      </c>
      <c r="J5" s="696" t="str">
        <f>HYPERLINK("#'12,T6'!W1"," T6  ")</f>
        <v xml:space="preserve"> T6  </v>
      </c>
      <c r="K5" s="805"/>
      <c r="L5" s="803"/>
      <c r="M5" s="804"/>
    </row>
    <row r="6" spans="1:13" x14ac:dyDescent="0.2">
      <c r="A6" s="787" t="s">
        <v>136</v>
      </c>
      <c r="B6" s="451" t="s">
        <v>147</v>
      </c>
      <c r="C6" s="787" t="s">
        <v>148</v>
      </c>
      <c r="D6" s="452" t="s">
        <v>149</v>
      </c>
      <c r="E6" s="764" t="s">
        <v>95</v>
      </c>
      <c r="F6" s="764" t="s">
        <v>95</v>
      </c>
      <c r="G6" s="764" t="s">
        <v>95</v>
      </c>
      <c r="H6" s="764" t="s">
        <v>95</v>
      </c>
      <c r="I6" s="764" t="s">
        <v>95</v>
      </c>
      <c r="J6" s="764" t="s">
        <v>95</v>
      </c>
      <c r="K6" s="453"/>
      <c r="L6" s="207"/>
      <c r="M6" s="190"/>
    </row>
    <row r="7" spans="1:13" x14ac:dyDescent="0.2">
      <c r="A7" s="788">
        <v>1</v>
      </c>
      <c r="B7" s="776" t="s">
        <v>181</v>
      </c>
      <c r="C7" s="790">
        <v>148</v>
      </c>
      <c r="D7" s="456">
        <f t="array" ref="D7">(IF(COUNT(E7,F7,G7,H7,I7,J7)&lt;4,SUM(E7,F7,G7,H7,I7,J7),SUM(LARGE((E7,F7,G7,H7,I7,J7),{1;2;3;4}))))</f>
        <v>148</v>
      </c>
      <c r="E7" s="457">
        <v>40</v>
      </c>
      <c r="F7" s="458">
        <v>26</v>
      </c>
      <c r="G7" s="457">
        <v>40</v>
      </c>
      <c r="H7" s="459">
        <v>34</v>
      </c>
      <c r="I7" s="457">
        <v>34</v>
      </c>
      <c r="J7" s="458">
        <v>16</v>
      </c>
      <c r="K7" s="214">
        <f t="shared" ref="K7:K27" si="0">COUNTIF(E7:J7,"&gt;=0")</f>
        <v>6</v>
      </c>
      <c r="L7" s="214">
        <f t="shared" ref="L7:L27" si="1">COUNTIF(E7:J7,"&gt;=30")</f>
        <v>4</v>
      </c>
      <c r="M7" s="214">
        <f t="shared" ref="M7:M27" si="2">COUNTIF(E7:J7,"=40")</f>
        <v>2</v>
      </c>
    </row>
    <row r="8" spans="1:13" x14ac:dyDescent="0.2">
      <c r="A8" s="788">
        <v>2</v>
      </c>
      <c r="B8" s="460" t="s">
        <v>160</v>
      </c>
      <c r="C8" s="790">
        <v>144</v>
      </c>
      <c r="D8" s="456">
        <f t="array" ref="D8">(IF(COUNT(E8,F8,G8,H8,I8,J8)&lt;4,SUM(E8,F8,G8,H8,I8,J8),SUM(LARGE((E8,F8,G8,H8,I8,J8),{1;2;3;4}))))</f>
        <v>144</v>
      </c>
      <c r="E8" s="461">
        <v>24</v>
      </c>
      <c r="F8" s="459">
        <v>40</v>
      </c>
      <c r="G8" s="457">
        <v>34</v>
      </c>
      <c r="H8" s="458">
        <v>30</v>
      </c>
      <c r="I8" s="459">
        <v>40</v>
      </c>
      <c r="J8" s="459">
        <v>30</v>
      </c>
      <c r="K8" s="214">
        <f t="shared" si="0"/>
        <v>6</v>
      </c>
      <c r="L8" s="214">
        <f t="shared" si="1"/>
        <v>5</v>
      </c>
      <c r="M8" s="214">
        <f t="shared" si="2"/>
        <v>2</v>
      </c>
    </row>
    <row r="9" spans="1:13" x14ac:dyDescent="0.2">
      <c r="A9" s="788">
        <v>3</v>
      </c>
      <c r="B9" s="462" t="s">
        <v>153</v>
      </c>
      <c r="C9" s="790">
        <v>140</v>
      </c>
      <c r="D9" s="456">
        <f t="array" ref="D9">(IF(COUNT(E9,F9,G9,H9,I9,J9)&lt;4,SUM(E9,F9,G9,H9,I9,J9),SUM(LARGE((E9,F9,G9,H9,I9,J9),{1;2;3;4}))))</f>
        <v>140</v>
      </c>
      <c r="E9" s="461">
        <v>20</v>
      </c>
      <c r="F9" s="459">
        <v>30</v>
      </c>
      <c r="G9" s="461">
        <v>26</v>
      </c>
      <c r="H9" s="459">
        <v>40</v>
      </c>
      <c r="I9" s="459">
        <v>30</v>
      </c>
      <c r="J9" s="459">
        <v>40</v>
      </c>
      <c r="K9" s="214">
        <f t="shared" si="0"/>
        <v>6</v>
      </c>
      <c r="L9" s="214">
        <f t="shared" si="1"/>
        <v>4</v>
      </c>
      <c r="M9" s="214">
        <f t="shared" si="2"/>
        <v>2</v>
      </c>
    </row>
    <row r="10" spans="1:13" x14ac:dyDescent="0.2">
      <c r="A10" s="788">
        <v>4</v>
      </c>
      <c r="B10" s="463" t="s">
        <v>164</v>
      </c>
      <c r="C10" s="790">
        <v>102</v>
      </c>
      <c r="D10" s="456">
        <f t="array" ref="D10">(IF(COUNT(E10,F10,G10,H10,I10,J10)&lt;4,SUM(E10,F10,G10,H10,I10,J10),SUM(LARGE((E10,F10,G10,H10,I10,J10),{1;2;3;4}))))</f>
        <v>102</v>
      </c>
      <c r="E10" s="457">
        <v>30</v>
      </c>
      <c r="F10" s="458">
        <v>12</v>
      </c>
      <c r="G10" s="457">
        <v>24</v>
      </c>
      <c r="H10" s="458">
        <v>13</v>
      </c>
      <c r="I10" s="459">
        <v>24</v>
      </c>
      <c r="J10" s="459">
        <v>24</v>
      </c>
      <c r="K10" s="214">
        <f t="shared" si="0"/>
        <v>6</v>
      </c>
      <c r="L10" s="214">
        <f t="shared" si="1"/>
        <v>1</v>
      </c>
      <c r="M10" s="214">
        <f t="shared" si="2"/>
        <v>0</v>
      </c>
    </row>
    <row r="11" spans="1:13" x14ac:dyDescent="0.2">
      <c r="A11" s="788">
        <v>5</v>
      </c>
      <c r="B11" s="406" t="s">
        <v>158</v>
      </c>
      <c r="C11" s="790">
        <v>98</v>
      </c>
      <c r="D11" s="456">
        <f t="array" ref="D11">(IF(COUNT(E11,F11,G11,H11,I11,J11)&lt;4,SUM(E11,F11,G11,H11,I11,J11),SUM(LARGE((E11,F11,G11,H11,I11,J11),{1;2;3;4}))))</f>
        <v>98</v>
      </c>
      <c r="E11" s="457">
        <v>34</v>
      </c>
      <c r="F11" s="458">
        <v>16</v>
      </c>
      <c r="G11" s="457">
        <v>22</v>
      </c>
      <c r="H11" s="459">
        <v>22</v>
      </c>
      <c r="I11" s="459">
        <v>20</v>
      </c>
      <c r="J11" s="458">
        <v>6</v>
      </c>
      <c r="K11" s="214">
        <f t="shared" si="0"/>
        <v>6</v>
      </c>
      <c r="L11" s="214">
        <f t="shared" si="1"/>
        <v>1</v>
      </c>
      <c r="M11" s="214">
        <f t="shared" si="2"/>
        <v>0</v>
      </c>
    </row>
    <row r="12" spans="1:13" x14ac:dyDescent="0.2">
      <c r="A12" s="788">
        <v>6</v>
      </c>
      <c r="B12" s="464" t="s">
        <v>162</v>
      </c>
      <c r="C12" s="790">
        <v>96</v>
      </c>
      <c r="D12" s="456">
        <f t="array" ref="D12">(IF(COUNT(E12,F12,G12,H12,I12,J12)&lt;4,SUM(E12,F12,G12,H12,I12,J12),SUM(LARGE((E12,F12,G12,H12,I12,J12),{1;2;3;4}))))</f>
        <v>96</v>
      </c>
      <c r="E12" s="457">
        <v>14</v>
      </c>
      <c r="F12" s="459">
        <v>34</v>
      </c>
      <c r="G12" s="457">
        <v>30</v>
      </c>
      <c r="H12" s="459">
        <v>18</v>
      </c>
      <c r="I12" s="458" t="s">
        <v>154</v>
      </c>
      <c r="J12" s="458">
        <v>12</v>
      </c>
      <c r="K12" s="214">
        <f t="shared" si="0"/>
        <v>5</v>
      </c>
      <c r="L12" s="214">
        <f t="shared" si="1"/>
        <v>2</v>
      </c>
      <c r="M12" s="214">
        <f t="shared" si="2"/>
        <v>0</v>
      </c>
    </row>
    <row r="13" spans="1:13" x14ac:dyDescent="0.2">
      <c r="A13" s="788">
        <v>7</v>
      </c>
      <c r="B13" s="465" t="s">
        <v>159</v>
      </c>
      <c r="C13" s="790">
        <v>92</v>
      </c>
      <c r="D13" s="456">
        <f t="array" ref="D13">(IF(COUNT(E13,F13,G13,H13,I13,J13)&lt;4,SUM(E13,F13,G13,H13,I13,J13),SUM(LARGE((E13,F13,G13,H13,I13,J13),{1;2;3;4}))))</f>
        <v>92</v>
      </c>
      <c r="E13" s="457">
        <v>10</v>
      </c>
      <c r="F13" s="458">
        <v>8</v>
      </c>
      <c r="G13" s="461" t="s">
        <v>154</v>
      </c>
      <c r="H13" s="457">
        <v>26</v>
      </c>
      <c r="I13" s="459">
        <v>22</v>
      </c>
      <c r="J13" s="457">
        <v>34</v>
      </c>
      <c r="K13" s="214">
        <f t="shared" si="0"/>
        <v>5</v>
      </c>
      <c r="L13" s="214">
        <f t="shared" si="1"/>
        <v>1</v>
      </c>
      <c r="M13" s="214">
        <f t="shared" si="2"/>
        <v>0</v>
      </c>
    </row>
    <row r="14" spans="1:13" x14ac:dyDescent="0.2">
      <c r="A14" s="788">
        <v>8</v>
      </c>
      <c r="B14" s="466" t="s">
        <v>170</v>
      </c>
      <c r="C14" s="790">
        <v>70</v>
      </c>
      <c r="D14" s="456">
        <f t="array" ref="D14">(IF(COUNT(E14,F14,G14,H14,I14,J14)&lt;4,SUM(E14,F14,G14,H14,I14,J14),SUM(LARGE((E14,F14,G14,H14,I14,J14),{1;2;3;4}))))</f>
        <v>70</v>
      </c>
      <c r="E14" s="457">
        <v>22</v>
      </c>
      <c r="F14" s="457">
        <v>22</v>
      </c>
      <c r="G14" s="461" t="s">
        <v>154</v>
      </c>
      <c r="H14" s="458" t="s">
        <v>154</v>
      </c>
      <c r="I14" s="459"/>
      <c r="J14" s="459">
        <v>26</v>
      </c>
      <c r="K14" s="214">
        <f t="shared" si="0"/>
        <v>3</v>
      </c>
      <c r="L14" s="214">
        <f t="shared" si="1"/>
        <v>0</v>
      </c>
      <c r="M14" s="214">
        <f t="shared" si="2"/>
        <v>0</v>
      </c>
    </row>
    <row r="15" spans="1:13" x14ac:dyDescent="0.2">
      <c r="A15" s="788">
        <v>9</v>
      </c>
      <c r="B15" s="406" t="s">
        <v>157</v>
      </c>
      <c r="C15" s="790">
        <v>62</v>
      </c>
      <c r="D15" s="456">
        <f t="array" ref="D15">(IF(COUNT(E15,F15,G15,H15,I15,J15)&lt;4,SUM(E15,F15,G15,H15,I15,J15),SUM(LARGE((E15,F15,G15,H15,I15,J15),{1;2;3;4}))))</f>
        <v>62</v>
      </c>
      <c r="E15" s="457">
        <v>8</v>
      </c>
      <c r="F15" s="458">
        <v>6</v>
      </c>
      <c r="G15" s="457">
        <v>18</v>
      </c>
      <c r="H15" s="458">
        <v>6</v>
      </c>
      <c r="I15" s="459">
        <v>26</v>
      </c>
      <c r="J15" s="459">
        <v>10</v>
      </c>
      <c r="K15" s="214">
        <f t="shared" si="0"/>
        <v>6</v>
      </c>
      <c r="L15" s="214">
        <f t="shared" si="1"/>
        <v>0</v>
      </c>
      <c r="M15" s="214">
        <f t="shared" si="2"/>
        <v>0</v>
      </c>
    </row>
    <row r="16" spans="1:13" x14ac:dyDescent="0.2">
      <c r="A16" s="788">
        <v>10</v>
      </c>
      <c r="B16" s="467" t="s">
        <v>177</v>
      </c>
      <c r="C16" s="790">
        <v>60</v>
      </c>
      <c r="D16" s="456">
        <f t="array" ref="D16">(IF(COUNT(E16,F16,G16,H16,I16,J16)&lt;4,SUM(E16,F16,G16,H16,I16,J16),SUM(LARGE((E16,F16,G16,H16,I16,J16),{1;2;3;4}))))</f>
        <v>60</v>
      </c>
      <c r="E16" s="457">
        <v>12</v>
      </c>
      <c r="F16" s="457">
        <v>24</v>
      </c>
      <c r="G16" s="461" t="s">
        <v>154</v>
      </c>
      <c r="H16" s="459">
        <v>24</v>
      </c>
      <c r="I16" s="458" t="s">
        <v>154</v>
      </c>
      <c r="J16" s="457"/>
      <c r="K16" s="214">
        <f t="shared" si="0"/>
        <v>3</v>
      </c>
      <c r="L16" s="214">
        <f t="shared" si="1"/>
        <v>0</v>
      </c>
      <c r="M16" s="214">
        <f t="shared" si="2"/>
        <v>0</v>
      </c>
    </row>
    <row r="17" spans="1:13" x14ac:dyDescent="0.2">
      <c r="A17" s="788">
        <v>11</v>
      </c>
      <c r="B17" s="406" t="s">
        <v>210</v>
      </c>
      <c r="C17" s="790">
        <v>54</v>
      </c>
      <c r="D17" s="456">
        <f t="array" ref="D17">(IF(COUNT(E17,F17,G17,H17,I17,J17)&lt;4,SUM(E17,F17,G17,H17,I17,J17),SUM(LARGE((E17,F17,G17,H17,I17,J17),{1;2;3;4}))))</f>
        <v>54</v>
      </c>
      <c r="E17" s="457">
        <v>16</v>
      </c>
      <c r="F17" s="459">
        <v>18</v>
      </c>
      <c r="G17" s="461" t="s">
        <v>154</v>
      </c>
      <c r="H17" s="459">
        <v>20</v>
      </c>
      <c r="I17" s="458" t="s">
        <v>154</v>
      </c>
      <c r="J17" s="459"/>
      <c r="K17" s="214">
        <f t="shared" si="0"/>
        <v>3</v>
      </c>
      <c r="L17" s="214">
        <f t="shared" si="1"/>
        <v>0</v>
      </c>
      <c r="M17" s="214">
        <f t="shared" si="2"/>
        <v>0</v>
      </c>
    </row>
    <row r="18" spans="1:13" x14ac:dyDescent="0.2">
      <c r="A18" s="788">
        <v>12</v>
      </c>
      <c r="B18" s="468" t="s">
        <v>174</v>
      </c>
      <c r="C18" s="790">
        <v>51</v>
      </c>
      <c r="D18" s="456">
        <f t="array" ref="D18">(IF(COUNT(E18,F18,G18,H18,I18,J18)&lt;4,SUM(E18,F18,G18,H18,I18,J18),SUM(LARGE((E18,F18,G18,H18,I18,J18),{1;2;3;4}))))</f>
        <v>51</v>
      </c>
      <c r="E18" s="457">
        <v>18</v>
      </c>
      <c r="F18" s="459">
        <v>20</v>
      </c>
      <c r="G18" s="461" t="s">
        <v>154</v>
      </c>
      <c r="H18" s="459">
        <v>13</v>
      </c>
      <c r="I18" s="458" t="s">
        <v>154</v>
      </c>
      <c r="J18" s="459"/>
      <c r="K18" s="214">
        <f t="shared" si="0"/>
        <v>3</v>
      </c>
      <c r="L18" s="214">
        <f t="shared" si="1"/>
        <v>0</v>
      </c>
      <c r="M18" s="214">
        <f t="shared" si="2"/>
        <v>0</v>
      </c>
    </row>
    <row r="19" spans="1:13" x14ac:dyDescent="0.2">
      <c r="A19" s="788">
        <v>13</v>
      </c>
      <c r="B19" s="403" t="s">
        <v>165</v>
      </c>
      <c r="C19" s="790">
        <v>50</v>
      </c>
      <c r="D19" s="456">
        <f t="array" ref="D19">(IF(COUNT(E19,F19,G19,H19,I19,J19)&lt;4,SUM(E19,F19,G19,H19,I19,J19),SUM(LARGE((E19,F19,G19,H19,I19,J19),{1;2;3;4}))))</f>
        <v>50</v>
      </c>
      <c r="E19" s="457">
        <v>26</v>
      </c>
      <c r="F19" s="458" t="s">
        <v>154</v>
      </c>
      <c r="G19" s="457">
        <v>20</v>
      </c>
      <c r="H19" s="458" t="s">
        <v>154</v>
      </c>
      <c r="I19" s="459"/>
      <c r="J19" s="459">
        <v>4</v>
      </c>
      <c r="K19" s="214">
        <f t="shared" si="0"/>
        <v>3</v>
      </c>
      <c r="L19" s="214">
        <f t="shared" si="1"/>
        <v>0</v>
      </c>
      <c r="M19" s="214">
        <f t="shared" si="2"/>
        <v>0</v>
      </c>
    </row>
    <row r="20" spans="1:13" x14ac:dyDescent="0.2">
      <c r="A20" s="788">
        <v>14</v>
      </c>
      <c r="B20" s="406" t="s">
        <v>161</v>
      </c>
      <c r="C20" s="790">
        <v>41</v>
      </c>
      <c r="D20" s="456">
        <f t="array" ref="D20">(IF(COUNT(E20,F20,G20,H20,I20,J20)&lt;4,SUM(E20,F20,G20,H20,I20,J20),SUM(LARGE((E20,F20,G20,H20,I20,J20),{1;2;3;4}))))</f>
        <v>41</v>
      </c>
      <c r="E20" s="461" t="s">
        <v>154</v>
      </c>
      <c r="F20" s="459">
        <v>14</v>
      </c>
      <c r="G20" s="461" t="s">
        <v>154</v>
      </c>
      <c r="H20" s="459">
        <v>9</v>
      </c>
      <c r="I20" s="459"/>
      <c r="J20" s="459">
        <v>18</v>
      </c>
      <c r="K20" s="214">
        <f t="shared" si="0"/>
        <v>3</v>
      </c>
      <c r="L20" s="214">
        <f t="shared" si="1"/>
        <v>0</v>
      </c>
      <c r="M20" s="214">
        <f t="shared" si="2"/>
        <v>0</v>
      </c>
    </row>
    <row r="21" spans="1:13" x14ac:dyDescent="0.2">
      <c r="A21" s="788">
        <v>15</v>
      </c>
      <c r="B21" s="406" t="s">
        <v>169</v>
      </c>
      <c r="C21" s="790">
        <v>36</v>
      </c>
      <c r="D21" s="456">
        <f t="array" ref="D21">(IF(COUNT(E21,F21,G21,H21,I21,J21)&lt;4,SUM(E21,F21,G21,H21,I21,J21),SUM(LARGE((E21,F21,G21,H21,I21,J21),{1;2;3;4}))))</f>
        <v>36</v>
      </c>
      <c r="E21" s="461" t="s">
        <v>154</v>
      </c>
      <c r="F21" s="458" t="s">
        <v>154</v>
      </c>
      <c r="G21" s="457">
        <v>16</v>
      </c>
      <c r="H21" s="459"/>
      <c r="I21" s="459"/>
      <c r="J21" s="459">
        <v>20</v>
      </c>
      <c r="K21" s="214">
        <f t="shared" si="0"/>
        <v>2</v>
      </c>
      <c r="L21" s="214">
        <f t="shared" si="1"/>
        <v>0</v>
      </c>
      <c r="M21" s="214">
        <f t="shared" si="2"/>
        <v>0</v>
      </c>
    </row>
    <row r="22" spans="1:13" x14ac:dyDescent="0.2">
      <c r="A22" s="788">
        <v>16</v>
      </c>
      <c r="B22" s="406" t="s">
        <v>166</v>
      </c>
      <c r="C22" s="790">
        <v>24</v>
      </c>
      <c r="D22" s="456">
        <f t="array" ref="D22">(IF(COUNT(E22,F22,G22,H22,I22,J22)&lt;4,SUM(E22,F22,G22,H22,I22,J22),SUM(LARGE((E22,F22,G22,H22,I22,J22),{1;2;3;4}))))</f>
        <v>24</v>
      </c>
      <c r="E22" s="461" t="s">
        <v>154</v>
      </c>
      <c r="F22" s="459">
        <v>10</v>
      </c>
      <c r="G22" s="461" t="s">
        <v>154</v>
      </c>
      <c r="H22" s="459"/>
      <c r="I22" s="459"/>
      <c r="J22" s="459">
        <v>14</v>
      </c>
      <c r="K22" s="214">
        <f t="shared" si="0"/>
        <v>2</v>
      </c>
      <c r="L22" s="214">
        <f t="shared" si="1"/>
        <v>0</v>
      </c>
      <c r="M22" s="214">
        <f t="shared" si="2"/>
        <v>0</v>
      </c>
    </row>
    <row r="23" spans="1:13" x14ac:dyDescent="0.2">
      <c r="A23" s="788">
        <v>17</v>
      </c>
      <c r="B23" s="403" t="s">
        <v>172</v>
      </c>
      <c r="C23" s="790">
        <v>22</v>
      </c>
      <c r="D23" s="456">
        <f t="array" ref="D23">(IF(COUNT(E23,F23,G23,H23,I23,J23)&lt;4,SUM(E23,F23,G23,H23,I23,J23),SUM(LARGE((E23,F23,G23,H23,I23,J23),{1;2;3;4}))))</f>
        <v>22</v>
      </c>
      <c r="E23" s="461" t="s">
        <v>154</v>
      </c>
      <c r="F23" s="458" t="s">
        <v>154</v>
      </c>
      <c r="G23" s="461"/>
      <c r="H23" s="459"/>
      <c r="I23" s="459"/>
      <c r="J23" s="459">
        <v>22</v>
      </c>
      <c r="K23" s="214">
        <f t="shared" si="0"/>
        <v>1</v>
      </c>
      <c r="L23" s="214">
        <f t="shared" si="1"/>
        <v>0</v>
      </c>
      <c r="M23" s="214">
        <f t="shared" si="2"/>
        <v>0</v>
      </c>
    </row>
    <row r="24" spans="1:13" x14ac:dyDescent="0.2">
      <c r="A24" s="788">
        <v>18</v>
      </c>
      <c r="B24" s="406" t="s">
        <v>178</v>
      </c>
      <c r="C24" s="790">
        <v>16</v>
      </c>
      <c r="D24" s="456">
        <f t="array" ref="D24">(IF(COUNT(E24,F24,G24,H24,I24,J24)&lt;4,SUM(E24,F24,G24,H24,I24,J24),SUM(LARGE((E24,F24,G24,H24,I24,J24),{1;2;3;4}))))</f>
        <v>16</v>
      </c>
      <c r="E24" s="461" t="s">
        <v>154</v>
      </c>
      <c r="F24" s="458" t="s">
        <v>154</v>
      </c>
      <c r="G24" s="461"/>
      <c r="H24" s="459">
        <v>16</v>
      </c>
      <c r="I24" s="459"/>
      <c r="J24" s="459"/>
      <c r="K24" s="214">
        <f t="shared" si="0"/>
        <v>1</v>
      </c>
      <c r="L24" s="214">
        <f t="shared" si="1"/>
        <v>0</v>
      </c>
      <c r="M24" s="214">
        <f t="shared" si="2"/>
        <v>0</v>
      </c>
    </row>
    <row r="25" spans="1:13" x14ac:dyDescent="0.2">
      <c r="A25" s="788">
        <v>19</v>
      </c>
      <c r="B25" s="406" t="s">
        <v>167</v>
      </c>
      <c r="C25" s="790">
        <v>9</v>
      </c>
      <c r="D25" s="456">
        <f t="array" ref="D25">(IF(COUNT(E25,F25,G25,H25,I25,J25)&lt;4,SUM(E25,F25,G25,H25,I25,J25),SUM(LARGE((E25,F25,G25,H25,I25,J25),{1;2;3;4}))))</f>
        <v>9</v>
      </c>
      <c r="E25" s="461" t="s">
        <v>154</v>
      </c>
      <c r="F25" s="458" t="s">
        <v>154</v>
      </c>
      <c r="G25" s="461"/>
      <c r="H25" s="459">
        <v>9</v>
      </c>
      <c r="I25" s="459"/>
      <c r="J25" s="459"/>
      <c r="K25" s="214">
        <f t="shared" si="0"/>
        <v>1</v>
      </c>
      <c r="L25" s="214">
        <f t="shared" si="1"/>
        <v>0</v>
      </c>
      <c r="M25" s="214">
        <f t="shared" si="2"/>
        <v>0</v>
      </c>
    </row>
    <row r="26" spans="1:13" x14ac:dyDescent="0.2">
      <c r="A26" s="788">
        <v>20</v>
      </c>
      <c r="B26" s="403" t="s">
        <v>155</v>
      </c>
      <c r="C26" s="790">
        <v>8</v>
      </c>
      <c r="D26" s="456">
        <f t="array" ref="D26">(IF(COUNT(E26,F26,G26,H26,I26,J26)&lt;4,SUM(E26,F26,G26,H26,I26,J26),SUM(LARGE((E26,F26,G26,H26,I26,J26),{1;2;3;4}))))</f>
        <v>8</v>
      </c>
      <c r="E26" s="461" t="s">
        <v>154</v>
      </c>
      <c r="F26" s="458" t="s">
        <v>154</v>
      </c>
      <c r="G26" s="461"/>
      <c r="H26" s="459"/>
      <c r="I26" s="459"/>
      <c r="J26" s="459">
        <v>8</v>
      </c>
      <c r="K26" s="214">
        <f t="shared" si="0"/>
        <v>1</v>
      </c>
      <c r="L26" s="214">
        <f t="shared" si="1"/>
        <v>0</v>
      </c>
      <c r="M26" s="214">
        <f t="shared" si="2"/>
        <v>0</v>
      </c>
    </row>
    <row r="27" spans="1:13" x14ac:dyDescent="0.2">
      <c r="A27" s="789">
        <v>21</v>
      </c>
      <c r="B27" s="469" t="s">
        <v>173</v>
      </c>
      <c r="C27" s="790">
        <v>2</v>
      </c>
      <c r="D27" s="456">
        <f t="array" ref="D27">(IF(COUNT(E27,F27,G27,H27,I27,J27)&lt;4,SUM(E27,F27,G27,H27,I27,J27),SUM(LARGE((E27,F27,G27,H27,I27,J27),{1;2;3;4}))))</f>
        <v>2</v>
      </c>
      <c r="E27" s="461" t="s">
        <v>154</v>
      </c>
      <c r="F27" s="458" t="s">
        <v>154</v>
      </c>
      <c r="G27" s="457"/>
      <c r="H27" s="457"/>
      <c r="I27" s="459"/>
      <c r="J27" s="459">
        <v>2</v>
      </c>
      <c r="K27" s="214">
        <f t="shared" si="0"/>
        <v>1</v>
      </c>
      <c r="L27" s="214">
        <f t="shared" si="1"/>
        <v>0</v>
      </c>
      <c r="M27" s="214">
        <f t="shared" si="2"/>
        <v>0</v>
      </c>
    </row>
    <row r="28" spans="1:13" x14ac:dyDescent="0.2">
      <c r="A28" s="229">
        <f>COUNT(A7:A27)</f>
        <v>21</v>
      </c>
      <c r="B28" s="230" t="s">
        <v>201</v>
      </c>
      <c r="C28" s="231"/>
      <c r="D28" s="231"/>
      <c r="E28" s="232">
        <f t="shared" ref="E28:J28" si="3">COUNTIF(E7:E27,"&gt;=0")</f>
        <v>13</v>
      </c>
      <c r="F28" s="232">
        <f t="shared" si="3"/>
        <v>14</v>
      </c>
      <c r="G28" s="232">
        <f t="shared" si="3"/>
        <v>9</v>
      </c>
      <c r="H28" s="232">
        <f t="shared" si="3"/>
        <v>14</v>
      </c>
      <c r="I28" s="232">
        <f t="shared" si="3"/>
        <v>7</v>
      </c>
      <c r="J28" s="232">
        <f t="shared" si="3"/>
        <v>16</v>
      </c>
      <c r="K28" s="194"/>
      <c r="L28" s="233">
        <f>SUM(L7:L27)</f>
        <v>18</v>
      </c>
      <c r="M28" s="233">
        <f>SUM(M7:M27)</f>
        <v>6</v>
      </c>
    </row>
    <row r="30" spans="1:13" x14ac:dyDescent="0.2">
      <c r="A30" s="192"/>
    </row>
    <row r="32" spans="1:13" x14ac:dyDescent="0.2">
      <c r="C32" s="236"/>
      <c r="D32" s="236"/>
    </row>
    <row r="33" spans="3:4" x14ac:dyDescent="0.2">
      <c r="C33" s="236"/>
      <c r="D33" s="236"/>
    </row>
  </sheetData>
  <autoFilter ref="K6:M6"/>
  <mergeCells count="3">
    <mergeCell ref="K4:K5"/>
    <mergeCell ref="L4:L5"/>
    <mergeCell ref="M4:M5"/>
  </mergeCells>
  <conditionalFormatting sqref="E28:J28">
    <cfRule type="top10" dxfId="132" priority="7" stopIfTrue="1" rank="1"/>
  </conditionalFormatting>
  <conditionalFormatting sqref="B7:B20">
    <cfRule type="duplicateValues" dxfId="131" priority="5" stopIfTrue="1"/>
  </conditionalFormatting>
  <conditionalFormatting sqref="B27">
    <cfRule type="duplicateValues" dxfId="130" priority="6" stopIfTrue="1"/>
  </conditionalFormatting>
  <conditionalFormatting sqref="B27 B7:B20">
    <cfRule type="duplicateValues" dxfId="129" priority="4" stopIfTrue="1"/>
  </conditionalFormatting>
  <conditionalFormatting sqref="L7:L27">
    <cfRule type="top10" dxfId="128" priority="8" stopIfTrue="1" rank="1"/>
  </conditionalFormatting>
  <conditionalFormatting sqref="M7:M27">
    <cfRule type="top10" dxfId="127" priority="9" stopIfTrue="1" rank="1"/>
  </conditionalFormatting>
  <conditionalFormatting sqref="K7:K27">
    <cfRule type="top10" dxfId="126" priority="10" stopIfTrue="1" rank="1"/>
  </conditionalFormatting>
  <conditionalFormatting sqref="J7:J27">
    <cfRule type="duplicateValues" dxfId="125" priority="11" stopIfTrue="1"/>
  </conditionalFormatting>
  <conditionalFormatting sqref="E7:J27">
    <cfRule type="cellIs" dxfId="124" priority="1" stopIfTrue="1" operator="equal">
      <formula>30</formula>
    </cfRule>
    <cfRule type="cellIs" dxfId="123" priority="2" stopIfTrue="1" operator="equal">
      <formula>34</formula>
    </cfRule>
    <cfRule type="cellIs" dxfId="122" priority="3" stopIfTrue="1" operator="equal">
      <formula>40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300" r:id="rId1"/>
  <headerFooter alignWithMargins="0">
    <oddHeader>&amp;R&amp;"Arial,Regular"&amp;9Page &amp;P of &amp;N</oddHeader>
  </headerFooter>
  <rowBreaks count="1" manualBreakCount="1">
    <brk id="30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showGridLines="0" zoomScaleNormal="100" workbookViewId="0">
      <pane ySplit="7" topLeftCell="A8" activePane="bottomLeft" state="frozen"/>
      <selection pane="bottomLeft" activeCell="W1" sqref="W1"/>
    </sheetView>
  </sheetViews>
  <sheetFormatPr defaultRowHeight="12.75" x14ac:dyDescent="0.2"/>
  <cols>
    <col min="1" max="1" width="3" style="379" customWidth="1"/>
    <col min="2" max="2" width="18.7109375" style="379" customWidth="1"/>
    <col min="3" max="22" width="2.85546875" style="379" customWidth="1"/>
    <col min="23" max="23" width="3" style="379" bestFit="1" customWidth="1"/>
    <col min="24" max="24" width="10.5703125" style="379" customWidth="1"/>
    <col min="25" max="16384" width="9.140625" style="379"/>
  </cols>
  <sheetData>
    <row r="1" spans="1:24" s="380" customFormat="1" x14ac:dyDescent="0.2">
      <c r="A1" s="58" t="str">
        <f>UPPER((Kalend!E7)&amp;" - "&amp;(Kalend!C7)&amp;" - "&amp;(Kalend!D7))</f>
        <v>T1 - TULISTAMISE NELJAPÄEVAK 1 - TULISTAMINE</v>
      </c>
      <c r="N1" s="239" t="str">
        <f>HYPERLINK("#'Kalend'!I1","Kalender")</f>
        <v>Kalender</v>
      </c>
      <c r="O1" s="59"/>
      <c r="Q1" s="59"/>
      <c r="R1" s="239" t="str">
        <f>HYPERLINK("#'Reit'!G1","Reiting")</f>
        <v>Reiting</v>
      </c>
      <c r="S1" s="59"/>
      <c r="U1" s="381"/>
    </row>
    <row r="2" spans="1:24" s="380" customFormat="1" x14ac:dyDescent="0.2">
      <c r="A2" s="59" t="str">
        <f>"Toimumisaeg: "&amp;(Kalend!A7)&amp;" kell "&amp;(Kalend!B7)</f>
        <v>Toimumisaeg: N, 07.05.2015 kell 18:00</v>
      </c>
    </row>
    <row r="3" spans="1:24" s="380" customFormat="1" x14ac:dyDescent="0.2">
      <c r="A3" s="59" t="str">
        <f>"Toimumiskoht: "&amp;(Kalend!F7)</f>
        <v>Toimumiskoht: K-Järve spordihoone</v>
      </c>
    </row>
    <row r="4" spans="1:24" s="380" customFormat="1" x14ac:dyDescent="0.2">
      <c r="A4" s="59" t="str">
        <f>"Korraldaja: "&amp;(Kalend!G7)</f>
        <v>Korraldaja: K-Järve SHK, Ivar Viljaste</v>
      </c>
    </row>
    <row r="5" spans="1:24" s="380" customFormat="1" ht="13.5" thickBot="1" x14ac:dyDescent="0.25"/>
    <row r="6" spans="1:24" ht="63.75" customHeight="1" thickBot="1" x14ac:dyDescent="0.25">
      <c r="A6" s="648"/>
      <c r="B6" s="658"/>
      <c r="C6" s="657"/>
      <c r="D6" s="657"/>
      <c r="E6" s="657"/>
      <c r="F6" s="657"/>
      <c r="G6" s="659"/>
      <c r="H6" s="657"/>
      <c r="I6" s="657"/>
      <c r="J6" s="660"/>
      <c r="K6" s="657"/>
      <c r="L6" s="657"/>
      <c r="M6" s="657"/>
      <c r="N6" s="657"/>
      <c r="O6" s="659"/>
      <c r="P6" s="657"/>
      <c r="Q6" s="657"/>
      <c r="R6" s="660"/>
      <c r="S6" s="657"/>
      <c r="T6" s="657"/>
      <c r="U6" s="657"/>
      <c r="V6" s="657"/>
      <c r="W6" s="661"/>
      <c r="X6" s="661"/>
    </row>
    <row r="7" spans="1:24" s="309" customFormat="1" ht="13.5" thickBot="1" x14ac:dyDescent="0.25">
      <c r="A7" s="668"/>
      <c r="B7" s="662"/>
      <c r="C7" s="663">
        <v>6</v>
      </c>
      <c r="D7" s="664">
        <v>7</v>
      </c>
      <c r="E7" s="664">
        <v>8</v>
      </c>
      <c r="F7" s="665">
        <v>9</v>
      </c>
      <c r="G7" s="663">
        <v>6</v>
      </c>
      <c r="H7" s="664">
        <v>7</v>
      </c>
      <c r="I7" s="664">
        <v>8</v>
      </c>
      <c r="J7" s="665">
        <v>9</v>
      </c>
      <c r="K7" s="663">
        <v>6</v>
      </c>
      <c r="L7" s="664">
        <v>7</v>
      </c>
      <c r="M7" s="664">
        <v>8</v>
      </c>
      <c r="N7" s="665">
        <v>9</v>
      </c>
      <c r="O7" s="663">
        <v>6</v>
      </c>
      <c r="P7" s="664">
        <v>7</v>
      </c>
      <c r="Q7" s="664">
        <v>8</v>
      </c>
      <c r="R7" s="665">
        <v>9</v>
      </c>
      <c r="S7" s="663">
        <v>6</v>
      </c>
      <c r="T7" s="664">
        <v>7</v>
      </c>
      <c r="U7" s="664">
        <v>8</v>
      </c>
      <c r="V7" s="665">
        <v>9</v>
      </c>
      <c r="W7" s="666" t="s">
        <v>148</v>
      </c>
      <c r="X7" s="667" t="s">
        <v>580</v>
      </c>
    </row>
    <row r="8" spans="1:24" s="290" customFormat="1" x14ac:dyDescent="0.2">
      <c r="A8" s="669"/>
      <c r="B8" s="656" t="s">
        <v>579</v>
      </c>
      <c r="C8" s="650"/>
      <c r="D8" s="651"/>
      <c r="E8" s="651"/>
      <c r="F8" s="652"/>
      <c r="G8" s="650"/>
      <c r="H8" s="651"/>
      <c r="I8" s="651"/>
      <c r="J8" s="652"/>
      <c r="K8" s="650"/>
      <c r="L8" s="651"/>
      <c r="M8" s="651"/>
      <c r="N8" s="652"/>
      <c r="O8" s="650"/>
      <c r="P8" s="651"/>
      <c r="Q8" s="651"/>
      <c r="R8" s="652"/>
      <c r="S8" s="650"/>
      <c r="T8" s="651"/>
      <c r="U8" s="651"/>
      <c r="V8" s="652"/>
      <c r="W8" s="669"/>
      <c r="X8" s="654"/>
    </row>
    <row r="9" spans="1:24" s="290" customFormat="1" x14ac:dyDescent="0.2">
      <c r="A9" s="389">
        <v>1</v>
      </c>
      <c r="B9" s="390" t="s">
        <v>181</v>
      </c>
      <c r="C9" s="391">
        <v>0</v>
      </c>
      <c r="D9" s="392">
        <v>3</v>
      </c>
      <c r="E9" s="392">
        <v>0</v>
      </c>
      <c r="F9" s="393">
        <v>3</v>
      </c>
      <c r="G9" s="391">
        <v>0</v>
      </c>
      <c r="H9" s="392">
        <v>0</v>
      </c>
      <c r="I9" s="392">
        <v>0</v>
      </c>
      <c r="J9" s="393">
        <v>0</v>
      </c>
      <c r="K9" s="391">
        <v>0</v>
      </c>
      <c r="L9" s="392">
        <v>3</v>
      </c>
      <c r="M9" s="392">
        <v>0</v>
      </c>
      <c r="N9" s="393">
        <v>1</v>
      </c>
      <c r="O9" s="391">
        <v>0</v>
      </c>
      <c r="P9" s="392">
        <v>0</v>
      </c>
      <c r="Q9" s="392">
        <v>0</v>
      </c>
      <c r="R9" s="393">
        <v>0</v>
      </c>
      <c r="S9" s="391">
        <v>0</v>
      </c>
      <c r="T9" s="392">
        <v>0</v>
      </c>
      <c r="U9" s="392">
        <v>0</v>
      </c>
      <c r="V9" s="393">
        <v>5</v>
      </c>
      <c r="W9" s="394">
        <f t="shared" ref="W9:W21" si="0">SUM(C9:V9)</f>
        <v>15</v>
      </c>
      <c r="X9" s="394" t="s">
        <v>424</v>
      </c>
    </row>
    <row r="10" spans="1:24" s="290" customFormat="1" x14ac:dyDescent="0.2">
      <c r="A10" s="389">
        <v>2</v>
      </c>
      <c r="B10" s="396" t="s">
        <v>164</v>
      </c>
      <c r="C10" s="391">
        <v>0</v>
      </c>
      <c r="D10" s="392">
        <v>1</v>
      </c>
      <c r="E10" s="392">
        <v>3</v>
      </c>
      <c r="F10" s="393">
        <v>3</v>
      </c>
      <c r="G10" s="391">
        <v>3</v>
      </c>
      <c r="H10" s="392">
        <v>0</v>
      </c>
      <c r="I10" s="392">
        <v>0</v>
      </c>
      <c r="J10" s="393">
        <v>0</v>
      </c>
      <c r="K10" s="391">
        <v>1</v>
      </c>
      <c r="L10" s="392">
        <v>1</v>
      </c>
      <c r="M10" s="392">
        <v>0</v>
      </c>
      <c r="N10" s="393">
        <v>0</v>
      </c>
      <c r="O10" s="391">
        <v>3</v>
      </c>
      <c r="P10" s="392">
        <v>0</v>
      </c>
      <c r="Q10" s="392">
        <v>3</v>
      </c>
      <c r="R10" s="393">
        <v>0</v>
      </c>
      <c r="S10" s="391">
        <v>0</v>
      </c>
      <c r="T10" s="392">
        <v>0</v>
      </c>
      <c r="U10" s="392">
        <v>0</v>
      </c>
      <c r="V10" s="393">
        <v>0</v>
      </c>
      <c r="W10" s="394">
        <f t="shared" si="0"/>
        <v>18</v>
      </c>
      <c r="X10" s="394" t="s">
        <v>427</v>
      </c>
    </row>
    <row r="11" spans="1:24" s="290" customFormat="1" x14ac:dyDescent="0.2">
      <c r="A11" s="384">
        <v>3</v>
      </c>
      <c r="B11" s="219" t="s">
        <v>159</v>
      </c>
      <c r="C11" s="398">
        <v>0</v>
      </c>
      <c r="D11" s="399">
        <v>0</v>
      </c>
      <c r="E11" s="399">
        <v>0</v>
      </c>
      <c r="F11" s="400">
        <v>0</v>
      </c>
      <c r="G11" s="398">
        <v>0</v>
      </c>
      <c r="H11" s="399">
        <v>0</v>
      </c>
      <c r="I11" s="399">
        <v>0</v>
      </c>
      <c r="J11" s="400">
        <v>0</v>
      </c>
      <c r="K11" s="398">
        <v>0</v>
      </c>
      <c r="L11" s="399">
        <v>0</v>
      </c>
      <c r="M11" s="399">
        <v>0</v>
      </c>
      <c r="N11" s="400">
        <v>0</v>
      </c>
      <c r="O11" s="398">
        <v>1</v>
      </c>
      <c r="P11" s="399">
        <v>0</v>
      </c>
      <c r="Q11" s="399">
        <v>0</v>
      </c>
      <c r="R11" s="400">
        <v>0</v>
      </c>
      <c r="S11" s="398">
        <v>0</v>
      </c>
      <c r="T11" s="399">
        <v>5</v>
      </c>
      <c r="U11" s="399">
        <v>0</v>
      </c>
      <c r="V11" s="400">
        <v>0</v>
      </c>
      <c r="W11" s="401">
        <f t="shared" si="0"/>
        <v>6</v>
      </c>
      <c r="X11" s="402">
        <v>12</v>
      </c>
    </row>
    <row r="12" spans="1:24" s="290" customFormat="1" x14ac:dyDescent="0.2">
      <c r="A12" s="384">
        <v>4</v>
      </c>
      <c r="B12" s="397" t="s">
        <v>170</v>
      </c>
      <c r="C12" s="398">
        <v>0</v>
      </c>
      <c r="D12" s="399">
        <v>0</v>
      </c>
      <c r="E12" s="399">
        <v>0</v>
      </c>
      <c r="F12" s="400">
        <v>0</v>
      </c>
      <c r="G12" s="398">
        <v>0</v>
      </c>
      <c r="H12" s="399">
        <v>3</v>
      </c>
      <c r="I12" s="399">
        <v>0</v>
      </c>
      <c r="J12" s="400">
        <v>1</v>
      </c>
      <c r="K12" s="398">
        <v>0</v>
      </c>
      <c r="L12" s="399">
        <v>0</v>
      </c>
      <c r="M12" s="399">
        <v>0</v>
      </c>
      <c r="N12" s="400">
        <v>1</v>
      </c>
      <c r="O12" s="398">
        <v>3</v>
      </c>
      <c r="P12" s="399">
        <v>0</v>
      </c>
      <c r="Q12" s="399">
        <v>0</v>
      </c>
      <c r="R12" s="400">
        <v>0</v>
      </c>
      <c r="S12" s="398">
        <v>0</v>
      </c>
      <c r="T12" s="399">
        <v>5</v>
      </c>
      <c r="U12" s="399">
        <v>0</v>
      </c>
      <c r="V12" s="400">
        <v>3</v>
      </c>
      <c r="W12" s="401">
        <f t="shared" si="0"/>
        <v>16</v>
      </c>
      <c r="X12" s="401" t="s">
        <v>428</v>
      </c>
    </row>
    <row r="13" spans="1:24" s="290" customFormat="1" x14ac:dyDescent="0.2">
      <c r="A13" s="389">
        <v>5</v>
      </c>
      <c r="B13" s="396" t="s">
        <v>160</v>
      </c>
      <c r="C13" s="391">
        <v>5</v>
      </c>
      <c r="D13" s="392">
        <v>1</v>
      </c>
      <c r="E13" s="392">
        <v>3</v>
      </c>
      <c r="F13" s="393" t="s">
        <v>235</v>
      </c>
      <c r="G13" s="391">
        <v>0</v>
      </c>
      <c r="H13" s="392">
        <v>0</v>
      </c>
      <c r="I13" s="392">
        <v>0</v>
      </c>
      <c r="J13" s="393" t="s">
        <v>235</v>
      </c>
      <c r="K13" s="391">
        <v>3</v>
      </c>
      <c r="L13" s="392">
        <v>0</v>
      </c>
      <c r="M13" s="392">
        <v>0</v>
      </c>
      <c r="N13" s="393" t="s">
        <v>235</v>
      </c>
      <c r="O13" s="391">
        <v>0</v>
      </c>
      <c r="P13" s="392">
        <v>0</v>
      </c>
      <c r="Q13" s="392">
        <v>0</v>
      </c>
      <c r="R13" s="393" t="s">
        <v>235</v>
      </c>
      <c r="S13" s="391">
        <v>5</v>
      </c>
      <c r="T13" s="392">
        <v>0</v>
      </c>
      <c r="U13" s="392">
        <v>0</v>
      </c>
      <c r="V13" s="393" t="s">
        <v>235</v>
      </c>
      <c r="W13" s="394">
        <f t="shared" si="0"/>
        <v>17</v>
      </c>
      <c r="X13" s="394" t="s">
        <v>444</v>
      </c>
    </row>
    <row r="14" spans="1:24" s="290" customFormat="1" x14ac:dyDescent="0.2">
      <c r="A14" s="389">
        <v>6</v>
      </c>
      <c r="B14" s="390" t="s">
        <v>157</v>
      </c>
      <c r="C14" s="391">
        <v>0</v>
      </c>
      <c r="D14" s="392">
        <v>0</v>
      </c>
      <c r="E14" s="392">
        <v>0</v>
      </c>
      <c r="F14" s="393">
        <v>0</v>
      </c>
      <c r="G14" s="391">
        <v>3</v>
      </c>
      <c r="H14" s="392">
        <v>0</v>
      </c>
      <c r="I14" s="392">
        <v>0</v>
      </c>
      <c r="J14" s="393">
        <v>0</v>
      </c>
      <c r="K14" s="391">
        <v>0</v>
      </c>
      <c r="L14" s="392">
        <v>0</v>
      </c>
      <c r="M14" s="392">
        <v>0</v>
      </c>
      <c r="N14" s="393">
        <v>0</v>
      </c>
      <c r="O14" s="391">
        <v>0</v>
      </c>
      <c r="P14" s="392">
        <v>0</v>
      </c>
      <c r="Q14" s="392">
        <v>0</v>
      </c>
      <c r="R14" s="393">
        <v>0</v>
      </c>
      <c r="S14" s="391">
        <v>0</v>
      </c>
      <c r="T14" s="392">
        <v>0</v>
      </c>
      <c r="U14" s="392">
        <v>0</v>
      </c>
      <c r="V14" s="393">
        <v>0</v>
      </c>
      <c r="W14" s="394">
        <f t="shared" si="0"/>
        <v>3</v>
      </c>
      <c r="X14" s="395">
        <v>13</v>
      </c>
    </row>
    <row r="15" spans="1:24" s="290" customFormat="1" x14ac:dyDescent="0.2">
      <c r="A15" s="384">
        <v>7</v>
      </c>
      <c r="B15" s="405" t="s">
        <v>177</v>
      </c>
      <c r="C15" s="398">
        <v>3</v>
      </c>
      <c r="D15" s="399">
        <v>0</v>
      </c>
      <c r="E15" s="399">
        <v>0</v>
      </c>
      <c r="F15" s="400" t="s">
        <v>235</v>
      </c>
      <c r="G15" s="398">
        <v>0</v>
      </c>
      <c r="H15" s="399">
        <v>0</v>
      </c>
      <c r="I15" s="399">
        <v>1</v>
      </c>
      <c r="J15" s="400" t="s">
        <v>235</v>
      </c>
      <c r="K15" s="398">
        <v>1</v>
      </c>
      <c r="L15" s="399">
        <v>3</v>
      </c>
      <c r="M15" s="399">
        <v>0</v>
      </c>
      <c r="N15" s="400" t="s">
        <v>235</v>
      </c>
      <c r="O15" s="398">
        <v>0</v>
      </c>
      <c r="P15" s="399">
        <v>0</v>
      </c>
      <c r="Q15" s="399">
        <v>0</v>
      </c>
      <c r="R15" s="400" t="s">
        <v>235</v>
      </c>
      <c r="S15" s="398">
        <v>0</v>
      </c>
      <c r="T15" s="399">
        <v>0</v>
      </c>
      <c r="U15" s="399">
        <v>0</v>
      </c>
      <c r="V15" s="400" t="s">
        <v>235</v>
      </c>
      <c r="W15" s="401">
        <f t="shared" si="0"/>
        <v>8</v>
      </c>
      <c r="X15" s="402">
        <v>11</v>
      </c>
    </row>
    <row r="16" spans="1:24" s="290" customFormat="1" x14ac:dyDescent="0.2">
      <c r="A16" s="384">
        <v>8</v>
      </c>
      <c r="B16" s="244" t="s">
        <v>158</v>
      </c>
      <c r="C16" s="398">
        <v>3</v>
      </c>
      <c r="D16" s="399">
        <v>0</v>
      </c>
      <c r="E16" s="399">
        <v>0</v>
      </c>
      <c r="F16" s="400">
        <v>0</v>
      </c>
      <c r="G16" s="398">
        <v>0</v>
      </c>
      <c r="H16" s="399">
        <v>0</v>
      </c>
      <c r="I16" s="399">
        <v>3</v>
      </c>
      <c r="J16" s="400">
        <v>0</v>
      </c>
      <c r="K16" s="398">
        <v>5</v>
      </c>
      <c r="L16" s="399">
        <v>1</v>
      </c>
      <c r="M16" s="399">
        <v>0</v>
      </c>
      <c r="N16" s="400">
        <v>0</v>
      </c>
      <c r="O16" s="398">
        <v>0</v>
      </c>
      <c r="P16" s="399">
        <v>0</v>
      </c>
      <c r="Q16" s="399">
        <v>0</v>
      </c>
      <c r="R16" s="400">
        <v>0</v>
      </c>
      <c r="S16" s="398">
        <v>0</v>
      </c>
      <c r="T16" s="399">
        <v>5</v>
      </c>
      <c r="U16" s="399">
        <v>0</v>
      </c>
      <c r="V16" s="400">
        <v>0</v>
      </c>
      <c r="W16" s="401">
        <f t="shared" si="0"/>
        <v>17</v>
      </c>
      <c r="X16" s="401" t="s">
        <v>444</v>
      </c>
    </row>
    <row r="17" spans="1:24" s="290" customFormat="1" x14ac:dyDescent="0.2">
      <c r="A17" s="389">
        <v>9</v>
      </c>
      <c r="B17" s="396" t="s">
        <v>162</v>
      </c>
      <c r="C17" s="391">
        <v>0</v>
      </c>
      <c r="D17" s="392">
        <v>3</v>
      </c>
      <c r="E17" s="392">
        <v>0</v>
      </c>
      <c r="F17" s="393">
        <v>0</v>
      </c>
      <c r="G17" s="391">
        <v>1</v>
      </c>
      <c r="H17" s="392">
        <v>0</v>
      </c>
      <c r="I17" s="392">
        <v>0</v>
      </c>
      <c r="J17" s="393">
        <v>0</v>
      </c>
      <c r="K17" s="391">
        <v>0</v>
      </c>
      <c r="L17" s="392">
        <v>0</v>
      </c>
      <c r="M17" s="392">
        <v>1</v>
      </c>
      <c r="N17" s="393">
        <v>1</v>
      </c>
      <c r="O17" s="391">
        <v>0</v>
      </c>
      <c r="P17" s="392">
        <v>0</v>
      </c>
      <c r="Q17" s="392">
        <v>3</v>
      </c>
      <c r="R17" s="393">
        <v>0</v>
      </c>
      <c r="S17" s="391">
        <v>0</v>
      </c>
      <c r="T17" s="392">
        <v>0</v>
      </c>
      <c r="U17" s="392">
        <v>0</v>
      </c>
      <c r="V17" s="393">
        <v>0</v>
      </c>
      <c r="W17" s="394">
        <f t="shared" si="0"/>
        <v>9</v>
      </c>
      <c r="X17" s="395">
        <v>10</v>
      </c>
    </row>
    <row r="18" spans="1:24" s="290" customFormat="1" x14ac:dyDescent="0.2">
      <c r="A18" s="389">
        <v>10</v>
      </c>
      <c r="B18" s="396" t="s">
        <v>165</v>
      </c>
      <c r="C18" s="391">
        <v>3</v>
      </c>
      <c r="D18" s="392">
        <v>0</v>
      </c>
      <c r="E18" s="392">
        <v>1</v>
      </c>
      <c r="F18" s="393">
        <v>0</v>
      </c>
      <c r="G18" s="391">
        <v>0</v>
      </c>
      <c r="H18" s="392">
        <v>0</v>
      </c>
      <c r="I18" s="392">
        <v>0</v>
      </c>
      <c r="J18" s="393">
        <v>0</v>
      </c>
      <c r="K18" s="391">
        <v>5</v>
      </c>
      <c r="L18" s="392">
        <v>0</v>
      </c>
      <c r="M18" s="392">
        <v>0</v>
      </c>
      <c r="N18" s="393">
        <v>3</v>
      </c>
      <c r="O18" s="391">
        <v>0</v>
      </c>
      <c r="P18" s="392">
        <v>0</v>
      </c>
      <c r="Q18" s="392">
        <v>0</v>
      </c>
      <c r="R18" s="393">
        <v>0</v>
      </c>
      <c r="S18" s="391">
        <v>0</v>
      </c>
      <c r="T18" s="392">
        <v>0</v>
      </c>
      <c r="U18" s="392">
        <v>0</v>
      </c>
      <c r="V18" s="393">
        <v>0</v>
      </c>
      <c r="W18" s="404">
        <f t="shared" si="0"/>
        <v>12</v>
      </c>
      <c r="X18" s="394" t="s">
        <v>421</v>
      </c>
    </row>
    <row r="19" spans="1:24" s="290" customFormat="1" x14ac:dyDescent="0.2">
      <c r="A19" s="384">
        <v>11</v>
      </c>
      <c r="B19" s="397" t="s">
        <v>153</v>
      </c>
      <c r="C19" s="398">
        <v>0</v>
      </c>
      <c r="D19" s="399">
        <v>0</v>
      </c>
      <c r="E19" s="399">
        <v>0</v>
      </c>
      <c r="F19" s="400">
        <v>3</v>
      </c>
      <c r="G19" s="398">
        <v>3</v>
      </c>
      <c r="H19" s="399">
        <v>0</v>
      </c>
      <c r="I19" s="399">
        <v>3</v>
      </c>
      <c r="J19" s="400">
        <v>3</v>
      </c>
      <c r="K19" s="398">
        <v>1</v>
      </c>
      <c r="L19" s="399">
        <v>1</v>
      </c>
      <c r="M19" s="399">
        <v>0</v>
      </c>
      <c r="N19" s="400">
        <v>0</v>
      </c>
      <c r="O19" s="398">
        <v>1</v>
      </c>
      <c r="P19" s="399">
        <v>0</v>
      </c>
      <c r="Q19" s="399">
        <v>0</v>
      </c>
      <c r="R19" s="400">
        <v>0</v>
      </c>
      <c r="S19" s="398">
        <v>0</v>
      </c>
      <c r="T19" s="399">
        <v>0</v>
      </c>
      <c r="U19" s="399">
        <v>0</v>
      </c>
      <c r="V19" s="400">
        <v>0</v>
      </c>
      <c r="W19" s="401">
        <f t="shared" si="0"/>
        <v>15</v>
      </c>
      <c r="X19" s="401" t="s">
        <v>423</v>
      </c>
    </row>
    <row r="20" spans="1:24" x14ac:dyDescent="0.2">
      <c r="A20" s="384">
        <v>12</v>
      </c>
      <c r="B20" s="241" t="s">
        <v>210</v>
      </c>
      <c r="C20" s="398">
        <v>0</v>
      </c>
      <c r="D20" s="399">
        <v>0</v>
      </c>
      <c r="E20" s="399">
        <v>3</v>
      </c>
      <c r="F20" s="400">
        <v>3</v>
      </c>
      <c r="G20" s="398">
        <v>1</v>
      </c>
      <c r="H20" s="399">
        <v>0</v>
      </c>
      <c r="I20" s="399">
        <v>3</v>
      </c>
      <c r="J20" s="400">
        <v>0</v>
      </c>
      <c r="K20" s="398">
        <v>0</v>
      </c>
      <c r="L20" s="399">
        <v>0</v>
      </c>
      <c r="M20" s="399">
        <v>1</v>
      </c>
      <c r="N20" s="400">
        <v>0</v>
      </c>
      <c r="O20" s="398">
        <v>0</v>
      </c>
      <c r="P20" s="399">
        <v>0</v>
      </c>
      <c r="Q20" s="399">
        <v>0</v>
      </c>
      <c r="R20" s="400">
        <v>1</v>
      </c>
      <c r="S20" s="398">
        <v>0</v>
      </c>
      <c r="T20" s="399">
        <v>0</v>
      </c>
      <c r="U20" s="399">
        <v>0</v>
      </c>
      <c r="V20" s="400">
        <v>0</v>
      </c>
      <c r="W20" s="401">
        <f t="shared" si="0"/>
        <v>12</v>
      </c>
      <c r="X20" s="402">
        <v>9</v>
      </c>
    </row>
    <row r="21" spans="1:24" s="290" customFormat="1" ht="13.5" thickBot="1" x14ac:dyDescent="0.25">
      <c r="A21" s="481">
        <v>13</v>
      </c>
      <c r="B21" s="471" t="s">
        <v>174</v>
      </c>
      <c r="C21" s="472">
        <v>5</v>
      </c>
      <c r="D21" s="473">
        <v>0</v>
      </c>
      <c r="E21" s="473">
        <v>0</v>
      </c>
      <c r="F21" s="474">
        <v>0</v>
      </c>
      <c r="G21" s="472">
        <v>5</v>
      </c>
      <c r="H21" s="473">
        <v>0</v>
      </c>
      <c r="I21" s="473">
        <v>0</v>
      </c>
      <c r="J21" s="474">
        <v>0</v>
      </c>
      <c r="K21" s="472">
        <v>5</v>
      </c>
      <c r="L21" s="473">
        <v>0</v>
      </c>
      <c r="M21" s="473">
        <v>0</v>
      </c>
      <c r="N21" s="474">
        <v>3</v>
      </c>
      <c r="O21" s="472">
        <v>0</v>
      </c>
      <c r="P21" s="473">
        <v>3</v>
      </c>
      <c r="Q21" s="473">
        <v>0</v>
      </c>
      <c r="R21" s="474">
        <v>0</v>
      </c>
      <c r="S21" s="472">
        <v>0</v>
      </c>
      <c r="T21" s="473">
        <v>0</v>
      </c>
      <c r="U21" s="473">
        <v>0</v>
      </c>
      <c r="V21" s="474">
        <v>0</v>
      </c>
      <c r="W21" s="686">
        <f t="shared" si="0"/>
        <v>21</v>
      </c>
      <c r="X21" s="475" t="s">
        <v>422</v>
      </c>
    </row>
    <row r="22" spans="1:24" s="309" customFormat="1" x14ac:dyDescent="0.2">
      <c r="A22" s="687"/>
      <c r="B22" s="688" t="s">
        <v>445</v>
      </c>
      <c r="C22" s="689"/>
      <c r="D22" s="690"/>
      <c r="E22" s="690"/>
      <c r="F22" s="691"/>
      <c r="G22" s="689"/>
      <c r="H22" s="690"/>
      <c r="I22" s="690"/>
      <c r="J22" s="691"/>
      <c r="K22" s="689"/>
      <c r="L22" s="690"/>
      <c r="M22" s="690"/>
      <c r="N22" s="691"/>
      <c r="O22" s="689"/>
      <c r="P22" s="690"/>
      <c r="Q22" s="690"/>
      <c r="R22" s="691"/>
      <c r="S22" s="689"/>
      <c r="T22" s="690"/>
      <c r="U22" s="690"/>
      <c r="V22" s="691"/>
      <c r="W22" s="653"/>
      <c r="X22" s="653"/>
    </row>
    <row r="23" spans="1:24" s="309" customFormat="1" x14ac:dyDescent="0.2">
      <c r="A23" s="694"/>
      <c r="B23" s="405" t="s">
        <v>160</v>
      </c>
      <c r="C23" s="398"/>
      <c r="D23" s="399">
        <v>0</v>
      </c>
      <c r="E23" s="399"/>
      <c r="F23" s="400"/>
      <c r="G23" s="398"/>
      <c r="H23" s="399">
        <v>0</v>
      </c>
      <c r="I23" s="399"/>
      <c r="J23" s="400"/>
      <c r="K23" s="398"/>
      <c r="L23" s="399">
        <v>3</v>
      </c>
      <c r="M23" s="399"/>
      <c r="N23" s="400"/>
      <c r="O23" s="398"/>
      <c r="P23" s="399">
        <v>3</v>
      </c>
      <c r="Q23" s="399"/>
      <c r="R23" s="400"/>
      <c r="S23" s="398"/>
      <c r="T23" s="399" t="s">
        <v>235</v>
      </c>
      <c r="U23" s="399"/>
      <c r="V23" s="400"/>
      <c r="W23" s="401">
        <f>SUM(C23:V23)</f>
        <v>6</v>
      </c>
      <c r="X23" s="401" t="s">
        <v>426</v>
      </c>
    </row>
    <row r="24" spans="1:24" s="309" customFormat="1" ht="13.5" thickBot="1" x14ac:dyDescent="0.25">
      <c r="A24" s="695"/>
      <c r="B24" s="487" t="s">
        <v>158</v>
      </c>
      <c r="C24" s="411"/>
      <c r="D24" s="412">
        <v>0</v>
      </c>
      <c r="E24" s="412"/>
      <c r="F24" s="413"/>
      <c r="G24" s="411"/>
      <c r="H24" s="412">
        <v>0</v>
      </c>
      <c r="I24" s="412"/>
      <c r="J24" s="413"/>
      <c r="K24" s="411"/>
      <c r="L24" s="412">
        <v>0</v>
      </c>
      <c r="M24" s="412"/>
      <c r="N24" s="413"/>
      <c r="O24" s="411"/>
      <c r="P24" s="412">
        <v>0</v>
      </c>
      <c r="Q24" s="412"/>
      <c r="R24" s="413"/>
      <c r="S24" s="411"/>
      <c r="T24" s="412" t="s">
        <v>235</v>
      </c>
      <c r="U24" s="412"/>
      <c r="V24" s="413"/>
      <c r="W24" s="414">
        <f>SUM(C24:V24)</f>
        <v>0</v>
      </c>
      <c r="X24" s="414" t="s">
        <v>425</v>
      </c>
    </row>
    <row r="25" spans="1:24" x14ac:dyDescent="0.2">
      <c r="A25" s="416"/>
      <c r="B25" s="385" t="s">
        <v>429</v>
      </c>
      <c r="C25" s="386"/>
      <c r="D25" s="320"/>
      <c r="E25" s="320"/>
      <c r="F25" s="387"/>
      <c r="G25" s="386"/>
      <c r="H25" s="320"/>
      <c r="I25" s="320"/>
      <c r="J25" s="387"/>
      <c r="K25" s="386"/>
      <c r="L25" s="320"/>
      <c r="M25" s="320"/>
      <c r="N25" s="387"/>
      <c r="O25" s="386"/>
      <c r="P25" s="320"/>
      <c r="Q25" s="320"/>
      <c r="R25" s="387"/>
      <c r="S25" s="386"/>
      <c r="T25" s="320"/>
      <c r="U25" s="320"/>
      <c r="V25" s="387"/>
      <c r="W25" s="388"/>
      <c r="X25" s="388"/>
    </row>
    <row r="26" spans="1:24" x14ac:dyDescent="0.2">
      <c r="A26" s="670">
        <v>1</v>
      </c>
      <c r="B26" s="677" t="s">
        <v>174</v>
      </c>
      <c r="C26" s="672">
        <v>0</v>
      </c>
      <c r="D26" s="673">
        <v>0</v>
      </c>
      <c r="E26" s="673">
        <v>0</v>
      </c>
      <c r="F26" s="674">
        <v>0</v>
      </c>
      <c r="G26" s="672">
        <v>0</v>
      </c>
      <c r="H26" s="673">
        <v>1</v>
      </c>
      <c r="I26" s="673">
        <v>0</v>
      </c>
      <c r="J26" s="674">
        <v>0</v>
      </c>
      <c r="K26" s="672">
        <v>0</v>
      </c>
      <c r="L26" s="673">
        <v>1</v>
      </c>
      <c r="M26" s="673">
        <v>1</v>
      </c>
      <c r="N26" s="674">
        <v>0</v>
      </c>
      <c r="O26" s="672">
        <v>0</v>
      </c>
      <c r="P26" s="673">
        <v>0</v>
      </c>
      <c r="Q26" s="673">
        <v>3</v>
      </c>
      <c r="R26" s="674">
        <v>0</v>
      </c>
      <c r="S26" s="672">
        <v>0</v>
      </c>
      <c r="T26" s="673">
        <v>0</v>
      </c>
      <c r="U26" s="673">
        <v>0</v>
      </c>
      <c r="V26" s="674">
        <v>0</v>
      </c>
      <c r="W26" s="394">
        <f t="shared" ref="W26:W33" si="1">SUM(C26:V26)</f>
        <v>6</v>
      </c>
      <c r="X26" s="675">
        <v>8</v>
      </c>
    </row>
    <row r="27" spans="1:24" x14ac:dyDescent="0.2">
      <c r="A27" s="670">
        <v>8</v>
      </c>
      <c r="B27" s="677" t="s">
        <v>165</v>
      </c>
      <c r="C27" s="672">
        <v>3</v>
      </c>
      <c r="D27" s="673">
        <v>3</v>
      </c>
      <c r="E27" s="673">
        <v>0</v>
      </c>
      <c r="F27" s="674">
        <v>3</v>
      </c>
      <c r="G27" s="672">
        <v>0</v>
      </c>
      <c r="H27" s="673">
        <v>0</v>
      </c>
      <c r="I27" s="673">
        <v>0</v>
      </c>
      <c r="J27" s="674">
        <v>0</v>
      </c>
      <c r="K27" s="672">
        <v>1</v>
      </c>
      <c r="L27" s="673">
        <v>0</v>
      </c>
      <c r="M27" s="673">
        <v>0</v>
      </c>
      <c r="N27" s="674">
        <v>0</v>
      </c>
      <c r="O27" s="672">
        <v>0</v>
      </c>
      <c r="P27" s="673">
        <v>0</v>
      </c>
      <c r="Q27" s="673">
        <v>0</v>
      </c>
      <c r="R27" s="674">
        <v>0</v>
      </c>
      <c r="S27" s="672">
        <v>0</v>
      </c>
      <c r="T27" s="673">
        <v>0</v>
      </c>
      <c r="U27" s="673">
        <v>0</v>
      </c>
      <c r="V27" s="674">
        <v>0</v>
      </c>
      <c r="W27" s="394">
        <f t="shared" si="1"/>
        <v>10</v>
      </c>
      <c r="X27" s="676" t="s">
        <v>425</v>
      </c>
    </row>
    <row r="28" spans="1:24" x14ac:dyDescent="0.2">
      <c r="A28" s="416">
        <v>2</v>
      </c>
      <c r="B28" s="418" t="s">
        <v>164</v>
      </c>
      <c r="C28" s="386">
        <v>0</v>
      </c>
      <c r="D28" s="320">
        <v>3</v>
      </c>
      <c r="E28" s="320">
        <v>5</v>
      </c>
      <c r="F28" s="387">
        <v>0</v>
      </c>
      <c r="G28" s="386">
        <v>0</v>
      </c>
      <c r="H28" s="320">
        <v>0</v>
      </c>
      <c r="I28" s="320">
        <v>0</v>
      </c>
      <c r="J28" s="387">
        <v>0</v>
      </c>
      <c r="K28" s="386">
        <v>1</v>
      </c>
      <c r="L28" s="320">
        <v>0</v>
      </c>
      <c r="M28" s="320">
        <v>0</v>
      </c>
      <c r="N28" s="387">
        <v>1</v>
      </c>
      <c r="O28" s="386">
        <v>0</v>
      </c>
      <c r="P28" s="320">
        <v>0</v>
      </c>
      <c r="Q28" s="320">
        <v>0</v>
      </c>
      <c r="R28" s="387">
        <v>0</v>
      </c>
      <c r="S28" s="386">
        <v>5</v>
      </c>
      <c r="T28" s="320">
        <v>0</v>
      </c>
      <c r="U28" s="320">
        <v>0</v>
      </c>
      <c r="V28" s="387">
        <v>0</v>
      </c>
      <c r="W28" s="401">
        <f t="shared" si="1"/>
        <v>15</v>
      </c>
      <c r="X28" s="476" t="s">
        <v>427</v>
      </c>
    </row>
    <row r="29" spans="1:24" x14ac:dyDescent="0.2">
      <c r="A29" s="416">
        <v>7</v>
      </c>
      <c r="B29" s="397" t="s">
        <v>153</v>
      </c>
      <c r="C29" s="386">
        <v>3</v>
      </c>
      <c r="D29" s="320">
        <v>0</v>
      </c>
      <c r="E29" s="320">
        <v>3</v>
      </c>
      <c r="F29" s="387">
        <v>0</v>
      </c>
      <c r="G29" s="386">
        <v>0</v>
      </c>
      <c r="H29" s="320">
        <v>0</v>
      </c>
      <c r="I29" s="320">
        <v>0</v>
      </c>
      <c r="J29" s="387">
        <v>1</v>
      </c>
      <c r="K29" s="386">
        <v>1</v>
      </c>
      <c r="L29" s="320">
        <v>1</v>
      </c>
      <c r="M29" s="320">
        <v>0</v>
      </c>
      <c r="N29" s="387">
        <v>0</v>
      </c>
      <c r="O29" s="386">
        <v>0</v>
      </c>
      <c r="P29" s="320">
        <v>1</v>
      </c>
      <c r="Q29" s="320">
        <v>0</v>
      </c>
      <c r="R29" s="387">
        <v>0</v>
      </c>
      <c r="S29" s="386">
        <v>0</v>
      </c>
      <c r="T29" s="320">
        <v>0</v>
      </c>
      <c r="U29" s="320">
        <v>0</v>
      </c>
      <c r="V29" s="387">
        <v>0</v>
      </c>
      <c r="W29" s="401">
        <f t="shared" si="1"/>
        <v>10</v>
      </c>
      <c r="X29" s="383">
        <v>7</v>
      </c>
    </row>
    <row r="30" spans="1:24" x14ac:dyDescent="0.2">
      <c r="A30" s="670">
        <v>3</v>
      </c>
      <c r="B30" s="677" t="s">
        <v>160</v>
      </c>
      <c r="C30" s="672">
        <v>0</v>
      </c>
      <c r="D30" s="673">
        <v>3</v>
      </c>
      <c r="E30" s="673">
        <v>0</v>
      </c>
      <c r="F30" s="674">
        <v>0</v>
      </c>
      <c r="G30" s="672">
        <v>0</v>
      </c>
      <c r="H30" s="673">
        <v>3</v>
      </c>
      <c r="I30" s="673">
        <v>0</v>
      </c>
      <c r="J30" s="674">
        <v>0</v>
      </c>
      <c r="K30" s="672">
        <v>1</v>
      </c>
      <c r="L30" s="673">
        <v>3</v>
      </c>
      <c r="M30" s="673">
        <v>1</v>
      </c>
      <c r="N30" s="674" t="s">
        <v>235</v>
      </c>
      <c r="O30" s="672">
        <v>1</v>
      </c>
      <c r="P30" s="673">
        <v>0</v>
      </c>
      <c r="Q30" s="673">
        <v>0</v>
      </c>
      <c r="R30" s="674" t="s">
        <v>235</v>
      </c>
      <c r="S30" s="672">
        <v>0</v>
      </c>
      <c r="T30" s="673">
        <v>1</v>
      </c>
      <c r="U30" s="673">
        <v>0</v>
      </c>
      <c r="V30" s="674">
        <v>0</v>
      </c>
      <c r="W30" s="394">
        <f t="shared" si="1"/>
        <v>13</v>
      </c>
      <c r="X30" s="675">
        <v>5</v>
      </c>
    </row>
    <row r="31" spans="1:24" x14ac:dyDescent="0.2">
      <c r="A31" s="670">
        <v>6</v>
      </c>
      <c r="B31" s="677" t="s">
        <v>181</v>
      </c>
      <c r="C31" s="672">
        <v>0</v>
      </c>
      <c r="D31" s="673">
        <v>3</v>
      </c>
      <c r="E31" s="673">
        <v>0</v>
      </c>
      <c r="F31" s="674">
        <v>0</v>
      </c>
      <c r="G31" s="672">
        <v>3</v>
      </c>
      <c r="H31" s="673">
        <v>0</v>
      </c>
      <c r="I31" s="673">
        <v>0</v>
      </c>
      <c r="J31" s="674">
        <v>0</v>
      </c>
      <c r="K31" s="672">
        <v>3</v>
      </c>
      <c r="L31" s="673">
        <v>1</v>
      </c>
      <c r="M31" s="673">
        <v>0</v>
      </c>
      <c r="N31" s="674">
        <v>0</v>
      </c>
      <c r="O31" s="672">
        <v>0</v>
      </c>
      <c r="P31" s="673">
        <v>0</v>
      </c>
      <c r="Q31" s="673">
        <v>0</v>
      </c>
      <c r="R31" s="674">
        <v>0</v>
      </c>
      <c r="S31" s="672">
        <v>5</v>
      </c>
      <c r="T31" s="673">
        <v>5</v>
      </c>
      <c r="U31" s="673">
        <v>0</v>
      </c>
      <c r="V31" s="674">
        <v>0</v>
      </c>
      <c r="W31" s="394">
        <f t="shared" si="1"/>
        <v>20</v>
      </c>
      <c r="X31" s="676" t="s">
        <v>422</v>
      </c>
    </row>
    <row r="32" spans="1:24" x14ac:dyDescent="0.2">
      <c r="A32" s="416">
        <v>4</v>
      </c>
      <c r="B32" s="417" t="s">
        <v>158</v>
      </c>
      <c r="C32" s="386">
        <v>0</v>
      </c>
      <c r="D32" s="320">
        <v>3</v>
      </c>
      <c r="E32" s="320">
        <v>0</v>
      </c>
      <c r="F32" s="387">
        <v>0</v>
      </c>
      <c r="G32" s="386">
        <v>0</v>
      </c>
      <c r="H32" s="320">
        <v>3</v>
      </c>
      <c r="I32" s="320">
        <v>0</v>
      </c>
      <c r="J32" s="387">
        <v>0</v>
      </c>
      <c r="K32" s="386">
        <v>3</v>
      </c>
      <c r="L32" s="320">
        <v>1</v>
      </c>
      <c r="M32" s="320">
        <v>3</v>
      </c>
      <c r="N32" s="387">
        <v>0</v>
      </c>
      <c r="O32" s="386">
        <v>0</v>
      </c>
      <c r="P32" s="320">
        <v>0</v>
      </c>
      <c r="Q32" s="320">
        <v>0</v>
      </c>
      <c r="R32" s="387">
        <v>0</v>
      </c>
      <c r="S32" s="386">
        <v>0</v>
      </c>
      <c r="T32" s="320">
        <v>0</v>
      </c>
      <c r="U32" s="320">
        <v>0</v>
      </c>
      <c r="V32" s="387">
        <v>0</v>
      </c>
      <c r="W32" s="401">
        <f t="shared" si="1"/>
        <v>13</v>
      </c>
      <c r="X32" s="388" t="s">
        <v>426</v>
      </c>
    </row>
    <row r="33" spans="1:24" ht="13.5" thickBot="1" x14ac:dyDescent="0.25">
      <c r="A33" s="423">
        <v>5</v>
      </c>
      <c r="B33" s="410" t="s">
        <v>170</v>
      </c>
      <c r="C33" s="425">
        <v>0</v>
      </c>
      <c r="D33" s="426">
        <v>0</v>
      </c>
      <c r="E33" s="426">
        <v>0</v>
      </c>
      <c r="F33" s="427">
        <v>0</v>
      </c>
      <c r="G33" s="425">
        <v>0</v>
      </c>
      <c r="H33" s="426">
        <v>1</v>
      </c>
      <c r="I33" s="426">
        <v>1</v>
      </c>
      <c r="J33" s="427">
        <v>0</v>
      </c>
      <c r="K33" s="425">
        <v>3</v>
      </c>
      <c r="L33" s="426">
        <v>0</v>
      </c>
      <c r="M33" s="426">
        <v>0</v>
      </c>
      <c r="N33" s="427">
        <v>0</v>
      </c>
      <c r="O33" s="425">
        <v>0</v>
      </c>
      <c r="P33" s="426">
        <v>0</v>
      </c>
      <c r="Q33" s="426">
        <v>0</v>
      </c>
      <c r="R33" s="427">
        <v>1</v>
      </c>
      <c r="S33" s="425">
        <v>5</v>
      </c>
      <c r="T33" s="426">
        <v>0</v>
      </c>
      <c r="U33" s="426">
        <v>0</v>
      </c>
      <c r="V33" s="427">
        <v>0</v>
      </c>
      <c r="W33" s="414">
        <f t="shared" si="1"/>
        <v>11</v>
      </c>
      <c r="X33" s="428">
        <v>6</v>
      </c>
    </row>
    <row r="34" spans="1:24" x14ac:dyDescent="0.2">
      <c r="A34" s="382"/>
      <c r="B34" s="656" t="s">
        <v>430</v>
      </c>
      <c r="C34" s="650"/>
      <c r="D34" s="651"/>
      <c r="E34" s="651"/>
      <c r="F34" s="652"/>
      <c r="G34" s="650"/>
      <c r="H34" s="651"/>
      <c r="I34" s="651"/>
      <c r="J34" s="652"/>
      <c r="K34" s="650"/>
      <c r="L34" s="651"/>
      <c r="M34" s="651"/>
      <c r="N34" s="652"/>
      <c r="O34" s="650"/>
      <c r="P34" s="651"/>
      <c r="Q34" s="651"/>
      <c r="R34" s="652"/>
      <c r="S34" s="650"/>
      <c r="T34" s="651"/>
      <c r="U34" s="651"/>
      <c r="V34" s="652"/>
      <c r="W34" s="654"/>
      <c r="X34" s="654"/>
    </row>
    <row r="35" spans="1:24" x14ac:dyDescent="0.2">
      <c r="A35" s="670">
        <v>1</v>
      </c>
      <c r="B35" s="677" t="s">
        <v>181</v>
      </c>
      <c r="C35" s="672">
        <v>1</v>
      </c>
      <c r="D35" s="673">
        <v>1</v>
      </c>
      <c r="E35" s="673">
        <v>3</v>
      </c>
      <c r="F35" s="674">
        <v>3</v>
      </c>
      <c r="G35" s="672">
        <v>1</v>
      </c>
      <c r="H35" s="673">
        <v>3</v>
      </c>
      <c r="I35" s="673">
        <v>0</v>
      </c>
      <c r="J35" s="674">
        <v>0</v>
      </c>
      <c r="K35" s="672">
        <v>3</v>
      </c>
      <c r="L35" s="673">
        <v>1</v>
      </c>
      <c r="M35" s="673">
        <v>0</v>
      </c>
      <c r="N35" s="674">
        <v>0</v>
      </c>
      <c r="O35" s="672">
        <v>0</v>
      </c>
      <c r="P35" s="673">
        <v>0</v>
      </c>
      <c r="Q35" s="673">
        <v>0</v>
      </c>
      <c r="R35" s="674">
        <v>0</v>
      </c>
      <c r="S35" s="672">
        <v>0</v>
      </c>
      <c r="T35" s="673">
        <v>0</v>
      </c>
      <c r="U35" s="673">
        <v>0</v>
      </c>
      <c r="V35" s="674">
        <v>3</v>
      </c>
      <c r="W35" s="394">
        <f>SUM(C35:V35)</f>
        <v>19</v>
      </c>
      <c r="X35" s="676" t="str">
        <f ca="1">IF( INDIRECT("RC[-1]",0)=MAX(( INDIRECT("R[-1]C[-1]",0)):( INDIRECT("R[1]C[-1]",0))),"finaali","pronksi")</f>
        <v>finaali</v>
      </c>
    </row>
    <row r="36" spans="1:24" x14ac:dyDescent="0.2">
      <c r="A36" s="670">
        <v>4</v>
      </c>
      <c r="B36" s="677" t="s">
        <v>165</v>
      </c>
      <c r="C36" s="672">
        <v>1</v>
      </c>
      <c r="D36" s="673">
        <v>3</v>
      </c>
      <c r="E36" s="673">
        <v>0</v>
      </c>
      <c r="F36" s="674">
        <v>0</v>
      </c>
      <c r="G36" s="672">
        <v>0</v>
      </c>
      <c r="H36" s="673">
        <v>1</v>
      </c>
      <c r="I36" s="673">
        <v>3</v>
      </c>
      <c r="J36" s="674">
        <v>0</v>
      </c>
      <c r="K36" s="672">
        <v>0</v>
      </c>
      <c r="L36" s="673">
        <v>3</v>
      </c>
      <c r="M36" s="673">
        <v>0</v>
      </c>
      <c r="N36" s="674">
        <v>0</v>
      </c>
      <c r="O36" s="672">
        <v>0</v>
      </c>
      <c r="P36" s="673">
        <v>0</v>
      </c>
      <c r="Q36" s="673">
        <v>0</v>
      </c>
      <c r="R36" s="674">
        <v>0</v>
      </c>
      <c r="S36" s="672">
        <v>0</v>
      </c>
      <c r="T36" s="673">
        <v>0</v>
      </c>
      <c r="U36" s="673">
        <v>0</v>
      </c>
      <c r="V36" s="674">
        <v>0</v>
      </c>
      <c r="W36" s="394">
        <f>SUM(C36:V36)</f>
        <v>11</v>
      </c>
      <c r="X36" s="676" t="str">
        <f ca="1">IF( INDIRECT("RC[-1]",0)=MAX(( INDIRECT("R[-1]C[-1]",0)):( INDIRECT("R[1]C[-1]",0))),"finaali","pronksi")</f>
        <v>pronksi</v>
      </c>
    </row>
    <row r="37" spans="1:24" x14ac:dyDescent="0.2">
      <c r="A37" s="416">
        <v>2</v>
      </c>
      <c r="B37" s="418" t="s">
        <v>164</v>
      </c>
      <c r="C37" s="386">
        <v>0</v>
      </c>
      <c r="D37" s="320">
        <v>3</v>
      </c>
      <c r="E37" s="320">
        <v>0</v>
      </c>
      <c r="F37" s="387">
        <v>3</v>
      </c>
      <c r="G37" s="386">
        <v>0</v>
      </c>
      <c r="H37" s="320">
        <v>0</v>
      </c>
      <c r="I37" s="320">
        <v>0</v>
      </c>
      <c r="J37" s="387">
        <v>0</v>
      </c>
      <c r="K37" s="386">
        <v>0</v>
      </c>
      <c r="L37" s="320">
        <v>1</v>
      </c>
      <c r="M37" s="320">
        <v>0</v>
      </c>
      <c r="N37" s="387">
        <v>0</v>
      </c>
      <c r="O37" s="386">
        <v>0</v>
      </c>
      <c r="P37" s="320">
        <v>0</v>
      </c>
      <c r="Q37" s="320">
        <v>3</v>
      </c>
      <c r="R37" s="387">
        <v>0</v>
      </c>
      <c r="S37" s="386">
        <v>0</v>
      </c>
      <c r="T37" s="320">
        <v>0</v>
      </c>
      <c r="U37" s="320">
        <v>0</v>
      </c>
      <c r="V37" s="387">
        <v>0</v>
      </c>
      <c r="W37" s="401">
        <f>SUM(C37:V37)</f>
        <v>10</v>
      </c>
      <c r="X37" s="388" t="str">
        <f ca="1">IF( INDIRECT("RC[-1]",0)=MAX(( INDIRECT("R[-1]C[-1]",0)):( INDIRECT("R[1]C[-1]",0))),"finaali","pronksi")</f>
        <v>pronksi</v>
      </c>
    </row>
    <row r="38" spans="1:24" ht="13.5" thickBot="1" x14ac:dyDescent="0.25">
      <c r="A38" s="423">
        <v>3</v>
      </c>
      <c r="B38" s="646" t="s">
        <v>158</v>
      </c>
      <c r="C38" s="425">
        <v>3</v>
      </c>
      <c r="D38" s="426">
        <v>0</v>
      </c>
      <c r="E38" s="426">
        <v>0</v>
      </c>
      <c r="F38" s="427">
        <v>0</v>
      </c>
      <c r="G38" s="425">
        <v>0</v>
      </c>
      <c r="H38" s="426">
        <v>0</v>
      </c>
      <c r="I38" s="426">
        <v>0</v>
      </c>
      <c r="J38" s="427">
        <v>0</v>
      </c>
      <c r="K38" s="425">
        <v>1</v>
      </c>
      <c r="L38" s="426">
        <v>1</v>
      </c>
      <c r="M38" s="426">
        <v>5</v>
      </c>
      <c r="N38" s="427">
        <v>0</v>
      </c>
      <c r="O38" s="425">
        <v>0</v>
      </c>
      <c r="P38" s="426">
        <v>0</v>
      </c>
      <c r="Q38" s="426">
        <v>0</v>
      </c>
      <c r="R38" s="427">
        <v>3</v>
      </c>
      <c r="S38" s="425">
        <v>5</v>
      </c>
      <c r="T38" s="426">
        <v>0</v>
      </c>
      <c r="U38" s="426">
        <v>0</v>
      </c>
      <c r="V38" s="427">
        <v>0</v>
      </c>
      <c r="W38" s="414">
        <f>SUM(C38:V38)</f>
        <v>18</v>
      </c>
      <c r="X38" s="647" t="str">
        <f ca="1">IF( INDIRECT("RC[-1]",0)=MAX(( INDIRECT("R[-1]C[-1]",0)):( INDIRECT("R[1]C[-1]",0))),"finaali","pronksi")</f>
        <v>finaali</v>
      </c>
    </row>
    <row r="39" spans="1:24" x14ac:dyDescent="0.2">
      <c r="A39" s="382"/>
      <c r="B39" s="649" t="s">
        <v>431</v>
      </c>
      <c r="C39" s="650"/>
      <c r="D39" s="651"/>
      <c r="E39" s="651"/>
      <c r="F39" s="652"/>
      <c r="G39" s="650"/>
      <c r="H39" s="651"/>
      <c r="I39" s="651"/>
      <c r="J39" s="652"/>
      <c r="K39" s="650"/>
      <c r="L39" s="651"/>
      <c r="M39" s="651"/>
      <c r="N39" s="652"/>
      <c r="O39" s="650"/>
      <c r="P39" s="651"/>
      <c r="Q39" s="651"/>
      <c r="R39" s="652"/>
      <c r="S39" s="650"/>
      <c r="T39" s="651"/>
      <c r="U39" s="651"/>
      <c r="V39" s="652"/>
      <c r="W39" s="653"/>
      <c r="X39" s="654"/>
    </row>
    <row r="40" spans="1:24" x14ac:dyDescent="0.2">
      <c r="A40" s="416"/>
      <c r="B40" s="417" t="s">
        <v>165</v>
      </c>
      <c r="C40" s="386" t="s">
        <v>235</v>
      </c>
      <c r="D40" s="320" t="s">
        <v>235</v>
      </c>
      <c r="E40" s="320" t="s">
        <v>235</v>
      </c>
      <c r="F40" s="387" t="s">
        <v>235</v>
      </c>
      <c r="G40" s="386" t="s">
        <v>235</v>
      </c>
      <c r="H40" s="320" t="s">
        <v>235</v>
      </c>
      <c r="I40" s="320" t="s">
        <v>235</v>
      </c>
      <c r="J40" s="387" t="s">
        <v>235</v>
      </c>
      <c r="K40" s="386" t="s">
        <v>235</v>
      </c>
      <c r="L40" s="320" t="s">
        <v>235</v>
      </c>
      <c r="M40" s="320" t="s">
        <v>235</v>
      </c>
      <c r="N40" s="387" t="s">
        <v>235</v>
      </c>
      <c r="O40" s="386" t="s">
        <v>235</v>
      </c>
      <c r="P40" s="320" t="s">
        <v>235</v>
      </c>
      <c r="Q40" s="320" t="s">
        <v>235</v>
      </c>
      <c r="R40" s="387" t="s">
        <v>235</v>
      </c>
      <c r="S40" s="386" t="s">
        <v>235</v>
      </c>
      <c r="T40" s="320" t="s">
        <v>235</v>
      </c>
      <c r="U40" s="320" t="s">
        <v>235</v>
      </c>
      <c r="V40" s="387" t="s">
        <v>235</v>
      </c>
      <c r="W40" s="401" t="s">
        <v>235</v>
      </c>
      <c r="X40" s="383">
        <v>4</v>
      </c>
    </row>
    <row r="41" spans="1:24" x14ac:dyDescent="0.2">
      <c r="A41" s="416"/>
      <c r="B41" s="418" t="s">
        <v>164</v>
      </c>
      <c r="C41" s="386"/>
      <c r="D41" s="320"/>
      <c r="E41" s="320"/>
      <c r="F41" s="387"/>
      <c r="G41" s="386"/>
      <c r="H41" s="320"/>
      <c r="I41" s="320"/>
      <c r="J41" s="387"/>
      <c r="K41" s="386"/>
      <c r="L41" s="320"/>
      <c r="M41" s="320"/>
      <c r="N41" s="387"/>
      <c r="O41" s="386"/>
      <c r="P41" s="320"/>
      <c r="Q41" s="320"/>
      <c r="R41" s="387"/>
      <c r="S41" s="386"/>
      <c r="T41" s="320"/>
      <c r="U41" s="320"/>
      <c r="V41" s="387"/>
      <c r="W41" s="401"/>
      <c r="X41" s="383" t="str">
        <f ca="1">IF( INDIRECT("RC[-1]",0)=MAX(( INDIRECT("R[-1]C[-1]",0)):( INDIRECT("R[1]C[-1]",0))),"3","4")</f>
        <v>3</v>
      </c>
    </row>
    <row r="42" spans="1:24" x14ac:dyDescent="0.2">
      <c r="A42" s="416"/>
      <c r="B42" s="421" t="s">
        <v>432</v>
      </c>
      <c r="C42" s="386"/>
      <c r="D42" s="320"/>
      <c r="E42" s="320"/>
      <c r="F42" s="387"/>
      <c r="G42" s="386"/>
      <c r="H42" s="320"/>
      <c r="I42" s="320"/>
      <c r="J42" s="387"/>
      <c r="K42" s="386"/>
      <c r="L42" s="320"/>
      <c r="M42" s="320"/>
      <c r="N42" s="387"/>
      <c r="O42" s="386"/>
      <c r="P42" s="320"/>
      <c r="Q42" s="320"/>
      <c r="R42" s="387"/>
      <c r="S42" s="386"/>
      <c r="T42" s="320"/>
      <c r="U42" s="320"/>
      <c r="V42" s="387"/>
      <c r="W42" s="401"/>
      <c r="X42" s="388"/>
    </row>
    <row r="43" spans="1:24" x14ac:dyDescent="0.2">
      <c r="A43" s="416"/>
      <c r="B43" s="417" t="s">
        <v>181</v>
      </c>
      <c r="C43" s="386">
        <v>1</v>
      </c>
      <c r="D43" s="320">
        <v>1</v>
      </c>
      <c r="E43" s="320">
        <v>5</v>
      </c>
      <c r="F43" s="387">
        <v>5</v>
      </c>
      <c r="G43" s="386">
        <v>0</v>
      </c>
      <c r="H43" s="320">
        <v>0</v>
      </c>
      <c r="I43" s="320">
        <v>3</v>
      </c>
      <c r="J43" s="387">
        <v>3</v>
      </c>
      <c r="K43" s="386">
        <v>1</v>
      </c>
      <c r="L43" s="320">
        <v>3</v>
      </c>
      <c r="M43" s="320">
        <v>1</v>
      </c>
      <c r="N43" s="387">
        <v>0</v>
      </c>
      <c r="O43" s="386">
        <v>0</v>
      </c>
      <c r="P43" s="320">
        <v>0</v>
      </c>
      <c r="Q43" s="320">
        <v>0</v>
      </c>
      <c r="R43" s="387">
        <v>0</v>
      </c>
      <c r="S43" s="386">
        <v>0</v>
      </c>
      <c r="T43" s="320">
        <v>0</v>
      </c>
      <c r="U43" s="320">
        <v>0</v>
      </c>
      <c r="V43" s="387">
        <v>0</v>
      </c>
      <c r="W43" s="404">
        <f>SUM(C43:V43)</f>
        <v>23</v>
      </c>
      <c r="X43" s="383" t="str">
        <f ca="1">IF( INDIRECT("RC[-1]",0)=MAX(( INDIRECT("R[-1]C[-1]",0)):( INDIRECT("R[1]C[-1]",0))),"1","2")</f>
        <v>1</v>
      </c>
    </row>
    <row r="44" spans="1:24" ht="13.5" thickBot="1" x14ac:dyDescent="0.25">
      <c r="A44" s="423"/>
      <c r="B44" s="477" t="s">
        <v>158</v>
      </c>
      <c r="C44" s="425">
        <v>0</v>
      </c>
      <c r="D44" s="426">
        <v>0</v>
      </c>
      <c r="E44" s="426">
        <v>0</v>
      </c>
      <c r="F44" s="427">
        <v>0</v>
      </c>
      <c r="G44" s="425">
        <v>1</v>
      </c>
      <c r="H44" s="426">
        <v>0</v>
      </c>
      <c r="I44" s="426">
        <v>0</v>
      </c>
      <c r="J44" s="427">
        <v>3</v>
      </c>
      <c r="K44" s="425">
        <v>0</v>
      </c>
      <c r="L44" s="426">
        <v>1</v>
      </c>
      <c r="M44" s="426">
        <v>0</v>
      </c>
      <c r="N44" s="427">
        <v>1</v>
      </c>
      <c r="O44" s="425">
        <v>3</v>
      </c>
      <c r="P44" s="426">
        <v>0</v>
      </c>
      <c r="Q44" s="426">
        <v>0</v>
      </c>
      <c r="R44" s="427">
        <v>0</v>
      </c>
      <c r="S44" s="425">
        <v>0</v>
      </c>
      <c r="T44" s="426">
        <v>5</v>
      </c>
      <c r="U44" s="426">
        <v>0</v>
      </c>
      <c r="V44" s="427">
        <v>0</v>
      </c>
      <c r="W44" s="414">
        <f>SUM(C44:V44)</f>
        <v>14</v>
      </c>
      <c r="X44" s="428" t="str">
        <f ca="1">IF( INDIRECT("RC[-1]",0)=MAX(( INDIRECT("R[-1]C[-1]",0)):( INDIRECT("R[1]C[-1]",0))),"1","2")</f>
        <v>2</v>
      </c>
    </row>
    <row r="46" spans="1:24" x14ac:dyDescent="0.2">
      <c r="A46" s="429">
        <v>1</v>
      </c>
      <c r="B46" s="478" t="s">
        <v>181</v>
      </c>
      <c r="G46" s="429">
        <v>11</v>
      </c>
      <c r="H46" s="692" t="s">
        <v>177</v>
      </c>
      <c r="I46" s="680"/>
      <c r="J46" s="680"/>
      <c r="K46" s="680"/>
      <c r="L46" s="680"/>
      <c r="M46" s="680"/>
      <c r="N46" s="681"/>
    </row>
    <row r="47" spans="1:24" x14ac:dyDescent="0.2">
      <c r="A47" s="429">
        <v>2</v>
      </c>
      <c r="B47" s="433" t="s">
        <v>158</v>
      </c>
      <c r="C47" s="479"/>
      <c r="D47" s="479"/>
      <c r="E47" s="479"/>
      <c r="F47" s="479"/>
      <c r="G47" s="429">
        <v>12</v>
      </c>
      <c r="H47" s="693" t="s">
        <v>159</v>
      </c>
      <c r="I47" s="680"/>
      <c r="J47" s="680"/>
      <c r="K47" s="680"/>
      <c r="L47" s="680"/>
      <c r="M47" s="680"/>
      <c r="N47" s="681"/>
    </row>
    <row r="48" spans="1:24" x14ac:dyDescent="0.2">
      <c r="A48" s="429">
        <v>3</v>
      </c>
      <c r="B48" s="434" t="s">
        <v>164</v>
      </c>
      <c r="C48" s="479"/>
      <c r="D48" s="479"/>
      <c r="E48" s="479"/>
      <c r="F48" s="479"/>
      <c r="G48" s="429">
        <v>13</v>
      </c>
      <c r="H48" s="679" t="s">
        <v>157</v>
      </c>
      <c r="I48" s="680"/>
      <c r="J48" s="680"/>
      <c r="K48" s="680"/>
      <c r="L48" s="680"/>
      <c r="M48" s="680"/>
      <c r="N48" s="681"/>
    </row>
    <row r="49" spans="1:10" x14ac:dyDescent="0.2">
      <c r="A49" s="429">
        <v>4</v>
      </c>
      <c r="B49" s="435" t="s">
        <v>165</v>
      </c>
      <c r="C49" s="479"/>
      <c r="D49" s="479"/>
      <c r="E49" s="479"/>
      <c r="F49" s="479"/>
      <c r="G49" s="479"/>
      <c r="H49" s="479"/>
      <c r="I49" s="479"/>
      <c r="J49" s="479"/>
    </row>
    <row r="50" spans="1:10" x14ac:dyDescent="0.2">
      <c r="A50" s="429">
        <v>5</v>
      </c>
      <c r="B50" s="435" t="s">
        <v>160</v>
      </c>
      <c r="C50" s="479"/>
      <c r="D50" s="479"/>
      <c r="E50" s="479"/>
      <c r="F50" s="479"/>
      <c r="G50" s="479"/>
      <c r="H50" s="479"/>
      <c r="I50" s="479"/>
      <c r="J50" s="479"/>
    </row>
    <row r="51" spans="1:10" x14ac:dyDescent="0.2">
      <c r="A51" s="429">
        <v>6</v>
      </c>
      <c r="B51" s="198" t="s">
        <v>170</v>
      </c>
      <c r="C51" s="479"/>
      <c r="D51" s="479"/>
      <c r="E51" s="479"/>
      <c r="F51" s="479"/>
      <c r="G51" s="479"/>
      <c r="H51" s="479"/>
      <c r="I51" s="479"/>
      <c r="J51" s="479"/>
    </row>
    <row r="52" spans="1:10" x14ac:dyDescent="0.2">
      <c r="A52" s="429">
        <v>7</v>
      </c>
      <c r="B52" s="198" t="s">
        <v>153</v>
      </c>
      <c r="C52" s="479"/>
      <c r="D52" s="479"/>
      <c r="E52" s="479"/>
      <c r="F52" s="479"/>
      <c r="G52" s="479"/>
      <c r="H52" s="479"/>
      <c r="I52" s="479"/>
      <c r="J52" s="479"/>
    </row>
    <row r="53" spans="1:10" x14ac:dyDescent="0.2">
      <c r="A53" s="429">
        <v>8</v>
      </c>
      <c r="B53" s="435" t="s">
        <v>174</v>
      </c>
      <c r="C53" s="479"/>
      <c r="D53" s="479"/>
      <c r="E53" s="479"/>
      <c r="F53" s="479"/>
      <c r="G53" s="479"/>
      <c r="H53" s="479"/>
      <c r="I53" s="479"/>
      <c r="J53" s="479"/>
    </row>
    <row r="54" spans="1:10" x14ac:dyDescent="0.2">
      <c r="A54" s="429">
        <v>9</v>
      </c>
      <c r="B54" s="433" t="s">
        <v>210</v>
      </c>
      <c r="C54" s="479"/>
      <c r="D54" s="479"/>
      <c r="E54" s="479"/>
      <c r="F54" s="479"/>
      <c r="G54" s="479"/>
      <c r="H54" s="479"/>
      <c r="I54" s="479"/>
      <c r="J54" s="479"/>
    </row>
    <row r="55" spans="1:10" x14ac:dyDescent="0.2">
      <c r="A55" s="429">
        <v>10</v>
      </c>
      <c r="B55" s="433" t="s">
        <v>162</v>
      </c>
      <c r="C55" s="479"/>
      <c r="D55" s="479"/>
      <c r="E55" s="479"/>
      <c r="F55" s="479"/>
      <c r="G55" s="479"/>
      <c r="H55" s="479"/>
      <c r="I55" s="479"/>
      <c r="J55" s="479"/>
    </row>
    <row r="56" spans="1:10" x14ac:dyDescent="0.2">
      <c r="C56" s="479"/>
      <c r="D56" s="479"/>
      <c r="E56" s="479"/>
      <c r="F56" s="479"/>
      <c r="G56" s="479"/>
      <c r="H56" s="479"/>
      <c r="I56" s="479"/>
      <c r="J56" s="479"/>
    </row>
    <row r="57" spans="1:10" x14ac:dyDescent="0.2">
      <c r="C57" s="479"/>
      <c r="D57" s="479"/>
      <c r="E57" s="479"/>
      <c r="F57" s="479"/>
      <c r="G57" s="479"/>
      <c r="H57" s="479"/>
      <c r="I57" s="479"/>
      <c r="J57" s="479"/>
    </row>
    <row r="58" spans="1:10" x14ac:dyDescent="0.2">
      <c r="C58" s="479"/>
      <c r="D58" s="479"/>
      <c r="E58" s="479"/>
      <c r="F58" s="479"/>
      <c r="G58" s="479"/>
      <c r="H58" s="479"/>
      <c r="I58" s="479"/>
      <c r="J58" s="479"/>
    </row>
  </sheetData>
  <conditionalFormatting sqref="W43:W44">
    <cfRule type="top10" dxfId="121" priority="1" rank="1"/>
  </conditionalFormatting>
  <conditionalFormatting sqref="W26:W27">
    <cfRule type="top10" dxfId="120" priority="8" rank="1"/>
  </conditionalFormatting>
  <conditionalFormatting sqref="W28:W29">
    <cfRule type="top10" dxfId="119" priority="7" rank="1"/>
  </conditionalFormatting>
  <conditionalFormatting sqref="W30:W31">
    <cfRule type="top10" dxfId="118" priority="6" rank="1"/>
  </conditionalFormatting>
  <conditionalFormatting sqref="W32:W33">
    <cfRule type="top10" dxfId="117" priority="5" rank="1"/>
  </conditionalFormatting>
  <conditionalFormatting sqref="W35:W36">
    <cfRule type="top10" dxfId="116" priority="4" rank="1"/>
  </conditionalFormatting>
  <conditionalFormatting sqref="W37:W38">
    <cfRule type="top10" dxfId="115" priority="3" rank="1"/>
  </conditionalFormatting>
  <conditionalFormatting sqref="W40:W41">
    <cfRule type="top10" dxfId="114" priority="2" rank="1"/>
  </conditionalFormatting>
  <conditionalFormatting sqref="W9:W44">
    <cfRule type="top10" dxfId="113" priority="29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showGridLines="0" zoomScaleNormal="100" workbookViewId="0">
      <pane ySplit="7" topLeftCell="A8" activePane="bottomLeft" state="frozen"/>
      <selection pane="bottomLeft" activeCell="W1" sqref="W1"/>
    </sheetView>
  </sheetViews>
  <sheetFormatPr defaultRowHeight="12.75" x14ac:dyDescent="0.2"/>
  <cols>
    <col min="1" max="1" width="3" style="379" customWidth="1"/>
    <col min="2" max="2" width="18.7109375" style="379" customWidth="1"/>
    <col min="3" max="22" width="2.85546875" style="379" customWidth="1"/>
    <col min="23" max="23" width="3" style="379" bestFit="1" customWidth="1"/>
    <col min="24" max="24" width="10.5703125" style="379" customWidth="1"/>
    <col min="25" max="16384" width="9.140625" style="379"/>
  </cols>
  <sheetData>
    <row r="1" spans="1:24" s="380" customFormat="1" x14ac:dyDescent="0.2">
      <c r="A1" s="58" t="str">
        <f>UPPER((Kalend!E15)&amp;" - "&amp;(Kalend!C15)&amp;" - "&amp;(Kalend!D15))</f>
        <v>T2 - TULISTAMISE NELJAPÄEVAK 2 - TULISTAMINE</v>
      </c>
      <c r="N1" s="239" t="str">
        <f>HYPERLINK("#'Kalend'!I1","Kalender")</f>
        <v>Kalender</v>
      </c>
      <c r="O1" s="59"/>
      <c r="Q1" s="59"/>
      <c r="R1" s="239" t="str">
        <f>HYPERLINK("#'Reit'!G1","Reiting")</f>
        <v>Reiting</v>
      </c>
      <c r="S1" s="59"/>
      <c r="U1" s="381"/>
    </row>
    <row r="2" spans="1:24" s="380" customFormat="1" x14ac:dyDescent="0.2">
      <c r="A2" s="59" t="str">
        <f>"Toimumisaeg: "&amp;(Kalend!A15)&amp;" kell "&amp;(Kalend!B15)</f>
        <v>Toimumisaeg: N, 04.06.2015 kell 18:00</v>
      </c>
    </row>
    <row r="3" spans="1:24" s="380" customFormat="1" x14ac:dyDescent="0.2">
      <c r="A3" s="59" t="str">
        <f>"Toimumiskoht: "&amp;(Kalend!F15)</f>
        <v>Toimumiskoht: K-Järve spordihoone</v>
      </c>
    </row>
    <row r="4" spans="1:24" s="380" customFormat="1" x14ac:dyDescent="0.2">
      <c r="A4" s="59" t="str">
        <f>"Korraldaja: "&amp;(Kalend!G15)</f>
        <v>Korraldaja: K-Järve SHK, Ivar Viljaste</v>
      </c>
    </row>
    <row r="5" spans="1:24" s="380" customFormat="1" ht="13.5" thickBot="1" x14ac:dyDescent="0.25"/>
    <row r="6" spans="1:24" ht="63.75" customHeight="1" thickBot="1" x14ac:dyDescent="0.25">
      <c r="A6" s="648"/>
      <c r="B6" s="658"/>
      <c r="C6" s="657"/>
      <c r="D6" s="657"/>
      <c r="E6" s="657"/>
      <c r="F6" s="657"/>
      <c r="G6" s="659"/>
      <c r="H6" s="657"/>
      <c r="I6" s="657"/>
      <c r="J6" s="660"/>
      <c r="K6" s="657"/>
      <c r="L6" s="657"/>
      <c r="M6" s="657"/>
      <c r="N6" s="657"/>
      <c r="O6" s="659"/>
      <c r="P6" s="657"/>
      <c r="Q6" s="657"/>
      <c r="R6" s="660"/>
      <c r="S6" s="657"/>
      <c r="T6" s="657"/>
      <c r="U6" s="657"/>
      <c r="V6" s="657"/>
      <c r="W6" s="661"/>
      <c r="X6" s="661"/>
    </row>
    <row r="7" spans="1:24" s="309" customFormat="1" ht="13.5" thickBot="1" x14ac:dyDescent="0.25">
      <c r="A7" s="668"/>
      <c r="B7" s="662"/>
      <c r="C7" s="663">
        <v>6</v>
      </c>
      <c r="D7" s="664">
        <v>7</v>
      </c>
      <c r="E7" s="664">
        <v>8</v>
      </c>
      <c r="F7" s="665">
        <v>9</v>
      </c>
      <c r="G7" s="663">
        <v>6</v>
      </c>
      <c r="H7" s="664">
        <v>7</v>
      </c>
      <c r="I7" s="664">
        <v>8</v>
      </c>
      <c r="J7" s="665">
        <v>9</v>
      </c>
      <c r="K7" s="663">
        <v>6</v>
      </c>
      <c r="L7" s="664">
        <v>7</v>
      </c>
      <c r="M7" s="664">
        <v>8</v>
      </c>
      <c r="N7" s="665">
        <v>9</v>
      </c>
      <c r="O7" s="663">
        <v>6</v>
      </c>
      <c r="P7" s="664">
        <v>7</v>
      </c>
      <c r="Q7" s="664">
        <v>8</v>
      </c>
      <c r="R7" s="665">
        <v>9</v>
      </c>
      <c r="S7" s="663">
        <v>6</v>
      </c>
      <c r="T7" s="664">
        <v>7</v>
      </c>
      <c r="U7" s="664">
        <v>8</v>
      </c>
      <c r="V7" s="665">
        <v>9</v>
      </c>
      <c r="W7" s="666" t="s">
        <v>148</v>
      </c>
      <c r="X7" s="667" t="s">
        <v>580</v>
      </c>
    </row>
    <row r="8" spans="1:24" s="290" customFormat="1" x14ac:dyDescent="0.2">
      <c r="A8" s="669"/>
      <c r="B8" s="656" t="s">
        <v>579</v>
      </c>
      <c r="C8" s="650"/>
      <c r="D8" s="651"/>
      <c r="E8" s="651"/>
      <c r="F8" s="652"/>
      <c r="G8" s="650"/>
      <c r="H8" s="651"/>
      <c r="I8" s="651"/>
      <c r="J8" s="652"/>
      <c r="K8" s="650"/>
      <c r="L8" s="651"/>
      <c r="M8" s="651"/>
      <c r="N8" s="652"/>
      <c r="O8" s="650"/>
      <c r="P8" s="651"/>
      <c r="Q8" s="651"/>
      <c r="R8" s="652"/>
      <c r="S8" s="650"/>
      <c r="T8" s="651"/>
      <c r="U8" s="651"/>
      <c r="V8" s="652"/>
      <c r="W8" s="669"/>
      <c r="X8" s="654"/>
    </row>
    <row r="9" spans="1:24" s="290" customFormat="1" x14ac:dyDescent="0.2">
      <c r="A9" s="389">
        <v>1</v>
      </c>
      <c r="B9" s="390" t="s">
        <v>166</v>
      </c>
      <c r="C9" s="391">
        <v>0</v>
      </c>
      <c r="D9" s="392">
        <v>0</v>
      </c>
      <c r="E9" s="392">
        <v>0</v>
      </c>
      <c r="F9" s="393">
        <v>0</v>
      </c>
      <c r="G9" s="391">
        <v>0</v>
      </c>
      <c r="H9" s="392">
        <v>0</v>
      </c>
      <c r="I9" s="392">
        <v>0</v>
      </c>
      <c r="J9" s="393">
        <v>0</v>
      </c>
      <c r="K9" s="391">
        <v>0</v>
      </c>
      <c r="L9" s="392">
        <v>3</v>
      </c>
      <c r="M9" s="392">
        <v>0</v>
      </c>
      <c r="N9" s="393">
        <v>0</v>
      </c>
      <c r="O9" s="391">
        <v>0</v>
      </c>
      <c r="P9" s="392">
        <v>0</v>
      </c>
      <c r="Q9" s="392">
        <v>0</v>
      </c>
      <c r="R9" s="393">
        <v>0</v>
      </c>
      <c r="S9" s="391">
        <v>5</v>
      </c>
      <c r="T9" s="392">
        <v>0</v>
      </c>
      <c r="U9" s="392">
        <v>0</v>
      </c>
      <c r="V9" s="393">
        <v>0</v>
      </c>
      <c r="W9" s="394">
        <f t="shared" ref="W9:W22" si="0">SUM(C9:V9)</f>
        <v>8</v>
      </c>
      <c r="X9" s="395">
        <v>12</v>
      </c>
    </row>
    <row r="10" spans="1:24" s="290" customFormat="1" x14ac:dyDescent="0.2">
      <c r="A10" s="389">
        <v>2</v>
      </c>
      <c r="B10" s="396" t="s">
        <v>174</v>
      </c>
      <c r="C10" s="391">
        <v>3</v>
      </c>
      <c r="D10" s="392">
        <v>0</v>
      </c>
      <c r="E10" s="392">
        <v>0</v>
      </c>
      <c r="F10" s="393">
        <v>0</v>
      </c>
      <c r="G10" s="391">
        <v>3</v>
      </c>
      <c r="H10" s="392">
        <v>3</v>
      </c>
      <c r="I10" s="392">
        <v>3</v>
      </c>
      <c r="J10" s="393">
        <v>0</v>
      </c>
      <c r="K10" s="391">
        <v>3</v>
      </c>
      <c r="L10" s="392">
        <v>0</v>
      </c>
      <c r="M10" s="392">
        <v>0</v>
      </c>
      <c r="N10" s="393">
        <v>0</v>
      </c>
      <c r="O10" s="391">
        <v>0</v>
      </c>
      <c r="P10" s="392">
        <v>0</v>
      </c>
      <c r="Q10" s="392">
        <v>0</v>
      </c>
      <c r="R10" s="393">
        <v>0</v>
      </c>
      <c r="S10" s="391">
        <v>0</v>
      </c>
      <c r="T10" s="392">
        <v>0</v>
      </c>
      <c r="U10" s="392">
        <v>0</v>
      </c>
      <c r="V10" s="393">
        <v>0</v>
      </c>
      <c r="W10" s="394">
        <f t="shared" si="0"/>
        <v>15</v>
      </c>
      <c r="X10" s="394" t="s">
        <v>424</v>
      </c>
    </row>
    <row r="11" spans="1:24" s="290" customFormat="1" x14ac:dyDescent="0.2">
      <c r="A11" s="384">
        <v>3</v>
      </c>
      <c r="B11" s="198" t="s">
        <v>160</v>
      </c>
      <c r="C11" s="398">
        <v>3</v>
      </c>
      <c r="D11" s="399">
        <v>3</v>
      </c>
      <c r="E11" s="399">
        <v>3</v>
      </c>
      <c r="F11" s="400">
        <v>3</v>
      </c>
      <c r="G11" s="398">
        <v>3</v>
      </c>
      <c r="H11" s="399">
        <v>3</v>
      </c>
      <c r="I11" s="399">
        <v>0</v>
      </c>
      <c r="J11" s="400">
        <v>0</v>
      </c>
      <c r="K11" s="398">
        <v>3</v>
      </c>
      <c r="L11" s="399">
        <v>0</v>
      </c>
      <c r="M11" s="399">
        <v>1</v>
      </c>
      <c r="N11" s="400">
        <v>0</v>
      </c>
      <c r="O11" s="398">
        <v>3</v>
      </c>
      <c r="P11" s="399">
        <v>0</v>
      </c>
      <c r="Q11" s="399">
        <v>0</v>
      </c>
      <c r="R11" s="400">
        <v>3</v>
      </c>
      <c r="S11" s="398">
        <v>0</v>
      </c>
      <c r="T11" s="399">
        <v>0</v>
      </c>
      <c r="U11" s="399">
        <v>0</v>
      </c>
      <c r="V11" s="400">
        <v>0</v>
      </c>
      <c r="W11" s="401">
        <f t="shared" si="0"/>
        <v>28</v>
      </c>
      <c r="X11" s="401" t="s">
        <v>427</v>
      </c>
    </row>
    <row r="12" spans="1:24" s="290" customFormat="1" x14ac:dyDescent="0.2">
      <c r="A12" s="384">
        <v>4</v>
      </c>
      <c r="B12" s="198" t="s">
        <v>159</v>
      </c>
      <c r="C12" s="398">
        <v>1</v>
      </c>
      <c r="D12" s="399">
        <v>0</v>
      </c>
      <c r="E12" s="399">
        <v>0</v>
      </c>
      <c r="F12" s="400">
        <v>0</v>
      </c>
      <c r="G12" s="398">
        <v>0</v>
      </c>
      <c r="H12" s="399">
        <v>0</v>
      </c>
      <c r="I12" s="399">
        <v>0</v>
      </c>
      <c r="J12" s="400">
        <v>0</v>
      </c>
      <c r="K12" s="398">
        <v>0</v>
      </c>
      <c r="L12" s="399">
        <v>0</v>
      </c>
      <c r="M12" s="399">
        <v>3</v>
      </c>
      <c r="N12" s="400">
        <v>3</v>
      </c>
      <c r="O12" s="398">
        <v>0</v>
      </c>
      <c r="P12" s="399">
        <v>0</v>
      </c>
      <c r="Q12" s="399">
        <v>0</v>
      </c>
      <c r="R12" s="400">
        <v>0</v>
      </c>
      <c r="S12" s="398">
        <v>0</v>
      </c>
      <c r="T12" s="399">
        <v>0</v>
      </c>
      <c r="U12" s="399">
        <v>0</v>
      </c>
      <c r="V12" s="400">
        <v>0</v>
      </c>
      <c r="W12" s="401">
        <f t="shared" si="0"/>
        <v>7</v>
      </c>
      <c r="X12" s="402">
        <v>13</v>
      </c>
    </row>
    <row r="13" spans="1:24" s="290" customFormat="1" x14ac:dyDescent="0.2">
      <c r="A13" s="389">
        <v>5</v>
      </c>
      <c r="B13" s="396" t="s">
        <v>161</v>
      </c>
      <c r="C13" s="391">
        <v>0</v>
      </c>
      <c r="D13" s="392">
        <v>3</v>
      </c>
      <c r="E13" s="392">
        <v>0</v>
      </c>
      <c r="F13" s="393">
        <v>3</v>
      </c>
      <c r="G13" s="391">
        <v>0</v>
      </c>
      <c r="H13" s="392">
        <v>0</v>
      </c>
      <c r="I13" s="392">
        <v>0</v>
      </c>
      <c r="J13" s="393">
        <v>0</v>
      </c>
      <c r="K13" s="391">
        <v>1</v>
      </c>
      <c r="L13" s="392">
        <v>0</v>
      </c>
      <c r="M13" s="392">
        <v>0</v>
      </c>
      <c r="N13" s="393">
        <v>0</v>
      </c>
      <c r="O13" s="391">
        <v>0</v>
      </c>
      <c r="P13" s="392">
        <v>3</v>
      </c>
      <c r="Q13" s="392">
        <v>0</v>
      </c>
      <c r="R13" s="393">
        <v>0</v>
      </c>
      <c r="S13" s="391">
        <v>0</v>
      </c>
      <c r="T13" s="392">
        <v>0</v>
      </c>
      <c r="U13" s="392">
        <v>0</v>
      </c>
      <c r="V13" s="393">
        <v>0</v>
      </c>
      <c r="W13" s="394">
        <f t="shared" si="0"/>
        <v>10</v>
      </c>
      <c r="X13" s="395">
        <v>10</v>
      </c>
    </row>
    <row r="14" spans="1:24" s="290" customFormat="1" x14ac:dyDescent="0.2">
      <c r="A14" s="389">
        <v>6</v>
      </c>
      <c r="B14" s="390" t="s">
        <v>181</v>
      </c>
      <c r="C14" s="391">
        <v>3</v>
      </c>
      <c r="D14" s="392">
        <v>3</v>
      </c>
      <c r="E14" s="392">
        <v>0</v>
      </c>
      <c r="F14" s="393">
        <v>0</v>
      </c>
      <c r="G14" s="391">
        <v>0</v>
      </c>
      <c r="H14" s="392">
        <v>0</v>
      </c>
      <c r="I14" s="392">
        <v>1</v>
      </c>
      <c r="J14" s="393">
        <v>0</v>
      </c>
      <c r="K14" s="391">
        <v>1</v>
      </c>
      <c r="L14" s="392">
        <v>0</v>
      </c>
      <c r="M14" s="392">
        <v>1</v>
      </c>
      <c r="N14" s="393">
        <v>3</v>
      </c>
      <c r="O14" s="391">
        <v>0</v>
      </c>
      <c r="P14" s="392">
        <v>0</v>
      </c>
      <c r="Q14" s="392">
        <v>0</v>
      </c>
      <c r="R14" s="393">
        <v>3</v>
      </c>
      <c r="S14" s="391">
        <v>0</v>
      </c>
      <c r="T14" s="392">
        <v>0</v>
      </c>
      <c r="U14" s="392">
        <v>3</v>
      </c>
      <c r="V14" s="393">
        <v>5</v>
      </c>
      <c r="W14" s="394">
        <f t="shared" si="0"/>
        <v>23</v>
      </c>
      <c r="X14" s="394" t="s">
        <v>426</v>
      </c>
    </row>
    <row r="15" spans="1:24" s="290" customFormat="1" x14ac:dyDescent="0.2">
      <c r="A15" s="384">
        <v>7</v>
      </c>
      <c r="B15" s="198" t="s">
        <v>164</v>
      </c>
      <c r="C15" s="398">
        <v>0</v>
      </c>
      <c r="D15" s="399">
        <v>0</v>
      </c>
      <c r="E15" s="399">
        <v>0</v>
      </c>
      <c r="F15" s="400">
        <v>3</v>
      </c>
      <c r="G15" s="398">
        <v>0</v>
      </c>
      <c r="H15" s="399">
        <v>0</v>
      </c>
      <c r="I15" s="399">
        <v>3</v>
      </c>
      <c r="J15" s="400">
        <v>0</v>
      </c>
      <c r="K15" s="398">
        <v>0</v>
      </c>
      <c r="L15" s="399">
        <v>0</v>
      </c>
      <c r="M15" s="399">
        <v>0</v>
      </c>
      <c r="N15" s="400">
        <v>0</v>
      </c>
      <c r="O15" s="398">
        <v>0</v>
      </c>
      <c r="P15" s="399">
        <v>0</v>
      </c>
      <c r="Q15" s="399">
        <v>3</v>
      </c>
      <c r="R15" s="400">
        <v>0</v>
      </c>
      <c r="S15" s="398">
        <v>0</v>
      </c>
      <c r="T15" s="399">
        <v>0</v>
      </c>
      <c r="U15" s="399">
        <v>0</v>
      </c>
      <c r="V15" s="400">
        <v>0</v>
      </c>
      <c r="W15" s="401">
        <f t="shared" si="0"/>
        <v>9</v>
      </c>
      <c r="X15" s="402">
        <v>11</v>
      </c>
    </row>
    <row r="16" spans="1:24" s="290" customFormat="1" x14ac:dyDescent="0.2">
      <c r="A16" s="384">
        <v>8</v>
      </c>
      <c r="B16" s="397" t="s">
        <v>175</v>
      </c>
      <c r="C16" s="398">
        <v>5</v>
      </c>
      <c r="D16" s="399">
        <v>3</v>
      </c>
      <c r="E16" s="399">
        <v>0</v>
      </c>
      <c r="F16" s="400">
        <v>0</v>
      </c>
      <c r="G16" s="398">
        <v>0</v>
      </c>
      <c r="H16" s="399">
        <v>0</v>
      </c>
      <c r="I16" s="399">
        <v>0</v>
      </c>
      <c r="J16" s="400">
        <v>0</v>
      </c>
      <c r="K16" s="398">
        <v>3</v>
      </c>
      <c r="L16" s="399">
        <v>0</v>
      </c>
      <c r="M16" s="399">
        <v>1</v>
      </c>
      <c r="N16" s="400">
        <v>1</v>
      </c>
      <c r="O16" s="398">
        <v>0</v>
      </c>
      <c r="P16" s="399">
        <v>0</v>
      </c>
      <c r="Q16" s="399">
        <v>0</v>
      </c>
      <c r="R16" s="400">
        <v>0</v>
      </c>
      <c r="S16" s="398">
        <v>0</v>
      </c>
      <c r="T16" s="399">
        <v>0</v>
      </c>
      <c r="U16" s="399">
        <v>0</v>
      </c>
      <c r="V16" s="400">
        <v>0</v>
      </c>
      <c r="W16" s="401">
        <f t="shared" si="0"/>
        <v>13</v>
      </c>
      <c r="X16" s="401" t="s">
        <v>421</v>
      </c>
    </row>
    <row r="17" spans="1:24" s="290" customFormat="1" x14ac:dyDescent="0.2">
      <c r="A17" s="389">
        <v>9</v>
      </c>
      <c r="B17" s="396" t="s">
        <v>170</v>
      </c>
      <c r="C17" s="391">
        <v>3</v>
      </c>
      <c r="D17" s="392">
        <v>3</v>
      </c>
      <c r="E17" s="392">
        <v>0</v>
      </c>
      <c r="F17" s="393">
        <v>0</v>
      </c>
      <c r="G17" s="391">
        <v>0</v>
      </c>
      <c r="H17" s="392">
        <v>0</v>
      </c>
      <c r="I17" s="392">
        <v>0</v>
      </c>
      <c r="J17" s="393">
        <v>0</v>
      </c>
      <c r="K17" s="391">
        <v>5</v>
      </c>
      <c r="L17" s="392">
        <v>3</v>
      </c>
      <c r="M17" s="392">
        <v>0</v>
      </c>
      <c r="N17" s="393">
        <v>0</v>
      </c>
      <c r="O17" s="391">
        <v>0</v>
      </c>
      <c r="P17" s="392">
        <v>0</v>
      </c>
      <c r="Q17" s="392">
        <v>1</v>
      </c>
      <c r="R17" s="393">
        <v>0</v>
      </c>
      <c r="S17" s="391">
        <v>0</v>
      </c>
      <c r="T17" s="392">
        <v>0</v>
      </c>
      <c r="U17" s="392">
        <v>0</v>
      </c>
      <c r="V17" s="393">
        <v>0</v>
      </c>
      <c r="W17" s="394">
        <f t="shared" si="0"/>
        <v>15</v>
      </c>
      <c r="X17" s="394" t="s">
        <v>428</v>
      </c>
    </row>
    <row r="18" spans="1:24" s="290" customFormat="1" x14ac:dyDescent="0.2">
      <c r="A18" s="389">
        <v>10</v>
      </c>
      <c r="B18" s="396" t="s">
        <v>153</v>
      </c>
      <c r="C18" s="391">
        <v>3</v>
      </c>
      <c r="D18" s="392">
        <v>3</v>
      </c>
      <c r="E18" s="392">
        <v>3</v>
      </c>
      <c r="F18" s="393">
        <v>5</v>
      </c>
      <c r="G18" s="391">
        <v>0</v>
      </c>
      <c r="H18" s="392">
        <v>0</v>
      </c>
      <c r="I18" s="392">
        <v>0</v>
      </c>
      <c r="J18" s="393">
        <v>3</v>
      </c>
      <c r="K18" s="391">
        <v>5</v>
      </c>
      <c r="L18" s="392">
        <v>0</v>
      </c>
      <c r="M18" s="392">
        <v>1</v>
      </c>
      <c r="N18" s="393">
        <v>1</v>
      </c>
      <c r="O18" s="391">
        <v>3</v>
      </c>
      <c r="P18" s="392">
        <v>0</v>
      </c>
      <c r="Q18" s="392">
        <v>3</v>
      </c>
      <c r="R18" s="393">
        <v>3</v>
      </c>
      <c r="S18" s="391">
        <v>0</v>
      </c>
      <c r="T18" s="392">
        <v>5</v>
      </c>
      <c r="U18" s="392">
        <v>3</v>
      </c>
      <c r="V18" s="393">
        <v>5</v>
      </c>
      <c r="W18" s="404">
        <f t="shared" si="0"/>
        <v>46</v>
      </c>
      <c r="X18" s="394" t="s">
        <v>422</v>
      </c>
    </row>
    <row r="19" spans="1:24" s="290" customFormat="1" x14ac:dyDescent="0.2">
      <c r="A19" s="384">
        <v>11</v>
      </c>
      <c r="B19" s="397" t="s">
        <v>162</v>
      </c>
      <c r="C19" s="398">
        <v>5</v>
      </c>
      <c r="D19" s="399">
        <v>3</v>
      </c>
      <c r="E19" s="399">
        <v>0</v>
      </c>
      <c r="F19" s="400">
        <v>0</v>
      </c>
      <c r="G19" s="398">
        <v>0</v>
      </c>
      <c r="H19" s="399">
        <v>3</v>
      </c>
      <c r="I19" s="399">
        <v>0</v>
      </c>
      <c r="J19" s="400">
        <v>0</v>
      </c>
      <c r="K19" s="398">
        <v>0</v>
      </c>
      <c r="L19" s="399">
        <v>1</v>
      </c>
      <c r="M19" s="399">
        <v>1</v>
      </c>
      <c r="N19" s="400">
        <v>0</v>
      </c>
      <c r="O19" s="398">
        <v>0</v>
      </c>
      <c r="P19" s="399">
        <v>3</v>
      </c>
      <c r="Q19" s="399">
        <v>0</v>
      </c>
      <c r="R19" s="400">
        <v>0</v>
      </c>
      <c r="S19" s="398">
        <v>0</v>
      </c>
      <c r="T19" s="399">
        <v>0</v>
      </c>
      <c r="U19" s="399">
        <v>0</v>
      </c>
      <c r="V19" s="400">
        <v>0</v>
      </c>
      <c r="W19" s="401">
        <f t="shared" si="0"/>
        <v>16</v>
      </c>
      <c r="X19" s="401" t="s">
        <v>425</v>
      </c>
    </row>
    <row r="20" spans="1:24" x14ac:dyDescent="0.2">
      <c r="A20" s="384">
        <v>12</v>
      </c>
      <c r="B20" s="198" t="s">
        <v>157</v>
      </c>
      <c r="C20" s="398">
        <v>0</v>
      </c>
      <c r="D20" s="399">
        <v>0</v>
      </c>
      <c r="E20" s="399">
        <v>0</v>
      </c>
      <c r="F20" s="400">
        <v>0</v>
      </c>
      <c r="G20" s="398">
        <v>0</v>
      </c>
      <c r="H20" s="399">
        <v>0</v>
      </c>
      <c r="I20" s="399">
        <v>0</v>
      </c>
      <c r="J20" s="400">
        <v>0</v>
      </c>
      <c r="K20" s="398">
        <v>1</v>
      </c>
      <c r="L20" s="399">
        <v>1</v>
      </c>
      <c r="M20" s="399">
        <v>0</v>
      </c>
      <c r="N20" s="400">
        <v>0</v>
      </c>
      <c r="O20" s="398">
        <v>0</v>
      </c>
      <c r="P20" s="399">
        <v>0</v>
      </c>
      <c r="Q20" s="399">
        <v>0</v>
      </c>
      <c r="R20" s="400">
        <v>0</v>
      </c>
      <c r="S20" s="398">
        <v>0</v>
      </c>
      <c r="T20" s="399">
        <v>0</v>
      </c>
      <c r="U20" s="399">
        <v>0</v>
      </c>
      <c r="V20" s="400">
        <v>0</v>
      </c>
      <c r="W20" s="401">
        <f t="shared" si="0"/>
        <v>2</v>
      </c>
      <c r="X20" s="402">
        <v>14</v>
      </c>
    </row>
    <row r="21" spans="1:24" s="290" customFormat="1" x14ac:dyDescent="0.2">
      <c r="A21" s="389">
        <v>13</v>
      </c>
      <c r="B21" s="396" t="s">
        <v>177</v>
      </c>
      <c r="C21" s="391">
        <v>0</v>
      </c>
      <c r="D21" s="392">
        <v>3</v>
      </c>
      <c r="E21" s="392">
        <v>0</v>
      </c>
      <c r="F21" s="393">
        <v>0</v>
      </c>
      <c r="G21" s="391">
        <v>3</v>
      </c>
      <c r="H21" s="392">
        <v>0</v>
      </c>
      <c r="I21" s="392">
        <v>1</v>
      </c>
      <c r="J21" s="393" t="s">
        <v>235</v>
      </c>
      <c r="K21" s="391">
        <v>1</v>
      </c>
      <c r="L21" s="392">
        <v>1</v>
      </c>
      <c r="M21" s="392">
        <v>0</v>
      </c>
      <c r="N21" s="393" t="s">
        <v>235</v>
      </c>
      <c r="O21" s="391">
        <v>0</v>
      </c>
      <c r="P21" s="392">
        <v>0</v>
      </c>
      <c r="Q21" s="392">
        <v>0</v>
      </c>
      <c r="R21" s="393">
        <v>0</v>
      </c>
      <c r="S21" s="391">
        <v>0</v>
      </c>
      <c r="T21" s="392">
        <v>5</v>
      </c>
      <c r="U21" s="392">
        <v>0</v>
      </c>
      <c r="V21" s="393">
        <v>0</v>
      </c>
      <c r="W21" s="394">
        <f t="shared" si="0"/>
        <v>14</v>
      </c>
      <c r="X21" s="394" t="s">
        <v>423</v>
      </c>
    </row>
    <row r="22" spans="1:24" s="290" customFormat="1" ht="13.5" thickBot="1" x14ac:dyDescent="0.25">
      <c r="A22" s="481">
        <v>14</v>
      </c>
      <c r="B22" s="471" t="s">
        <v>158</v>
      </c>
      <c r="C22" s="472">
        <v>3</v>
      </c>
      <c r="D22" s="473">
        <v>0</v>
      </c>
      <c r="E22" s="473">
        <v>0</v>
      </c>
      <c r="F22" s="474">
        <v>3</v>
      </c>
      <c r="G22" s="472">
        <v>0</v>
      </c>
      <c r="H22" s="473">
        <v>0</v>
      </c>
      <c r="I22" s="473">
        <v>0</v>
      </c>
      <c r="J22" s="474">
        <v>0</v>
      </c>
      <c r="K22" s="472">
        <v>0</v>
      </c>
      <c r="L22" s="473">
        <v>1</v>
      </c>
      <c r="M22" s="473">
        <v>3</v>
      </c>
      <c r="N22" s="474">
        <v>0</v>
      </c>
      <c r="O22" s="472">
        <v>1</v>
      </c>
      <c r="P22" s="473">
        <v>0</v>
      </c>
      <c r="Q22" s="473">
        <v>0</v>
      </c>
      <c r="R22" s="474">
        <v>0</v>
      </c>
      <c r="S22" s="472">
        <v>0</v>
      </c>
      <c r="T22" s="473">
        <v>0</v>
      </c>
      <c r="U22" s="473">
        <v>0</v>
      </c>
      <c r="V22" s="474">
        <v>0</v>
      </c>
      <c r="W22" s="475">
        <f t="shared" si="0"/>
        <v>11</v>
      </c>
      <c r="X22" s="482">
        <v>9</v>
      </c>
    </row>
    <row r="23" spans="1:24" x14ac:dyDescent="0.2">
      <c r="A23" s="416"/>
      <c r="B23" s="385" t="s">
        <v>429</v>
      </c>
      <c r="C23" s="386"/>
      <c r="D23" s="320"/>
      <c r="E23" s="320"/>
      <c r="F23" s="387"/>
      <c r="G23" s="386"/>
      <c r="H23" s="320"/>
      <c r="I23" s="320"/>
      <c r="J23" s="387"/>
      <c r="K23" s="386"/>
      <c r="L23" s="320"/>
      <c r="M23" s="320"/>
      <c r="N23" s="387"/>
      <c r="O23" s="386"/>
      <c r="P23" s="320"/>
      <c r="Q23" s="320"/>
      <c r="R23" s="387"/>
      <c r="S23" s="386"/>
      <c r="T23" s="320"/>
      <c r="U23" s="320"/>
      <c r="V23" s="387"/>
      <c r="W23" s="388"/>
      <c r="X23" s="388"/>
    </row>
    <row r="24" spans="1:24" x14ac:dyDescent="0.2">
      <c r="A24" s="670">
        <v>4</v>
      </c>
      <c r="B24" s="390" t="s">
        <v>162</v>
      </c>
      <c r="C24" s="672">
        <v>3</v>
      </c>
      <c r="D24" s="673">
        <v>0</v>
      </c>
      <c r="E24" s="673">
        <v>3</v>
      </c>
      <c r="F24" s="674">
        <v>0</v>
      </c>
      <c r="G24" s="672">
        <v>0</v>
      </c>
      <c r="H24" s="673">
        <v>0</v>
      </c>
      <c r="I24" s="673">
        <v>3</v>
      </c>
      <c r="J24" s="674">
        <v>0</v>
      </c>
      <c r="K24" s="672">
        <v>1</v>
      </c>
      <c r="L24" s="673">
        <v>0</v>
      </c>
      <c r="M24" s="673">
        <v>1</v>
      </c>
      <c r="N24" s="674">
        <v>1</v>
      </c>
      <c r="O24" s="672">
        <v>5</v>
      </c>
      <c r="P24" s="673">
        <v>1</v>
      </c>
      <c r="Q24" s="673">
        <v>0</v>
      </c>
      <c r="R24" s="674">
        <v>0</v>
      </c>
      <c r="S24" s="672">
        <v>5</v>
      </c>
      <c r="T24" s="673">
        <v>0</v>
      </c>
      <c r="U24" s="673">
        <v>0</v>
      </c>
      <c r="V24" s="674">
        <v>5</v>
      </c>
      <c r="W24" s="394">
        <f t="shared" ref="W24:W31" si="1">SUM(C24:V24)</f>
        <v>28</v>
      </c>
      <c r="X24" s="676" t="s">
        <v>422</v>
      </c>
    </row>
    <row r="25" spans="1:24" x14ac:dyDescent="0.2">
      <c r="A25" s="670">
        <v>5</v>
      </c>
      <c r="B25" s="677" t="s">
        <v>170</v>
      </c>
      <c r="C25" s="672">
        <v>0</v>
      </c>
      <c r="D25" s="673">
        <v>3</v>
      </c>
      <c r="E25" s="673">
        <v>0</v>
      </c>
      <c r="F25" s="674">
        <v>3</v>
      </c>
      <c r="G25" s="672">
        <v>3</v>
      </c>
      <c r="H25" s="673">
        <v>3</v>
      </c>
      <c r="I25" s="673">
        <v>0</v>
      </c>
      <c r="J25" s="674">
        <v>0</v>
      </c>
      <c r="K25" s="672">
        <v>1</v>
      </c>
      <c r="L25" s="673">
        <v>0</v>
      </c>
      <c r="M25" s="673">
        <v>1</v>
      </c>
      <c r="N25" s="674">
        <v>0</v>
      </c>
      <c r="O25" s="672">
        <v>1</v>
      </c>
      <c r="P25" s="673">
        <v>0</v>
      </c>
      <c r="Q25" s="673">
        <v>0</v>
      </c>
      <c r="R25" s="674">
        <v>0</v>
      </c>
      <c r="S25" s="672">
        <v>0</v>
      </c>
      <c r="T25" s="673">
        <v>0</v>
      </c>
      <c r="U25" s="673">
        <v>0</v>
      </c>
      <c r="V25" s="674">
        <v>0</v>
      </c>
      <c r="W25" s="394">
        <f t="shared" si="1"/>
        <v>15</v>
      </c>
      <c r="X25" s="675">
        <v>6</v>
      </c>
    </row>
    <row r="26" spans="1:24" x14ac:dyDescent="0.2">
      <c r="A26" s="416">
        <v>3</v>
      </c>
      <c r="B26" s="418" t="s">
        <v>181</v>
      </c>
      <c r="C26" s="386">
        <v>5</v>
      </c>
      <c r="D26" s="320">
        <v>0</v>
      </c>
      <c r="E26" s="320">
        <v>3</v>
      </c>
      <c r="F26" s="387">
        <v>3</v>
      </c>
      <c r="G26" s="386">
        <v>0</v>
      </c>
      <c r="H26" s="320">
        <v>0</v>
      </c>
      <c r="I26" s="320">
        <v>0</v>
      </c>
      <c r="J26" s="387">
        <v>0</v>
      </c>
      <c r="K26" s="386">
        <v>0</v>
      </c>
      <c r="L26" s="320">
        <v>1</v>
      </c>
      <c r="M26" s="320">
        <v>1</v>
      </c>
      <c r="N26" s="387">
        <v>0</v>
      </c>
      <c r="O26" s="386">
        <v>3</v>
      </c>
      <c r="P26" s="320">
        <v>0</v>
      </c>
      <c r="Q26" s="320">
        <v>0</v>
      </c>
      <c r="R26" s="387">
        <v>3</v>
      </c>
      <c r="S26" s="386">
        <v>3</v>
      </c>
      <c r="T26" s="320">
        <v>0</v>
      </c>
      <c r="U26" s="320">
        <v>0</v>
      </c>
      <c r="V26" s="387">
        <v>0</v>
      </c>
      <c r="W26" s="401">
        <f t="shared" si="1"/>
        <v>22</v>
      </c>
      <c r="X26" s="476" t="s">
        <v>426</v>
      </c>
    </row>
    <row r="27" spans="1:24" x14ac:dyDescent="0.2">
      <c r="A27" s="416">
        <v>6</v>
      </c>
      <c r="B27" s="418" t="s">
        <v>174</v>
      </c>
      <c r="C27" s="386">
        <v>5</v>
      </c>
      <c r="D27" s="320">
        <v>0</v>
      </c>
      <c r="E27" s="320">
        <v>0</v>
      </c>
      <c r="F27" s="387">
        <v>0</v>
      </c>
      <c r="G27" s="386">
        <v>0</v>
      </c>
      <c r="H27" s="320">
        <v>0</v>
      </c>
      <c r="I27" s="320">
        <v>0</v>
      </c>
      <c r="J27" s="387">
        <v>0</v>
      </c>
      <c r="K27" s="386">
        <v>5</v>
      </c>
      <c r="L27" s="320">
        <v>1</v>
      </c>
      <c r="M27" s="320">
        <v>3</v>
      </c>
      <c r="N27" s="387">
        <v>0</v>
      </c>
      <c r="O27" s="386">
        <v>0</v>
      </c>
      <c r="P27" s="320">
        <v>0</v>
      </c>
      <c r="Q27" s="320">
        <v>0</v>
      </c>
      <c r="R27" s="387">
        <v>0</v>
      </c>
      <c r="S27" s="386">
        <v>0</v>
      </c>
      <c r="T27" s="320">
        <v>0</v>
      </c>
      <c r="U27" s="320">
        <v>0</v>
      </c>
      <c r="V27" s="387">
        <v>0</v>
      </c>
      <c r="W27" s="401">
        <f t="shared" si="1"/>
        <v>14</v>
      </c>
      <c r="X27" s="383">
        <v>7</v>
      </c>
    </row>
    <row r="28" spans="1:24" x14ac:dyDescent="0.2">
      <c r="A28" s="670">
        <v>2</v>
      </c>
      <c r="B28" s="322" t="s">
        <v>160</v>
      </c>
      <c r="C28" s="672">
        <v>3</v>
      </c>
      <c r="D28" s="673">
        <v>3</v>
      </c>
      <c r="E28" s="673">
        <v>3</v>
      </c>
      <c r="F28" s="674">
        <v>0</v>
      </c>
      <c r="G28" s="672">
        <v>1</v>
      </c>
      <c r="H28" s="673">
        <v>0</v>
      </c>
      <c r="I28" s="673">
        <v>0</v>
      </c>
      <c r="J28" s="674">
        <v>0</v>
      </c>
      <c r="K28" s="672">
        <v>1</v>
      </c>
      <c r="L28" s="673">
        <v>1</v>
      </c>
      <c r="M28" s="673">
        <v>3</v>
      </c>
      <c r="N28" s="674">
        <v>0</v>
      </c>
      <c r="O28" s="672">
        <v>3</v>
      </c>
      <c r="P28" s="673">
        <v>0</v>
      </c>
      <c r="Q28" s="673">
        <v>0</v>
      </c>
      <c r="R28" s="674">
        <v>0</v>
      </c>
      <c r="S28" s="672">
        <v>5</v>
      </c>
      <c r="T28" s="673">
        <v>0</v>
      </c>
      <c r="U28" s="673">
        <v>0</v>
      </c>
      <c r="V28" s="674">
        <v>0</v>
      </c>
      <c r="W28" s="394">
        <f t="shared" si="1"/>
        <v>23</v>
      </c>
      <c r="X28" s="676" t="s">
        <v>427</v>
      </c>
    </row>
    <row r="29" spans="1:24" x14ac:dyDescent="0.2">
      <c r="A29" s="670">
        <v>7</v>
      </c>
      <c r="B29" s="677" t="s">
        <v>177</v>
      </c>
      <c r="C29" s="672">
        <v>3</v>
      </c>
      <c r="D29" s="673">
        <v>0</v>
      </c>
      <c r="E29" s="673">
        <v>0</v>
      </c>
      <c r="F29" s="674" t="s">
        <v>235</v>
      </c>
      <c r="G29" s="672">
        <v>0</v>
      </c>
      <c r="H29" s="673">
        <v>3</v>
      </c>
      <c r="I29" s="673">
        <v>0</v>
      </c>
      <c r="J29" s="674" t="s">
        <v>235</v>
      </c>
      <c r="K29" s="672">
        <v>3</v>
      </c>
      <c r="L29" s="673">
        <v>0</v>
      </c>
      <c r="M29" s="673">
        <v>0</v>
      </c>
      <c r="N29" s="674" t="s">
        <v>235</v>
      </c>
      <c r="O29" s="672">
        <v>0</v>
      </c>
      <c r="P29" s="673">
        <v>5</v>
      </c>
      <c r="Q29" s="673">
        <v>0</v>
      </c>
      <c r="R29" s="674" t="s">
        <v>235</v>
      </c>
      <c r="S29" s="672">
        <v>0</v>
      </c>
      <c r="T29" s="673">
        <v>5</v>
      </c>
      <c r="U29" s="673">
        <v>0</v>
      </c>
      <c r="V29" s="674">
        <v>0</v>
      </c>
      <c r="W29" s="394">
        <f t="shared" si="1"/>
        <v>19</v>
      </c>
      <c r="X29" s="675">
        <v>5</v>
      </c>
    </row>
    <row r="30" spans="1:24" x14ac:dyDescent="0.2">
      <c r="A30" s="416">
        <v>1</v>
      </c>
      <c r="B30" s="417" t="s">
        <v>153</v>
      </c>
      <c r="C30" s="386">
        <v>5</v>
      </c>
      <c r="D30" s="320">
        <v>0</v>
      </c>
      <c r="E30" s="320">
        <v>3</v>
      </c>
      <c r="F30" s="387">
        <v>0</v>
      </c>
      <c r="G30" s="386">
        <v>3</v>
      </c>
      <c r="H30" s="320">
        <v>3</v>
      </c>
      <c r="I30" s="320">
        <v>0</v>
      </c>
      <c r="J30" s="387">
        <v>3</v>
      </c>
      <c r="K30" s="386">
        <v>0</v>
      </c>
      <c r="L30" s="320">
        <v>3</v>
      </c>
      <c r="M30" s="320">
        <v>1</v>
      </c>
      <c r="N30" s="387">
        <v>0</v>
      </c>
      <c r="O30" s="386">
        <v>0</v>
      </c>
      <c r="P30" s="320">
        <v>0</v>
      </c>
      <c r="Q30" s="320">
        <v>0</v>
      </c>
      <c r="R30" s="387">
        <v>0</v>
      </c>
      <c r="S30" s="386">
        <v>0</v>
      </c>
      <c r="T30" s="320">
        <v>0</v>
      </c>
      <c r="U30" s="320">
        <v>0</v>
      </c>
      <c r="V30" s="387">
        <v>0</v>
      </c>
      <c r="W30" s="401">
        <f t="shared" si="1"/>
        <v>21</v>
      </c>
      <c r="X30" s="388" t="s">
        <v>425</v>
      </c>
    </row>
    <row r="31" spans="1:24" ht="13.5" thickBot="1" x14ac:dyDescent="0.25">
      <c r="A31" s="423">
        <v>8</v>
      </c>
      <c r="B31" s="410" t="s">
        <v>175</v>
      </c>
      <c r="C31" s="425">
        <v>0</v>
      </c>
      <c r="D31" s="426">
        <v>3</v>
      </c>
      <c r="E31" s="426">
        <v>0</v>
      </c>
      <c r="F31" s="427">
        <v>3</v>
      </c>
      <c r="G31" s="425">
        <v>0</v>
      </c>
      <c r="H31" s="426">
        <v>0</v>
      </c>
      <c r="I31" s="426">
        <v>0</v>
      </c>
      <c r="J31" s="427">
        <v>0</v>
      </c>
      <c r="K31" s="425">
        <v>1</v>
      </c>
      <c r="L31" s="426">
        <v>0</v>
      </c>
      <c r="M31" s="426">
        <v>0</v>
      </c>
      <c r="N31" s="427">
        <v>0</v>
      </c>
      <c r="O31" s="425">
        <v>3</v>
      </c>
      <c r="P31" s="426">
        <v>0</v>
      </c>
      <c r="Q31" s="426">
        <v>0</v>
      </c>
      <c r="R31" s="427">
        <v>0</v>
      </c>
      <c r="S31" s="425">
        <v>0</v>
      </c>
      <c r="T31" s="426">
        <v>0</v>
      </c>
      <c r="U31" s="426">
        <v>3</v>
      </c>
      <c r="V31" s="427">
        <v>0</v>
      </c>
      <c r="W31" s="414">
        <f t="shared" si="1"/>
        <v>13</v>
      </c>
      <c r="X31" s="428">
        <v>8</v>
      </c>
    </row>
    <row r="32" spans="1:24" x14ac:dyDescent="0.2">
      <c r="A32" s="382"/>
      <c r="B32" s="656" t="s">
        <v>430</v>
      </c>
      <c r="C32" s="650"/>
      <c r="D32" s="651"/>
      <c r="E32" s="651"/>
      <c r="F32" s="652"/>
      <c r="G32" s="650"/>
      <c r="H32" s="651"/>
      <c r="I32" s="651"/>
      <c r="J32" s="652"/>
      <c r="K32" s="650"/>
      <c r="L32" s="651"/>
      <c r="M32" s="651"/>
      <c r="N32" s="652"/>
      <c r="O32" s="650"/>
      <c r="P32" s="651"/>
      <c r="Q32" s="651"/>
      <c r="R32" s="652"/>
      <c r="S32" s="650"/>
      <c r="T32" s="651"/>
      <c r="U32" s="651"/>
      <c r="V32" s="652"/>
      <c r="W32" s="654"/>
      <c r="X32" s="654"/>
    </row>
    <row r="33" spans="1:24" x14ac:dyDescent="0.2">
      <c r="A33" s="670">
        <v>2</v>
      </c>
      <c r="B33" s="322" t="s">
        <v>160</v>
      </c>
      <c r="C33" s="672">
        <v>3</v>
      </c>
      <c r="D33" s="673">
        <v>5</v>
      </c>
      <c r="E33" s="673">
        <v>3</v>
      </c>
      <c r="F33" s="674">
        <v>0</v>
      </c>
      <c r="G33" s="672">
        <v>0</v>
      </c>
      <c r="H33" s="673">
        <v>0</v>
      </c>
      <c r="I33" s="673">
        <v>3</v>
      </c>
      <c r="J33" s="674">
        <v>0</v>
      </c>
      <c r="K33" s="672">
        <v>0</v>
      </c>
      <c r="L33" s="673">
        <v>1</v>
      </c>
      <c r="M33" s="673">
        <v>1</v>
      </c>
      <c r="N33" s="674">
        <v>1</v>
      </c>
      <c r="O33" s="672">
        <v>0</v>
      </c>
      <c r="P33" s="673">
        <v>0</v>
      </c>
      <c r="Q33" s="673">
        <v>1</v>
      </c>
      <c r="R33" s="674">
        <v>0</v>
      </c>
      <c r="S33" s="672">
        <v>5</v>
      </c>
      <c r="T33" s="673">
        <v>0</v>
      </c>
      <c r="U33" s="673">
        <v>0</v>
      </c>
      <c r="V33" s="674">
        <v>0</v>
      </c>
      <c r="W33" s="394">
        <f>SUM(C33:V33)</f>
        <v>23</v>
      </c>
      <c r="X33" s="676" t="str">
        <f ca="1">IF( INDIRECT("RC[-1]",0)=MAX(( INDIRECT("R[-1]C[-1]",0)):( INDIRECT("R[1]C[-1]",0))),"finaali","pronksi")</f>
        <v>finaali</v>
      </c>
    </row>
    <row r="34" spans="1:24" x14ac:dyDescent="0.2">
      <c r="A34" s="670">
        <v>3</v>
      </c>
      <c r="B34" s="678" t="s">
        <v>181</v>
      </c>
      <c r="C34" s="672">
        <v>0</v>
      </c>
      <c r="D34" s="673">
        <v>0</v>
      </c>
      <c r="E34" s="673">
        <v>3</v>
      </c>
      <c r="F34" s="674">
        <v>0</v>
      </c>
      <c r="G34" s="672">
        <v>3</v>
      </c>
      <c r="H34" s="673">
        <v>3</v>
      </c>
      <c r="I34" s="673">
        <v>0</v>
      </c>
      <c r="J34" s="674">
        <v>0</v>
      </c>
      <c r="K34" s="672">
        <v>3</v>
      </c>
      <c r="L34" s="673">
        <v>0</v>
      </c>
      <c r="M34" s="673">
        <v>0</v>
      </c>
      <c r="N34" s="674">
        <v>1</v>
      </c>
      <c r="O34" s="672">
        <v>0</v>
      </c>
      <c r="P34" s="673">
        <v>0</v>
      </c>
      <c r="Q34" s="673">
        <v>0</v>
      </c>
      <c r="R34" s="674">
        <v>0</v>
      </c>
      <c r="S34" s="672">
        <v>3</v>
      </c>
      <c r="T34" s="673">
        <v>0</v>
      </c>
      <c r="U34" s="673">
        <v>0</v>
      </c>
      <c r="V34" s="674">
        <v>0</v>
      </c>
      <c r="W34" s="394">
        <f>SUM(C34:V34)</f>
        <v>16</v>
      </c>
      <c r="X34" s="676" t="str">
        <f ca="1">IF( INDIRECT("RC[-1]",0)=MAX(( INDIRECT("R[-1]C[-1]",0)):( INDIRECT("R[1]C[-1]",0))),"finaali","pronksi")</f>
        <v>pronksi</v>
      </c>
    </row>
    <row r="35" spans="1:24" x14ac:dyDescent="0.2">
      <c r="A35" s="416">
        <v>1</v>
      </c>
      <c r="B35" s="397" t="s">
        <v>162</v>
      </c>
      <c r="C35" s="386">
        <v>5</v>
      </c>
      <c r="D35" s="320">
        <v>0</v>
      </c>
      <c r="E35" s="320">
        <v>5</v>
      </c>
      <c r="F35" s="387">
        <v>0</v>
      </c>
      <c r="G35" s="386">
        <v>0</v>
      </c>
      <c r="H35" s="320">
        <v>0</v>
      </c>
      <c r="I35" s="320">
        <v>0</v>
      </c>
      <c r="J35" s="387">
        <v>0</v>
      </c>
      <c r="K35" s="386">
        <v>0</v>
      </c>
      <c r="L35" s="320">
        <v>0</v>
      </c>
      <c r="M35" s="320">
        <v>1</v>
      </c>
      <c r="N35" s="387">
        <v>0</v>
      </c>
      <c r="O35" s="386">
        <v>0</v>
      </c>
      <c r="P35" s="320">
        <v>0</v>
      </c>
      <c r="Q35" s="320">
        <v>0</v>
      </c>
      <c r="R35" s="387">
        <v>0</v>
      </c>
      <c r="S35" s="386">
        <v>0</v>
      </c>
      <c r="T35" s="320">
        <v>0</v>
      </c>
      <c r="U35" s="320">
        <v>0</v>
      </c>
      <c r="V35" s="387">
        <v>5</v>
      </c>
      <c r="W35" s="401">
        <f>SUM(C35:V35)</f>
        <v>16</v>
      </c>
      <c r="X35" s="388" t="str">
        <f ca="1">IF( INDIRECT("RC[-1]",0)=MAX(( INDIRECT("R[-1]C[-1]",0)):( INDIRECT("R[1]C[-1]",0))),"finaali","pronksi")</f>
        <v>finaali</v>
      </c>
    </row>
    <row r="36" spans="1:24" ht="13.5" thickBot="1" x14ac:dyDescent="0.25">
      <c r="A36" s="423">
        <v>4</v>
      </c>
      <c r="B36" s="646" t="s">
        <v>153</v>
      </c>
      <c r="C36" s="425">
        <v>0</v>
      </c>
      <c r="D36" s="426">
        <v>0</v>
      </c>
      <c r="E36" s="426">
        <v>0</v>
      </c>
      <c r="F36" s="427">
        <v>0</v>
      </c>
      <c r="G36" s="425">
        <v>3</v>
      </c>
      <c r="H36" s="426">
        <v>0</v>
      </c>
      <c r="I36" s="426">
        <v>0</v>
      </c>
      <c r="J36" s="427">
        <v>0</v>
      </c>
      <c r="K36" s="425">
        <v>1</v>
      </c>
      <c r="L36" s="426">
        <v>1</v>
      </c>
      <c r="M36" s="426">
        <v>0</v>
      </c>
      <c r="N36" s="427">
        <v>0</v>
      </c>
      <c r="O36" s="425">
        <v>0</v>
      </c>
      <c r="P36" s="426">
        <v>5</v>
      </c>
      <c r="Q36" s="426">
        <v>0</v>
      </c>
      <c r="R36" s="427">
        <v>0</v>
      </c>
      <c r="S36" s="425">
        <v>0</v>
      </c>
      <c r="T36" s="426">
        <v>0</v>
      </c>
      <c r="U36" s="426">
        <v>5</v>
      </c>
      <c r="V36" s="427">
        <v>0</v>
      </c>
      <c r="W36" s="414">
        <f>SUM(C36:V36)</f>
        <v>15</v>
      </c>
      <c r="X36" s="647" t="str">
        <f ca="1">IF( INDIRECT("RC[-1]",0)=MAX(( INDIRECT("R[-1]C[-1]",0)):( INDIRECT("R[1]C[-1]",0))),"finaali","pronksi")</f>
        <v>pronksi</v>
      </c>
    </row>
    <row r="37" spans="1:24" x14ac:dyDescent="0.2">
      <c r="A37" s="382"/>
      <c r="B37" s="649" t="s">
        <v>431</v>
      </c>
      <c r="C37" s="650"/>
      <c r="D37" s="651"/>
      <c r="E37" s="651"/>
      <c r="F37" s="652"/>
      <c r="G37" s="650"/>
      <c r="H37" s="651"/>
      <c r="I37" s="651"/>
      <c r="J37" s="652"/>
      <c r="K37" s="650"/>
      <c r="L37" s="651"/>
      <c r="M37" s="651"/>
      <c r="N37" s="652"/>
      <c r="O37" s="650"/>
      <c r="P37" s="651"/>
      <c r="Q37" s="651"/>
      <c r="R37" s="652"/>
      <c r="S37" s="650"/>
      <c r="T37" s="651"/>
      <c r="U37" s="651"/>
      <c r="V37" s="652"/>
      <c r="W37" s="653"/>
      <c r="X37" s="654"/>
    </row>
    <row r="38" spans="1:24" x14ac:dyDescent="0.2">
      <c r="A38" s="416"/>
      <c r="B38" s="418" t="s">
        <v>181</v>
      </c>
      <c r="C38" s="386">
        <v>1</v>
      </c>
      <c r="D38" s="320">
        <v>3</v>
      </c>
      <c r="E38" s="320">
        <v>0</v>
      </c>
      <c r="F38" s="387">
        <v>0</v>
      </c>
      <c r="G38" s="386">
        <v>0</v>
      </c>
      <c r="H38" s="320">
        <v>0</v>
      </c>
      <c r="I38" s="320">
        <v>0</v>
      </c>
      <c r="J38" s="387">
        <v>0</v>
      </c>
      <c r="K38" s="386">
        <v>3</v>
      </c>
      <c r="L38" s="320">
        <v>3</v>
      </c>
      <c r="M38" s="320">
        <v>3</v>
      </c>
      <c r="N38" s="387">
        <v>0</v>
      </c>
      <c r="O38" s="386">
        <v>0</v>
      </c>
      <c r="P38" s="320">
        <v>0</v>
      </c>
      <c r="Q38" s="320">
        <v>0</v>
      </c>
      <c r="R38" s="387">
        <v>0</v>
      </c>
      <c r="S38" s="386">
        <v>0</v>
      </c>
      <c r="T38" s="320">
        <v>0</v>
      </c>
      <c r="U38" s="320">
        <v>0</v>
      </c>
      <c r="V38" s="387">
        <v>0</v>
      </c>
      <c r="W38" s="401">
        <f>SUM(C38:V38)</f>
        <v>13</v>
      </c>
      <c r="X38" s="383" t="str">
        <f ca="1">IF( INDIRECT("RC[-1]",0)=MAX(( INDIRECT("R[-1]C[-1]",0)):( INDIRECT("R[1]C[-1]",0))),"3","4")</f>
        <v>4</v>
      </c>
    </row>
    <row r="39" spans="1:24" x14ac:dyDescent="0.2">
      <c r="A39" s="416"/>
      <c r="B39" s="417" t="s">
        <v>153</v>
      </c>
      <c r="C39" s="386">
        <v>3</v>
      </c>
      <c r="D39" s="320">
        <v>1</v>
      </c>
      <c r="E39" s="320">
        <v>1</v>
      </c>
      <c r="F39" s="387">
        <v>0</v>
      </c>
      <c r="G39" s="386">
        <v>3</v>
      </c>
      <c r="H39" s="320">
        <v>3</v>
      </c>
      <c r="I39" s="320">
        <v>0</v>
      </c>
      <c r="J39" s="387">
        <v>0</v>
      </c>
      <c r="K39" s="386">
        <v>3</v>
      </c>
      <c r="L39" s="320">
        <v>0</v>
      </c>
      <c r="M39" s="320">
        <v>0</v>
      </c>
      <c r="N39" s="387">
        <v>0</v>
      </c>
      <c r="O39" s="386">
        <v>3</v>
      </c>
      <c r="P39" s="320">
        <v>0</v>
      </c>
      <c r="Q39" s="320">
        <v>0</v>
      </c>
      <c r="R39" s="387">
        <v>0</v>
      </c>
      <c r="S39" s="386">
        <v>0</v>
      </c>
      <c r="T39" s="320">
        <v>0</v>
      </c>
      <c r="U39" s="320">
        <v>0</v>
      </c>
      <c r="V39" s="387">
        <v>0</v>
      </c>
      <c r="W39" s="401">
        <f>SUM(C39:V39)</f>
        <v>17</v>
      </c>
      <c r="X39" s="383" t="str">
        <f ca="1">IF( INDIRECT("RC[-1]",0)=MAX(( INDIRECT("R[-1]C[-1]",0)):( INDIRECT("R[1]C[-1]",0))),"3","4")</f>
        <v>3</v>
      </c>
    </row>
    <row r="40" spans="1:24" x14ac:dyDescent="0.2">
      <c r="A40" s="416"/>
      <c r="B40" s="421" t="s">
        <v>432</v>
      </c>
      <c r="C40" s="386"/>
      <c r="D40" s="320"/>
      <c r="E40" s="320"/>
      <c r="F40" s="387"/>
      <c r="G40" s="386"/>
      <c r="H40" s="320"/>
      <c r="I40" s="320"/>
      <c r="J40" s="387"/>
      <c r="K40" s="386"/>
      <c r="L40" s="320"/>
      <c r="M40" s="320"/>
      <c r="N40" s="387"/>
      <c r="O40" s="386"/>
      <c r="P40" s="320"/>
      <c r="Q40" s="320"/>
      <c r="R40" s="387"/>
      <c r="S40" s="386"/>
      <c r="T40" s="320"/>
      <c r="U40" s="320"/>
      <c r="V40" s="387"/>
      <c r="W40" s="401"/>
      <c r="X40" s="388"/>
    </row>
    <row r="41" spans="1:24" x14ac:dyDescent="0.2">
      <c r="A41" s="416"/>
      <c r="B41" s="198" t="s">
        <v>160</v>
      </c>
      <c r="C41" s="386">
        <v>0</v>
      </c>
      <c r="D41" s="320">
        <v>0</v>
      </c>
      <c r="E41" s="320">
        <v>3</v>
      </c>
      <c r="F41" s="387">
        <v>0</v>
      </c>
      <c r="G41" s="386">
        <v>0</v>
      </c>
      <c r="H41" s="320">
        <v>0</v>
      </c>
      <c r="I41" s="320">
        <v>3</v>
      </c>
      <c r="J41" s="387">
        <v>0</v>
      </c>
      <c r="K41" s="386">
        <v>1</v>
      </c>
      <c r="L41" s="320">
        <v>3</v>
      </c>
      <c r="M41" s="320">
        <v>1</v>
      </c>
      <c r="N41" s="387">
        <v>1</v>
      </c>
      <c r="O41" s="386">
        <v>0</v>
      </c>
      <c r="P41" s="320">
        <v>3</v>
      </c>
      <c r="Q41" s="320">
        <v>0</v>
      </c>
      <c r="R41" s="387">
        <v>0</v>
      </c>
      <c r="S41" s="386">
        <v>0</v>
      </c>
      <c r="T41" s="320">
        <v>0</v>
      </c>
      <c r="U41" s="320">
        <v>0</v>
      </c>
      <c r="V41" s="387">
        <v>0</v>
      </c>
      <c r="W41" s="401">
        <f>SUM(C41:V41)</f>
        <v>15</v>
      </c>
      <c r="X41" s="383" t="str">
        <f ca="1">IF( INDIRECT("RC[-1]",0)=MAX(( INDIRECT("R[-1]C[-1]",0)):( INDIRECT("R[1]C[-1]",0))),"1","2")</f>
        <v>1</v>
      </c>
    </row>
    <row r="42" spans="1:24" ht="13.5" thickBot="1" x14ac:dyDescent="0.25">
      <c r="A42" s="423"/>
      <c r="B42" s="483" t="s">
        <v>162</v>
      </c>
      <c r="C42" s="425">
        <v>0</v>
      </c>
      <c r="D42" s="426">
        <v>0</v>
      </c>
      <c r="E42" s="426">
        <v>0</v>
      </c>
      <c r="F42" s="427">
        <v>0</v>
      </c>
      <c r="G42" s="425">
        <v>3</v>
      </c>
      <c r="H42" s="426">
        <v>0</v>
      </c>
      <c r="I42" s="426">
        <v>1</v>
      </c>
      <c r="J42" s="427">
        <v>3</v>
      </c>
      <c r="K42" s="425">
        <v>1</v>
      </c>
      <c r="L42" s="426">
        <v>3</v>
      </c>
      <c r="M42" s="426">
        <v>0</v>
      </c>
      <c r="N42" s="427">
        <v>0</v>
      </c>
      <c r="O42" s="425">
        <v>0</v>
      </c>
      <c r="P42" s="426">
        <v>0</v>
      </c>
      <c r="Q42" s="426">
        <v>0</v>
      </c>
      <c r="R42" s="427">
        <v>0</v>
      </c>
      <c r="S42" s="425">
        <v>0</v>
      </c>
      <c r="T42" s="426">
        <v>0</v>
      </c>
      <c r="U42" s="426">
        <v>0</v>
      </c>
      <c r="V42" s="427">
        <v>3</v>
      </c>
      <c r="W42" s="414">
        <f>SUM(C42:V42)</f>
        <v>14</v>
      </c>
      <c r="X42" s="428" t="str">
        <f ca="1">IF( INDIRECT("RC[-1]",0)=MAX(( INDIRECT("R[-1]C[-1]",0)):( INDIRECT("R[1]C[-1]",0))),"1","2")</f>
        <v>2</v>
      </c>
    </row>
    <row r="44" spans="1:24" x14ac:dyDescent="0.2">
      <c r="A44" s="429">
        <v>1</v>
      </c>
      <c r="B44" s="204" t="s">
        <v>160</v>
      </c>
      <c r="G44" s="429">
        <v>11</v>
      </c>
      <c r="H44" s="198" t="s">
        <v>164</v>
      </c>
      <c r="I44" s="680"/>
      <c r="J44" s="680"/>
      <c r="K44" s="680"/>
      <c r="L44" s="680"/>
      <c r="M44" s="680"/>
      <c r="N44" s="681"/>
    </row>
    <row r="45" spans="1:24" x14ac:dyDescent="0.2">
      <c r="A45" s="429">
        <v>2</v>
      </c>
      <c r="B45" s="433" t="s">
        <v>162</v>
      </c>
      <c r="C45" s="479"/>
      <c r="D45" s="479"/>
      <c r="E45" s="479"/>
      <c r="F45" s="479"/>
      <c r="G45" s="429">
        <v>12</v>
      </c>
      <c r="H45" s="433" t="s">
        <v>166</v>
      </c>
      <c r="I45" s="680"/>
      <c r="J45" s="680"/>
      <c r="K45" s="680"/>
      <c r="L45" s="680"/>
      <c r="M45" s="680"/>
      <c r="N45" s="681"/>
    </row>
    <row r="46" spans="1:24" x14ac:dyDescent="0.2">
      <c r="A46" s="429">
        <v>3</v>
      </c>
      <c r="B46" s="435" t="s">
        <v>153</v>
      </c>
      <c r="C46" s="479"/>
      <c r="D46" s="479"/>
      <c r="E46" s="479"/>
      <c r="F46" s="479"/>
      <c r="G46" s="429">
        <v>13</v>
      </c>
      <c r="H46" s="198" t="s">
        <v>159</v>
      </c>
      <c r="I46" s="680"/>
      <c r="J46" s="680"/>
      <c r="K46" s="680"/>
      <c r="L46" s="680"/>
      <c r="M46" s="680"/>
      <c r="N46" s="681"/>
    </row>
    <row r="47" spans="1:24" x14ac:dyDescent="0.2">
      <c r="A47" s="429">
        <v>4</v>
      </c>
      <c r="B47" s="434" t="s">
        <v>181</v>
      </c>
      <c r="C47" s="479"/>
      <c r="D47" s="479"/>
      <c r="E47" s="479"/>
      <c r="F47" s="479"/>
      <c r="G47" s="429">
        <v>14</v>
      </c>
      <c r="H47" s="198" t="s">
        <v>157</v>
      </c>
      <c r="I47" s="680"/>
      <c r="J47" s="680"/>
      <c r="K47" s="680"/>
      <c r="L47" s="680"/>
      <c r="M47" s="680"/>
      <c r="N47" s="681"/>
    </row>
    <row r="48" spans="1:24" x14ac:dyDescent="0.2">
      <c r="A48" s="429">
        <v>5</v>
      </c>
      <c r="B48" s="435" t="s">
        <v>177</v>
      </c>
      <c r="C48" s="479"/>
      <c r="D48" s="479"/>
      <c r="E48" s="479"/>
      <c r="F48" s="479"/>
      <c r="G48" s="479"/>
      <c r="H48" s="479"/>
      <c r="I48" s="479"/>
      <c r="J48" s="479"/>
    </row>
    <row r="49" spans="1:10" x14ac:dyDescent="0.2">
      <c r="A49" s="429">
        <v>6</v>
      </c>
      <c r="B49" s="435" t="s">
        <v>170</v>
      </c>
      <c r="C49" s="479"/>
      <c r="D49" s="479"/>
      <c r="E49" s="479"/>
      <c r="F49" s="479"/>
      <c r="G49" s="479"/>
      <c r="H49" s="479"/>
      <c r="I49" s="479"/>
      <c r="J49" s="479"/>
    </row>
    <row r="50" spans="1:10" x14ac:dyDescent="0.2">
      <c r="A50" s="429">
        <v>7</v>
      </c>
      <c r="B50" s="434" t="s">
        <v>174</v>
      </c>
      <c r="C50" s="479"/>
      <c r="D50" s="479"/>
      <c r="E50" s="479"/>
      <c r="F50" s="479"/>
      <c r="G50" s="479"/>
      <c r="H50" s="479"/>
      <c r="I50" s="479"/>
      <c r="J50" s="479"/>
    </row>
    <row r="51" spans="1:10" x14ac:dyDescent="0.2">
      <c r="A51" s="429">
        <v>8</v>
      </c>
      <c r="B51" s="198" t="s">
        <v>175</v>
      </c>
      <c r="C51" s="479"/>
      <c r="D51" s="479"/>
      <c r="E51" s="479"/>
      <c r="F51" s="479"/>
      <c r="G51" s="479"/>
      <c r="H51" s="479"/>
      <c r="I51" s="479"/>
      <c r="J51" s="479"/>
    </row>
    <row r="52" spans="1:10" x14ac:dyDescent="0.2">
      <c r="A52" s="429">
        <v>9</v>
      </c>
      <c r="B52" s="433" t="s">
        <v>158</v>
      </c>
      <c r="C52" s="479"/>
      <c r="D52" s="479"/>
      <c r="E52" s="479"/>
      <c r="F52" s="479"/>
      <c r="G52" s="479"/>
      <c r="H52" s="479"/>
      <c r="I52" s="479"/>
      <c r="J52" s="479"/>
    </row>
    <row r="53" spans="1:10" x14ac:dyDescent="0.2">
      <c r="A53" s="429">
        <v>10</v>
      </c>
      <c r="B53" s="433" t="s">
        <v>161</v>
      </c>
      <c r="C53" s="479"/>
      <c r="D53" s="479"/>
      <c r="E53" s="479"/>
      <c r="F53" s="479"/>
      <c r="G53" s="479"/>
      <c r="H53" s="479"/>
      <c r="I53" s="479"/>
      <c r="J53" s="479"/>
    </row>
    <row r="54" spans="1:10" x14ac:dyDescent="0.2">
      <c r="C54" s="479"/>
      <c r="D54" s="479"/>
      <c r="E54" s="479"/>
      <c r="F54" s="479"/>
      <c r="G54" s="479"/>
      <c r="H54" s="479"/>
      <c r="I54" s="479"/>
      <c r="J54" s="479"/>
    </row>
    <row r="55" spans="1:10" x14ac:dyDescent="0.2">
      <c r="C55" s="479"/>
      <c r="D55" s="479"/>
      <c r="E55" s="479"/>
      <c r="F55" s="479"/>
      <c r="G55" s="479"/>
      <c r="H55" s="479"/>
      <c r="I55" s="479"/>
      <c r="J55" s="479"/>
    </row>
    <row r="56" spans="1:10" x14ac:dyDescent="0.2">
      <c r="C56" s="479"/>
      <c r="D56" s="479"/>
      <c r="E56" s="479"/>
      <c r="F56" s="479"/>
      <c r="G56" s="479"/>
      <c r="H56" s="479"/>
      <c r="I56" s="479"/>
      <c r="J56" s="479"/>
    </row>
    <row r="57" spans="1:10" x14ac:dyDescent="0.2">
      <c r="C57" s="479"/>
      <c r="D57" s="479"/>
      <c r="E57" s="479"/>
      <c r="F57" s="479"/>
      <c r="G57" s="479"/>
      <c r="H57" s="479"/>
      <c r="I57" s="479"/>
      <c r="J57" s="479"/>
    </row>
  </sheetData>
  <conditionalFormatting sqref="W41:W42">
    <cfRule type="top10" dxfId="112" priority="12" rank="1"/>
  </conditionalFormatting>
  <conditionalFormatting sqref="W24:W25">
    <cfRule type="top10" dxfId="111" priority="19" rank="1"/>
  </conditionalFormatting>
  <conditionalFormatting sqref="W26:W27">
    <cfRule type="top10" dxfId="110" priority="18" rank="1"/>
  </conditionalFormatting>
  <conditionalFormatting sqref="W28:W29">
    <cfRule type="top10" dxfId="109" priority="17" rank="1"/>
  </conditionalFormatting>
  <conditionalFormatting sqref="W30:W31">
    <cfRule type="top10" dxfId="108" priority="16" rank="1"/>
  </conditionalFormatting>
  <conditionalFormatting sqref="W33:W34">
    <cfRule type="top10" dxfId="107" priority="15" rank="1"/>
  </conditionalFormatting>
  <conditionalFormatting sqref="W35:W36">
    <cfRule type="top10" dxfId="106" priority="14" rank="1"/>
  </conditionalFormatting>
  <conditionalFormatting sqref="W38:W39">
    <cfRule type="top10" dxfId="105" priority="13" rank="1"/>
  </conditionalFormatting>
  <conditionalFormatting sqref="B11">
    <cfRule type="duplicateValues" dxfId="104" priority="11" stopIfTrue="1"/>
  </conditionalFormatting>
  <conditionalFormatting sqref="B12">
    <cfRule type="duplicateValues" dxfId="103" priority="10" stopIfTrue="1"/>
  </conditionalFormatting>
  <conditionalFormatting sqref="B15">
    <cfRule type="duplicateValues" dxfId="102" priority="9" stopIfTrue="1"/>
  </conditionalFormatting>
  <conditionalFormatting sqref="B20">
    <cfRule type="duplicateValues" dxfId="101" priority="8" stopIfTrue="1"/>
  </conditionalFormatting>
  <conditionalFormatting sqref="B28">
    <cfRule type="duplicateValues" dxfId="100" priority="7" stopIfTrue="1"/>
  </conditionalFormatting>
  <conditionalFormatting sqref="B33">
    <cfRule type="duplicateValues" dxfId="99" priority="6" stopIfTrue="1"/>
  </conditionalFormatting>
  <conditionalFormatting sqref="B41">
    <cfRule type="duplicateValues" dxfId="98" priority="5" stopIfTrue="1"/>
  </conditionalFormatting>
  <conditionalFormatting sqref="B44">
    <cfRule type="duplicateValues" dxfId="97" priority="4" stopIfTrue="1"/>
  </conditionalFormatting>
  <conditionalFormatting sqref="H44">
    <cfRule type="duplicateValues" dxfId="96" priority="3" stopIfTrue="1"/>
  </conditionalFormatting>
  <conditionalFormatting sqref="H46">
    <cfRule type="duplicateValues" dxfId="95" priority="2" stopIfTrue="1"/>
  </conditionalFormatting>
  <conditionalFormatting sqref="H47">
    <cfRule type="duplicateValues" dxfId="94" priority="1" stopIfTrue="1"/>
  </conditionalFormatting>
  <conditionalFormatting sqref="W9:W42">
    <cfRule type="top10" dxfId="93" priority="37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zoomScaleNormal="100" workbookViewId="0">
      <pane ySplit="7" topLeftCell="A8" activePane="bottomLeft" state="frozen"/>
      <selection pane="bottomLeft" activeCell="W1" sqref="W1"/>
    </sheetView>
  </sheetViews>
  <sheetFormatPr defaultRowHeight="12.75" x14ac:dyDescent="0.2"/>
  <cols>
    <col min="1" max="1" width="3" style="379" customWidth="1"/>
    <col min="2" max="2" width="18.7109375" style="379" customWidth="1"/>
    <col min="3" max="22" width="2.85546875" style="379" customWidth="1"/>
    <col min="23" max="23" width="3" style="379" bestFit="1" customWidth="1"/>
    <col min="24" max="24" width="10.5703125" style="379" customWidth="1"/>
    <col min="25" max="16384" width="9.140625" style="379"/>
  </cols>
  <sheetData>
    <row r="1" spans="1:24" s="380" customFormat="1" x14ac:dyDescent="0.2">
      <c r="A1" s="58" t="str">
        <f>UPPER((Kalend!E22)&amp;" - "&amp;(Kalend!C22)&amp;" - "&amp;(Kalend!D22))</f>
        <v>T3 - TULISTAMISE NELJAPÄEVAK 3 - TULISTAMINE</v>
      </c>
      <c r="N1" s="239" t="str">
        <f>HYPERLINK("#'Kalend'!I1","Kalender")</f>
        <v>Kalender</v>
      </c>
      <c r="O1" s="59"/>
      <c r="Q1" s="59"/>
      <c r="R1" s="239" t="str">
        <f>HYPERLINK("#'Reit'!G1","Reiting")</f>
        <v>Reiting</v>
      </c>
      <c r="S1" s="59"/>
      <c r="U1" s="381"/>
    </row>
    <row r="2" spans="1:24" s="380" customFormat="1" x14ac:dyDescent="0.2">
      <c r="A2" s="59" t="str">
        <f>"Toimumisaeg: "&amp;(Kalend!A22)&amp;" kell "&amp;(Kalend!B22)</f>
        <v>Toimumisaeg: N, 02.07.2015 kell 18:00</v>
      </c>
    </row>
    <row r="3" spans="1:24" s="380" customFormat="1" x14ac:dyDescent="0.2">
      <c r="A3" s="59" t="str">
        <f>"Toimumiskoht: "&amp;(Kalend!F22)</f>
        <v>Toimumiskoht: K-Järve spordihoone</v>
      </c>
    </row>
    <row r="4" spans="1:24" s="380" customFormat="1" x14ac:dyDescent="0.2">
      <c r="A4" s="59" t="str">
        <f>"Korraldaja: "&amp;(Kalend!G22)</f>
        <v>Korraldaja: K-Järve SHK, Ivar Viljaste</v>
      </c>
    </row>
    <row r="5" spans="1:24" s="380" customFormat="1" ht="13.5" thickBot="1" x14ac:dyDescent="0.25"/>
    <row r="6" spans="1:24" ht="63.75" customHeight="1" thickBot="1" x14ac:dyDescent="0.25">
      <c r="A6" s="648"/>
      <c r="B6" s="658"/>
      <c r="C6" s="657"/>
      <c r="D6" s="657"/>
      <c r="E6" s="657"/>
      <c r="F6" s="657"/>
      <c r="G6" s="659"/>
      <c r="H6" s="657"/>
      <c r="I6" s="657"/>
      <c r="J6" s="660"/>
      <c r="K6" s="657"/>
      <c r="L6" s="657"/>
      <c r="M6" s="657"/>
      <c r="N6" s="657"/>
      <c r="O6" s="659"/>
      <c r="P6" s="657"/>
      <c r="Q6" s="657"/>
      <c r="R6" s="660"/>
      <c r="S6" s="657"/>
      <c r="T6" s="657"/>
      <c r="U6" s="657"/>
      <c r="V6" s="657"/>
      <c r="W6" s="661"/>
      <c r="X6" s="661"/>
    </row>
    <row r="7" spans="1:24" s="309" customFormat="1" ht="13.5" thickBot="1" x14ac:dyDescent="0.25">
      <c r="A7" s="668"/>
      <c r="B7" s="662"/>
      <c r="C7" s="663">
        <v>6</v>
      </c>
      <c r="D7" s="664">
        <v>7</v>
      </c>
      <c r="E7" s="664">
        <v>8</v>
      </c>
      <c r="F7" s="665">
        <v>9</v>
      </c>
      <c r="G7" s="663">
        <v>6</v>
      </c>
      <c r="H7" s="664">
        <v>7</v>
      </c>
      <c r="I7" s="664">
        <v>8</v>
      </c>
      <c r="J7" s="665">
        <v>9</v>
      </c>
      <c r="K7" s="663">
        <v>6</v>
      </c>
      <c r="L7" s="664">
        <v>7</v>
      </c>
      <c r="M7" s="664">
        <v>8</v>
      </c>
      <c r="N7" s="665">
        <v>9</v>
      </c>
      <c r="O7" s="663">
        <v>6</v>
      </c>
      <c r="P7" s="664">
        <v>7</v>
      </c>
      <c r="Q7" s="664">
        <v>8</v>
      </c>
      <c r="R7" s="665">
        <v>9</v>
      </c>
      <c r="S7" s="663">
        <v>6</v>
      </c>
      <c r="T7" s="664">
        <v>7</v>
      </c>
      <c r="U7" s="664">
        <v>8</v>
      </c>
      <c r="V7" s="665">
        <v>9</v>
      </c>
      <c r="W7" s="666" t="s">
        <v>148</v>
      </c>
      <c r="X7" s="667" t="s">
        <v>580</v>
      </c>
    </row>
    <row r="8" spans="1:24" s="290" customFormat="1" x14ac:dyDescent="0.2">
      <c r="A8" s="669"/>
      <c r="B8" s="656" t="s">
        <v>579</v>
      </c>
      <c r="C8" s="650"/>
      <c r="D8" s="651"/>
      <c r="E8" s="651"/>
      <c r="F8" s="652"/>
      <c r="G8" s="650"/>
      <c r="H8" s="651"/>
      <c r="I8" s="651"/>
      <c r="J8" s="652"/>
      <c r="K8" s="650"/>
      <c r="L8" s="651"/>
      <c r="M8" s="651"/>
      <c r="N8" s="652"/>
      <c r="O8" s="650"/>
      <c r="P8" s="651"/>
      <c r="Q8" s="651"/>
      <c r="R8" s="652"/>
      <c r="S8" s="650"/>
      <c r="T8" s="651"/>
      <c r="U8" s="651"/>
      <c r="V8" s="652"/>
      <c r="W8" s="669"/>
      <c r="X8" s="654"/>
    </row>
    <row r="9" spans="1:24" s="290" customFormat="1" x14ac:dyDescent="0.2">
      <c r="A9" s="389">
        <v>1</v>
      </c>
      <c r="B9" s="390" t="s">
        <v>158</v>
      </c>
      <c r="C9" s="391">
        <v>3</v>
      </c>
      <c r="D9" s="392">
        <v>0</v>
      </c>
      <c r="E9" s="392">
        <v>3</v>
      </c>
      <c r="F9" s="393">
        <v>0</v>
      </c>
      <c r="G9" s="391">
        <v>0</v>
      </c>
      <c r="H9" s="392">
        <v>0</v>
      </c>
      <c r="I9" s="392">
        <v>3</v>
      </c>
      <c r="J9" s="393">
        <v>0</v>
      </c>
      <c r="K9" s="391">
        <v>0</v>
      </c>
      <c r="L9" s="392">
        <v>0</v>
      </c>
      <c r="M9" s="392">
        <v>1</v>
      </c>
      <c r="N9" s="393">
        <v>0</v>
      </c>
      <c r="O9" s="391">
        <v>0</v>
      </c>
      <c r="P9" s="392">
        <v>0</v>
      </c>
      <c r="Q9" s="392">
        <v>0</v>
      </c>
      <c r="R9" s="393">
        <v>0</v>
      </c>
      <c r="S9" s="391">
        <v>0</v>
      </c>
      <c r="T9" s="392">
        <v>0</v>
      </c>
      <c r="U9" s="392">
        <v>3</v>
      </c>
      <c r="V9" s="393">
        <v>0</v>
      </c>
      <c r="W9" s="394">
        <f t="shared" ref="W9:W17" si="0">SUM(C9:V9)</f>
        <v>13</v>
      </c>
      <c r="X9" s="394" t="s">
        <v>428</v>
      </c>
    </row>
    <row r="10" spans="1:24" s="290" customFormat="1" x14ac:dyDescent="0.2">
      <c r="A10" s="389">
        <v>2</v>
      </c>
      <c r="B10" s="396" t="s">
        <v>169</v>
      </c>
      <c r="C10" s="391">
        <v>0</v>
      </c>
      <c r="D10" s="392">
        <v>3</v>
      </c>
      <c r="E10" s="392">
        <v>0</v>
      </c>
      <c r="F10" s="393">
        <v>0</v>
      </c>
      <c r="G10" s="391">
        <v>0</v>
      </c>
      <c r="H10" s="392">
        <v>0</v>
      </c>
      <c r="I10" s="392">
        <v>0</v>
      </c>
      <c r="J10" s="393">
        <v>0</v>
      </c>
      <c r="K10" s="391">
        <v>1</v>
      </c>
      <c r="L10" s="392">
        <v>0</v>
      </c>
      <c r="M10" s="392">
        <v>0</v>
      </c>
      <c r="N10" s="393">
        <v>0</v>
      </c>
      <c r="O10" s="391">
        <v>0</v>
      </c>
      <c r="P10" s="392">
        <v>0</v>
      </c>
      <c r="Q10" s="392">
        <v>0</v>
      </c>
      <c r="R10" s="393">
        <v>0</v>
      </c>
      <c r="S10" s="391">
        <v>0</v>
      </c>
      <c r="T10" s="392">
        <v>0</v>
      </c>
      <c r="U10" s="392">
        <v>0</v>
      </c>
      <c r="V10" s="393">
        <v>0</v>
      </c>
      <c r="W10" s="394">
        <f t="shared" si="0"/>
        <v>4</v>
      </c>
      <c r="X10" s="395">
        <v>9</v>
      </c>
    </row>
    <row r="11" spans="1:24" s="290" customFormat="1" x14ac:dyDescent="0.2">
      <c r="A11" s="384">
        <v>3</v>
      </c>
      <c r="B11" s="397" t="s">
        <v>160</v>
      </c>
      <c r="C11" s="398">
        <v>5</v>
      </c>
      <c r="D11" s="399">
        <v>3</v>
      </c>
      <c r="E11" s="399">
        <v>5</v>
      </c>
      <c r="F11" s="400">
        <v>0</v>
      </c>
      <c r="G11" s="398">
        <v>1</v>
      </c>
      <c r="H11" s="399">
        <v>0</v>
      </c>
      <c r="I11" s="399">
        <v>3</v>
      </c>
      <c r="J11" s="400">
        <v>0</v>
      </c>
      <c r="K11" s="398">
        <v>1</v>
      </c>
      <c r="L11" s="399">
        <v>1</v>
      </c>
      <c r="M11" s="399">
        <v>0</v>
      </c>
      <c r="N11" s="400">
        <v>1</v>
      </c>
      <c r="O11" s="398">
        <v>0</v>
      </c>
      <c r="P11" s="399">
        <v>3</v>
      </c>
      <c r="Q11" s="399">
        <v>0</v>
      </c>
      <c r="R11" s="400">
        <v>0</v>
      </c>
      <c r="S11" s="398">
        <v>5</v>
      </c>
      <c r="T11" s="399">
        <v>5</v>
      </c>
      <c r="U11" s="399">
        <v>0</v>
      </c>
      <c r="V11" s="400">
        <v>3</v>
      </c>
      <c r="W11" s="401">
        <f t="shared" si="0"/>
        <v>36</v>
      </c>
      <c r="X11" s="401" t="s">
        <v>422</v>
      </c>
    </row>
    <row r="12" spans="1:24" s="290" customFormat="1" x14ac:dyDescent="0.2">
      <c r="A12" s="384">
        <v>4</v>
      </c>
      <c r="B12" s="397" t="s">
        <v>153</v>
      </c>
      <c r="C12" s="398">
        <v>3</v>
      </c>
      <c r="D12" s="399">
        <v>0</v>
      </c>
      <c r="E12" s="399">
        <v>0</v>
      </c>
      <c r="F12" s="400">
        <v>0</v>
      </c>
      <c r="G12" s="398">
        <v>5</v>
      </c>
      <c r="H12" s="399">
        <v>0</v>
      </c>
      <c r="I12" s="399">
        <v>3</v>
      </c>
      <c r="J12" s="400">
        <v>0</v>
      </c>
      <c r="K12" s="398">
        <v>0</v>
      </c>
      <c r="L12" s="399">
        <v>0</v>
      </c>
      <c r="M12" s="399">
        <v>0</v>
      </c>
      <c r="N12" s="400">
        <v>0</v>
      </c>
      <c r="O12" s="398">
        <v>3</v>
      </c>
      <c r="P12" s="399">
        <v>0</v>
      </c>
      <c r="Q12" s="399">
        <v>0</v>
      </c>
      <c r="R12" s="400">
        <v>0</v>
      </c>
      <c r="S12" s="398">
        <v>0</v>
      </c>
      <c r="T12" s="399">
        <v>0</v>
      </c>
      <c r="U12" s="399">
        <v>0</v>
      </c>
      <c r="V12" s="400">
        <v>0</v>
      </c>
      <c r="W12" s="401">
        <f t="shared" si="0"/>
        <v>14</v>
      </c>
      <c r="X12" s="401" t="s">
        <v>425</v>
      </c>
    </row>
    <row r="13" spans="1:24" s="290" customFormat="1" x14ac:dyDescent="0.2">
      <c r="A13" s="389">
        <v>5</v>
      </c>
      <c r="B13" s="396" t="s">
        <v>165</v>
      </c>
      <c r="C13" s="391">
        <v>0</v>
      </c>
      <c r="D13" s="392">
        <v>0</v>
      </c>
      <c r="E13" s="392">
        <v>0</v>
      </c>
      <c r="F13" s="393">
        <v>0</v>
      </c>
      <c r="G13" s="391">
        <v>5</v>
      </c>
      <c r="H13" s="392">
        <v>0</v>
      </c>
      <c r="I13" s="392">
        <v>0</v>
      </c>
      <c r="J13" s="393">
        <v>0</v>
      </c>
      <c r="K13" s="391">
        <v>1</v>
      </c>
      <c r="L13" s="392">
        <v>0</v>
      </c>
      <c r="M13" s="392">
        <v>0</v>
      </c>
      <c r="N13" s="393">
        <v>1</v>
      </c>
      <c r="O13" s="391">
        <v>3</v>
      </c>
      <c r="P13" s="392">
        <v>0</v>
      </c>
      <c r="Q13" s="392">
        <v>0</v>
      </c>
      <c r="R13" s="393">
        <v>0</v>
      </c>
      <c r="S13" s="391">
        <v>0</v>
      </c>
      <c r="T13" s="392">
        <v>0</v>
      </c>
      <c r="U13" s="392">
        <v>0</v>
      </c>
      <c r="V13" s="393">
        <v>0</v>
      </c>
      <c r="W13" s="394">
        <f t="shared" si="0"/>
        <v>10</v>
      </c>
      <c r="X13" s="394" t="s">
        <v>424</v>
      </c>
    </row>
    <row r="14" spans="1:24" s="290" customFormat="1" x14ac:dyDescent="0.2">
      <c r="A14" s="389">
        <v>6</v>
      </c>
      <c r="B14" s="390" t="s">
        <v>157</v>
      </c>
      <c r="C14" s="391">
        <v>0</v>
      </c>
      <c r="D14" s="392">
        <v>0</v>
      </c>
      <c r="E14" s="392">
        <v>1</v>
      </c>
      <c r="F14" s="393">
        <v>3</v>
      </c>
      <c r="G14" s="391">
        <v>0</v>
      </c>
      <c r="H14" s="392">
        <v>0</v>
      </c>
      <c r="I14" s="392">
        <v>0</v>
      </c>
      <c r="J14" s="393">
        <v>1</v>
      </c>
      <c r="K14" s="391">
        <v>1</v>
      </c>
      <c r="L14" s="392">
        <v>0</v>
      </c>
      <c r="M14" s="392">
        <v>0</v>
      </c>
      <c r="N14" s="393">
        <v>1</v>
      </c>
      <c r="O14" s="391">
        <v>0</v>
      </c>
      <c r="P14" s="392">
        <v>0</v>
      </c>
      <c r="Q14" s="392">
        <v>0</v>
      </c>
      <c r="R14" s="393">
        <v>0</v>
      </c>
      <c r="S14" s="391">
        <v>0</v>
      </c>
      <c r="T14" s="392">
        <v>0</v>
      </c>
      <c r="U14" s="392">
        <v>0</v>
      </c>
      <c r="V14" s="393">
        <v>0</v>
      </c>
      <c r="W14" s="394">
        <f t="shared" si="0"/>
        <v>7</v>
      </c>
      <c r="X14" s="394" t="s">
        <v>423</v>
      </c>
    </row>
    <row r="15" spans="1:24" s="290" customFormat="1" x14ac:dyDescent="0.2">
      <c r="A15" s="384">
        <v>7</v>
      </c>
      <c r="B15" s="484" t="s">
        <v>162</v>
      </c>
      <c r="C15" s="398">
        <v>5</v>
      </c>
      <c r="D15" s="399">
        <v>3</v>
      </c>
      <c r="E15" s="399">
        <v>3</v>
      </c>
      <c r="F15" s="400">
        <v>0</v>
      </c>
      <c r="G15" s="398">
        <v>0</v>
      </c>
      <c r="H15" s="399">
        <v>3</v>
      </c>
      <c r="I15" s="399">
        <v>3</v>
      </c>
      <c r="J15" s="400">
        <v>0</v>
      </c>
      <c r="K15" s="398">
        <v>1</v>
      </c>
      <c r="L15" s="399">
        <v>0</v>
      </c>
      <c r="M15" s="399">
        <v>0</v>
      </c>
      <c r="N15" s="400">
        <v>0</v>
      </c>
      <c r="O15" s="398">
        <v>0</v>
      </c>
      <c r="P15" s="399">
        <v>0</v>
      </c>
      <c r="Q15" s="399">
        <v>0</v>
      </c>
      <c r="R15" s="400">
        <v>0</v>
      </c>
      <c r="S15" s="398">
        <v>5</v>
      </c>
      <c r="T15" s="399">
        <v>0</v>
      </c>
      <c r="U15" s="399">
        <v>0</v>
      </c>
      <c r="V15" s="400">
        <v>0</v>
      </c>
      <c r="W15" s="401">
        <f t="shared" si="0"/>
        <v>23</v>
      </c>
      <c r="X15" s="401" t="s">
        <v>427</v>
      </c>
    </row>
    <row r="16" spans="1:24" s="290" customFormat="1" x14ac:dyDescent="0.2">
      <c r="A16" s="384">
        <v>8</v>
      </c>
      <c r="B16" s="397" t="s">
        <v>181</v>
      </c>
      <c r="C16" s="398">
        <v>0</v>
      </c>
      <c r="D16" s="399">
        <v>0</v>
      </c>
      <c r="E16" s="399">
        <v>0</v>
      </c>
      <c r="F16" s="400">
        <v>0</v>
      </c>
      <c r="G16" s="398">
        <v>3</v>
      </c>
      <c r="H16" s="399">
        <v>0</v>
      </c>
      <c r="I16" s="399">
        <v>0</v>
      </c>
      <c r="J16" s="400">
        <v>5</v>
      </c>
      <c r="K16" s="398">
        <v>3</v>
      </c>
      <c r="L16" s="399">
        <v>0</v>
      </c>
      <c r="M16" s="399">
        <v>1</v>
      </c>
      <c r="N16" s="400">
        <v>0</v>
      </c>
      <c r="O16" s="398">
        <v>3</v>
      </c>
      <c r="P16" s="399">
        <v>3</v>
      </c>
      <c r="Q16" s="399">
        <v>0</v>
      </c>
      <c r="R16" s="400">
        <v>0</v>
      </c>
      <c r="S16" s="398">
        <v>0</v>
      </c>
      <c r="T16" s="399">
        <v>0</v>
      </c>
      <c r="U16" s="399">
        <v>0</v>
      </c>
      <c r="V16" s="400">
        <v>0</v>
      </c>
      <c r="W16" s="401">
        <f t="shared" si="0"/>
        <v>18</v>
      </c>
      <c r="X16" s="401" t="s">
        <v>426</v>
      </c>
    </row>
    <row r="17" spans="1:24" s="290" customFormat="1" ht="13.5" thickBot="1" x14ac:dyDescent="0.25">
      <c r="A17" s="481">
        <v>9</v>
      </c>
      <c r="B17" s="471" t="s">
        <v>164</v>
      </c>
      <c r="C17" s="472">
        <v>0</v>
      </c>
      <c r="D17" s="473">
        <v>0</v>
      </c>
      <c r="E17" s="473">
        <v>0</v>
      </c>
      <c r="F17" s="474">
        <v>0</v>
      </c>
      <c r="G17" s="472">
        <v>0</v>
      </c>
      <c r="H17" s="473">
        <v>0</v>
      </c>
      <c r="I17" s="473">
        <v>0</v>
      </c>
      <c r="J17" s="474">
        <v>3</v>
      </c>
      <c r="K17" s="472">
        <v>1</v>
      </c>
      <c r="L17" s="473">
        <v>1</v>
      </c>
      <c r="M17" s="473">
        <v>0</v>
      </c>
      <c r="N17" s="474">
        <v>0</v>
      </c>
      <c r="O17" s="472">
        <v>0</v>
      </c>
      <c r="P17" s="473">
        <v>0</v>
      </c>
      <c r="Q17" s="473">
        <v>0</v>
      </c>
      <c r="R17" s="474">
        <v>0</v>
      </c>
      <c r="S17" s="472">
        <v>0</v>
      </c>
      <c r="T17" s="473">
        <v>0</v>
      </c>
      <c r="U17" s="473">
        <v>0</v>
      </c>
      <c r="V17" s="474">
        <v>0</v>
      </c>
      <c r="W17" s="475">
        <f t="shared" si="0"/>
        <v>5</v>
      </c>
      <c r="X17" s="475" t="s">
        <v>421</v>
      </c>
    </row>
    <row r="18" spans="1:24" x14ac:dyDescent="0.2">
      <c r="A18" s="416"/>
      <c r="B18" s="385" t="s">
        <v>429</v>
      </c>
      <c r="C18" s="386"/>
      <c r="D18" s="320"/>
      <c r="E18" s="320"/>
      <c r="F18" s="387"/>
      <c r="G18" s="386"/>
      <c r="H18" s="320"/>
      <c r="I18" s="320"/>
      <c r="J18" s="387"/>
      <c r="K18" s="386"/>
      <c r="L18" s="320"/>
      <c r="M18" s="320"/>
      <c r="N18" s="387"/>
      <c r="O18" s="386"/>
      <c r="P18" s="320"/>
      <c r="Q18" s="320"/>
      <c r="R18" s="387"/>
      <c r="S18" s="386"/>
      <c r="T18" s="320"/>
      <c r="U18" s="320"/>
      <c r="V18" s="387"/>
      <c r="W18" s="388"/>
      <c r="X18" s="388"/>
    </row>
    <row r="19" spans="1:24" x14ac:dyDescent="0.2">
      <c r="A19" s="670">
        <v>4</v>
      </c>
      <c r="B19" s="390" t="s">
        <v>153</v>
      </c>
      <c r="C19" s="672">
        <v>3</v>
      </c>
      <c r="D19" s="673">
        <v>5</v>
      </c>
      <c r="E19" s="673">
        <v>0</v>
      </c>
      <c r="F19" s="674">
        <v>3</v>
      </c>
      <c r="G19" s="672">
        <v>0</v>
      </c>
      <c r="H19" s="673">
        <v>0</v>
      </c>
      <c r="I19" s="673">
        <v>3</v>
      </c>
      <c r="J19" s="674">
        <v>0</v>
      </c>
      <c r="K19" s="672">
        <v>1</v>
      </c>
      <c r="L19" s="673">
        <v>1</v>
      </c>
      <c r="M19" s="673">
        <v>0</v>
      </c>
      <c r="N19" s="674">
        <v>0</v>
      </c>
      <c r="O19" s="672">
        <v>0</v>
      </c>
      <c r="P19" s="673">
        <v>0</v>
      </c>
      <c r="Q19" s="673">
        <v>0</v>
      </c>
      <c r="R19" s="674">
        <v>0</v>
      </c>
      <c r="S19" s="672">
        <v>0</v>
      </c>
      <c r="T19" s="673">
        <v>0</v>
      </c>
      <c r="U19" s="673">
        <v>3</v>
      </c>
      <c r="V19" s="674">
        <v>5</v>
      </c>
      <c r="W19" s="394">
        <f t="shared" ref="W19:W26" si="1">SUM(C19:V19)</f>
        <v>24</v>
      </c>
      <c r="X19" s="676" t="s">
        <v>422</v>
      </c>
    </row>
    <row r="20" spans="1:24" x14ac:dyDescent="0.2">
      <c r="A20" s="670">
        <v>5</v>
      </c>
      <c r="B20" s="677" t="s">
        <v>158</v>
      </c>
      <c r="C20" s="672">
        <v>3</v>
      </c>
      <c r="D20" s="673">
        <v>0</v>
      </c>
      <c r="E20" s="673">
        <v>0</v>
      </c>
      <c r="F20" s="674">
        <v>0</v>
      </c>
      <c r="G20" s="672">
        <v>1</v>
      </c>
      <c r="H20" s="673">
        <v>3</v>
      </c>
      <c r="I20" s="673">
        <v>3</v>
      </c>
      <c r="J20" s="674">
        <v>0</v>
      </c>
      <c r="K20" s="672">
        <v>1</v>
      </c>
      <c r="L20" s="673">
        <v>0</v>
      </c>
      <c r="M20" s="673">
        <v>0</v>
      </c>
      <c r="N20" s="674">
        <v>0</v>
      </c>
      <c r="O20" s="672">
        <v>3</v>
      </c>
      <c r="P20" s="673">
        <v>0</v>
      </c>
      <c r="Q20" s="673">
        <v>0</v>
      </c>
      <c r="R20" s="674">
        <v>0</v>
      </c>
      <c r="S20" s="672">
        <v>0</v>
      </c>
      <c r="T20" s="673">
        <v>0</v>
      </c>
      <c r="U20" s="673">
        <v>0</v>
      </c>
      <c r="V20" s="674">
        <v>0</v>
      </c>
      <c r="W20" s="394">
        <f t="shared" si="1"/>
        <v>14</v>
      </c>
      <c r="X20" s="675">
        <v>6</v>
      </c>
    </row>
    <row r="21" spans="1:24" x14ac:dyDescent="0.2">
      <c r="A21" s="416">
        <v>3</v>
      </c>
      <c r="B21" s="397" t="s">
        <v>181</v>
      </c>
      <c r="C21" s="386">
        <v>5</v>
      </c>
      <c r="D21" s="320">
        <v>0</v>
      </c>
      <c r="E21" s="320">
        <v>0</v>
      </c>
      <c r="F21" s="387">
        <v>3</v>
      </c>
      <c r="G21" s="386">
        <v>0</v>
      </c>
      <c r="H21" s="320">
        <v>0</v>
      </c>
      <c r="I21" s="320">
        <v>3</v>
      </c>
      <c r="J21" s="387">
        <v>0</v>
      </c>
      <c r="K21" s="386">
        <v>1</v>
      </c>
      <c r="L21" s="320">
        <v>0</v>
      </c>
      <c r="M21" s="320">
        <v>0</v>
      </c>
      <c r="N21" s="387">
        <v>0</v>
      </c>
      <c r="O21" s="386">
        <v>0</v>
      </c>
      <c r="P21" s="320">
        <v>0</v>
      </c>
      <c r="Q21" s="320">
        <v>1</v>
      </c>
      <c r="R21" s="387">
        <v>0</v>
      </c>
      <c r="S21" s="386">
        <v>0</v>
      </c>
      <c r="T21" s="320">
        <v>0</v>
      </c>
      <c r="U21" s="320">
        <v>0</v>
      </c>
      <c r="V21" s="387">
        <v>0</v>
      </c>
      <c r="W21" s="401">
        <f t="shared" si="1"/>
        <v>13</v>
      </c>
      <c r="X21" s="476" t="s">
        <v>425</v>
      </c>
    </row>
    <row r="22" spans="1:24" x14ac:dyDescent="0.2">
      <c r="A22" s="416">
        <v>6</v>
      </c>
      <c r="B22" s="418" t="s">
        <v>165</v>
      </c>
      <c r="C22" s="386">
        <v>1</v>
      </c>
      <c r="D22" s="320">
        <v>0</v>
      </c>
      <c r="E22" s="320">
        <v>0</v>
      </c>
      <c r="F22" s="387">
        <v>0</v>
      </c>
      <c r="G22" s="386">
        <v>0</v>
      </c>
      <c r="H22" s="320">
        <v>0</v>
      </c>
      <c r="I22" s="320">
        <v>0</v>
      </c>
      <c r="J22" s="387">
        <v>0</v>
      </c>
      <c r="K22" s="386">
        <v>0</v>
      </c>
      <c r="L22" s="320">
        <v>0</v>
      </c>
      <c r="M22" s="320">
        <v>0</v>
      </c>
      <c r="N22" s="387">
        <v>0</v>
      </c>
      <c r="O22" s="386">
        <v>0</v>
      </c>
      <c r="P22" s="320">
        <v>0</v>
      </c>
      <c r="Q22" s="320">
        <v>0</v>
      </c>
      <c r="R22" s="387">
        <v>0</v>
      </c>
      <c r="S22" s="386">
        <v>5</v>
      </c>
      <c r="T22" s="320">
        <v>0</v>
      </c>
      <c r="U22" s="320">
        <v>0</v>
      </c>
      <c r="V22" s="387">
        <v>0</v>
      </c>
      <c r="W22" s="401">
        <f t="shared" si="1"/>
        <v>6</v>
      </c>
      <c r="X22" s="383">
        <v>7</v>
      </c>
    </row>
    <row r="23" spans="1:24" x14ac:dyDescent="0.2">
      <c r="A23" s="670">
        <v>2</v>
      </c>
      <c r="B23" s="671" t="s">
        <v>162</v>
      </c>
      <c r="C23" s="672">
        <v>3</v>
      </c>
      <c r="D23" s="673">
        <v>1</v>
      </c>
      <c r="E23" s="673">
        <v>0</v>
      </c>
      <c r="F23" s="674">
        <v>0</v>
      </c>
      <c r="G23" s="672">
        <v>3</v>
      </c>
      <c r="H23" s="673">
        <v>0</v>
      </c>
      <c r="I23" s="673">
        <v>0</v>
      </c>
      <c r="J23" s="674">
        <v>0</v>
      </c>
      <c r="K23" s="672">
        <v>5</v>
      </c>
      <c r="L23" s="673">
        <v>0</v>
      </c>
      <c r="M23" s="673">
        <v>0</v>
      </c>
      <c r="N23" s="674">
        <v>0</v>
      </c>
      <c r="O23" s="672">
        <v>0</v>
      </c>
      <c r="P23" s="673">
        <v>1</v>
      </c>
      <c r="Q23" s="673">
        <v>0</v>
      </c>
      <c r="R23" s="674">
        <v>0</v>
      </c>
      <c r="S23" s="672">
        <v>5</v>
      </c>
      <c r="T23" s="673">
        <v>0</v>
      </c>
      <c r="U23" s="673">
        <v>0</v>
      </c>
      <c r="V23" s="674">
        <v>0</v>
      </c>
      <c r="W23" s="394">
        <f t="shared" si="1"/>
        <v>18</v>
      </c>
      <c r="X23" s="676" t="s">
        <v>426</v>
      </c>
    </row>
    <row r="24" spans="1:24" x14ac:dyDescent="0.2">
      <c r="A24" s="670">
        <v>7</v>
      </c>
      <c r="B24" s="677" t="s">
        <v>157</v>
      </c>
      <c r="C24" s="672">
        <v>0</v>
      </c>
      <c r="D24" s="673">
        <v>0</v>
      </c>
      <c r="E24" s="673">
        <v>0</v>
      </c>
      <c r="F24" s="674">
        <v>0</v>
      </c>
      <c r="G24" s="672">
        <v>3</v>
      </c>
      <c r="H24" s="673">
        <v>0</v>
      </c>
      <c r="I24" s="673">
        <v>0</v>
      </c>
      <c r="J24" s="674">
        <v>0</v>
      </c>
      <c r="K24" s="672">
        <v>0</v>
      </c>
      <c r="L24" s="673">
        <v>1</v>
      </c>
      <c r="M24" s="673">
        <v>0</v>
      </c>
      <c r="N24" s="674">
        <v>0</v>
      </c>
      <c r="O24" s="672">
        <v>0</v>
      </c>
      <c r="P24" s="673">
        <v>0</v>
      </c>
      <c r="Q24" s="673">
        <v>0</v>
      </c>
      <c r="R24" s="674">
        <v>0</v>
      </c>
      <c r="S24" s="672">
        <v>0</v>
      </c>
      <c r="T24" s="673">
        <v>0</v>
      </c>
      <c r="U24" s="673">
        <v>0</v>
      </c>
      <c r="V24" s="674">
        <v>0</v>
      </c>
      <c r="W24" s="394">
        <f t="shared" si="1"/>
        <v>4</v>
      </c>
      <c r="X24" s="675">
        <v>8</v>
      </c>
    </row>
    <row r="25" spans="1:24" x14ac:dyDescent="0.2">
      <c r="A25" s="416">
        <v>1</v>
      </c>
      <c r="B25" s="417" t="s">
        <v>160</v>
      </c>
      <c r="C25" s="386">
        <v>0</v>
      </c>
      <c r="D25" s="320">
        <v>0</v>
      </c>
      <c r="E25" s="320">
        <v>3</v>
      </c>
      <c r="F25" s="387">
        <v>3</v>
      </c>
      <c r="G25" s="386">
        <v>0</v>
      </c>
      <c r="H25" s="320">
        <v>0</v>
      </c>
      <c r="I25" s="320">
        <v>1</v>
      </c>
      <c r="J25" s="387">
        <v>3</v>
      </c>
      <c r="K25" s="386">
        <v>0</v>
      </c>
      <c r="L25" s="320">
        <v>3</v>
      </c>
      <c r="M25" s="320">
        <v>0</v>
      </c>
      <c r="N25" s="387">
        <v>1</v>
      </c>
      <c r="O25" s="386">
        <v>0</v>
      </c>
      <c r="P25" s="320">
        <v>0</v>
      </c>
      <c r="Q25" s="320">
        <v>1</v>
      </c>
      <c r="R25" s="387">
        <v>0</v>
      </c>
      <c r="S25" s="386">
        <v>5</v>
      </c>
      <c r="T25" s="320">
        <v>0</v>
      </c>
      <c r="U25" s="320">
        <v>0</v>
      </c>
      <c r="V25" s="387">
        <v>0</v>
      </c>
      <c r="W25" s="401">
        <f t="shared" si="1"/>
        <v>20</v>
      </c>
      <c r="X25" s="388" t="s">
        <v>427</v>
      </c>
    </row>
    <row r="26" spans="1:24" ht="13.5" thickBot="1" x14ac:dyDescent="0.25">
      <c r="A26" s="423">
        <v>8</v>
      </c>
      <c r="B26" s="646" t="s">
        <v>164</v>
      </c>
      <c r="C26" s="425">
        <v>0</v>
      </c>
      <c r="D26" s="426">
        <v>3</v>
      </c>
      <c r="E26" s="426">
        <v>5</v>
      </c>
      <c r="F26" s="427">
        <v>0</v>
      </c>
      <c r="G26" s="425">
        <v>0</v>
      </c>
      <c r="H26" s="426">
        <v>0</v>
      </c>
      <c r="I26" s="426">
        <v>0</v>
      </c>
      <c r="J26" s="427">
        <v>0</v>
      </c>
      <c r="K26" s="425">
        <v>5</v>
      </c>
      <c r="L26" s="426">
        <v>0</v>
      </c>
      <c r="M26" s="426">
        <v>0</v>
      </c>
      <c r="N26" s="427">
        <v>1</v>
      </c>
      <c r="O26" s="425">
        <v>0</v>
      </c>
      <c r="P26" s="426">
        <v>0</v>
      </c>
      <c r="Q26" s="426">
        <v>0</v>
      </c>
      <c r="R26" s="427">
        <v>0</v>
      </c>
      <c r="S26" s="425">
        <v>0</v>
      </c>
      <c r="T26" s="426">
        <v>0</v>
      </c>
      <c r="U26" s="426">
        <v>0</v>
      </c>
      <c r="V26" s="427">
        <v>0</v>
      </c>
      <c r="W26" s="414">
        <f t="shared" si="1"/>
        <v>14</v>
      </c>
      <c r="X26" s="428">
        <v>5</v>
      </c>
    </row>
    <row r="27" spans="1:24" x14ac:dyDescent="0.2">
      <c r="A27" s="382"/>
      <c r="B27" s="656" t="s">
        <v>430</v>
      </c>
      <c r="C27" s="650"/>
      <c r="D27" s="651"/>
      <c r="E27" s="651"/>
      <c r="F27" s="652"/>
      <c r="G27" s="650"/>
      <c r="H27" s="651"/>
      <c r="I27" s="651"/>
      <c r="J27" s="652"/>
      <c r="K27" s="650"/>
      <c r="L27" s="651"/>
      <c r="M27" s="651"/>
      <c r="N27" s="652"/>
      <c r="O27" s="650"/>
      <c r="P27" s="651"/>
      <c r="Q27" s="651"/>
      <c r="R27" s="652"/>
      <c r="S27" s="650"/>
      <c r="T27" s="651"/>
      <c r="U27" s="651"/>
      <c r="V27" s="652"/>
      <c r="W27" s="654"/>
      <c r="X27" s="654"/>
    </row>
    <row r="28" spans="1:24" x14ac:dyDescent="0.2">
      <c r="A28" s="670">
        <v>3</v>
      </c>
      <c r="B28" s="671" t="s">
        <v>162</v>
      </c>
      <c r="C28" s="672">
        <v>5</v>
      </c>
      <c r="D28" s="673">
        <v>3</v>
      </c>
      <c r="E28" s="673">
        <v>0</v>
      </c>
      <c r="F28" s="674">
        <v>0</v>
      </c>
      <c r="G28" s="672">
        <v>0</v>
      </c>
      <c r="H28" s="673">
        <v>0</v>
      </c>
      <c r="I28" s="673">
        <v>0</v>
      </c>
      <c r="J28" s="674">
        <v>0</v>
      </c>
      <c r="K28" s="672">
        <v>1</v>
      </c>
      <c r="L28" s="673">
        <v>0</v>
      </c>
      <c r="M28" s="673">
        <v>0</v>
      </c>
      <c r="N28" s="674">
        <v>0</v>
      </c>
      <c r="O28" s="672">
        <v>0</v>
      </c>
      <c r="P28" s="673">
        <v>0</v>
      </c>
      <c r="Q28" s="673">
        <v>0</v>
      </c>
      <c r="R28" s="674">
        <v>0</v>
      </c>
      <c r="S28" s="672">
        <v>0</v>
      </c>
      <c r="T28" s="673">
        <v>0</v>
      </c>
      <c r="U28" s="673">
        <v>0</v>
      </c>
      <c r="V28" s="674">
        <v>0</v>
      </c>
      <c r="W28" s="394">
        <f>SUM(C28:V28)</f>
        <v>9</v>
      </c>
      <c r="X28" s="676" t="str">
        <f ca="1">IF( INDIRECT("RC[-1]",0)=MAX(( INDIRECT("R[-1]C[-1]",0)):( INDIRECT("R[1]C[-1]",0))),"finaali","pronksi")</f>
        <v>pronksi</v>
      </c>
    </row>
    <row r="29" spans="1:24" x14ac:dyDescent="0.2">
      <c r="A29" s="670">
        <v>2</v>
      </c>
      <c r="B29" s="677" t="s">
        <v>160</v>
      </c>
      <c r="C29" s="672">
        <v>0</v>
      </c>
      <c r="D29" s="673">
        <v>0</v>
      </c>
      <c r="E29" s="673">
        <v>3</v>
      </c>
      <c r="F29" s="674">
        <v>0</v>
      </c>
      <c r="G29" s="672">
        <v>3</v>
      </c>
      <c r="H29" s="673">
        <v>0</v>
      </c>
      <c r="I29" s="673">
        <v>3</v>
      </c>
      <c r="J29" s="674">
        <v>3</v>
      </c>
      <c r="K29" s="672">
        <v>1</v>
      </c>
      <c r="L29" s="673">
        <v>3</v>
      </c>
      <c r="M29" s="673">
        <v>0</v>
      </c>
      <c r="N29" s="674">
        <v>1</v>
      </c>
      <c r="O29" s="672">
        <v>0</v>
      </c>
      <c r="P29" s="673">
        <v>3</v>
      </c>
      <c r="Q29" s="673">
        <v>5</v>
      </c>
      <c r="R29" s="674">
        <v>0</v>
      </c>
      <c r="S29" s="672">
        <v>5</v>
      </c>
      <c r="T29" s="673">
        <v>0</v>
      </c>
      <c r="U29" s="673">
        <v>0</v>
      </c>
      <c r="V29" s="674">
        <v>5</v>
      </c>
      <c r="W29" s="394">
        <f>SUM(C29:V29)</f>
        <v>35</v>
      </c>
      <c r="X29" s="676" t="str">
        <f ca="1">IF( INDIRECT("RC[-1]",0)=MAX(( INDIRECT("R[-1]C[-1]",0)):( INDIRECT("R[1]C[-1]",0))),"finaali","pronksi")</f>
        <v>finaali</v>
      </c>
    </row>
    <row r="30" spans="1:24" x14ac:dyDescent="0.2">
      <c r="A30" s="416">
        <v>1</v>
      </c>
      <c r="B30" s="397" t="s">
        <v>153</v>
      </c>
      <c r="C30" s="386">
        <v>3</v>
      </c>
      <c r="D30" s="320">
        <v>0</v>
      </c>
      <c r="E30" s="320">
        <v>3</v>
      </c>
      <c r="F30" s="387">
        <v>0</v>
      </c>
      <c r="G30" s="386">
        <v>0</v>
      </c>
      <c r="H30" s="320">
        <v>0</v>
      </c>
      <c r="I30" s="320">
        <v>0</v>
      </c>
      <c r="J30" s="387">
        <v>0</v>
      </c>
      <c r="K30" s="386">
        <v>1</v>
      </c>
      <c r="L30" s="320">
        <v>0</v>
      </c>
      <c r="M30" s="320">
        <v>1</v>
      </c>
      <c r="N30" s="387">
        <v>0</v>
      </c>
      <c r="O30" s="386">
        <v>0</v>
      </c>
      <c r="P30" s="320">
        <v>3</v>
      </c>
      <c r="Q30" s="320">
        <v>0</v>
      </c>
      <c r="R30" s="387">
        <v>0</v>
      </c>
      <c r="S30" s="386">
        <v>0</v>
      </c>
      <c r="T30" s="320">
        <v>0</v>
      </c>
      <c r="U30" s="320">
        <v>0</v>
      </c>
      <c r="V30" s="387">
        <v>0</v>
      </c>
      <c r="W30" s="401">
        <f>SUM(C30:V30)</f>
        <v>11</v>
      </c>
      <c r="X30" s="388" t="str">
        <f ca="1">IF( INDIRECT("RC[-1]",0)=MAX(( INDIRECT("R[-1]C[-1]",0)):( INDIRECT("R[1]C[-1]",0))),"finaali","pronksi")</f>
        <v>pronksi</v>
      </c>
    </row>
    <row r="31" spans="1:24" ht="13.5" thickBot="1" x14ac:dyDescent="0.25">
      <c r="A31" s="423">
        <v>4</v>
      </c>
      <c r="B31" s="410" t="s">
        <v>181</v>
      </c>
      <c r="C31" s="425">
        <v>1</v>
      </c>
      <c r="D31" s="426">
        <v>0</v>
      </c>
      <c r="E31" s="426">
        <v>0</v>
      </c>
      <c r="F31" s="427">
        <v>0</v>
      </c>
      <c r="G31" s="425">
        <v>3</v>
      </c>
      <c r="H31" s="426">
        <v>3</v>
      </c>
      <c r="I31" s="426">
        <v>0</v>
      </c>
      <c r="J31" s="427">
        <v>0</v>
      </c>
      <c r="K31" s="425">
        <v>3</v>
      </c>
      <c r="L31" s="426">
        <v>3</v>
      </c>
      <c r="M31" s="426">
        <v>1</v>
      </c>
      <c r="N31" s="427">
        <v>0</v>
      </c>
      <c r="O31" s="425">
        <v>0</v>
      </c>
      <c r="P31" s="426">
        <v>0</v>
      </c>
      <c r="Q31" s="426">
        <v>0</v>
      </c>
      <c r="R31" s="427">
        <v>0</v>
      </c>
      <c r="S31" s="425">
        <v>5</v>
      </c>
      <c r="T31" s="426">
        <v>3</v>
      </c>
      <c r="U31" s="426">
        <v>0</v>
      </c>
      <c r="V31" s="427">
        <v>0</v>
      </c>
      <c r="W31" s="414">
        <f>SUM(C31:V31)</f>
        <v>22</v>
      </c>
      <c r="X31" s="647" t="str">
        <f ca="1">IF( INDIRECT("RC[-1]",0)=MAX(( INDIRECT("R[-1]C[-1]",0)):( INDIRECT("R[1]C[-1]",0))),"finaali","pronksi")</f>
        <v>finaali</v>
      </c>
    </row>
    <row r="32" spans="1:24" x14ac:dyDescent="0.2">
      <c r="A32" s="382"/>
      <c r="B32" s="649" t="s">
        <v>431</v>
      </c>
      <c r="C32" s="650"/>
      <c r="D32" s="651"/>
      <c r="E32" s="651"/>
      <c r="F32" s="652"/>
      <c r="G32" s="650"/>
      <c r="H32" s="651"/>
      <c r="I32" s="651"/>
      <c r="J32" s="652"/>
      <c r="K32" s="650"/>
      <c r="L32" s="651"/>
      <c r="M32" s="651"/>
      <c r="N32" s="652"/>
      <c r="O32" s="650"/>
      <c r="P32" s="651"/>
      <c r="Q32" s="651"/>
      <c r="R32" s="652"/>
      <c r="S32" s="650"/>
      <c r="T32" s="651"/>
      <c r="U32" s="651"/>
      <c r="V32" s="652"/>
      <c r="W32" s="653"/>
      <c r="X32" s="654"/>
    </row>
    <row r="33" spans="1:24" x14ac:dyDescent="0.2">
      <c r="A33" s="416"/>
      <c r="B33" s="397" t="s">
        <v>153</v>
      </c>
      <c r="C33" s="386">
        <v>0</v>
      </c>
      <c r="D33" s="320">
        <v>5</v>
      </c>
      <c r="E33" s="320">
        <v>0</v>
      </c>
      <c r="F33" s="387">
        <v>0</v>
      </c>
      <c r="G33" s="386">
        <v>0</v>
      </c>
      <c r="H33" s="320">
        <v>0</v>
      </c>
      <c r="I33" s="320">
        <v>0</v>
      </c>
      <c r="J33" s="387">
        <v>0</v>
      </c>
      <c r="K33" s="386">
        <v>1</v>
      </c>
      <c r="L33" s="320">
        <v>1</v>
      </c>
      <c r="M33" s="320">
        <v>0</v>
      </c>
      <c r="N33" s="387">
        <v>1</v>
      </c>
      <c r="O33" s="386">
        <v>3</v>
      </c>
      <c r="P33" s="320">
        <v>3</v>
      </c>
      <c r="Q33" s="320">
        <v>0</v>
      </c>
      <c r="R33" s="387">
        <v>0</v>
      </c>
      <c r="S33" s="386">
        <v>0</v>
      </c>
      <c r="T33" s="320">
        <v>0</v>
      </c>
      <c r="U33" s="320">
        <v>0</v>
      </c>
      <c r="V33" s="387">
        <v>0</v>
      </c>
      <c r="W33" s="401">
        <f>SUM(C33:V33)</f>
        <v>14</v>
      </c>
      <c r="X33" s="383" t="str">
        <f ca="1">IF( INDIRECT("RC[-1]",0)=MAX(( INDIRECT("R[-1]C[-1]",0)):( INDIRECT("R[1]C[-1]",0))),"3","4")</f>
        <v>4</v>
      </c>
    </row>
    <row r="34" spans="1:24" x14ac:dyDescent="0.2">
      <c r="A34" s="416"/>
      <c r="B34" s="484" t="s">
        <v>162</v>
      </c>
      <c r="C34" s="386">
        <v>3</v>
      </c>
      <c r="D34" s="320">
        <v>0</v>
      </c>
      <c r="E34" s="320">
        <v>0</v>
      </c>
      <c r="F34" s="387">
        <v>0</v>
      </c>
      <c r="G34" s="386">
        <v>3</v>
      </c>
      <c r="H34" s="320">
        <v>1</v>
      </c>
      <c r="I34" s="320">
        <v>3</v>
      </c>
      <c r="J34" s="387">
        <v>0</v>
      </c>
      <c r="K34" s="386">
        <v>1</v>
      </c>
      <c r="L34" s="320">
        <v>0</v>
      </c>
      <c r="M34" s="320">
        <v>1</v>
      </c>
      <c r="N34" s="387">
        <v>0</v>
      </c>
      <c r="O34" s="386">
        <v>3</v>
      </c>
      <c r="P34" s="320">
        <v>0</v>
      </c>
      <c r="Q34" s="320">
        <v>1</v>
      </c>
      <c r="R34" s="387">
        <v>0</v>
      </c>
      <c r="S34" s="386">
        <v>0</v>
      </c>
      <c r="T34" s="320">
        <v>0</v>
      </c>
      <c r="U34" s="320">
        <v>0</v>
      </c>
      <c r="V34" s="387">
        <v>0</v>
      </c>
      <c r="W34" s="401">
        <f>SUM(C34:V34)</f>
        <v>16</v>
      </c>
      <c r="X34" s="383" t="str">
        <f ca="1">IF( INDIRECT("RC[-1]",0)=MAX(( INDIRECT("R[-1]C[-1]",0)):( INDIRECT("R[1]C[-1]",0))),"3","4")</f>
        <v>3</v>
      </c>
    </row>
    <row r="35" spans="1:24" x14ac:dyDescent="0.2">
      <c r="A35" s="416"/>
      <c r="B35" s="421" t="s">
        <v>432</v>
      </c>
      <c r="C35" s="386"/>
      <c r="D35" s="320"/>
      <c r="E35" s="320"/>
      <c r="F35" s="387"/>
      <c r="G35" s="386"/>
      <c r="H35" s="320"/>
      <c r="I35" s="320"/>
      <c r="J35" s="387"/>
      <c r="K35" s="386"/>
      <c r="L35" s="320"/>
      <c r="M35" s="320"/>
      <c r="N35" s="387"/>
      <c r="O35" s="386"/>
      <c r="P35" s="320"/>
      <c r="Q35" s="320"/>
      <c r="R35" s="387"/>
      <c r="S35" s="386"/>
      <c r="T35" s="320"/>
      <c r="U35" s="320"/>
      <c r="V35" s="387"/>
      <c r="W35" s="401"/>
      <c r="X35" s="388"/>
    </row>
    <row r="36" spans="1:24" x14ac:dyDescent="0.2">
      <c r="A36" s="416"/>
      <c r="B36" s="417" t="s">
        <v>160</v>
      </c>
      <c r="C36" s="386">
        <v>3</v>
      </c>
      <c r="D36" s="320">
        <v>3</v>
      </c>
      <c r="E36" s="320">
        <v>5</v>
      </c>
      <c r="F36" s="387">
        <v>3</v>
      </c>
      <c r="G36" s="386">
        <v>3</v>
      </c>
      <c r="H36" s="320">
        <v>0</v>
      </c>
      <c r="I36" s="320">
        <v>3</v>
      </c>
      <c r="J36" s="387">
        <v>1</v>
      </c>
      <c r="K36" s="386">
        <v>0</v>
      </c>
      <c r="L36" s="320">
        <v>0</v>
      </c>
      <c r="M36" s="320">
        <v>0</v>
      </c>
      <c r="N36" s="387">
        <v>0</v>
      </c>
      <c r="O36" s="386">
        <v>0</v>
      </c>
      <c r="P36" s="320">
        <v>0</v>
      </c>
      <c r="Q36" s="320">
        <v>0</v>
      </c>
      <c r="R36" s="387">
        <v>0</v>
      </c>
      <c r="S36" s="386">
        <v>0</v>
      </c>
      <c r="T36" s="320">
        <v>0</v>
      </c>
      <c r="U36" s="320">
        <v>0</v>
      </c>
      <c r="V36" s="387">
        <v>0</v>
      </c>
      <c r="W36" s="401">
        <f>SUM(C36:V36)</f>
        <v>21</v>
      </c>
      <c r="X36" s="383" t="str">
        <f ca="1">IF( INDIRECT("RC[-1]",0)=MAX(( INDIRECT("R[-1]C[-1]",0)):( INDIRECT("R[1]C[-1]",0))),"1","2")</f>
        <v>2</v>
      </c>
    </row>
    <row r="37" spans="1:24" ht="13.5" thickBot="1" x14ac:dyDescent="0.25">
      <c r="A37" s="423"/>
      <c r="B37" s="477" t="s">
        <v>181</v>
      </c>
      <c r="C37" s="425">
        <v>0</v>
      </c>
      <c r="D37" s="426">
        <v>3</v>
      </c>
      <c r="E37" s="426">
        <v>0</v>
      </c>
      <c r="F37" s="427">
        <v>3</v>
      </c>
      <c r="G37" s="425">
        <v>0</v>
      </c>
      <c r="H37" s="426">
        <v>5</v>
      </c>
      <c r="I37" s="426">
        <v>1</v>
      </c>
      <c r="J37" s="427">
        <v>0</v>
      </c>
      <c r="K37" s="425">
        <v>3</v>
      </c>
      <c r="L37" s="426">
        <v>0</v>
      </c>
      <c r="M37" s="426">
        <v>3</v>
      </c>
      <c r="N37" s="427">
        <v>1</v>
      </c>
      <c r="O37" s="425">
        <v>0</v>
      </c>
      <c r="P37" s="426">
        <v>0</v>
      </c>
      <c r="Q37" s="426">
        <v>0</v>
      </c>
      <c r="R37" s="427">
        <v>3</v>
      </c>
      <c r="S37" s="425">
        <v>0</v>
      </c>
      <c r="T37" s="426">
        <v>0</v>
      </c>
      <c r="U37" s="426">
        <v>0</v>
      </c>
      <c r="V37" s="427">
        <v>0</v>
      </c>
      <c r="W37" s="414">
        <f>SUM(C37:V37)</f>
        <v>22</v>
      </c>
      <c r="X37" s="428" t="str">
        <f ca="1">IF( INDIRECT("RC[-1]",0)=MAX(( INDIRECT("R[-1]C[-1]",0)):( INDIRECT("R[1]C[-1]",0))),"1","2")</f>
        <v>1</v>
      </c>
    </row>
    <row r="39" spans="1:24" x14ac:dyDescent="0.2">
      <c r="A39" s="429">
        <v>1</v>
      </c>
      <c r="B39" s="485" t="s">
        <v>181</v>
      </c>
    </row>
    <row r="40" spans="1:24" x14ac:dyDescent="0.2">
      <c r="A40" s="429">
        <v>2</v>
      </c>
      <c r="B40" s="435" t="s">
        <v>160</v>
      </c>
      <c r="C40" s="479"/>
      <c r="D40" s="479"/>
      <c r="E40" s="479"/>
      <c r="F40" s="479"/>
      <c r="G40" s="479"/>
      <c r="H40" s="479"/>
      <c r="I40" s="479"/>
      <c r="J40" s="479"/>
    </row>
    <row r="41" spans="1:24" x14ac:dyDescent="0.2">
      <c r="A41" s="429">
        <v>3</v>
      </c>
      <c r="B41" s="480" t="s">
        <v>162</v>
      </c>
      <c r="C41" s="479"/>
      <c r="D41" s="479"/>
      <c r="E41" s="479"/>
      <c r="F41" s="479"/>
      <c r="G41" s="479"/>
      <c r="H41" s="479"/>
      <c r="I41" s="479"/>
      <c r="J41" s="479"/>
    </row>
    <row r="42" spans="1:24" x14ac:dyDescent="0.2">
      <c r="A42" s="429">
        <v>4</v>
      </c>
      <c r="B42" s="198" t="s">
        <v>153</v>
      </c>
      <c r="C42" s="479"/>
      <c r="D42" s="479"/>
      <c r="E42" s="479"/>
      <c r="F42" s="479"/>
      <c r="G42" s="479"/>
      <c r="H42" s="479"/>
      <c r="I42" s="479"/>
      <c r="J42" s="479"/>
    </row>
    <row r="43" spans="1:24" x14ac:dyDescent="0.2">
      <c r="A43" s="429">
        <v>5</v>
      </c>
      <c r="B43" s="435" t="s">
        <v>164</v>
      </c>
      <c r="C43" s="479"/>
      <c r="D43" s="479"/>
      <c r="E43" s="479"/>
      <c r="F43" s="479"/>
      <c r="G43" s="479"/>
      <c r="H43" s="479"/>
      <c r="I43" s="479"/>
      <c r="J43" s="479"/>
    </row>
    <row r="44" spans="1:24" x14ac:dyDescent="0.2">
      <c r="A44" s="429">
        <v>6</v>
      </c>
      <c r="B44" s="435" t="s">
        <v>158</v>
      </c>
      <c r="C44" s="479"/>
      <c r="D44" s="479"/>
      <c r="E44" s="479"/>
      <c r="F44" s="479"/>
      <c r="G44" s="479"/>
      <c r="H44" s="479"/>
      <c r="I44" s="479"/>
      <c r="J44" s="479"/>
    </row>
    <row r="45" spans="1:24" x14ac:dyDescent="0.2">
      <c r="A45" s="429">
        <v>7</v>
      </c>
      <c r="B45" s="434" t="s">
        <v>165</v>
      </c>
      <c r="C45" s="479"/>
      <c r="D45" s="479"/>
      <c r="E45" s="479"/>
      <c r="F45" s="479"/>
      <c r="G45" s="479"/>
      <c r="H45" s="479"/>
      <c r="I45" s="479"/>
      <c r="J45" s="479"/>
    </row>
    <row r="46" spans="1:24" x14ac:dyDescent="0.2">
      <c r="A46" s="429">
        <v>8</v>
      </c>
      <c r="B46" s="435" t="s">
        <v>157</v>
      </c>
      <c r="C46" s="479"/>
      <c r="D46" s="479"/>
      <c r="E46" s="479"/>
      <c r="F46" s="479"/>
      <c r="G46" s="479"/>
      <c r="H46" s="479"/>
      <c r="I46" s="479"/>
      <c r="J46" s="479"/>
    </row>
    <row r="47" spans="1:24" x14ac:dyDescent="0.2">
      <c r="A47" s="429">
        <v>9</v>
      </c>
      <c r="B47" s="433" t="s">
        <v>169</v>
      </c>
      <c r="C47" s="479"/>
      <c r="D47" s="479"/>
      <c r="E47" s="479"/>
      <c r="F47" s="479"/>
      <c r="G47" s="479"/>
      <c r="H47" s="479"/>
      <c r="I47" s="479"/>
      <c r="J47" s="479"/>
    </row>
  </sheetData>
  <conditionalFormatting sqref="W36:W37">
    <cfRule type="top10" dxfId="92" priority="11" rank="1"/>
  </conditionalFormatting>
  <conditionalFormatting sqref="W19:W20">
    <cfRule type="top10" dxfId="91" priority="18" rank="1"/>
  </conditionalFormatting>
  <conditionalFormatting sqref="W21:W22">
    <cfRule type="top10" dxfId="90" priority="17" rank="1"/>
  </conditionalFormatting>
  <conditionalFormatting sqref="W23:W24">
    <cfRule type="top10" dxfId="89" priority="16" rank="1"/>
  </conditionalFormatting>
  <conditionalFormatting sqref="W25:W26">
    <cfRule type="top10" dxfId="88" priority="15" rank="1"/>
  </conditionalFormatting>
  <conditionalFormatting sqref="W28:W29">
    <cfRule type="top10" dxfId="87" priority="14" rank="1"/>
  </conditionalFormatting>
  <conditionalFormatting sqref="W30:W31">
    <cfRule type="top10" dxfId="86" priority="13" rank="1"/>
  </conditionalFormatting>
  <conditionalFormatting sqref="W33:W34">
    <cfRule type="top10" dxfId="85" priority="12" rank="1"/>
  </conditionalFormatting>
  <conditionalFormatting sqref="B15">
    <cfRule type="duplicateValues" dxfId="84" priority="10" stopIfTrue="1"/>
  </conditionalFormatting>
  <conditionalFormatting sqref="B15">
    <cfRule type="duplicateValues" dxfId="83" priority="9" stopIfTrue="1"/>
  </conditionalFormatting>
  <conditionalFormatting sqref="B23">
    <cfRule type="duplicateValues" dxfId="82" priority="8" stopIfTrue="1"/>
  </conditionalFormatting>
  <conditionalFormatting sqref="B23">
    <cfRule type="duplicateValues" dxfId="81" priority="7" stopIfTrue="1"/>
  </conditionalFormatting>
  <conditionalFormatting sqref="B28">
    <cfRule type="duplicateValues" dxfId="80" priority="6" stopIfTrue="1"/>
  </conditionalFormatting>
  <conditionalFormatting sqref="B28">
    <cfRule type="duplicateValues" dxfId="79" priority="5" stopIfTrue="1"/>
  </conditionalFormatting>
  <conditionalFormatting sqref="B34">
    <cfRule type="duplicateValues" dxfId="78" priority="4" stopIfTrue="1"/>
  </conditionalFormatting>
  <conditionalFormatting sqref="B34">
    <cfRule type="duplicateValues" dxfId="77" priority="3" stopIfTrue="1"/>
  </conditionalFormatting>
  <conditionalFormatting sqref="B41">
    <cfRule type="duplicateValues" dxfId="76" priority="2" stopIfTrue="1"/>
  </conditionalFormatting>
  <conditionalFormatting sqref="B41">
    <cfRule type="duplicateValues" dxfId="75" priority="1" stopIfTrue="1"/>
  </conditionalFormatting>
  <conditionalFormatting sqref="W9:W37">
    <cfRule type="top10" dxfId="74" priority="45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showGridLines="0" zoomScaleNormal="100" workbookViewId="0">
      <pane ySplit="7" topLeftCell="A8" activePane="bottomLeft" state="frozen"/>
      <selection pane="bottomLeft" activeCell="W1" sqref="W1"/>
    </sheetView>
  </sheetViews>
  <sheetFormatPr defaultRowHeight="12.75" x14ac:dyDescent="0.2"/>
  <cols>
    <col min="1" max="1" width="3" style="379" customWidth="1"/>
    <col min="2" max="2" width="18.7109375" style="379" customWidth="1"/>
    <col min="3" max="22" width="2.85546875" style="379" customWidth="1"/>
    <col min="23" max="23" width="3" style="379" bestFit="1" customWidth="1"/>
    <col min="24" max="24" width="10.5703125" style="379" customWidth="1"/>
    <col min="25" max="16384" width="9.140625" style="379"/>
  </cols>
  <sheetData>
    <row r="1" spans="1:24" s="380" customFormat="1" x14ac:dyDescent="0.2">
      <c r="A1" s="58" t="str">
        <f>UPPER((Kalend!E30)&amp;" - "&amp;(Kalend!C30)&amp;" - "&amp;(Kalend!D30))</f>
        <v>T4 - TULISTAMISE NELJAPÄEVAK 4 - TULISTAMINE</v>
      </c>
      <c r="N1" s="239" t="str">
        <f>HYPERLINK("#'Kalend'!I1","Kalender")</f>
        <v>Kalender</v>
      </c>
      <c r="O1" s="59"/>
      <c r="Q1" s="59"/>
      <c r="R1" s="239" t="str">
        <f>HYPERLINK("#'Reit'!G1","Reiting")</f>
        <v>Reiting</v>
      </c>
      <c r="S1" s="59"/>
      <c r="U1" s="381"/>
    </row>
    <row r="2" spans="1:24" s="380" customFormat="1" x14ac:dyDescent="0.2">
      <c r="A2" s="59" t="str">
        <f>"Toimumisaeg: "&amp;(Kalend!A30)&amp;" kell "&amp;(Kalend!B30)</f>
        <v>Toimumisaeg: N, 06.08.2015 kell 18:00</v>
      </c>
    </row>
    <row r="3" spans="1:24" s="380" customFormat="1" x14ac:dyDescent="0.2">
      <c r="A3" s="59" t="str">
        <f>"Toimumiskoht: "&amp;(Kalend!F30)</f>
        <v>Toimumiskoht: K-Järve spordihoone</v>
      </c>
    </row>
    <row r="4" spans="1:24" s="380" customFormat="1" x14ac:dyDescent="0.2">
      <c r="A4" s="59" t="str">
        <f>"Korraldaja: "&amp;(Kalend!G30)</f>
        <v>Korraldaja: K-Järve SHK, Ivar Viljaste</v>
      </c>
    </row>
    <row r="5" spans="1:24" s="380" customFormat="1" ht="13.5" thickBot="1" x14ac:dyDescent="0.25"/>
    <row r="6" spans="1:24" ht="63.75" customHeight="1" thickBot="1" x14ac:dyDescent="0.25">
      <c r="A6" s="648"/>
      <c r="B6" s="658"/>
      <c r="C6" s="657"/>
      <c r="D6" s="657"/>
      <c r="E6" s="657"/>
      <c r="F6" s="657"/>
      <c r="G6" s="659"/>
      <c r="H6" s="657"/>
      <c r="I6" s="657"/>
      <c r="J6" s="660"/>
      <c r="K6" s="657"/>
      <c r="L6" s="657"/>
      <c r="M6" s="657"/>
      <c r="N6" s="657"/>
      <c r="O6" s="659"/>
      <c r="P6" s="657"/>
      <c r="Q6" s="657"/>
      <c r="R6" s="660"/>
      <c r="S6" s="657"/>
      <c r="T6" s="657"/>
      <c r="U6" s="657"/>
      <c r="V6" s="657"/>
      <c r="W6" s="661"/>
      <c r="X6" s="661"/>
    </row>
    <row r="7" spans="1:24" s="309" customFormat="1" ht="13.5" thickBot="1" x14ac:dyDescent="0.25">
      <c r="A7" s="668"/>
      <c r="B7" s="662"/>
      <c r="C7" s="663">
        <v>6</v>
      </c>
      <c r="D7" s="664">
        <v>7</v>
      </c>
      <c r="E7" s="664">
        <v>8</v>
      </c>
      <c r="F7" s="665">
        <v>9</v>
      </c>
      <c r="G7" s="663">
        <v>6</v>
      </c>
      <c r="H7" s="664">
        <v>7</v>
      </c>
      <c r="I7" s="664">
        <v>8</v>
      </c>
      <c r="J7" s="665">
        <v>9</v>
      </c>
      <c r="K7" s="663">
        <v>6</v>
      </c>
      <c r="L7" s="664">
        <v>7</v>
      </c>
      <c r="M7" s="664">
        <v>8</v>
      </c>
      <c r="N7" s="665">
        <v>9</v>
      </c>
      <c r="O7" s="663">
        <v>6</v>
      </c>
      <c r="P7" s="664">
        <v>7</v>
      </c>
      <c r="Q7" s="664">
        <v>8</v>
      </c>
      <c r="R7" s="665">
        <v>9</v>
      </c>
      <c r="S7" s="663">
        <v>6</v>
      </c>
      <c r="T7" s="664">
        <v>7</v>
      </c>
      <c r="U7" s="664">
        <v>8</v>
      </c>
      <c r="V7" s="665">
        <v>9</v>
      </c>
      <c r="W7" s="666" t="s">
        <v>148</v>
      </c>
      <c r="X7" s="667" t="s">
        <v>580</v>
      </c>
    </row>
    <row r="8" spans="1:24" s="290" customFormat="1" x14ac:dyDescent="0.2">
      <c r="A8" s="669"/>
      <c r="B8" s="656" t="s">
        <v>579</v>
      </c>
      <c r="C8" s="650"/>
      <c r="D8" s="651"/>
      <c r="E8" s="651"/>
      <c r="F8" s="652"/>
      <c r="G8" s="650"/>
      <c r="H8" s="651"/>
      <c r="I8" s="651"/>
      <c r="J8" s="652"/>
      <c r="K8" s="650"/>
      <c r="L8" s="651"/>
      <c r="M8" s="651"/>
      <c r="N8" s="652"/>
      <c r="O8" s="650"/>
      <c r="P8" s="651"/>
      <c r="Q8" s="651"/>
      <c r="R8" s="652"/>
      <c r="S8" s="650"/>
      <c r="T8" s="651"/>
      <c r="U8" s="651"/>
      <c r="V8" s="652"/>
      <c r="W8" s="669"/>
      <c r="X8" s="654"/>
    </row>
    <row r="9" spans="1:24" s="290" customFormat="1" x14ac:dyDescent="0.2">
      <c r="A9" s="389">
        <v>1</v>
      </c>
      <c r="B9" s="390" t="s">
        <v>167</v>
      </c>
      <c r="C9" s="391">
        <v>0</v>
      </c>
      <c r="D9" s="392">
        <v>5</v>
      </c>
      <c r="E9" s="392">
        <v>0</v>
      </c>
      <c r="F9" s="393">
        <v>0</v>
      </c>
      <c r="G9" s="391">
        <v>0</v>
      </c>
      <c r="H9" s="392">
        <v>0</v>
      </c>
      <c r="I9" s="392">
        <v>0</v>
      </c>
      <c r="J9" s="393">
        <v>3</v>
      </c>
      <c r="K9" s="391">
        <v>1</v>
      </c>
      <c r="L9" s="392">
        <v>0</v>
      </c>
      <c r="M9" s="392">
        <v>0</v>
      </c>
      <c r="N9" s="393">
        <v>0</v>
      </c>
      <c r="O9" s="391">
        <v>0</v>
      </c>
      <c r="P9" s="392">
        <v>0</v>
      </c>
      <c r="Q9" s="392">
        <v>0</v>
      </c>
      <c r="R9" s="393">
        <v>0</v>
      </c>
      <c r="S9" s="391">
        <v>0</v>
      </c>
      <c r="T9" s="392">
        <v>0</v>
      </c>
      <c r="U9" s="392">
        <v>0</v>
      </c>
      <c r="V9" s="393">
        <v>0</v>
      </c>
      <c r="W9" s="404">
        <f t="shared" ref="W9:W22" si="0">SUM(C9:V9)</f>
        <v>9</v>
      </c>
      <c r="X9" s="395">
        <v>12</v>
      </c>
    </row>
    <row r="10" spans="1:24" s="290" customFormat="1" x14ac:dyDescent="0.2">
      <c r="A10" s="389">
        <v>2</v>
      </c>
      <c r="B10" s="396" t="s">
        <v>158</v>
      </c>
      <c r="C10" s="391">
        <v>1</v>
      </c>
      <c r="D10" s="392">
        <v>3</v>
      </c>
      <c r="E10" s="392">
        <v>5</v>
      </c>
      <c r="F10" s="393">
        <v>0</v>
      </c>
      <c r="G10" s="391">
        <v>0</v>
      </c>
      <c r="H10" s="392">
        <v>0</v>
      </c>
      <c r="I10" s="392">
        <v>0</v>
      </c>
      <c r="J10" s="393">
        <v>0</v>
      </c>
      <c r="K10" s="391">
        <v>1</v>
      </c>
      <c r="L10" s="392">
        <v>5</v>
      </c>
      <c r="M10" s="392">
        <v>1</v>
      </c>
      <c r="N10" s="393">
        <v>0</v>
      </c>
      <c r="O10" s="391">
        <v>0</v>
      </c>
      <c r="P10" s="392">
        <v>0</v>
      </c>
      <c r="Q10" s="392">
        <v>0</v>
      </c>
      <c r="R10" s="393">
        <v>0</v>
      </c>
      <c r="S10" s="391">
        <v>0</v>
      </c>
      <c r="T10" s="392">
        <v>0</v>
      </c>
      <c r="U10" s="392">
        <v>0</v>
      </c>
      <c r="V10" s="393">
        <v>5</v>
      </c>
      <c r="W10" s="394">
        <f t="shared" si="0"/>
        <v>21</v>
      </c>
      <c r="X10" s="394" t="s">
        <v>427</v>
      </c>
    </row>
    <row r="11" spans="1:24" s="290" customFormat="1" x14ac:dyDescent="0.2">
      <c r="A11" s="384">
        <v>3</v>
      </c>
      <c r="B11" s="433" t="s">
        <v>161</v>
      </c>
      <c r="C11" s="398">
        <v>0</v>
      </c>
      <c r="D11" s="399">
        <v>0</v>
      </c>
      <c r="E11" s="399">
        <v>5</v>
      </c>
      <c r="F11" s="400">
        <v>0</v>
      </c>
      <c r="G11" s="398">
        <v>0</v>
      </c>
      <c r="H11" s="399">
        <v>0</v>
      </c>
      <c r="I11" s="399">
        <v>0</v>
      </c>
      <c r="J11" s="400">
        <v>0</v>
      </c>
      <c r="K11" s="398">
        <v>0</v>
      </c>
      <c r="L11" s="399">
        <v>1</v>
      </c>
      <c r="M11" s="399">
        <v>0</v>
      </c>
      <c r="N11" s="400">
        <v>0</v>
      </c>
      <c r="O11" s="398">
        <v>0</v>
      </c>
      <c r="P11" s="399">
        <v>0</v>
      </c>
      <c r="Q11" s="399">
        <v>0</v>
      </c>
      <c r="R11" s="400">
        <v>0</v>
      </c>
      <c r="S11" s="398">
        <v>0</v>
      </c>
      <c r="T11" s="399">
        <v>0</v>
      </c>
      <c r="U11" s="399">
        <v>0</v>
      </c>
      <c r="V11" s="400">
        <v>3</v>
      </c>
      <c r="W11" s="401">
        <f t="shared" si="0"/>
        <v>9</v>
      </c>
      <c r="X11" s="402">
        <v>12</v>
      </c>
    </row>
    <row r="12" spans="1:24" s="290" customFormat="1" x14ac:dyDescent="0.2">
      <c r="A12" s="384">
        <v>4</v>
      </c>
      <c r="B12" s="397" t="s">
        <v>162</v>
      </c>
      <c r="C12" s="398">
        <v>5</v>
      </c>
      <c r="D12" s="399">
        <v>5</v>
      </c>
      <c r="E12" s="399">
        <v>3</v>
      </c>
      <c r="F12" s="400">
        <v>3</v>
      </c>
      <c r="G12" s="398">
        <v>1</v>
      </c>
      <c r="H12" s="399">
        <v>0</v>
      </c>
      <c r="I12" s="399">
        <v>0</v>
      </c>
      <c r="J12" s="400">
        <v>0</v>
      </c>
      <c r="K12" s="398">
        <v>1</v>
      </c>
      <c r="L12" s="399">
        <v>0</v>
      </c>
      <c r="M12" s="399">
        <v>0</v>
      </c>
      <c r="N12" s="400">
        <v>0</v>
      </c>
      <c r="O12" s="398">
        <v>3</v>
      </c>
      <c r="P12" s="399">
        <v>0</v>
      </c>
      <c r="Q12" s="399">
        <v>0</v>
      </c>
      <c r="R12" s="400">
        <v>0</v>
      </c>
      <c r="S12" s="398">
        <v>0</v>
      </c>
      <c r="T12" s="399">
        <v>0</v>
      </c>
      <c r="U12" s="399">
        <v>0</v>
      </c>
      <c r="V12" s="400">
        <v>0</v>
      </c>
      <c r="W12" s="401">
        <f t="shared" si="0"/>
        <v>21</v>
      </c>
      <c r="X12" s="401" t="s">
        <v>426</v>
      </c>
    </row>
    <row r="13" spans="1:24" s="290" customFormat="1" x14ac:dyDescent="0.2">
      <c r="A13" s="389">
        <v>5</v>
      </c>
      <c r="B13" s="396" t="s">
        <v>210</v>
      </c>
      <c r="C13" s="391">
        <v>3</v>
      </c>
      <c r="D13" s="392">
        <v>0</v>
      </c>
      <c r="E13" s="392">
        <v>3</v>
      </c>
      <c r="F13" s="393">
        <v>3</v>
      </c>
      <c r="G13" s="391">
        <v>0</v>
      </c>
      <c r="H13" s="392">
        <v>0</v>
      </c>
      <c r="I13" s="392">
        <v>3</v>
      </c>
      <c r="J13" s="393">
        <v>0</v>
      </c>
      <c r="K13" s="391">
        <v>1</v>
      </c>
      <c r="L13" s="392">
        <v>0</v>
      </c>
      <c r="M13" s="392">
        <v>0</v>
      </c>
      <c r="N13" s="393">
        <v>0</v>
      </c>
      <c r="O13" s="391">
        <v>0</v>
      </c>
      <c r="P13" s="392">
        <v>3</v>
      </c>
      <c r="Q13" s="392">
        <v>0</v>
      </c>
      <c r="R13" s="393">
        <v>0</v>
      </c>
      <c r="S13" s="391">
        <v>0</v>
      </c>
      <c r="T13" s="392">
        <v>3</v>
      </c>
      <c r="U13" s="392">
        <v>0</v>
      </c>
      <c r="V13" s="393">
        <v>3</v>
      </c>
      <c r="W13" s="394">
        <f t="shared" si="0"/>
        <v>22</v>
      </c>
      <c r="X13" s="394" t="s">
        <v>422</v>
      </c>
    </row>
    <row r="14" spans="1:24" s="290" customFormat="1" x14ac:dyDescent="0.2">
      <c r="A14" s="389">
        <v>6</v>
      </c>
      <c r="B14" s="390" t="s">
        <v>153</v>
      </c>
      <c r="C14" s="391">
        <v>3</v>
      </c>
      <c r="D14" s="392">
        <v>1</v>
      </c>
      <c r="E14" s="392">
        <v>3</v>
      </c>
      <c r="F14" s="393">
        <v>0</v>
      </c>
      <c r="G14" s="391">
        <v>0</v>
      </c>
      <c r="H14" s="392">
        <v>1</v>
      </c>
      <c r="I14" s="392">
        <v>3</v>
      </c>
      <c r="J14" s="393">
        <v>0</v>
      </c>
      <c r="K14" s="391">
        <v>0</v>
      </c>
      <c r="L14" s="392">
        <v>0</v>
      </c>
      <c r="M14" s="392">
        <v>1</v>
      </c>
      <c r="N14" s="393">
        <v>1</v>
      </c>
      <c r="O14" s="391">
        <v>0</v>
      </c>
      <c r="P14" s="392">
        <v>0</v>
      </c>
      <c r="Q14" s="392">
        <v>0</v>
      </c>
      <c r="R14" s="393">
        <v>3</v>
      </c>
      <c r="S14" s="391">
        <v>0</v>
      </c>
      <c r="T14" s="392">
        <v>0</v>
      </c>
      <c r="U14" s="392">
        <v>0</v>
      </c>
      <c r="V14" s="393">
        <v>0</v>
      </c>
      <c r="W14" s="394">
        <f t="shared" si="0"/>
        <v>16</v>
      </c>
      <c r="X14" s="394" t="s">
        <v>423</v>
      </c>
    </row>
    <row r="15" spans="1:24" s="290" customFormat="1" x14ac:dyDescent="0.2">
      <c r="A15" s="384">
        <v>7</v>
      </c>
      <c r="B15" s="405" t="s">
        <v>178</v>
      </c>
      <c r="C15" s="398">
        <v>0</v>
      </c>
      <c r="D15" s="399">
        <v>0</v>
      </c>
      <c r="E15" s="399">
        <v>0</v>
      </c>
      <c r="F15" s="400">
        <v>3</v>
      </c>
      <c r="G15" s="398">
        <v>0</v>
      </c>
      <c r="H15" s="399">
        <v>3</v>
      </c>
      <c r="I15" s="399">
        <v>0</v>
      </c>
      <c r="J15" s="400">
        <v>3</v>
      </c>
      <c r="K15" s="398">
        <v>0</v>
      </c>
      <c r="L15" s="399">
        <v>1</v>
      </c>
      <c r="M15" s="399">
        <v>0</v>
      </c>
      <c r="N15" s="400">
        <v>0</v>
      </c>
      <c r="O15" s="398">
        <v>3</v>
      </c>
      <c r="P15" s="399">
        <v>0</v>
      </c>
      <c r="Q15" s="399">
        <v>0</v>
      </c>
      <c r="R15" s="400">
        <v>0</v>
      </c>
      <c r="S15" s="398">
        <v>0</v>
      </c>
      <c r="T15" s="399">
        <v>0</v>
      </c>
      <c r="U15" s="399">
        <v>0</v>
      </c>
      <c r="V15" s="400">
        <v>0</v>
      </c>
      <c r="W15" s="401">
        <f t="shared" si="0"/>
        <v>13</v>
      </c>
      <c r="X15" s="402">
        <v>9</v>
      </c>
    </row>
    <row r="16" spans="1:24" s="290" customFormat="1" x14ac:dyDescent="0.2">
      <c r="A16" s="384">
        <v>8</v>
      </c>
      <c r="B16" s="397" t="s">
        <v>174</v>
      </c>
      <c r="C16" s="398">
        <v>3</v>
      </c>
      <c r="D16" s="399">
        <v>0</v>
      </c>
      <c r="E16" s="399">
        <v>0</v>
      </c>
      <c r="F16" s="400">
        <v>3</v>
      </c>
      <c r="G16" s="398">
        <v>0</v>
      </c>
      <c r="H16" s="399">
        <v>0</v>
      </c>
      <c r="I16" s="399">
        <v>0</v>
      </c>
      <c r="J16" s="400">
        <v>0</v>
      </c>
      <c r="K16" s="398">
        <v>3</v>
      </c>
      <c r="L16" s="399">
        <v>0</v>
      </c>
      <c r="M16" s="399">
        <v>0</v>
      </c>
      <c r="N16" s="400">
        <v>0</v>
      </c>
      <c r="O16" s="398">
        <v>0</v>
      </c>
      <c r="P16" s="399">
        <v>0</v>
      </c>
      <c r="Q16" s="399">
        <v>3</v>
      </c>
      <c r="R16" s="400">
        <v>0</v>
      </c>
      <c r="S16" s="398">
        <v>0</v>
      </c>
      <c r="T16" s="399">
        <v>0</v>
      </c>
      <c r="U16" s="399">
        <v>0</v>
      </c>
      <c r="V16" s="400">
        <v>0</v>
      </c>
      <c r="W16" s="401">
        <f t="shared" si="0"/>
        <v>12</v>
      </c>
      <c r="X16" s="402">
        <v>10</v>
      </c>
    </row>
    <row r="17" spans="1:24" s="290" customFormat="1" x14ac:dyDescent="0.2">
      <c r="A17" s="389">
        <v>9</v>
      </c>
      <c r="B17" s="396" t="s">
        <v>177</v>
      </c>
      <c r="C17" s="391">
        <v>0</v>
      </c>
      <c r="D17" s="392">
        <v>3</v>
      </c>
      <c r="E17" s="392">
        <v>5</v>
      </c>
      <c r="F17" s="393">
        <v>0</v>
      </c>
      <c r="G17" s="391">
        <v>0</v>
      </c>
      <c r="H17" s="392">
        <v>0</v>
      </c>
      <c r="I17" s="392">
        <v>0</v>
      </c>
      <c r="J17" s="393">
        <v>0</v>
      </c>
      <c r="K17" s="391">
        <v>0</v>
      </c>
      <c r="L17" s="392">
        <v>5</v>
      </c>
      <c r="M17" s="392">
        <v>0</v>
      </c>
      <c r="N17" s="393">
        <v>0</v>
      </c>
      <c r="O17" s="391">
        <v>3</v>
      </c>
      <c r="P17" s="392">
        <v>0</v>
      </c>
      <c r="Q17" s="392">
        <v>0</v>
      </c>
      <c r="R17" s="393">
        <v>0</v>
      </c>
      <c r="S17" s="391">
        <v>0</v>
      </c>
      <c r="T17" s="392">
        <v>3</v>
      </c>
      <c r="U17" s="392">
        <v>0</v>
      </c>
      <c r="V17" s="393">
        <v>0</v>
      </c>
      <c r="W17" s="394">
        <f t="shared" si="0"/>
        <v>19</v>
      </c>
      <c r="X17" s="394" t="s">
        <v>428</v>
      </c>
    </row>
    <row r="18" spans="1:24" s="290" customFormat="1" x14ac:dyDescent="0.2">
      <c r="A18" s="389">
        <v>10</v>
      </c>
      <c r="B18" s="396" t="s">
        <v>159</v>
      </c>
      <c r="C18" s="391">
        <v>0</v>
      </c>
      <c r="D18" s="392">
        <v>3</v>
      </c>
      <c r="E18" s="392">
        <v>1</v>
      </c>
      <c r="F18" s="393">
        <v>0</v>
      </c>
      <c r="G18" s="391">
        <v>5</v>
      </c>
      <c r="H18" s="392">
        <v>0</v>
      </c>
      <c r="I18" s="392">
        <v>0</v>
      </c>
      <c r="J18" s="393">
        <v>0</v>
      </c>
      <c r="K18" s="391">
        <v>0</v>
      </c>
      <c r="L18" s="392">
        <v>1</v>
      </c>
      <c r="M18" s="392">
        <v>1</v>
      </c>
      <c r="N18" s="393">
        <v>1</v>
      </c>
      <c r="O18" s="391">
        <v>3</v>
      </c>
      <c r="P18" s="392">
        <v>0</v>
      </c>
      <c r="Q18" s="392">
        <v>0</v>
      </c>
      <c r="R18" s="393">
        <v>5</v>
      </c>
      <c r="S18" s="391">
        <v>0</v>
      </c>
      <c r="T18" s="392">
        <v>0</v>
      </c>
      <c r="U18" s="392">
        <v>0</v>
      </c>
      <c r="V18" s="393">
        <v>0</v>
      </c>
      <c r="W18" s="394">
        <f t="shared" si="0"/>
        <v>20</v>
      </c>
      <c r="X18" s="394" t="s">
        <v>425</v>
      </c>
    </row>
    <row r="19" spans="1:24" s="290" customFormat="1" x14ac:dyDescent="0.2">
      <c r="A19" s="384">
        <v>11</v>
      </c>
      <c r="B19" s="397" t="s">
        <v>164</v>
      </c>
      <c r="C19" s="398">
        <v>3</v>
      </c>
      <c r="D19" s="399">
        <v>3</v>
      </c>
      <c r="E19" s="399">
        <v>0</v>
      </c>
      <c r="F19" s="400">
        <v>0</v>
      </c>
      <c r="G19" s="398">
        <v>0</v>
      </c>
      <c r="H19" s="399">
        <v>0</v>
      </c>
      <c r="I19" s="399">
        <v>3</v>
      </c>
      <c r="J19" s="400">
        <v>0</v>
      </c>
      <c r="K19" s="398">
        <v>0</v>
      </c>
      <c r="L19" s="399">
        <v>0</v>
      </c>
      <c r="M19" s="399">
        <v>3</v>
      </c>
      <c r="N19" s="400">
        <v>0</v>
      </c>
      <c r="O19" s="398">
        <v>0</v>
      </c>
      <c r="P19" s="399">
        <v>0</v>
      </c>
      <c r="Q19" s="399">
        <v>0</v>
      </c>
      <c r="R19" s="400">
        <v>0</v>
      </c>
      <c r="S19" s="398">
        <v>0</v>
      </c>
      <c r="T19" s="399">
        <v>0</v>
      </c>
      <c r="U19" s="399">
        <v>0</v>
      </c>
      <c r="V19" s="400">
        <v>0</v>
      </c>
      <c r="W19" s="401">
        <f t="shared" si="0"/>
        <v>12</v>
      </c>
      <c r="X19" s="402">
        <v>10</v>
      </c>
    </row>
    <row r="20" spans="1:24" x14ac:dyDescent="0.2">
      <c r="A20" s="384">
        <v>12</v>
      </c>
      <c r="B20" s="397" t="s">
        <v>157</v>
      </c>
      <c r="C20" s="398">
        <v>0</v>
      </c>
      <c r="D20" s="399">
        <v>0</v>
      </c>
      <c r="E20" s="399">
        <v>0</v>
      </c>
      <c r="F20" s="400">
        <v>0</v>
      </c>
      <c r="G20" s="398">
        <v>0</v>
      </c>
      <c r="H20" s="399">
        <v>0</v>
      </c>
      <c r="I20" s="399">
        <v>0</v>
      </c>
      <c r="J20" s="400">
        <v>1</v>
      </c>
      <c r="K20" s="398">
        <v>1</v>
      </c>
      <c r="L20" s="399">
        <v>1</v>
      </c>
      <c r="M20" s="399">
        <v>0</v>
      </c>
      <c r="N20" s="400">
        <v>0</v>
      </c>
      <c r="O20" s="398">
        <v>0</v>
      </c>
      <c r="P20" s="399">
        <v>0</v>
      </c>
      <c r="Q20" s="399">
        <v>0</v>
      </c>
      <c r="R20" s="400">
        <v>3</v>
      </c>
      <c r="S20" s="398">
        <v>0</v>
      </c>
      <c r="T20" s="399">
        <v>0</v>
      </c>
      <c r="U20" s="399">
        <v>0</v>
      </c>
      <c r="V20" s="400">
        <v>0</v>
      </c>
      <c r="W20" s="401">
        <f t="shared" si="0"/>
        <v>6</v>
      </c>
      <c r="X20" s="402">
        <v>14</v>
      </c>
    </row>
    <row r="21" spans="1:24" s="290" customFormat="1" x14ac:dyDescent="0.2">
      <c r="A21" s="389">
        <v>13</v>
      </c>
      <c r="B21" s="396" t="s">
        <v>160</v>
      </c>
      <c r="C21" s="391">
        <v>3</v>
      </c>
      <c r="D21" s="392">
        <v>0</v>
      </c>
      <c r="E21" s="392">
        <v>0</v>
      </c>
      <c r="F21" s="393">
        <v>3</v>
      </c>
      <c r="G21" s="391">
        <v>1</v>
      </c>
      <c r="H21" s="392">
        <v>3</v>
      </c>
      <c r="I21" s="392">
        <v>0</v>
      </c>
      <c r="J21" s="393">
        <v>0</v>
      </c>
      <c r="K21" s="391">
        <v>0</v>
      </c>
      <c r="L21" s="392">
        <v>0</v>
      </c>
      <c r="M21" s="392">
        <v>5</v>
      </c>
      <c r="N21" s="393">
        <v>1</v>
      </c>
      <c r="O21" s="391">
        <v>3</v>
      </c>
      <c r="P21" s="392">
        <v>0</v>
      </c>
      <c r="Q21" s="392">
        <v>0</v>
      </c>
      <c r="R21" s="393">
        <v>0</v>
      </c>
      <c r="S21" s="391">
        <v>0</v>
      </c>
      <c r="T21" s="392">
        <v>0</v>
      </c>
      <c r="U21" s="392">
        <v>0</v>
      </c>
      <c r="V21" s="393">
        <v>0</v>
      </c>
      <c r="W21" s="394">
        <f t="shared" si="0"/>
        <v>19</v>
      </c>
      <c r="X21" s="394" t="s">
        <v>424</v>
      </c>
    </row>
    <row r="22" spans="1:24" s="290" customFormat="1" ht="13.5" thickBot="1" x14ac:dyDescent="0.25">
      <c r="A22" s="481">
        <v>14</v>
      </c>
      <c r="B22" s="471" t="s">
        <v>181</v>
      </c>
      <c r="C22" s="472">
        <v>1</v>
      </c>
      <c r="D22" s="473">
        <v>3</v>
      </c>
      <c r="E22" s="473">
        <v>3</v>
      </c>
      <c r="F22" s="474">
        <v>3</v>
      </c>
      <c r="G22" s="472">
        <v>0</v>
      </c>
      <c r="H22" s="473">
        <v>0</v>
      </c>
      <c r="I22" s="473">
        <v>0</v>
      </c>
      <c r="J22" s="474">
        <v>0</v>
      </c>
      <c r="K22" s="472">
        <v>1</v>
      </c>
      <c r="L22" s="473">
        <v>0</v>
      </c>
      <c r="M22" s="473">
        <v>0</v>
      </c>
      <c r="N22" s="474">
        <v>0</v>
      </c>
      <c r="O22" s="472">
        <v>0</v>
      </c>
      <c r="P22" s="473">
        <v>0</v>
      </c>
      <c r="Q22" s="473">
        <v>1</v>
      </c>
      <c r="R22" s="474">
        <v>0</v>
      </c>
      <c r="S22" s="472">
        <v>3</v>
      </c>
      <c r="T22" s="473">
        <v>0</v>
      </c>
      <c r="U22" s="473">
        <v>0</v>
      </c>
      <c r="V22" s="474">
        <v>0</v>
      </c>
      <c r="W22" s="475">
        <f t="shared" si="0"/>
        <v>15</v>
      </c>
      <c r="X22" s="486" t="s">
        <v>421</v>
      </c>
    </row>
    <row r="23" spans="1:24" x14ac:dyDescent="0.2">
      <c r="A23" s="416"/>
      <c r="B23" s="385" t="s">
        <v>429</v>
      </c>
      <c r="C23" s="386"/>
      <c r="D23" s="320"/>
      <c r="E23" s="320"/>
      <c r="F23" s="387"/>
      <c r="G23" s="386"/>
      <c r="H23" s="320"/>
      <c r="I23" s="320"/>
      <c r="J23" s="387"/>
      <c r="K23" s="386"/>
      <c r="L23" s="320"/>
      <c r="M23" s="320"/>
      <c r="N23" s="387"/>
      <c r="O23" s="386"/>
      <c r="P23" s="320"/>
      <c r="Q23" s="320"/>
      <c r="R23" s="387"/>
      <c r="S23" s="386"/>
      <c r="T23" s="320"/>
      <c r="U23" s="320"/>
      <c r="V23" s="387"/>
      <c r="W23" s="388"/>
      <c r="X23" s="388"/>
    </row>
    <row r="24" spans="1:24" x14ac:dyDescent="0.2">
      <c r="A24" s="670">
        <v>4</v>
      </c>
      <c r="B24" s="677" t="s">
        <v>177</v>
      </c>
      <c r="C24" s="672">
        <v>3</v>
      </c>
      <c r="D24" s="673">
        <v>3</v>
      </c>
      <c r="E24" s="673">
        <v>0</v>
      </c>
      <c r="F24" s="674">
        <v>0</v>
      </c>
      <c r="G24" s="672">
        <v>5</v>
      </c>
      <c r="H24" s="673">
        <v>0</v>
      </c>
      <c r="I24" s="673">
        <v>0</v>
      </c>
      <c r="J24" s="674">
        <v>0</v>
      </c>
      <c r="K24" s="672">
        <v>3</v>
      </c>
      <c r="L24" s="673">
        <v>0</v>
      </c>
      <c r="M24" s="673">
        <v>0</v>
      </c>
      <c r="N24" s="674">
        <v>0</v>
      </c>
      <c r="O24" s="672">
        <v>0</v>
      </c>
      <c r="P24" s="673">
        <v>0</v>
      </c>
      <c r="Q24" s="673">
        <v>1</v>
      </c>
      <c r="R24" s="674">
        <v>0</v>
      </c>
      <c r="S24" s="672">
        <v>0</v>
      </c>
      <c r="T24" s="673">
        <v>0</v>
      </c>
      <c r="U24" s="673">
        <v>0</v>
      </c>
      <c r="V24" s="674">
        <v>0</v>
      </c>
      <c r="W24" s="394">
        <f t="shared" ref="W24:W31" si="1">SUM(C24:V24)</f>
        <v>15</v>
      </c>
      <c r="X24" s="675">
        <v>5</v>
      </c>
    </row>
    <row r="25" spans="1:24" x14ac:dyDescent="0.2">
      <c r="A25" s="670">
        <v>5</v>
      </c>
      <c r="B25" s="677" t="s">
        <v>159</v>
      </c>
      <c r="C25" s="672">
        <v>0</v>
      </c>
      <c r="D25" s="673">
        <v>5</v>
      </c>
      <c r="E25" s="673">
        <v>3</v>
      </c>
      <c r="F25" s="674">
        <v>3</v>
      </c>
      <c r="G25" s="672">
        <v>0</v>
      </c>
      <c r="H25" s="673">
        <v>3</v>
      </c>
      <c r="I25" s="673">
        <v>0</v>
      </c>
      <c r="J25" s="674">
        <v>0</v>
      </c>
      <c r="K25" s="672">
        <v>0</v>
      </c>
      <c r="L25" s="673">
        <v>5</v>
      </c>
      <c r="M25" s="673">
        <v>0</v>
      </c>
      <c r="N25" s="674">
        <v>0</v>
      </c>
      <c r="O25" s="672">
        <v>0</v>
      </c>
      <c r="P25" s="673">
        <v>3</v>
      </c>
      <c r="Q25" s="673">
        <v>0</v>
      </c>
      <c r="R25" s="674">
        <v>0</v>
      </c>
      <c r="S25" s="672">
        <v>0</v>
      </c>
      <c r="T25" s="673">
        <v>0</v>
      </c>
      <c r="U25" s="673">
        <v>0</v>
      </c>
      <c r="V25" s="674">
        <v>0</v>
      </c>
      <c r="W25" s="394">
        <f t="shared" si="1"/>
        <v>22</v>
      </c>
      <c r="X25" s="676" t="s">
        <v>426</v>
      </c>
    </row>
    <row r="26" spans="1:24" x14ac:dyDescent="0.2">
      <c r="A26" s="416">
        <v>3</v>
      </c>
      <c r="B26" s="397" t="s">
        <v>162</v>
      </c>
      <c r="C26" s="386">
        <v>0</v>
      </c>
      <c r="D26" s="320">
        <v>0</v>
      </c>
      <c r="E26" s="320">
        <v>3</v>
      </c>
      <c r="F26" s="387">
        <v>0</v>
      </c>
      <c r="G26" s="386">
        <v>0</v>
      </c>
      <c r="H26" s="320">
        <v>1</v>
      </c>
      <c r="I26" s="320">
        <v>0</v>
      </c>
      <c r="J26" s="387">
        <v>0</v>
      </c>
      <c r="K26" s="386">
        <v>1</v>
      </c>
      <c r="L26" s="320">
        <v>0</v>
      </c>
      <c r="M26" s="320">
        <v>0</v>
      </c>
      <c r="N26" s="387">
        <v>0</v>
      </c>
      <c r="O26" s="386">
        <v>0</v>
      </c>
      <c r="P26" s="320">
        <v>0</v>
      </c>
      <c r="Q26" s="320">
        <v>0</v>
      </c>
      <c r="R26" s="387">
        <v>0</v>
      </c>
      <c r="S26" s="386">
        <v>0</v>
      </c>
      <c r="T26" s="320">
        <v>0</v>
      </c>
      <c r="U26" s="320">
        <v>0</v>
      </c>
      <c r="V26" s="387">
        <v>0</v>
      </c>
      <c r="W26" s="401">
        <f t="shared" si="1"/>
        <v>5</v>
      </c>
      <c r="X26" s="419">
        <v>8</v>
      </c>
    </row>
    <row r="27" spans="1:24" x14ac:dyDescent="0.2">
      <c r="A27" s="416">
        <v>6</v>
      </c>
      <c r="B27" s="418" t="s">
        <v>160</v>
      </c>
      <c r="C27" s="386">
        <v>0</v>
      </c>
      <c r="D27" s="320">
        <v>3</v>
      </c>
      <c r="E27" s="320">
        <v>3</v>
      </c>
      <c r="F27" s="387">
        <v>3</v>
      </c>
      <c r="G27" s="386">
        <v>5</v>
      </c>
      <c r="H27" s="320">
        <v>5</v>
      </c>
      <c r="I27" s="212">
        <v>3</v>
      </c>
      <c r="J27" s="387">
        <v>0</v>
      </c>
      <c r="K27" s="386">
        <v>0</v>
      </c>
      <c r="L27" s="320">
        <v>3</v>
      </c>
      <c r="M27" s="320">
        <v>1</v>
      </c>
      <c r="N27" s="387">
        <v>0</v>
      </c>
      <c r="O27" s="386">
        <v>0</v>
      </c>
      <c r="P27" s="320">
        <v>1</v>
      </c>
      <c r="Q27" s="320">
        <v>0</v>
      </c>
      <c r="R27" s="387">
        <v>0</v>
      </c>
      <c r="S27" s="386">
        <v>0</v>
      </c>
      <c r="T27" s="320">
        <v>0</v>
      </c>
      <c r="U27" s="320">
        <v>0</v>
      </c>
      <c r="V27" s="387">
        <v>5</v>
      </c>
      <c r="W27" s="401">
        <f t="shared" si="1"/>
        <v>32</v>
      </c>
      <c r="X27" s="388" t="s">
        <v>422</v>
      </c>
    </row>
    <row r="28" spans="1:24" x14ac:dyDescent="0.2">
      <c r="A28" s="670">
        <v>2</v>
      </c>
      <c r="B28" s="677" t="s">
        <v>158</v>
      </c>
      <c r="C28" s="672">
        <v>0</v>
      </c>
      <c r="D28" s="673">
        <v>3</v>
      </c>
      <c r="E28" s="673">
        <v>1</v>
      </c>
      <c r="F28" s="674">
        <v>0</v>
      </c>
      <c r="G28" s="672">
        <v>0</v>
      </c>
      <c r="H28" s="673">
        <v>0</v>
      </c>
      <c r="I28" s="673">
        <v>0</v>
      </c>
      <c r="J28" s="674">
        <v>0</v>
      </c>
      <c r="K28" s="672">
        <v>0</v>
      </c>
      <c r="L28" s="673">
        <v>0</v>
      </c>
      <c r="M28" s="673">
        <v>1</v>
      </c>
      <c r="N28" s="674">
        <v>1</v>
      </c>
      <c r="O28" s="672">
        <v>0</v>
      </c>
      <c r="P28" s="673">
        <v>0</v>
      </c>
      <c r="Q28" s="673">
        <v>0</v>
      </c>
      <c r="R28" s="674">
        <v>0</v>
      </c>
      <c r="S28" s="672">
        <v>5</v>
      </c>
      <c r="T28" s="673">
        <v>0</v>
      </c>
      <c r="U28" s="673">
        <v>0</v>
      </c>
      <c r="V28" s="674">
        <v>3</v>
      </c>
      <c r="W28" s="394">
        <f t="shared" si="1"/>
        <v>14</v>
      </c>
      <c r="X28" s="675">
        <v>6</v>
      </c>
    </row>
    <row r="29" spans="1:24" x14ac:dyDescent="0.2">
      <c r="A29" s="670">
        <v>7</v>
      </c>
      <c r="B29" s="677" t="s">
        <v>153</v>
      </c>
      <c r="C29" s="672">
        <v>0</v>
      </c>
      <c r="D29" s="673">
        <v>3</v>
      </c>
      <c r="E29" s="673">
        <v>3</v>
      </c>
      <c r="F29" s="674">
        <v>3</v>
      </c>
      <c r="G29" s="672">
        <v>0</v>
      </c>
      <c r="H29" s="673">
        <v>0</v>
      </c>
      <c r="I29" s="673">
        <v>0</v>
      </c>
      <c r="J29" s="674">
        <v>0</v>
      </c>
      <c r="K29" s="672">
        <v>0</v>
      </c>
      <c r="L29" s="673">
        <v>3</v>
      </c>
      <c r="M29" s="673">
        <v>5</v>
      </c>
      <c r="N29" s="674">
        <v>1</v>
      </c>
      <c r="O29" s="672">
        <v>1</v>
      </c>
      <c r="P29" s="673">
        <v>0</v>
      </c>
      <c r="Q29" s="673">
        <v>1</v>
      </c>
      <c r="R29" s="674">
        <v>0</v>
      </c>
      <c r="S29" s="672">
        <v>0</v>
      </c>
      <c r="T29" s="673">
        <v>3</v>
      </c>
      <c r="U29" s="673">
        <v>0</v>
      </c>
      <c r="V29" s="674">
        <v>0</v>
      </c>
      <c r="W29" s="394">
        <f t="shared" si="1"/>
        <v>23</v>
      </c>
      <c r="X29" s="676" t="s">
        <v>427</v>
      </c>
    </row>
    <row r="30" spans="1:24" x14ac:dyDescent="0.2">
      <c r="A30" s="416">
        <v>1</v>
      </c>
      <c r="B30" s="417" t="s">
        <v>210</v>
      </c>
      <c r="C30" s="386">
        <v>3</v>
      </c>
      <c r="D30" s="320">
        <v>5</v>
      </c>
      <c r="E30" s="320">
        <v>0</v>
      </c>
      <c r="F30" s="387">
        <v>3</v>
      </c>
      <c r="G30" s="386">
        <v>0</v>
      </c>
      <c r="H30" s="320">
        <v>0</v>
      </c>
      <c r="I30" s="320">
        <v>0</v>
      </c>
      <c r="J30" s="387">
        <v>0</v>
      </c>
      <c r="K30" s="386">
        <v>0</v>
      </c>
      <c r="L30" s="320">
        <v>0</v>
      </c>
      <c r="M30" s="320">
        <v>0</v>
      </c>
      <c r="N30" s="387">
        <v>0</v>
      </c>
      <c r="O30" s="386">
        <v>0</v>
      </c>
      <c r="P30" s="320">
        <v>0</v>
      </c>
      <c r="Q30" s="320">
        <v>0</v>
      </c>
      <c r="R30" s="387">
        <v>0</v>
      </c>
      <c r="S30" s="386">
        <v>0</v>
      </c>
      <c r="T30" s="320">
        <v>0</v>
      </c>
      <c r="U30" s="320">
        <v>0</v>
      </c>
      <c r="V30" s="387">
        <v>0</v>
      </c>
      <c r="W30" s="401">
        <f t="shared" si="1"/>
        <v>11</v>
      </c>
      <c r="X30" s="383">
        <v>7</v>
      </c>
    </row>
    <row r="31" spans="1:24" ht="13.5" thickBot="1" x14ac:dyDescent="0.25">
      <c r="A31" s="423">
        <v>8</v>
      </c>
      <c r="B31" s="646" t="s">
        <v>181</v>
      </c>
      <c r="C31" s="425">
        <v>3</v>
      </c>
      <c r="D31" s="426">
        <v>0</v>
      </c>
      <c r="E31" s="426">
        <v>0</v>
      </c>
      <c r="F31" s="427">
        <v>0</v>
      </c>
      <c r="G31" s="425">
        <v>0</v>
      </c>
      <c r="H31" s="426">
        <v>3</v>
      </c>
      <c r="I31" s="426">
        <v>0</v>
      </c>
      <c r="J31" s="427">
        <v>0</v>
      </c>
      <c r="K31" s="425">
        <v>1</v>
      </c>
      <c r="L31" s="426">
        <v>1</v>
      </c>
      <c r="M31" s="426">
        <v>0</v>
      </c>
      <c r="N31" s="427">
        <v>0</v>
      </c>
      <c r="O31" s="425">
        <v>1</v>
      </c>
      <c r="P31" s="426">
        <v>1</v>
      </c>
      <c r="Q31" s="426">
        <v>0</v>
      </c>
      <c r="R31" s="427">
        <v>1</v>
      </c>
      <c r="S31" s="425">
        <v>0</v>
      </c>
      <c r="T31" s="426">
        <v>0</v>
      </c>
      <c r="U31" s="426">
        <v>5</v>
      </c>
      <c r="V31" s="427">
        <v>0</v>
      </c>
      <c r="W31" s="414">
        <f t="shared" si="1"/>
        <v>16</v>
      </c>
      <c r="X31" s="647" t="s">
        <v>425</v>
      </c>
    </row>
    <row r="32" spans="1:24" x14ac:dyDescent="0.2">
      <c r="A32" s="382"/>
      <c r="B32" s="656" t="s">
        <v>430</v>
      </c>
      <c r="C32" s="650"/>
      <c r="D32" s="651"/>
      <c r="E32" s="651"/>
      <c r="F32" s="652"/>
      <c r="G32" s="650"/>
      <c r="H32" s="651"/>
      <c r="I32" s="651"/>
      <c r="J32" s="652"/>
      <c r="K32" s="650"/>
      <c r="L32" s="651"/>
      <c r="M32" s="651"/>
      <c r="N32" s="652"/>
      <c r="O32" s="650"/>
      <c r="P32" s="651"/>
      <c r="Q32" s="651"/>
      <c r="R32" s="652"/>
      <c r="S32" s="650"/>
      <c r="T32" s="651"/>
      <c r="U32" s="651"/>
      <c r="V32" s="652"/>
      <c r="W32" s="654"/>
      <c r="X32" s="654"/>
    </row>
    <row r="33" spans="1:24" x14ac:dyDescent="0.2">
      <c r="A33" s="670">
        <v>3</v>
      </c>
      <c r="B33" s="677" t="s">
        <v>159</v>
      </c>
      <c r="C33" s="672">
        <v>5</v>
      </c>
      <c r="D33" s="673">
        <v>3</v>
      </c>
      <c r="E33" s="673">
        <v>1</v>
      </c>
      <c r="F33" s="674">
        <v>3</v>
      </c>
      <c r="G33" s="672">
        <v>0</v>
      </c>
      <c r="H33" s="673">
        <v>3</v>
      </c>
      <c r="I33" s="673">
        <v>0</v>
      </c>
      <c r="J33" s="674">
        <v>0</v>
      </c>
      <c r="K33" s="672">
        <v>0</v>
      </c>
      <c r="L33" s="673">
        <v>0</v>
      </c>
      <c r="M33" s="673">
        <v>0</v>
      </c>
      <c r="N33" s="674">
        <v>0</v>
      </c>
      <c r="O33" s="672">
        <v>0</v>
      </c>
      <c r="P33" s="673">
        <v>0</v>
      </c>
      <c r="Q33" s="673">
        <v>0</v>
      </c>
      <c r="R33" s="674">
        <v>0</v>
      </c>
      <c r="S33" s="672">
        <v>0</v>
      </c>
      <c r="T33" s="673">
        <v>0</v>
      </c>
      <c r="U33" s="673">
        <v>0</v>
      </c>
      <c r="V33" s="674">
        <v>0</v>
      </c>
      <c r="W33" s="394">
        <f>SUM(C33:V33)</f>
        <v>15</v>
      </c>
      <c r="X33" s="676" t="str">
        <f ca="1">IF( INDIRECT("RC[-1]",0)=MAX(( INDIRECT("R[-1]C[-1]",0)):( INDIRECT("R[1]C[-1]",0))),"finaali","pronksi")</f>
        <v>pronksi</v>
      </c>
    </row>
    <row r="34" spans="1:24" x14ac:dyDescent="0.2">
      <c r="A34" s="670">
        <v>2</v>
      </c>
      <c r="B34" s="677" t="s">
        <v>153</v>
      </c>
      <c r="C34" s="672">
        <v>1</v>
      </c>
      <c r="D34" s="673">
        <v>1</v>
      </c>
      <c r="E34" s="673">
        <v>3</v>
      </c>
      <c r="F34" s="674">
        <v>3</v>
      </c>
      <c r="G34" s="672">
        <v>0</v>
      </c>
      <c r="H34" s="673">
        <v>3</v>
      </c>
      <c r="I34" s="673">
        <v>0</v>
      </c>
      <c r="J34" s="674">
        <v>3</v>
      </c>
      <c r="K34" s="672">
        <v>1</v>
      </c>
      <c r="L34" s="673">
        <v>1</v>
      </c>
      <c r="M34" s="673">
        <v>0</v>
      </c>
      <c r="N34" s="674">
        <v>0</v>
      </c>
      <c r="O34" s="672">
        <v>3</v>
      </c>
      <c r="P34" s="673">
        <v>0</v>
      </c>
      <c r="Q34" s="673">
        <v>0</v>
      </c>
      <c r="R34" s="674">
        <v>0</v>
      </c>
      <c r="S34" s="672">
        <v>3</v>
      </c>
      <c r="T34" s="673">
        <v>0</v>
      </c>
      <c r="U34" s="673">
        <v>0</v>
      </c>
      <c r="V34" s="674">
        <v>0</v>
      </c>
      <c r="W34" s="394">
        <f>SUM(C34:V34)</f>
        <v>22</v>
      </c>
      <c r="X34" s="676" t="str">
        <f ca="1">IF( INDIRECT("RC[-1]",0)=MAX(( INDIRECT("R[-1]C[-1]",0)):( INDIRECT("R[1]C[-1]",0))),"finaali","pronksi")</f>
        <v>finaali</v>
      </c>
    </row>
    <row r="35" spans="1:24" x14ac:dyDescent="0.2">
      <c r="A35" s="416">
        <v>4</v>
      </c>
      <c r="B35" s="417" t="s">
        <v>181</v>
      </c>
      <c r="C35" s="386">
        <v>3</v>
      </c>
      <c r="D35" s="320">
        <v>1</v>
      </c>
      <c r="E35" s="320">
        <v>3</v>
      </c>
      <c r="F35" s="387">
        <v>1</v>
      </c>
      <c r="G35" s="386">
        <v>0</v>
      </c>
      <c r="H35" s="320">
        <v>0</v>
      </c>
      <c r="I35" s="320">
        <v>0</v>
      </c>
      <c r="J35" s="387">
        <v>0</v>
      </c>
      <c r="K35" s="386">
        <v>0</v>
      </c>
      <c r="L35" s="320">
        <v>3</v>
      </c>
      <c r="M35" s="320">
        <v>3</v>
      </c>
      <c r="N35" s="387">
        <v>0</v>
      </c>
      <c r="O35" s="386">
        <v>1</v>
      </c>
      <c r="P35" s="320">
        <v>0</v>
      </c>
      <c r="Q35" s="320">
        <v>3</v>
      </c>
      <c r="R35" s="387">
        <v>0</v>
      </c>
      <c r="S35" s="386">
        <v>0</v>
      </c>
      <c r="T35" s="320">
        <v>0</v>
      </c>
      <c r="U35" s="320">
        <v>0</v>
      </c>
      <c r="V35" s="387">
        <v>0</v>
      </c>
      <c r="W35" s="401">
        <f>SUM(C35:V35)</f>
        <v>18</v>
      </c>
      <c r="X35" s="388" t="str">
        <f ca="1">IF( INDIRECT("RC[-1]",0)=MAX(( INDIRECT("R[-1]C[-1]",0)):( INDIRECT("R[1]C[-1]",0))),"finaali","pronksi")</f>
        <v>pronksi</v>
      </c>
    </row>
    <row r="36" spans="1:24" ht="13.5" thickBot="1" x14ac:dyDescent="0.25">
      <c r="A36" s="423">
        <v>1</v>
      </c>
      <c r="B36" s="424" t="s">
        <v>160</v>
      </c>
      <c r="C36" s="425">
        <v>0</v>
      </c>
      <c r="D36" s="426">
        <v>0</v>
      </c>
      <c r="E36" s="426">
        <v>0</v>
      </c>
      <c r="F36" s="427">
        <v>0</v>
      </c>
      <c r="G36" s="425">
        <v>0</v>
      </c>
      <c r="H36" s="426">
        <v>0</v>
      </c>
      <c r="I36" s="426">
        <v>0</v>
      </c>
      <c r="J36" s="427">
        <v>0</v>
      </c>
      <c r="K36" s="425">
        <v>1</v>
      </c>
      <c r="L36" s="426">
        <v>0</v>
      </c>
      <c r="M36" s="426">
        <v>0</v>
      </c>
      <c r="N36" s="427">
        <v>5</v>
      </c>
      <c r="O36" s="425">
        <v>0</v>
      </c>
      <c r="P36" s="426">
        <v>0</v>
      </c>
      <c r="Q36" s="426">
        <v>0</v>
      </c>
      <c r="R36" s="427">
        <v>0</v>
      </c>
      <c r="S36" s="425">
        <v>5</v>
      </c>
      <c r="T36" s="426">
        <v>5</v>
      </c>
      <c r="U36" s="426">
        <v>0</v>
      </c>
      <c r="V36" s="427">
        <v>0</v>
      </c>
      <c r="W36" s="414">
        <f>SUM(C36:V36)</f>
        <v>16</v>
      </c>
      <c r="X36" s="647" t="str">
        <f ca="1">IF( INDIRECT("RC[-1]",0)=MAX(( INDIRECT("R[-1]C[-1]",0)):( INDIRECT("R[1]C[-1]",0))),"finaali","pronksi")</f>
        <v>pronksi</v>
      </c>
    </row>
    <row r="37" spans="1:24" x14ac:dyDescent="0.2">
      <c r="A37" s="382"/>
      <c r="B37" s="649" t="s">
        <v>431</v>
      </c>
      <c r="C37" s="650"/>
      <c r="D37" s="651"/>
      <c r="E37" s="651"/>
      <c r="F37" s="652"/>
      <c r="G37" s="650"/>
      <c r="H37" s="651"/>
      <c r="I37" s="651"/>
      <c r="J37" s="652"/>
      <c r="K37" s="650"/>
      <c r="L37" s="651"/>
      <c r="M37" s="651"/>
      <c r="N37" s="652"/>
      <c r="O37" s="650"/>
      <c r="P37" s="651"/>
      <c r="Q37" s="651"/>
      <c r="R37" s="652"/>
      <c r="S37" s="650"/>
      <c r="T37" s="651"/>
      <c r="U37" s="651"/>
      <c r="V37" s="652"/>
      <c r="W37" s="653"/>
      <c r="X37" s="654"/>
    </row>
    <row r="38" spans="1:24" x14ac:dyDescent="0.2">
      <c r="A38" s="416"/>
      <c r="B38" s="418" t="s">
        <v>160</v>
      </c>
      <c r="C38" s="386">
        <v>0</v>
      </c>
      <c r="D38" s="320">
        <v>3</v>
      </c>
      <c r="E38" s="320">
        <v>1</v>
      </c>
      <c r="F38" s="387">
        <v>3</v>
      </c>
      <c r="G38" s="386">
        <v>0</v>
      </c>
      <c r="H38" s="320">
        <v>0</v>
      </c>
      <c r="I38" s="320">
        <v>0</v>
      </c>
      <c r="J38" s="387">
        <v>0</v>
      </c>
      <c r="K38" s="386">
        <v>0</v>
      </c>
      <c r="L38" s="320">
        <v>0</v>
      </c>
      <c r="M38" s="320">
        <v>0</v>
      </c>
      <c r="N38" s="387">
        <v>3</v>
      </c>
      <c r="O38" s="386">
        <v>0</v>
      </c>
      <c r="P38" s="320">
        <v>3</v>
      </c>
      <c r="Q38" s="320">
        <v>3</v>
      </c>
      <c r="R38" s="387">
        <v>3</v>
      </c>
      <c r="S38" s="386">
        <v>5</v>
      </c>
      <c r="T38" s="320">
        <v>5</v>
      </c>
      <c r="U38" s="320">
        <v>3</v>
      </c>
      <c r="V38" s="387">
        <v>0</v>
      </c>
      <c r="W38" s="401">
        <f>SUM(C38:V38)</f>
        <v>32</v>
      </c>
      <c r="X38" s="383" t="str">
        <f ca="1">IF( INDIRECT("RC[-1]",0)=MAX(( INDIRECT("R[-1]C[-1]",0)):( INDIRECT("R[1]C[-1]",0))),"3","4")</f>
        <v>3</v>
      </c>
    </row>
    <row r="39" spans="1:24" x14ac:dyDescent="0.2">
      <c r="A39" s="416"/>
      <c r="B39" s="417" t="s">
        <v>159</v>
      </c>
      <c r="C39" s="386">
        <v>1</v>
      </c>
      <c r="D39" s="320">
        <v>0</v>
      </c>
      <c r="E39" s="320">
        <v>0</v>
      </c>
      <c r="F39" s="387">
        <v>0</v>
      </c>
      <c r="G39" s="386">
        <v>1</v>
      </c>
      <c r="H39" s="320">
        <v>0</v>
      </c>
      <c r="I39" s="320">
        <v>0</v>
      </c>
      <c r="J39" s="387">
        <v>0</v>
      </c>
      <c r="K39" s="386">
        <v>5</v>
      </c>
      <c r="L39" s="320">
        <v>5</v>
      </c>
      <c r="M39" s="320">
        <v>3</v>
      </c>
      <c r="N39" s="387">
        <v>0</v>
      </c>
      <c r="O39" s="386">
        <v>0</v>
      </c>
      <c r="P39" s="320">
        <v>3</v>
      </c>
      <c r="Q39" s="320">
        <v>0</v>
      </c>
      <c r="R39" s="387">
        <v>0</v>
      </c>
      <c r="S39" s="386">
        <v>0</v>
      </c>
      <c r="T39" s="320">
        <v>0</v>
      </c>
      <c r="U39" s="320">
        <v>5</v>
      </c>
      <c r="V39" s="387">
        <v>0</v>
      </c>
      <c r="W39" s="401">
        <f>SUM(C39:V39)</f>
        <v>23</v>
      </c>
      <c r="X39" s="383" t="str">
        <f ca="1">IF( INDIRECT("RC[-1]",0)=MAX(( INDIRECT("R[-1]C[-1]",0)):( INDIRECT("R[1]C[-1]",0))),"3","4")</f>
        <v>4</v>
      </c>
    </row>
    <row r="40" spans="1:24" x14ac:dyDescent="0.2">
      <c r="A40" s="416"/>
      <c r="B40" s="421" t="s">
        <v>432</v>
      </c>
      <c r="C40" s="386"/>
      <c r="D40" s="320"/>
      <c r="E40" s="320"/>
      <c r="F40" s="387"/>
      <c r="G40" s="386"/>
      <c r="H40" s="320"/>
      <c r="I40" s="320"/>
      <c r="J40" s="387"/>
      <c r="K40" s="386"/>
      <c r="L40" s="320"/>
      <c r="M40" s="320"/>
      <c r="N40" s="387"/>
      <c r="O40" s="386"/>
      <c r="P40" s="320"/>
      <c r="Q40" s="320"/>
      <c r="R40" s="387"/>
      <c r="S40" s="386"/>
      <c r="T40" s="320"/>
      <c r="U40" s="320"/>
      <c r="V40" s="387"/>
      <c r="W40" s="401"/>
      <c r="X40" s="388"/>
    </row>
    <row r="41" spans="1:24" x14ac:dyDescent="0.2">
      <c r="A41" s="416"/>
      <c r="B41" s="417" t="s">
        <v>153</v>
      </c>
      <c r="C41" s="386">
        <v>3</v>
      </c>
      <c r="D41" s="320">
        <v>0</v>
      </c>
      <c r="E41" s="320">
        <v>1</v>
      </c>
      <c r="F41" s="387">
        <v>0</v>
      </c>
      <c r="G41" s="386">
        <v>0</v>
      </c>
      <c r="H41" s="320">
        <v>3</v>
      </c>
      <c r="I41" s="320">
        <v>3</v>
      </c>
      <c r="J41" s="387">
        <v>3</v>
      </c>
      <c r="K41" s="386">
        <v>0</v>
      </c>
      <c r="L41" s="320">
        <v>0</v>
      </c>
      <c r="M41" s="320">
        <v>3</v>
      </c>
      <c r="N41" s="387">
        <v>0</v>
      </c>
      <c r="O41" s="386">
        <v>0</v>
      </c>
      <c r="P41" s="320">
        <v>0</v>
      </c>
      <c r="Q41" s="320">
        <v>1</v>
      </c>
      <c r="R41" s="387">
        <v>0</v>
      </c>
      <c r="S41" s="386">
        <v>0</v>
      </c>
      <c r="T41" s="320">
        <v>3</v>
      </c>
      <c r="U41" s="320">
        <v>3</v>
      </c>
      <c r="V41" s="387">
        <v>5</v>
      </c>
      <c r="W41" s="401">
        <f>SUM(C41:V41)</f>
        <v>28</v>
      </c>
      <c r="X41" s="383" t="str">
        <f ca="1">IF( INDIRECT("RC[-1]",0)=MAX(( INDIRECT("R[-1]C[-1]",0)):( INDIRECT("R[1]C[-1]",0))),"1","2")</f>
        <v>1</v>
      </c>
    </row>
    <row r="42" spans="1:24" ht="13.5" thickBot="1" x14ac:dyDescent="0.25">
      <c r="A42" s="423"/>
      <c r="B42" s="477" t="s">
        <v>181</v>
      </c>
      <c r="C42" s="425">
        <v>0</v>
      </c>
      <c r="D42" s="426">
        <v>1</v>
      </c>
      <c r="E42" s="426">
        <v>0</v>
      </c>
      <c r="F42" s="427">
        <v>0</v>
      </c>
      <c r="G42" s="425">
        <v>3</v>
      </c>
      <c r="H42" s="426">
        <v>0</v>
      </c>
      <c r="I42" s="426">
        <v>3</v>
      </c>
      <c r="J42" s="427">
        <v>0</v>
      </c>
      <c r="K42" s="425">
        <v>1</v>
      </c>
      <c r="L42" s="426">
        <v>0</v>
      </c>
      <c r="M42" s="426">
        <v>0</v>
      </c>
      <c r="N42" s="427">
        <v>0</v>
      </c>
      <c r="O42" s="425">
        <v>0</v>
      </c>
      <c r="P42" s="426">
        <v>0</v>
      </c>
      <c r="Q42" s="426">
        <v>3</v>
      </c>
      <c r="R42" s="427">
        <v>3</v>
      </c>
      <c r="S42" s="425">
        <v>0</v>
      </c>
      <c r="T42" s="426">
        <v>0</v>
      </c>
      <c r="U42" s="426">
        <v>0</v>
      </c>
      <c r="V42" s="427">
        <v>0</v>
      </c>
      <c r="W42" s="414">
        <f>SUM(C42:V42)</f>
        <v>14</v>
      </c>
      <c r="X42" s="428" t="str">
        <f ca="1">IF( INDIRECT("RC[-1]",0)=MAX(( INDIRECT("R[-1]C[-1]",0)):( INDIRECT("R[1]C[-1]",0))),"1","2")</f>
        <v>2</v>
      </c>
    </row>
    <row r="44" spans="1:24" x14ac:dyDescent="0.2">
      <c r="A44" s="429">
        <v>1</v>
      </c>
      <c r="B44" s="478" t="s">
        <v>153</v>
      </c>
      <c r="G44" s="429">
        <v>10</v>
      </c>
      <c r="H44" s="682" t="s">
        <v>174</v>
      </c>
      <c r="I44" s="680"/>
      <c r="J44" s="680"/>
      <c r="K44" s="680"/>
      <c r="L44" s="680"/>
      <c r="M44" s="680"/>
      <c r="N44" s="681"/>
    </row>
    <row r="45" spans="1:24" x14ac:dyDescent="0.2">
      <c r="A45" s="429">
        <v>2</v>
      </c>
      <c r="B45" s="433" t="s">
        <v>181</v>
      </c>
      <c r="C45" s="479"/>
      <c r="D45" s="479"/>
      <c r="E45" s="479"/>
      <c r="F45" s="479"/>
      <c r="G45" s="429">
        <v>12</v>
      </c>
      <c r="H45" s="679" t="s">
        <v>161</v>
      </c>
      <c r="I45" s="680"/>
      <c r="J45" s="680"/>
      <c r="K45" s="680"/>
      <c r="L45" s="680"/>
      <c r="M45" s="680"/>
      <c r="N45" s="681"/>
    </row>
    <row r="46" spans="1:24" x14ac:dyDescent="0.2">
      <c r="A46" s="429">
        <v>3</v>
      </c>
      <c r="B46" s="434" t="s">
        <v>160</v>
      </c>
      <c r="C46" s="479"/>
      <c r="D46" s="479"/>
      <c r="E46" s="479"/>
      <c r="F46" s="479"/>
      <c r="G46" s="429">
        <v>12</v>
      </c>
      <c r="H46" s="679" t="s">
        <v>167</v>
      </c>
      <c r="I46" s="680"/>
      <c r="J46" s="680"/>
      <c r="K46" s="680"/>
      <c r="L46" s="680"/>
      <c r="M46" s="680"/>
      <c r="N46" s="681"/>
    </row>
    <row r="47" spans="1:24" x14ac:dyDescent="0.2">
      <c r="A47" s="429">
        <v>4</v>
      </c>
      <c r="B47" s="435" t="s">
        <v>159</v>
      </c>
      <c r="C47" s="479"/>
      <c r="D47" s="479"/>
      <c r="E47" s="479"/>
      <c r="F47" s="479"/>
      <c r="G47" s="429">
        <v>14</v>
      </c>
      <c r="H47" s="682" t="s">
        <v>157</v>
      </c>
      <c r="I47" s="680"/>
      <c r="J47" s="680"/>
      <c r="K47" s="680"/>
      <c r="L47" s="680"/>
      <c r="M47" s="680"/>
      <c r="N47" s="681"/>
    </row>
    <row r="48" spans="1:24" x14ac:dyDescent="0.2">
      <c r="A48" s="429">
        <v>5</v>
      </c>
      <c r="B48" s="435" t="s">
        <v>177</v>
      </c>
      <c r="C48" s="479"/>
      <c r="D48" s="479"/>
      <c r="E48" s="479"/>
      <c r="F48" s="479"/>
      <c r="G48" s="479"/>
      <c r="H48" s="479"/>
      <c r="I48" s="479"/>
      <c r="J48" s="479"/>
    </row>
    <row r="49" spans="1:10" x14ac:dyDescent="0.2">
      <c r="A49" s="429">
        <v>6</v>
      </c>
      <c r="B49" s="435" t="s">
        <v>158</v>
      </c>
      <c r="C49" s="479"/>
      <c r="D49" s="479"/>
      <c r="E49" s="479"/>
      <c r="F49" s="479"/>
      <c r="G49" s="479"/>
      <c r="H49" s="479"/>
      <c r="I49" s="479"/>
      <c r="J49" s="479"/>
    </row>
    <row r="50" spans="1:10" x14ac:dyDescent="0.2">
      <c r="A50" s="429">
        <v>7</v>
      </c>
      <c r="B50" s="435" t="s">
        <v>210</v>
      </c>
      <c r="C50" s="479"/>
      <c r="D50" s="479"/>
      <c r="E50" s="479"/>
      <c r="F50" s="479"/>
      <c r="G50" s="479"/>
      <c r="H50" s="479"/>
      <c r="I50" s="479"/>
      <c r="J50" s="479"/>
    </row>
    <row r="51" spans="1:10" x14ac:dyDescent="0.2">
      <c r="A51" s="429">
        <v>8</v>
      </c>
      <c r="B51" s="198" t="s">
        <v>162</v>
      </c>
      <c r="C51" s="479"/>
      <c r="D51" s="479"/>
      <c r="E51" s="479"/>
      <c r="F51" s="479"/>
      <c r="G51" s="479"/>
      <c r="H51" s="479"/>
      <c r="I51" s="479"/>
      <c r="J51" s="479"/>
    </row>
    <row r="52" spans="1:10" x14ac:dyDescent="0.2">
      <c r="A52" s="429">
        <v>9</v>
      </c>
      <c r="B52" s="480" t="s">
        <v>178</v>
      </c>
      <c r="C52" s="479"/>
      <c r="D52" s="479"/>
      <c r="E52" s="479"/>
      <c r="F52" s="479"/>
      <c r="G52" s="479"/>
      <c r="H52" s="479"/>
      <c r="I52" s="479"/>
      <c r="J52" s="479"/>
    </row>
    <row r="53" spans="1:10" x14ac:dyDescent="0.2">
      <c r="A53" s="429">
        <v>10</v>
      </c>
      <c r="B53" s="198" t="s">
        <v>164</v>
      </c>
      <c r="C53" s="479"/>
      <c r="D53" s="479"/>
      <c r="E53" s="479"/>
      <c r="F53" s="479"/>
      <c r="G53" s="479"/>
      <c r="H53" s="479"/>
      <c r="I53" s="479"/>
      <c r="J53" s="479"/>
    </row>
    <row r="54" spans="1:10" x14ac:dyDescent="0.2">
      <c r="C54" s="479"/>
      <c r="D54" s="479"/>
      <c r="E54" s="479"/>
      <c r="F54" s="479"/>
      <c r="G54" s="479"/>
      <c r="H54" s="479"/>
      <c r="I54" s="479"/>
      <c r="J54" s="479"/>
    </row>
    <row r="55" spans="1:10" x14ac:dyDescent="0.2">
      <c r="C55" s="479"/>
      <c r="D55" s="479"/>
      <c r="E55" s="479"/>
      <c r="F55" s="479"/>
      <c r="G55" s="479"/>
      <c r="H55" s="479"/>
      <c r="I55" s="479"/>
      <c r="J55" s="479"/>
    </row>
    <row r="56" spans="1:10" x14ac:dyDescent="0.2">
      <c r="C56" s="479"/>
      <c r="D56" s="479"/>
      <c r="E56" s="479"/>
      <c r="F56" s="479"/>
      <c r="G56" s="479"/>
      <c r="H56" s="479"/>
      <c r="I56" s="479"/>
      <c r="J56" s="479"/>
    </row>
    <row r="57" spans="1:10" x14ac:dyDescent="0.2">
      <c r="C57" s="479"/>
      <c r="D57" s="479"/>
      <c r="E57" s="479"/>
      <c r="F57" s="479"/>
      <c r="G57" s="479"/>
      <c r="H57" s="479"/>
      <c r="I57" s="479"/>
      <c r="J57" s="479"/>
    </row>
  </sheetData>
  <conditionalFormatting sqref="W41:W42">
    <cfRule type="top10" dxfId="73" priority="1" rank="1"/>
  </conditionalFormatting>
  <conditionalFormatting sqref="W24:W25">
    <cfRule type="top10" dxfId="72" priority="8" rank="1"/>
  </conditionalFormatting>
  <conditionalFormatting sqref="W26:W27">
    <cfRule type="top10" dxfId="71" priority="7" rank="1"/>
  </conditionalFormatting>
  <conditionalFormatting sqref="W28:W29">
    <cfRule type="top10" dxfId="70" priority="6" rank="1"/>
  </conditionalFormatting>
  <conditionalFormatting sqref="W30:W31">
    <cfRule type="top10" dxfId="69" priority="5" rank="1"/>
  </conditionalFormatting>
  <conditionalFormatting sqref="W33:W34">
    <cfRule type="top10" dxfId="68" priority="4" rank="1"/>
  </conditionalFormatting>
  <conditionalFormatting sqref="W35:W36">
    <cfRule type="top10" dxfId="67" priority="3" rank="1"/>
  </conditionalFormatting>
  <conditionalFormatting sqref="W38:W39">
    <cfRule type="top10" dxfId="66" priority="2" rank="1"/>
  </conditionalFormatting>
  <conditionalFormatting sqref="W9:W42">
    <cfRule type="top10" dxfId="65" priority="53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zoomScaleNormal="100" workbookViewId="0">
      <pane ySplit="7" topLeftCell="A8" activePane="bottomLeft" state="frozen"/>
      <selection pane="bottomLeft" activeCell="W1" sqref="W1"/>
    </sheetView>
  </sheetViews>
  <sheetFormatPr defaultRowHeight="12.75" x14ac:dyDescent="0.2"/>
  <cols>
    <col min="1" max="1" width="3" style="379" customWidth="1"/>
    <col min="2" max="2" width="18.7109375" style="379" customWidth="1"/>
    <col min="3" max="22" width="2.85546875" style="379" customWidth="1"/>
    <col min="23" max="23" width="3" style="379" bestFit="1" customWidth="1"/>
    <col min="24" max="24" width="10.5703125" style="379" customWidth="1"/>
    <col min="25" max="16384" width="9.140625" style="379"/>
  </cols>
  <sheetData>
    <row r="1" spans="1:24" s="380" customFormat="1" x14ac:dyDescent="0.2">
      <c r="A1" s="58" t="str">
        <f>UPPER((Kalend!E40)&amp;" - "&amp;(Kalend!C40)&amp;" - "&amp;(Kalend!D40))</f>
        <v>T5 - TULISTAMISE NELJAPÄEVAK 5 - TULISTAMINE</v>
      </c>
      <c r="N1" s="239" t="str">
        <f>HYPERLINK("#'Kalend'!I1","Kalender")</f>
        <v>Kalender</v>
      </c>
      <c r="O1" s="59"/>
      <c r="Q1" s="59"/>
      <c r="R1" s="239" t="str">
        <f>HYPERLINK("#'Reit'!G1","Reiting")</f>
        <v>Reiting</v>
      </c>
      <c r="S1" s="59"/>
      <c r="U1" s="381"/>
    </row>
    <row r="2" spans="1:24" s="380" customFormat="1" x14ac:dyDescent="0.2">
      <c r="A2" s="59" t="str">
        <f>"Toimumisaeg: "&amp;(Kalend!A40)&amp;" kell "&amp;(Kalend!B40)</f>
        <v>Toimumisaeg: N, 03.09.2015 kell 18:00</v>
      </c>
    </row>
    <row r="3" spans="1:24" s="380" customFormat="1" x14ac:dyDescent="0.2">
      <c r="A3" s="59" t="str">
        <f>"Toimumiskoht: "&amp;(Kalend!F40)</f>
        <v>Toimumiskoht: K-Järve spordihoone</v>
      </c>
    </row>
    <row r="4" spans="1:24" s="380" customFormat="1" x14ac:dyDescent="0.2">
      <c r="A4" s="59" t="str">
        <f>"Korraldaja: "&amp;(Kalend!G40)</f>
        <v>Korraldaja: K-Järve SHK, Ivar Viljaste</v>
      </c>
    </row>
    <row r="5" spans="1:24" s="380" customFormat="1" ht="13.5" thickBot="1" x14ac:dyDescent="0.25"/>
    <row r="6" spans="1:24" ht="63.75" customHeight="1" thickBot="1" x14ac:dyDescent="0.25">
      <c r="A6" s="648"/>
      <c r="B6" s="658"/>
      <c r="C6" s="657"/>
      <c r="D6" s="657"/>
      <c r="E6" s="657"/>
      <c r="F6" s="657"/>
      <c r="G6" s="659"/>
      <c r="H6" s="657"/>
      <c r="I6" s="657"/>
      <c r="J6" s="660"/>
      <c r="K6" s="657"/>
      <c r="L6" s="657"/>
      <c r="M6" s="657"/>
      <c r="N6" s="657"/>
      <c r="O6" s="659"/>
      <c r="P6" s="657"/>
      <c r="Q6" s="657"/>
      <c r="R6" s="660"/>
      <c r="S6" s="657"/>
      <c r="T6" s="657"/>
      <c r="U6" s="657"/>
      <c r="V6" s="657"/>
      <c r="W6" s="661"/>
      <c r="X6" s="661"/>
    </row>
    <row r="7" spans="1:24" s="309" customFormat="1" ht="13.5" thickBot="1" x14ac:dyDescent="0.25">
      <c r="A7" s="668"/>
      <c r="B7" s="662"/>
      <c r="C7" s="663">
        <v>6</v>
      </c>
      <c r="D7" s="664">
        <v>7</v>
      </c>
      <c r="E7" s="664">
        <v>8</v>
      </c>
      <c r="F7" s="665">
        <v>9</v>
      </c>
      <c r="G7" s="663">
        <v>6</v>
      </c>
      <c r="H7" s="664">
        <v>7</v>
      </c>
      <c r="I7" s="664">
        <v>8</v>
      </c>
      <c r="J7" s="665">
        <v>9</v>
      </c>
      <c r="K7" s="663">
        <v>6</v>
      </c>
      <c r="L7" s="664">
        <v>7</v>
      </c>
      <c r="M7" s="664">
        <v>8</v>
      </c>
      <c r="N7" s="665">
        <v>9</v>
      </c>
      <c r="O7" s="663">
        <v>6</v>
      </c>
      <c r="P7" s="664">
        <v>7</v>
      </c>
      <c r="Q7" s="664">
        <v>8</v>
      </c>
      <c r="R7" s="665">
        <v>9</v>
      </c>
      <c r="S7" s="663">
        <v>6</v>
      </c>
      <c r="T7" s="664">
        <v>7</v>
      </c>
      <c r="U7" s="664">
        <v>8</v>
      </c>
      <c r="V7" s="665">
        <v>9</v>
      </c>
      <c r="W7" s="666" t="s">
        <v>148</v>
      </c>
      <c r="X7" s="667" t="s">
        <v>580</v>
      </c>
    </row>
    <row r="8" spans="1:24" s="290" customFormat="1" x14ac:dyDescent="0.2">
      <c r="A8" s="669"/>
      <c r="B8" s="656" t="s">
        <v>579</v>
      </c>
      <c r="C8" s="650"/>
      <c r="D8" s="651"/>
      <c r="E8" s="651"/>
      <c r="F8" s="652"/>
      <c r="G8" s="650"/>
      <c r="H8" s="651"/>
      <c r="I8" s="651"/>
      <c r="J8" s="652"/>
      <c r="K8" s="650"/>
      <c r="L8" s="651"/>
      <c r="M8" s="651"/>
      <c r="N8" s="652"/>
      <c r="O8" s="650"/>
      <c r="P8" s="651"/>
      <c r="Q8" s="651"/>
      <c r="R8" s="652"/>
      <c r="S8" s="650"/>
      <c r="T8" s="651"/>
      <c r="U8" s="651"/>
      <c r="V8" s="652"/>
      <c r="W8" s="669"/>
      <c r="X8" s="654"/>
    </row>
    <row r="9" spans="1:24" s="290" customFormat="1" x14ac:dyDescent="0.2">
      <c r="A9" s="389">
        <v>1</v>
      </c>
      <c r="B9" s="390" t="s">
        <v>157</v>
      </c>
      <c r="C9" s="391">
        <v>0</v>
      </c>
      <c r="D9" s="392">
        <v>3</v>
      </c>
      <c r="E9" s="392">
        <v>3</v>
      </c>
      <c r="F9" s="393">
        <v>0</v>
      </c>
      <c r="G9" s="391">
        <v>0</v>
      </c>
      <c r="H9" s="392">
        <v>0</v>
      </c>
      <c r="I9" s="392">
        <v>3</v>
      </c>
      <c r="J9" s="393">
        <v>0</v>
      </c>
      <c r="K9" s="391">
        <v>0</v>
      </c>
      <c r="L9" s="392">
        <v>0</v>
      </c>
      <c r="M9" s="392">
        <v>0</v>
      </c>
      <c r="N9" s="393">
        <v>0</v>
      </c>
      <c r="O9" s="391">
        <v>3</v>
      </c>
      <c r="P9" s="392">
        <v>0</v>
      </c>
      <c r="Q9" s="392">
        <v>0</v>
      </c>
      <c r="R9" s="393">
        <v>0</v>
      </c>
      <c r="S9" s="391">
        <v>0</v>
      </c>
      <c r="T9" s="392">
        <v>5</v>
      </c>
      <c r="U9" s="392">
        <v>0</v>
      </c>
      <c r="V9" s="393">
        <v>0</v>
      </c>
      <c r="W9" s="394">
        <f t="shared" ref="W9:W15" si="0">SUM(C9:V9)</f>
        <v>17</v>
      </c>
      <c r="X9" s="394" t="s">
        <v>428</v>
      </c>
    </row>
    <row r="10" spans="1:24" s="290" customFormat="1" x14ac:dyDescent="0.2">
      <c r="A10" s="389">
        <v>2</v>
      </c>
      <c r="B10" s="396" t="s">
        <v>164</v>
      </c>
      <c r="C10" s="391">
        <v>0</v>
      </c>
      <c r="D10" s="392">
        <v>0</v>
      </c>
      <c r="E10" s="392">
        <v>0</v>
      </c>
      <c r="F10" s="393">
        <v>0</v>
      </c>
      <c r="G10" s="391">
        <v>3</v>
      </c>
      <c r="H10" s="392">
        <v>3</v>
      </c>
      <c r="I10" s="392">
        <v>0</v>
      </c>
      <c r="J10" s="393">
        <v>0</v>
      </c>
      <c r="K10" s="391">
        <v>1</v>
      </c>
      <c r="L10" s="392">
        <v>0</v>
      </c>
      <c r="M10" s="392">
        <v>0</v>
      </c>
      <c r="N10" s="393">
        <v>0</v>
      </c>
      <c r="O10" s="391">
        <v>0</v>
      </c>
      <c r="P10" s="392">
        <v>1</v>
      </c>
      <c r="Q10" s="392">
        <v>0</v>
      </c>
      <c r="R10" s="393">
        <v>0</v>
      </c>
      <c r="S10" s="391">
        <v>0</v>
      </c>
      <c r="T10" s="392">
        <v>0</v>
      </c>
      <c r="U10" s="392">
        <v>0</v>
      </c>
      <c r="V10" s="393">
        <v>0</v>
      </c>
      <c r="W10" s="394">
        <f t="shared" si="0"/>
        <v>8</v>
      </c>
      <c r="X10" s="394" t="s">
        <v>423</v>
      </c>
    </row>
    <row r="11" spans="1:24" s="290" customFormat="1" x14ac:dyDescent="0.2">
      <c r="A11" s="384">
        <v>3</v>
      </c>
      <c r="B11" s="244" t="s">
        <v>158</v>
      </c>
      <c r="C11" s="398">
        <v>1</v>
      </c>
      <c r="D11" s="399">
        <v>3</v>
      </c>
      <c r="E11" s="399">
        <v>0</v>
      </c>
      <c r="F11" s="400">
        <v>3</v>
      </c>
      <c r="G11" s="398">
        <v>0</v>
      </c>
      <c r="H11" s="399">
        <v>0</v>
      </c>
      <c r="I11" s="399">
        <v>0</v>
      </c>
      <c r="J11" s="400">
        <v>3</v>
      </c>
      <c r="K11" s="398">
        <v>1</v>
      </c>
      <c r="L11" s="399">
        <v>1</v>
      </c>
      <c r="M11" s="399">
        <v>0</v>
      </c>
      <c r="N11" s="400">
        <v>3</v>
      </c>
      <c r="O11" s="398">
        <v>3</v>
      </c>
      <c r="P11" s="399">
        <v>0</v>
      </c>
      <c r="Q11" s="399">
        <v>0</v>
      </c>
      <c r="R11" s="400">
        <v>0</v>
      </c>
      <c r="S11" s="398">
        <v>3</v>
      </c>
      <c r="T11" s="399">
        <v>0</v>
      </c>
      <c r="U11" s="399">
        <v>0</v>
      </c>
      <c r="V11" s="400">
        <v>0</v>
      </c>
      <c r="W11" s="401">
        <f t="shared" si="0"/>
        <v>21</v>
      </c>
      <c r="X11" s="401" t="s">
        <v>425</v>
      </c>
    </row>
    <row r="12" spans="1:24" s="290" customFormat="1" x14ac:dyDescent="0.2">
      <c r="A12" s="384">
        <v>4</v>
      </c>
      <c r="B12" s="397" t="s">
        <v>160</v>
      </c>
      <c r="C12" s="398">
        <v>3</v>
      </c>
      <c r="D12" s="399">
        <v>0</v>
      </c>
      <c r="E12" s="399">
        <v>5</v>
      </c>
      <c r="F12" s="400">
        <v>3</v>
      </c>
      <c r="G12" s="398">
        <v>0</v>
      </c>
      <c r="H12" s="399">
        <v>5</v>
      </c>
      <c r="I12" s="399">
        <v>0</v>
      </c>
      <c r="J12" s="400">
        <v>0</v>
      </c>
      <c r="K12" s="398">
        <v>0</v>
      </c>
      <c r="L12" s="399">
        <v>5</v>
      </c>
      <c r="M12" s="399">
        <v>5</v>
      </c>
      <c r="N12" s="400">
        <v>0</v>
      </c>
      <c r="O12" s="398">
        <v>0</v>
      </c>
      <c r="P12" s="399">
        <v>0</v>
      </c>
      <c r="Q12" s="399">
        <v>3</v>
      </c>
      <c r="R12" s="400">
        <v>0</v>
      </c>
      <c r="S12" s="398">
        <v>0</v>
      </c>
      <c r="T12" s="399">
        <v>0</v>
      </c>
      <c r="U12" s="399">
        <v>0</v>
      </c>
      <c r="V12" s="400">
        <v>0</v>
      </c>
      <c r="W12" s="401">
        <f t="shared" si="0"/>
        <v>29</v>
      </c>
      <c r="X12" s="401" t="s">
        <v>427</v>
      </c>
    </row>
    <row r="13" spans="1:24" s="290" customFormat="1" x14ac:dyDescent="0.2">
      <c r="A13" s="389">
        <v>5</v>
      </c>
      <c r="B13" s="390" t="s">
        <v>181</v>
      </c>
      <c r="C13" s="391">
        <v>0</v>
      </c>
      <c r="D13" s="392">
        <v>3</v>
      </c>
      <c r="E13" s="392">
        <v>0</v>
      </c>
      <c r="F13" s="393">
        <v>3</v>
      </c>
      <c r="G13" s="391">
        <v>3</v>
      </c>
      <c r="H13" s="392">
        <v>3</v>
      </c>
      <c r="I13" s="392">
        <v>3</v>
      </c>
      <c r="J13" s="393">
        <v>0</v>
      </c>
      <c r="K13" s="391">
        <v>5</v>
      </c>
      <c r="L13" s="392">
        <v>3</v>
      </c>
      <c r="M13" s="392">
        <v>0</v>
      </c>
      <c r="N13" s="393">
        <v>0</v>
      </c>
      <c r="O13" s="391">
        <v>5</v>
      </c>
      <c r="P13" s="392">
        <v>0</v>
      </c>
      <c r="Q13" s="392">
        <v>0</v>
      </c>
      <c r="R13" s="393">
        <v>0</v>
      </c>
      <c r="S13" s="391">
        <v>0</v>
      </c>
      <c r="T13" s="392">
        <v>3</v>
      </c>
      <c r="U13" s="392">
        <v>0</v>
      </c>
      <c r="V13" s="393">
        <v>0</v>
      </c>
      <c r="W13" s="404">
        <f t="shared" si="0"/>
        <v>31</v>
      </c>
      <c r="X13" s="394" t="s">
        <v>422</v>
      </c>
    </row>
    <row r="14" spans="1:24" s="290" customFormat="1" x14ac:dyDescent="0.2">
      <c r="A14" s="389">
        <v>6</v>
      </c>
      <c r="B14" s="390" t="s">
        <v>153</v>
      </c>
      <c r="C14" s="391">
        <v>3</v>
      </c>
      <c r="D14" s="392">
        <v>0</v>
      </c>
      <c r="E14" s="392">
        <v>3</v>
      </c>
      <c r="F14" s="393">
        <v>0</v>
      </c>
      <c r="G14" s="391">
        <v>0</v>
      </c>
      <c r="H14" s="392">
        <v>0</v>
      </c>
      <c r="I14" s="392">
        <v>0</v>
      </c>
      <c r="J14" s="393">
        <v>1</v>
      </c>
      <c r="K14" s="391">
        <v>0</v>
      </c>
      <c r="L14" s="392">
        <v>0</v>
      </c>
      <c r="M14" s="392">
        <v>1</v>
      </c>
      <c r="N14" s="393">
        <v>0</v>
      </c>
      <c r="O14" s="391">
        <v>0</v>
      </c>
      <c r="P14" s="392">
        <v>0</v>
      </c>
      <c r="Q14" s="392">
        <v>0</v>
      </c>
      <c r="R14" s="393">
        <v>3</v>
      </c>
      <c r="S14" s="391">
        <v>0</v>
      </c>
      <c r="T14" s="392">
        <v>5</v>
      </c>
      <c r="U14" s="392">
        <v>5</v>
      </c>
      <c r="V14" s="393">
        <v>0</v>
      </c>
      <c r="W14" s="394">
        <f t="shared" si="0"/>
        <v>21</v>
      </c>
      <c r="X14" s="394" t="s">
        <v>426</v>
      </c>
    </row>
    <row r="15" spans="1:24" s="290" customFormat="1" ht="13.5" thickBot="1" x14ac:dyDescent="0.25">
      <c r="A15" s="409">
        <v>7</v>
      </c>
      <c r="B15" s="487" t="s">
        <v>159</v>
      </c>
      <c r="C15" s="411">
        <v>0</v>
      </c>
      <c r="D15" s="412">
        <v>0</v>
      </c>
      <c r="E15" s="412">
        <v>3</v>
      </c>
      <c r="F15" s="413">
        <v>0</v>
      </c>
      <c r="G15" s="411">
        <v>0</v>
      </c>
      <c r="H15" s="412">
        <v>0</v>
      </c>
      <c r="I15" s="412">
        <v>0</v>
      </c>
      <c r="J15" s="413">
        <v>0</v>
      </c>
      <c r="K15" s="411">
        <v>0</v>
      </c>
      <c r="L15" s="412">
        <v>0</v>
      </c>
      <c r="M15" s="412">
        <v>0</v>
      </c>
      <c r="N15" s="413">
        <v>0</v>
      </c>
      <c r="O15" s="411">
        <v>5</v>
      </c>
      <c r="P15" s="412">
        <v>0</v>
      </c>
      <c r="Q15" s="412">
        <v>0</v>
      </c>
      <c r="R15" s="413">
        <v>0</v>
      </c>
      <c r="S15" s="411">
        <v>0</v>
      </c>
      <c r="T15" s="412">
        <v>0</v>
      </c>
      <c r="U15" s="412">
        <v>0</v>
      </c>
      <c r="V15" s="413">
        <v>0</v>
      </c>
      <c r="W15" s="414">
        <f t="shared" si="0"/>
        <v>8</v>
      </c>
      <c r="X15" s="414" t="s">
        <v>424</v>
      </c>
    </row>
    <row r="16" spans="1:24" x14ac:dyDescent="0.2">
      <c r="A16" s="416"/>
      <c r="B16" s="385" t="s">
        <v>429</v>
      </c>
      <c r="C16" s="386"/>
      <c r="D16" s="320"/>
      <c r="E16" s="320"/>
      <c r="F16" s="387"/>
      <c r="G16" s="386"/>
      <c r="H16" s="320"/>
      <c r="I16" s="320"/>
      <c r="J16" s="387"/>
      <c r="K16" s="386"/>
      <c r="L16" s="320"/>
      <c r="M16" s="320"/>
      <c r="N16" s="387"/>
      <c r="O16" s="386"/>
      <c r="P16" s="320"/>
      <c r="Q16" s="320"/>
      <c r="R16" s="387"/>
      <c r="S16" s="386"/>
      <c r="T16" s="320"/>
      <c r="U16" s="320"/>
      <c r="V16" s="387"/>
      <c r="W16" s="388"/>
      <c r="X16" s="388"/>
    </row>
    <row r="17" spans="1:24" x14ac:dyDescent="0.2">
      <c r="A17" s="670">
        <v>3</v>
      </c>
      <c r="B17" s="677" t="s">
        <v>153</v>
      </c>
      <c r="C17" s="672">
        <v>3</v>
      </c>
      <c r="D17" s="673">
        <v>3</v>
      </c>
      <c r="E17" s="673">
        <v>3</v>
      </c>
      <c r="F17" s="674">
        <v>0</v>
      </c>
      <c r="G17" s="672">
        <v>3</v>
      </c>
      <c r="H17" s="673">
        <v>3</v>
      </c>
      <c r="I17" s="673">
        <v>0</v>
      </c>
      <c r="J17" s="674">
        <v>1</v>
      </c>
      <c r="K17" s="672">
        <v>0</v>
      </c>
      <c r="L17" s="673">
        <v>0</v>
      </c>
      <c r="M17" s="673">
        <v>1</v>
      </c>
      <c r="N17" s="674">
        <v>3</v>
      </c>
      <c r="O17" s="672">
        <v>0</v>
      </c>
      <c r="P17" s="673">
        <v>0</v>
      </c>
      <c r="Q17" s="673">
        <v>0</v>
      </c>
      <c r="R17" s="674">
        <v>3</v>
      </c>
      <c r="S17" s="672">
        <v>0</v>
      </c>
      <c r="T17" s="673">
        <v>0</v>
      </c>
      <c r="U17" s="673">
        <v>0</v>
      </c>
      <c r="V17" s="674">
        <v>0</v>
      </c>
      <c r="W17" s="394">
        <f t="shared" ref="W17:W24" si="1">SUM(C17:V17)</f>
        <v>23</v>
      </c>
      <c r="X17" s="676" t="s">
        <v>426</v>
      </c>
    </row>
    <row r="18" spans="1:24" x14ac:dyDescent="0.2">
      <c r="A18" s="670">
        <v>6</v>
      </c>
      <c r="B18" s="677" t="s">
        <v>159</v>
      </c>
      <c r="C18" s="672">
        <v>3</v>
      </c>
      <c r="D18" s="673">
        <v>1</v>
      </c>
      <c r="E18" s="673">
        <v>5</v>
      </c>
      <c r="F18" s="674">
        <v>0</v>
      </c>
      <c r="G18" s="672">
        <v>3</v>
      </c>
      <c r="H18" s="673">
        <v>0</v>
      </c>
      <c r="I18" s="673">
        <v>0</v>
      </c>
      <c r="J18" s="674">
        <v>0</v>
      </c>
      <c r="K18" s="672">
        <v>0</v>
      </c>
      <c r="L18" s="673">
        <v>3</v>
      </c>
      <c r="M18" s="673">
        <v>0</v>
      </c>
      <c r="N18" s="674">
        <v>0</v>
      </c>
      <c r="O18" s="672">
        <v>0</v>
      </c>
      <c r="P18" s="673">
        <v>0</v>
      </c>
      <c r="Q18" s="673">
        <v>0</v>
      </c>
      <c r="R18" s="674">
        <v>0</v>
      </c>
      <c r="S18" s="672">
        <v>0</v>
      </c>
      <c r="T18" s="673">
        <v>0</v>
      </c>
      <c r="U18" s="673">
        <v>0</v>
      </c>
      <c r="V18" s="674">
        <v>0</v>
      </c>
      <c r="W18" s="394">
        <f t="shared" si="1"/>
        <v>15</v>
      </c>
      <c r="X18" s="675">
        <v>6</v>
      </c>
    </row>
    <row r="19" spans="1:24" x14ac:dyDescent="0.2">
      <c r="A19" s="416">
        <v>4</v>
      </c>
      <c r="B19" s="418" t="s">
        <v>158</v>
      </c>
      <c r="C19" s="386">
        <v>3</v>
      </c>
      <c r="D19" s="320">
        <v>0</v>
      </c>
      <c r="E19" s="320">
        <v>0</v>
      </c>
      <c r="F19" s="387">
        <v>0</v>
      </c>
      <c r="G19" s="386">
        <v>5</v>
      </c>
      <c r="H19" s="320">
        <v>0</v>
      </c>
      <c r="I19" s="320">
        <v>0</v>
      </c>
      <c r="J19" s="387">
        <v>0</v>
      </c>
      <c r="K19" s="386">
        <v>0</v>
      </c>
      <c r="L19" s="320">
        <v>3</v>
      </c>
      <c r="M19" s="320">
        <v>0</v>
      </c>
      <c r="N19" s="387">
        <v>0</v>
      </c>
      <c r="O19" s="386">
        <v>0</v>
      </c>
      <c r="P19" s="320">
        <v>0</v>
      </c>
      <c r="Q19" s="320">
        <v>0</v>
      </c>
      <c r="R19" s="387">
        <v>0</v>
      </c>
      <c r="S19" s="386">
        <v>0</v>
      </c>
      <c r="T19" s="320">
        <v>0</v>
      </c>
      <c r="U19" s="320">
        <v>3</v>
      </c>
      <c r="V19" s="387">
        <v>0</v>
      </c>
      <c r="W19" s="401">
        <f t="shared" si="1"/>
        <v>14</v>
      </c>
      <c r="X19" s="419">
        <v>7</v>
      </c>
    </row>
    <row r="20" spans="1:24" x14ac:dyDescent="0.2">
      <c r="A20" s="416">
        <v>5</v>
      </c>
      <c r="B20" s="418" t="s">
        <v>157</v>
      </c>
      <c r="C20" s="386">
        <v>3</v>
      </c>
      <c r="D20" s="320">
        <v>1</v>
      </c>
      <c r="E20" s="320">
        <v>5</v>
      </c>
      <c r="F20" s="387">
        <v>0</v>
      </c>
      <c r="G20" s="386">
        <v>3</v>
      </c>
      <c r="H20" s="320">
        <v>0</v>
      </c>
      <c r="I20" s="320">
        <v>0</v>
      </c>
      <c r="J20" s="387">
        <v>0</v>
      </c>
      <c r="K20" s="386">
        <v>0</v>
      </c>
      <c r="L20" s="320">
        <v>3</v>
      </c>
      <c r="M20" s="320">
        <v>0</v>
      </c>
      <c r="N20" s="387">
        <v>0</v>
      </c>
      <c r="O20" s="386">
        <v>0</v>
      </c>
      <c r="P20" s="320">
        <v>0</v>
      </c>
      <c r="Q20" s="320">
        <v>0</v>
      </c>
      <c r="R20" s="387">
        <v>0</v>
      </c>
      <c r="S20" s="386">
        <v>0</v>
      </c>
      <c r="T20" s="320">
        <v>0</v>
      </c>
      <c r="U20" s="320">
        <v>0</v>
      </c>
      <c r="V20" s="387">
        <v>0</v>
      </c>
      <c r="W20" s="401">
        <f t="shared" si="1"/>
        <v>15</v>
      </c>
      <c r="X20" s="388" t="s">
        <v>425</v>
      </c>
    </row>
    <row r="21" spans="1:24" x14ac:dyDescent="0.2">
      <c r="A21" s="670">
        <v>7</v>
      </c>
      <c r="B21" s="677" t="s">
        <v>164</v>
      </c>
      <c r="C21" s="672">
        <v>0</v>
      </c>
      <c r="D21" s="673">
        <v>0</v>
      </c>
      <c r="E21" s="673">
        <v>3</v>
      </c>
      <c r="F21" s="674">
        <v>0</v>
      </c>
      <c r="G21" s="672">
        <v>3</v>
      </c>
      <c r="H21" s="673">
        <v>0</v>
      </c>
      <c r="I21" s="673">
        <v>0</v>
      </c>
      <c r="J21" s="674">
        <v>0</v>
      </c>
      <c r="K21" s="672">
        <v>5</v>
      </c>
      <c r="L21" s="673">
        <v>3</v>
      </c>
      <c r="M21" s="673">
        <v>0</v>
      </c>
      <c r="N21" s="674">
        <v>0</v>
      </c>
      <c r="O21" s="672">
        <v>0</v>
      </c>
      <c r="P21" s="673">
        <v>1</v>
      </c>
      <c r="Q21" s="673">
        <v>0</v>
      </c>
      <c r="R21" s="674">
        <v>0</v>
      </c>
      <c r="S21" s="672">
        <v>0</v>
      </c>
      <c r="T21" s="673">
        <v>0</v>
      </c>
      <c r="U21" s="673">
        <v>5</v>
      </c>
      <c r="V21" s="674">
        <v>0</v>
      </c>
      <c r="W21" s="394">
        <f t="shared" si="1"/>
        <v>20</v>
      </c>
      <c r="X21" s="675">
        <v>5</v>
      </c>
    </row>
    <row r="22" spans="1:24" x14ac:dyDescent="0.2">
      <c r="A22" s="670">
        <v>2</v>
      </c>
      <c r="B22" s="677" t="s">
        <v>160</v>
      </c>
      <c r="C22" s="672">
        <v>0</v>
      </c>
      <c r="D22" s="673">
        <v>3</v>
      </c>
      <c r="E22" s="673">
        <v>3</v>
      </c>
      <c r="F22" s="674">
        <v>3</v>
      </c>
      <c r="G22" s="672">
        <v>0</v>
      </c>
      <c r="H22" s="673">
        <v>0</v>
      </c>
      <c r="I22" s="673">
        <v>3</v>
      </c>
      <c r="J22" s="674">
        <v>0</v>
      </c>
      <c r="K22" s="672">
        <v>1</v>
      </c>
      <c r="L22" s="673">
        <v>3</v>
      </c>
      <c r="M22" s="673">
        <v>0</v>
      </c>
      <c r="N22" s="674">
        <v>0</v>
      </c>
      <c r="O22" s="672">
        <v>0</v>
      </c>
      <c r="P22" s="673">
        <v>0</v>
      </c>
      <c r="Q22" s="673">
        <v>3</v>
      </c>
      <c r="R22" s="674">
        <v>0</v>
      </c>
      <c r="S22" s="672">
        <v>3</v>
      </c>
      <c r="T22" s="673">
        <v>5</v>
      </c>
      <c r="U22" s="673">
        <v>5</v>
      </c>
      <c r="V22" s="674">
        <v>0</v>
      </c>
      <c r="W22" s="394">
        <f t="shared" si="1"/>
        <v>32</v>
      </c>
      <c r="X22" s="676" t="s">
        <v>422</v>
      </c>
    </row>
    <row r="23" spans="1:24" x14ac:dyDescent="0.2">
      <c r="A23" s="416">
        <v>1</v>
      </c>
      <c r="B23" s="417" t="s">
        <v>181</v>
      </c>
      <c r="C23" s="386">
        <v>3</v>
      </c>
      <c r="D23" s="320">
        <v>3</v>
      </c>
      <c r="E23" s="320">
        <v>3</v>
      </c>
      <c r="F23" s="387">
        <v>0</v>
      </c>
      <c r="G23" s="386">
        <v>3</v>
      </c>
      <c r="H23" s="320">
        <v>0</v>
      </c>
      <c r="I23" s="320">
        <v>0</v>
      </c>
      <c r="J23" s="387">
        <v>0</v>
      </c>
      <c r="K23" s="386">
        <v>0</v>
      </c>
      <c r="L23" s="320">
        <v>3</v>
      </c>
      <c r="M23" s="320">
        <v>1</v>
      </c>
      <c r="N23" s="387">
        <v>0</v>
      </c>
      <c r="O23" s="386">
        <v>0</v>
      </c>
      <c r="P23" s="320">
        <v>3</v>
      </c>
      <c r="Q23" s="320">
        <v>0</v>
      </c>
      <c r="R23" s="387">
        <v>3</v>
      </c>
      <c r="S23" s="386">
        <v>0</v>
      </c>
      <c r="T23" s="320">
        <v>0</v>
      </c>
      <c r="U23" s="320">
        <v>0</v>
      </c>
      <c r="V23" s="387">
        <v>3</v>
      </c>
      <c r="W23" s="401">
        <f t="shared" si="1"/>
        <v>25</v>
      </c>
      <c r="X23" s="388" t="s">
        <v>427</v>
      </c>
    </row>
    <row r="24" spans="1:24" ht="13.5" thickBot="1" x14ac:dyDescent="0.25">
      <c r="A24" s="423">
        <v>8</v>
      </c>
      <c r="B24" s="646" t="s">
        <v>235</v>
      </c>
      <c r="C24" s="425"/>
      <c r="D24" s="426"/>
      <c r="E24" s="426"/>
      <c r="F24" s="427"/>
      <c r="G24" s="425"/>
      <c r="H24" s="426"/>
      <c r="I24" s="426"/>
      <c r="J24" s="427"/>
      <c r="K24" s="425"/>
      <c r="L24" s="426"/>
      <c r="M24" s="426"/>
      <c r="N24" s="427"/>
      <c r="O24" s="425"/>
      <c r="P24" s="426"/>
      <c r="Q24" s="426"/>
      <c r="R24" s="427"/>
      <c r="S24" s="425"/>
      <c r="T24" s="426"/>
      <c r="U24" s="426"/>
      <c r="V24" s="427"/>
      <c r="W24" s="414">
        <f t="shared" si="1"/>
        <v>0</v>
      </c>
      <c r="X24" s="647"/>
    </row>
    <row r="25" spans="1:24" x14ac:dyDescent="0.2">
      <c r="A25" s="382"/>
      <c r="B25" s="656" t="s">
        <v>430</v>
      </c>
      <c r="C25" s="650"/>
      <c r="D25" s="651"/>
      <c r="E25" s="651"/>
      <c r="F25" s="652"/>
      <c r="G25" s="650"/>
      <c r="H25" s="651"/>
      <c r="I25" s="651"/>
      <c r="J25" s="652"/>
      <c r="K25" s="650"/>
      <c r="L25" s="651"/>
      <c r="M25" s="651"/>
      <c r="N25" s="652"/>
      <c r="O25" s="650"/>
      <c r="P25" s="651"/>
      <c r="Q25" s="651"/>
      <c r="R25" s="652"/>
      <c r="S25" s="650"/>
      <c r="T25" s="651"/>
      <c r="U25" s="651"/>
      <c r="V25" s="652"/>
      <c r="W25" s="654"/>
      <c r="X25" s="654"/>
    </row>
    <row r="26" spans="1:24" x14ac:dyDescent="0.2">
      <c r="A26" s="670">
        <v>3</v>
      </c>
      <c r="B26" s="678" t="s">
        <v>153</v>
      </c>
      <c r="C26" s="672">
        <v>3</v>
      </c>
      <c r="D26" s="673">
        <v>3</v>
      </c>
      <c r="E26" s="673">
        <v>5</v>
      </c>
      <c r="F26" s="674">
        <v>0</v>
      </c>
      <c r="G26" s="672">
        <v>0</v>
      </c>
      <c r="H26" s="673">
        <v>0</v>
      </c>
      <c r="I26" s="673">
        <v>0</v>
      </c>
      <c r="J26" s="674">
        <v>0</v>
      </c>
      <c r="K26" s="672">
        <v>1</v>
      </c>
      <c r="L26" s="673">
        <v>0</v>
      </c>
      <c r="M26" s="673">
        <v>3</v>
      </c>
      <c r="N26" s="674">
        <v>3</v>
      </c>
      <c r="O26" s="672">
        <v>3</v>
      </c>
      <c r="P26" s="673">
        <v>0</v>
      </c>
      <c r="Q26" s="673">
        <v>0</v>
      </c>
      <c r="R26" s="674">
        <v>0</v>
      </c>
      <c r="S26" s="672">
        <v>5</v>
      </c>
      <c r="T26" s="673">
        <v>0</v>
      </c>
      <c r="U26" s="673">
        <v>0</v>
      </c>
      <c r="V26" s="674">
        <v>0</v>
      </c>
      <c r="W26" s="394">
        <f>SUM(C26:V26)</f>
        <v>26</v>
      </c>
      <c r="X26" s="676" t="str">
        <f ca="1">IF( INDIRECT("RC[-1]",0)=MAX(( INDIRECT("R[-1]C[-1]",0)):( INDIRECT("R[1]C[-1]",0))),"finaali","pronksi")</f>
        <v>pronksi</v>
      </c>
    </row>
    <row r="27" spans="1:24" x14ac:dyDescent="0.2">
      <c r="A27" s="670">
        <v>2</v>
      </c>
      <c r="B27" s="677" t="s">
        <v>181</v>
      </c>
      <c r="C27" s="672">
        <v>3</v>
      </c>
      <c r="D27" s="673">
        <v>0</v>
      </c>
      <c r="E27" s="673">
        <v>3</v>
      </c>
      <c r="F27" s="674">
        <v>0</v>
      </c>
      <c r="G27" s="672">
        <v>3</v>
      </c>
      <c r="H27" s="673">
        <v>0</v>
      </c>
      <c r="I27" s="673">
        <v>3</v>
      </c>
      <c r="J27" s="674">
        <v>0</v>
      </c>
      <c r="K27" s="672">
        <v>3</v>
      </c>
      <c r="L27" s="673">
        <v>3</v>
      </c>
      <c r="M27" s="673">
        <v>1</v>
      </c>
      <c r="N27" s="674">
        <v>0</v>
      </c>
      <c r="O27" s="672">
        <v>3</v>
      </c>
      <c r="P27" s="673">
        <v>0</v>
      </c>
      <c r="Q27" s="673">
        <v>3</v>
      </c>
      <c r="R27" s="674">
        <v>0</v>
      </c>
      <c r="S27" s="672">
        <v>5</v>
      </c>
      <c r="T27" s="673">
        <v>0</v>
      </c>
      <c r="U27" s="673">
        <v>0</v>
      </c>
      <c r="V27" s="674">
        <v>0</v>
      </c>
      <c r="W27" s="394">
        <f>SUM(C27:V27)</f>
        <v>30</v>
      </c>
      <c r="X27" s="676" t="str">
        <f ca="1">IF( INDIRECT("RC[-1]",0)=MAX(( INDIRECT("R[-1]C[-1]",0)):( INDIRECT("R[1]C[-1]",0))),"finaali","pronksi")</f>
        <v>finaali</v>
      </c>
    </row>
    <row r="28" spans="1:24" x14ac:dyDescent="0.2">
      <c r="A28" s="416">
        <v>4</v>
      </c>
      <c r="B28" s="417" t="s">
        <v>157</v>
      </c>
      <c r="C28" s="386">
        <v>3</v>
      </c>
      <c r="D28" s="320">
        <v>0</v>
      </c>
      <c r="E28" s="320">
        <v>3</v>
      </c>
      <c r="F28" s="387">
        <v>0</v>
      </c>
      <c r="G28" s="386">
        <v>3</v>
      </c>
      <c r="H28" s="320">
        <v>1</v>
      </c>
      <c r="I28" s="320">
        <v>0</v>
      </c>
      <c r="J28" s="387">
        <v>0</v>
      </c>
      <c r="K28" s="386">
        <v>0</v>
      </c>
      <c r="L28" s="320">
        <v>0</v>
      </c>
      <c r="M28" s="320">
        <v>0</v>
      </c>
      <c r="N28" s="387">
        <v>0</v>
      </c>
      <c r="O28" s="386">
        <v>1</v>
      </c>
      <c r="P28" s="320">
        <v>0</v>
      </c>
      <c r="Q28" s="320">
        <v>1</v>
      </c>
      <c r="R28" s="387">
        <v>0</v>
      </c>
      <c r="S28" s="386">
        <v>0</v>
      </c>
      <c r="T28" s="320">
        <v>0</v>
      </c>
      <c r="U28" s="320">
        <v>0</v>
      </c>
      <c r="V28" s="387">
        <v>0</v>
      </c>
      <c r="W28" s="401">
        <f>SUM(C28:V28)</f>
        <v>12</v>
      </c>
      <c r="X28" s="388" t="str">
        <f ca="1">IF( INDIRECT("RC[-1]",0)=MAX(( INDIRECT("R[-1]C[-1]",0)):( INDIRECT("R[1]C[-1]",0))),"finaali","pronksi")</f>
        <v>pronksi</v>
      </c>
    </row>
    <row r="29" spans="1:24" ht="13.5" thickBot="1" x14ac:dyDescent="0.25">
      <c r="A29" s="423">
        <v>1</v>
      </c>
      <c r="B29" s="646" t="s">
        <v>160</v>
      </c>
      <c r="C29" s="425">
        <v>3</v>
      </c>
      <c r="D29" s="426">
        <v>3</v>
      </c>
      <c r="E29" s="426">
        <v>0</v>
      </c>
      <c r="F29" s="427">
        <v>0</v>
      </c>
      <c r="G29" s="425">
        <v>0</v>
      </c>
      <c r="H29" s="426">
        <v>0</v>
      </c>
      <c r="I29" s="426">
        <v>0</v>
      </c>
      <c r="J29" s="427">
        <v>3</v>
      </c>
      <c r="K29" s="425">
        <v>5</v>
      </c>
      <c r="L29" s="426">
        <v>0</v>
      </c>
      <c r="M29" s="426">
        <v>0</v>
      </c>
      <c r="N29" s="427">
        <v>0</v>
      </c>
      <c r="O29" s="425">
        <v>0</v>
      </c>
      <c r="P29" s="426">
        <v>0</v>
      </c>
      <c r="Q29" s="426">
        <v>0</v>
      </c>
      <c r="R29" s="427">
        <v>0</v>
      </c>
      <c r="S29" s="425">
        <v>0</v>
      </c>
      <c r="T29" s="426">
        <v>5</v>
      </c>
      <c r="U29" s="426">
        <v>0</v>
      </c>
      <c r="V29" s="427">
        <v>0</v>
      </c>
      <c r="W29" s="414">
        <f>SUM(C29:V29)</f>
        <v>19</v>
      </c>
      <c r="X29" s="647" t="str">
        <f ca="1">IF( INDIRECT("RC[-1]",0)=MAX(( INDIRECT("R[-1]C[-1]",0)):( INDIRECT("R[1]C[-1]",0))),"finaali","pronksi")</f>
        <v>finaali</v>
      </c>
    </row>
    <row r="30" spans="1:24" x14ac:dyDescent="0.2">
      <c r="A30" s="382"/>
      <c r="B30" s="649" t="s">
        <v>431</v>
      </c>
      <c r="C30" s="650"/>
      <c r="D30" s="651"/>
      <c r="E30" s="651"/>
      <c r="F30" s="652"/>
      <c r="G30" s="650"/>
      <c r="H30" s="651"/>
      <c r="I30" s="651"/>
      <c r="J30" s="652"/>
      <c r="K30" s="650"/>
      <c r="L30" s="651"/>
      <c r="M30" s="651"/>
      <c r="N30" s="652"/>
      <c r="O30" s="650"/>
      <c r="P30" s="651"/>
      <c r="Q30" s="651"/>
      <c r="R30" s="652"/>
      <c r="S30" s="650"/>
      <c r="T30" s="651"/>
      <c r="U30" s="651"/>
      <c r="V30" s="652"/>
      <c r="W30" s="653"/>
      <c r="X30" s="654"/>
    </row>
    <row r="31" spans="1:24" x14ac:dyDescent="0.2">
      <c r="A31" s="416"/>
      <c r="B31" s="470" t="s">
        <v>153</v>
      </c>
      <c r="C31" s="386"/>
      <c r="D31" s="320"/>
      <c r="E31" s="320"/>
      <c r="F31" s="387"/>
      <c r="G31" s="386"/>
      <c r="H31" s="320"/>
      <c r="I31" s="320"/>
      <c r="J31" s="387"/>
      <c r="K31" s="386"/>
      <c r="L31" s="320"/>
      <c r="M31" s="320"/>
      <c r="N31" s="387"/>
      <c r="O31" s="386"/>
      <c r="P31" s="320"/>
      <c r="Q31" s="320"/>
      <c r="R31" s="387"/>
      <c r="S31" s="386"/>
      <c r="T31" s="320"/>
      <c r="U31" s="320"/>
      <c r="V31" s="387"/>
      <c r="W31" s="401">
        <f>SUM(C31:V31)</f>
        <v>0</v>
      </c>
      <c r="X31" s="383" t="str">
        <f ca="1">IF( INDIRECT("RC[-1]",0)=MAX(( INDIRECT("R[-1]C[-1]",0)):( INDIRECT("R[1]C[-1]",0))),"3","4")</f>
        <v>3</v>
      </c>
    </row>
    <row r="32" spans="1:24" x14ac:dyDescent="0.2">
      <c r="A32" s="416"/>
      <c r="B32" s="397" t="s">
        <v>157</v>
      </c>
      <c r="C32" s="386" t="s">
        <v>235</v>
      </c>
      <c r="D32" s="320" t="s">
        <v>235</v>
      </c>
      <c r="E32" s="320" t="s">
        <v>235</v>
      </c>
      <c r="F32" s="387" t="s">
        <v>235</v>
      </c>
      <c r="G32" s="386" t="s">
        <v>235</v>
      </c>
      <c r="H32" s="320" t="s">
        <v>235</v>
      </c>
      <c r="I32" s="320" t="s">
        <v>235</v>
      </c>
      <c r="J32" s="387" t="s">
        <v>235</v>
      </c>
      <c r="K32" s="386" t="s">
        <v>235</v>
      </c>
      <c r="L32" s="320" t="s">
        <v>235</v>
      </c>
      <c r="M32" s="320" t="s">
        <v>235</v>
      </c>
      <c r="N32" s="387" t="s">
        <v>235</v>
      </c>
      <c r="O32" s="386" t="s">
        <v>235</v>
      </c>
      <c r="P32" s="320" t="s">
        <v>235</v>
      </c>
      <c r="Q32" s="320" t="s">
        <v>235</v>
      </c>
      <c r="R32" s="387" t="s">
        <v>235</v>
      </c>
      <c r="S32" s="386" t="s">
        <v>235</v>
      </c>
      <c r="T32" s="320" t="s">
        <v>235</v>
      </c>
      <c r="U32" s="320" t="s">
        <v>235</v>
      </c>
      <c r="V32" s="387" t="s">
        <v>235</v>
      </c>
      <c r="W32" s="401" t="s">
        <v>235</v>
      </c>
      <c r="X32" s="383" t="str">
        <f ca="1">IF( INDIRECT("RC[-1]",0)=MAX(( INDIRECT("R[-1]C[-1]",0)):( INDIRECT("R[1]C[-1]",0))),"3","4")</f>
        <v>4</v>
      </c>
    </row>
    <row r="33" spans="1:24" x14ac:dyDescent="0.2">
      <c r="A33" s="416"/>
      <c r="B33" s="421" t="s">
        <v>432</v>
      </c>
      <c r="C33" s="386"/>
      <c r="D33" s="320"/>
      <c r="E33" s="320"/>
      <c r="F33" s="387"/>
      <c r="G33" s="386"/>
      <c r="H33" s="320"/>
      <c r="I33" s="320"/>
      <c r="J33" s="387"/>
      <c r="K33" s="386"/>
      <c r="L33" s="320"/>
      <c r="M33" s="320"/>
      <c r="N33" s="387"/>
      <c r="O33" s="386"/>
      <c r="P33" s="320"/>
      <c r="Q33" s="320"/>
      <c r="R33" s="387"/>
      <c r="S33" s="386"/>
      <c r="T33" s="320"/>
      <c r="U33" s="320"/>
      <c r="V33" s="387"/>
      <c r="W33" s="401"/>
      <c r="X33" s="388"/>
    </row>
    <row r="34" spans="1:24" x14ac:dyDescent="0.2">
      <c r="A34" s="416"/>
      <c r="B34" s="417" t="s">
        <v>181</v>
      </c>
      <c r="C34" s="386">
        <v>3</v>
      </c>
      <c r="D34" s="320">
        <v>0</v>
      </c>
      <c r="E34" s="320">
        <v>0</v>
      </c>
      <c r="F34" s="387">
        <v>3</v>
      </c>
      <c r="G34" s="386">
        <v>0</v>
      </c>
      <c r="H34" s="320">
        <v>0</v>
      </c>
      <c r="I34" s="320">
        <v>3</v>
      </c>
      <c r="J34" s="387">
        <v>0</v>
      </c>
      <c r="K34" s="386">
        <v>1</v>
      </c>
      <c r="L34" s="320">
        <v>3</v>
      </c>
      <c r="M34" s="320">
        <v>0</v>
      </c>
      <c r="N34" s="387">
        <v>0</v>
      </c>
      <c r="O34" s="386">
        <v>0</v>
      </c>
      <c r="P34" s="320">
        <v>0</v>
      </c>
      <c r="Q34" s="320">
        <v>3</v>
      </c>
      <c r="R34" s="387">
        <v>0</v>
      </c>
      <c r="S34" s="386">
        <v>0</v>
      </c>
      <c r="T34" s="320">
        <v>0</v>
      </c>
      <c r="U34" s="320">
        <v>0</v>
      </c>
      <c r="V34" s="387">
        <v>0</v>
      </c>
      <c r="W34" s="401">
        <f>SUM(C34:V34)</f>
        <v>16</v>
      </c>
      <c r="X34" s="383" t="str">
        <f ca="1">IF( INDIRECT("RC[-1]",0)=MAX(( INDIRECT("R[-1]C[-1]",0)):( INDIRECT("R[1]C[-1]",0))),"1","2")</f>
        <v>2</v>
      </c>
    </row>
    <row r="35" spans="1:24" ht="13.5" thickBot="1" x14ac:dyDescent="0.25">
      <c r="A35" s="423"/>
      <c r="B35" s="477" t="s">
        <v>160</v>
      </c>
      <c r="C35" s="425">
        <v>5</v>
      </c>
      <c r="D35" s="426">
        <v>0</v>
      </c>
      <c r="E35" s="426">
        <v>0</v>
      </c>
      <c r="F35" s="427">
        <v>0</v>
      </c>
      <c r="G35" s="425">
        <v>0</v>
      </c>
      <c r="H35" s="426">
        <v>3</v>
      </c>
      <c r="I35" s="426">
        <v>0</v>
      </c>
      <c r="J35" s="427">
        <v>3</v>
      </c>
      <c r="K35" s="425">
        <v>0</v>
      </c>
      <c r="L35" s="426">
        <v>0</v>
      </c>
      <c r="M35" s="426">
        <v>1</v>
      </c>
      <c r="N35" s="427">
        <v>0</v>
      </c>
      <c r="O35" s="425">
        <v>3</v>
      </c>
      <c r="P35" s="426">
        <v>0</v>
      </c>
      <c r="Q35" s="426">
        <v>0</v>
      </c>
      <c r="R35" s="427">
        <v>0</v>
      </c>
      <c r="S35" s="425">
        <v>0</v>
      </c>
      <c r="T35" s="426">
        <v>5</v>
      </c>
      <c r="U35" s="426">
        <v>0</v>
      </c>
      <c r="V35" s="427">
        <v>0</v>
      </c>
      <c r="W35" s="414">
        <f>SUM(C35:V35)</f>
        <v>20</v>
      </c>
      <c r="X35" s="428" t="str">
        <f ca="1">IF( INDIRECT("RC[-1]",0)=MAX(( INDIRECT("R[-1]C[-1]",0)):( INDIRECT("R[1]C[-1]",0))),"1","2")</f>
        <v>1</v>
      </c>
    </row>
    <row r="37" spans="1:24" x14ac:dyDescent="0.2">
      <c r="A37" s="429">
        <v>1</v>
      </c>
      <c r="B37" s="485" t="s">
        <v>160</v>
      </c>
    </row>
    <row r="38" spans="1:24" x14ac:dyDescent="0.2">
      <c r="A38" s="429">
        <v>2</v>
      </c>
      <c r="B38" s="433" t="s">
        <v>181</v>
      </c>
      <c r="C38" s="479"/>
      <c r="D38" s="479"/>
      <c r="E38" s="479"/>
      <c r="F38" s="479"/>
      <c r="G38" s="479"/>
      <c r="H38" s="479"/>
      <c r="I38" s="479"/>
      <c r="J38" s="479"/>
    </row>
    <row r="39" spans="1:24" x14ac:dyDescent="0.2">
      <c r="A39" s="429">
        <v>3</v>
      </c>
      <c r="B39" s="433" t="s">
        <v>153</v>
      </c>
      <c r="C39" s="479"/>
      <c r="D39" s="479"/>
      <c r="E39" s="479"/>
      <c r="F39" s="479"/>
      <c r="G39" s="479"/>
      <c r="H39" s="479"/>
      <c r="I39" s="479"/>
      <c r="J39" s="479"/>
    </row>
    <row r="40" spans="1:24" x14ac:dyDescent="0.2">
      <c r="A40" s="429">
        <v>4</v>
      </c>
      <c r="B40" s="433" t="s">
        <v>157</v>
      </c>
      <c r="C40" s="479"/>
      <c r="D40" s="479"/>
      <c r="E40" s="479"/>
      <c r="F40" s="479"/>
      <c r="G40" s="479"/>
      <c r="H40" s="479"/>
      <c r="I40" s="479"/>
      <c r="J40" s="479"/>
    </row>
    <row r="41" spans="1:24" x14ac:dyDescent="0.2">
      <c r="A41" s="429">
        <v>5</v>
      </c>
      <c r="B41" s="435" t="s">
        <v>164</v>
      </c>
      <c r="C41" s="479"/>
      <c r="D41" s="479"/>
      <c r="E41" s="479"/>
      <c r="F41" s="479"/>
      <c r="G41" s="479"/>
      <c r="H41" s="479"/>
      <c r="I41" s="479"/>
      <c r="J41" s="479"/>
    </row>
    <row r="42" spans="1:24" x14ac:dyDescent="0.2">
      <c r="A42" s="429">
        <v>6</v>
      </c>
      <c r="B42" s="435" t="s">
        <v>159</v>
      </c>
      <c r="C42" s="479"/>
      <c r="D42" s="479"/>
      <c r="E42" s="479"/>
      <c r="F42" s="479"/>
      <c r="G42" s="479"/>
      <c r="H42" s="479"/>
      <c r="I42" s="479"/>
      <c r="J42" s="479"/>
    </row>
    <row r="43" spans="1:24" x14ac:dyDescent="0.2">
      <c r="A43" s="429">
        <v>7</v>
      </c>
      <c r="B43" s="434" t="s">
        <v>158</v>
      </c>
      <c r="C43" s="479"/>
      <c r="D43" s="479"/>
      <c r="E43" s="479"/>
      <c r="F43" s="479"/>
      <c r="G43" s="479"/>
      <c r="H43" s="479"/>
      <c r="I43" s="479"/>
      <c r="J43" s="479"/>
    </row>
    <row r="44" spans="1:24" x14ac:dyDescent="0.2">
      <c r="C44" s="479"/>
      <c r="D44" s="479"/>
      <c r="E44" s="479"/>
      <c r="F44" s="479"/>
      <c r="G44" s="479"/>
      <c r="H44" s="479"/>
      <c r="I44" s="479"/>
      <c r="J44" s="479"/>
    </row>
  </sheetData>
  <conditionalFormatting sqref="W34:W35">
    <cfRule type="top10" dxfId="64" priority="3" rank="1"/>
  </conditionalFormatting>
  <conditionalFormatting sqref="W17:W18">
    <cfRule type="top10" dxfId="63" priority="10" rank="1"/>
  </conditionalFormatting>
  <conditionalFormatting sqref="W19:W20">
    <cfRule type="top10" dxfId="62" priority="9" rank="1"/>
  </conditionalFormatting>
  <conditionalFormatting sqref="W21:W22">
    <cfRule type="top10" dxfId="61" priority="8" rank="1"/>
  </conditionalFormatting>
  <conditionalFormatting sqref="W23:W24">
    <cfRule type="top10" dxfId="60" priority="7" rank="1"/>
  </conditionalFormatting>
  <conditionalFormatting sqref="W26:W27">
    <cfRule type="top10" dxfId="59" priority="6" rank="1"/>
  </conditionalFormatting>
  <conditionalFormatting sqref="W28:W29">
    <cfRule type="top10" dxfId="58" priority="5" rank="1"/>
  </conditionalFormatting>
  <conditionalFormatting sqref="W31">
    <cfRule type="top10" dxfId="57" priority="4" rank="1"/>
  </conditionalFormatting>
  <conditionalFormatting sqref="W32">
    <cfRule type="top10" dxfId="56" priority="1" rank="1"/>
  </conditionalFormatting>
  <conditionalFormatting sqref="W32">
    <cfRule type="top10" dxfId="55" priority="2" stopIfTrue="1" rank="1"/>
  </conditionalFormatting>
  <conditionalFormatting sqref="W33:W35 W9:W31">
    <cfRule type="top10" dxfId="54" priority="54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showGridLines="0" zoomScaleNormal="100" workbookViewId="0">
      <pane ySplit="7" topLeftCell="A8" activePane="bottomLeft" state="frozen"/>
      <selection pane="bottomLeft" activeCell="N19" sqref="N19"/>
    </sheetView>
  </sheetViews>
  <sheetFormatPr defaultRowHeight="12.75" x14ac:dyDescent="0.2"/>
  <cols>
    <col min="1" max="1" width="3" style="379" customWidth="1"/>
    <col min="2" max="2" width="18.7109375" style="379" bestFit="1" customWidth="1"/>
    <col min="3" max="22" width="2.85546875" style="379" customWidth="1"/>
    <col min="23" max="23" width="3" style="379" bestFit="1" customWidth="1"/>
    <col min="24" max="24" width="10.5703125" style="379" customWidth="1"/>
    <col min="25" max="16384" width="9.140625" style="379"/>
  </cols>
  <sheetData>
    <row r="1" spans="1:24" s="380" customFormat="1" x14ac:dyDescent="0.2">
      <c r="A1" s="58" t="str">
        <f>UPPER((Kalend!E43)&amp;" - "&amp;(Kalend!C43)&amp;" - "&amp;(Kalend!D43))</f>
        <v>12,T6 - IVARI KARIKAS, NELJAPÄEVAK 6 - TULISTAMINE</v>
      </c>
      <c r="N1" s="239" t="str">
        <f>HYPERLINK("#'Kalend'!I1","Kalender")</f>
        <v>Kalender</v>
      </c>
      <c r="O1" s="59"/>
      <c r="Q1" s="59"/>
      <c r="R1" s="239" t="str">
        <f>HYPERLINK("#'Reit'!G1","Reiting")</f>
        <v>Reiting</v>
      </c>
      <c r="S1" s="59"/>
      <c r="U1" s="381"/>
    </row>
    <row r="2" spans="1:24" s="380" customFormat="1" x14ac:dyDescent="0.2">
      <c r="A2" s="59" t="str">
        <f>"Toimumisaeg: "&amp;(Kalend!A43)&amp;" kell "&amp;(Kalend!B43)</f>
        <v>Toimumisaeg: P, 20.09.2015 kell 12:00</v>
      </c>
    </row>
    <row r="3" spans="1:24" s="380" customFormat="1" x14ac:dyDescent="0.2">
      <c r="A3" s="59" t="str">
        <f>"Toimumiskoht: "&amp;(Kalend!F43)</f>
        <v>Toimumiskoht: K-Järve spordihoone</v>
      </c>
    </row>
    <row r="4" spans="1:24" s="380" customFormat="1" x14ac:dyDescent="0.2">
      <c r="A4" s="59" t="str">
        <f>"Korraldaja: "&amp;(Kalend!G43)</f>
        <v>Korraldaja: K-Järve SHK, Ivar Viljaste</v>
      </c>
    </row>
    <row r="5" spans="1:24" s="380" customFormat="1" ht="13.5" thickBot="1" x14ac:dyDescent="0.25"/>
    <row r="6" spans="1:24" ht="63.75" customHeight="1" thickBot="1" x14ac:dyDescent="0.25">
      <c r="A6" s="648"/>
      <c r="B6" s="658"/>
      <c r="C6" s="657"/>
      <c r="D6" s="657"/>
      <c r="E6" s="657"/>
      <c r="F6" s="657"/>
      <c r="G6" s="659"/>
      <c r="H6" s="657"/>
      <c r="I6" s="657"/>
      <c r="J6" s="660"/>
      <c r="K6" s="657"/>
      <c r="L6" s="657"/>
      <c r="M6" s="657"/>
      <c r="N6" s="657"/>
      <c r="O6" s="659"/>
      <c r="P6" s="657"/>
      <c r="Q6" s="657"/>
      <c r="R6" s="660"/>
      <c r="S6" s="657"/>
      <c r="T6" s="657"/>
      <c r="U6" s="657"/>
      <c r="V6" s="657"/>
      <c r="W6" s="661"/>
      <c r="X6" s="661"/>
    </row>
    <row r="7" spans="1:24" s="309" customFormat="1" ht="13.5" thickBot="1" x14ac:dyDescent="0.25">
      <c r="A7" s="668"/>
      <c r="B7" s="662"/>
      <c r="C7" s="663">
        <v>6</v>
      </c>
      <c r="D7" s="664">
        <v>7</v>
      </c>
      <c r="E7" s="664">
        <v>8</v>
      </c>
      <c r="F7" s="665">
        <v>9</v>
      </c>
      <c r="G7" s="663">
        <v>6</v>
      </c>
      <c r="H7" s="664">
        <v>7</v>
      </c>
      <c r="I7" s="664">
        <v>8</v>
      </c>
      <c r="J7" s="665">
        <v>9</v>
      </c>
      <c r="K7" s="663">
        <v>6</v>
      </c>
      <c r="L7" s="664">
        <v>7</v>
      </c>
      <c r="M7" s="664">
        <v>8</v>
      </c>
      <c r="N7" s="665">
        <v>9</v>
      </c>
      <c r="O7" s="663">
        <v>6</v>
      </c>
      <c r="P7" s="664">
        <v>7</v>
      </c>
      <c r="Q7" s="664">
        <v>8</v>
      </c>
      <c r="R7" s="665">
        <v>9</v>
      </c>
      <c r="S7" s="663">
        <v>6</v>
      </c>
      <c r="T7" s="664">
        <v>7</v>
      </c>
      <c r="U7" s="664">
        <v>8</v>
      </c>
      <c r="V7" s="665">
        <v>9</v>
      </c>
      <c r="W7" s="666" t="s">
        <v>148</v>
      </c>
      <c r="X7" s="667" t="s">
        <v>580</v>
      </c>
    </row>
    <row r="8" spans="1:24" s="290" customFormat="1" x14ac:dyDescent="0.2">
      <c r="A8" s="669"/>
      <c r="B8" s="656" t="s">
        <v>579</v>
      </c>
      <c r="C8" s="650"/>
      <c r="D8" s="651"/>
      <c r="E8" s="651"/>
      <c r="F8" s="652"/>
      <c r="G8" s="650"/>
      <c r="H8" s="651"/>
      <c r="I8" s="651"/>
      <c r="J8" s="652"/>
      <c r="K8" s="650"/>
      <c r="L8" s="651"/>
      <c r="M8" s="651"/>
      <c r="N8" s="652"/>
      <c r="O8" s="650"/>
      <c r="P8" s="651"/>
      <c r="Q8" s="651"/>
      <c r="R8" s="652"/>
      <c r="S8" s="650"/>
      <c r="T8" s="651"/>
      <c r="U8" s="651"/>
      <c r="V8" s="652"/>
      <c r="W8" s="669"/>
      <c r="X8" s="654"/>
    </row>
    <row r="9" spans="1:24" s="290" customFormat="1" x14ac:dyDescent="0.2">
      <c r="A9" s="389">
        <v>1</v>
      </c>
      <c r="B9" s="390" t="s">
        <v>162</v>
      </c>
      <c r="C9" s="391">
        <v>0</v>
      </c>
      <c r="D9" s="392">
        <v>5</v>
      </c>
      <c r="E9" s="392">
        <v>0</v>
      </c>
      <c r="F9" s="393">
        <v>0</v>
      </c>
      <c r="G9" s="391">
        <v>0</v>
      </c>
      <c r="H9" s="392">
        <v>0</v>
      </c>
      <c r="I9" s="392">
        <v>0</v>
      </c>
      <c r="J9" s="393">
        <v>0</v>
      </c>
      <c r="K9" s="391">
        <v>1</v>
      </c>
      <c r="L9" s="392">
        <v>1</v>
      </c>
      <c r="M9" s="392">
        <v>0</v>
      </c>
      <c r="N9" s="393">
        <v>0</v>
      </c>
      <c r="O9" s="391">
        <v>0</v>
      </c>
      <c r="P9" s="392">
        <v>3</v>
      </c>
      <c r="Q9" s="392">
        <v>0</v>
      </c>
      <c r="R9" s="393">
        <v>0</v>
      </c>
      <c r="S9" s="391">
        <v>0</v>
      </c>
      <c r="T9" s="392">
        <v>0</v>
      </c>
      <c r="U9" s="392">
        <v>0</v>
      </c>
      <c r="V9" s="393">
        <v>0</v>
      </c>
      <c r="W9" s="394">
        <f t="shared" ref="W9:W24" si="0">SUM(C9:V9)</f>
        <v>10</v>
      </c>
      <c r="X9" s="395">
        <v>11</v>
      </c>
    </row>
    <row r="10" spans="1:24" s="290" customFormat="1" x14ac:dyDescent="0.2">
      <c r="A10" s="389">
        <v>2</v>
      </c>
      <c r="B10" s="396" t="s">
        <v>160</v>
      </c>
      <c r="C10" s="391">
        <v>0</v>
      </c>
      <c r="D10" s="392">
        <v>5</v>
      </c>
      <c r="E10" s="392">
        <v>3</v>
      </c>
      <c r="F10" s="393">
        <v>0</v>
      </c>
      <c r="G10" s="391">
        <v>0</v>
      </c>
      <c r="H10" s="392">
        <v>0</v>
      </c>
      <c r="I10" s="392">
        <v>0</v>
      </c>
      <c r="J10" s="393">
        <v>0</v>
      </c>
      <c r="K10" s="391">
        <v>0</v>
      </c>
      <c r="L10" s="392">
        <v>1</v>
      </c>
      <c r="M10" s="392">
        <v>0</v>
      </c>
      <c r="N10" s="393">
        <v>0</v>
      </c>
      <c r="O10" s="391">
        <v>0</v>
      </c>
      <c r="P10" s="392">
        <v>0</v>
      </c>
      <c r="Q10" s="392">
        <v>0</v>
      </c>
      <c r="R10" s="393">
        <v>0</v>
      </c>
      <c r="S10" s="391">
        <v>5</v>
      </c>
      <c r="T10" s="392">
        <v>0</v>
      </c>
      <c r="U10" s="392">
        <v>0</v>
      </c>
      <c r="V10" s="393">
        <v>0</v>
      </c>
      <c r="W10" s="394">
        <f t="shared" si="0"/>
        <v>14</v>
      </c>
      <c r="X10" s="394" t="s">
        <v>421</v>
      </c>
    </row>
    <row r="11" spans="1:24" s="290" customFormat="1" x14ac:dyDescent="0.2">
      <c r="A11" s="384">
        <v>3</v>
      </c>
      <c r="B11" s="397" t="s">
        <v>155</v>
      </c>
      <c r="C11" s="398">
        <v>0</v>
      </c>
      <c r="D11" s="399">
        <v>5</v>
      </c>
      <c r="E11" s="399">
        <v>0</v>
      </c>
      <c r="F11" s="400">
        <v>0</v>
      </c>
      <c r="G11" s="398">
        <v>0</v>
      </c>
      <c r="H11" s="399">
        <v>0</v>
      </c>
      <c r="I11" s="399">
        <v>0</v>
      </c>
      <c r="J11" s="400">
        <v>0</v>
      </c>
      <c r="K11" s="398">
        <v>1</v>
      </c>
      <c r="L11" s="399">
        <v>0</v>
      </c>
      <c r="M11" s="399">
        <v>0</v>
      </c>
      <c r="N11" s="400">
        <v>0</v>
      </c>
      <c r="O11" s="398">
        <v>0</v>
      </c>
      <c r="P11" s="399">
        <v>0</v>
      </c>
      <c r="Q11" s="399">
        <v>0</v>
      </c>
      <c r="R11" s="400">
        <v>0</v>
      </c>
      <c r="S11" s="398">
        <v>0</v>
      </c>
      <c r="T11" s="399">
        <v>0</v>
      </c>
      <c r="U11" s="399">
        <v>0</v>
      </c>
      <c r="V11" s="400">
        <v>0</v>
      </c>
      <c r="W11" s="401">
        <f t="shared" si="0"/>
        <v>6</v>
      </c>
      <c r="X11" s="402">
        <v>13</v>
      </c>
    </row>
    <row r="12" spans="1:24" s="290" customFormat="1" x14ac:dyDescent="0.2">
      <c r="A12" s="384">
        <v>4</v>
      </c>
      <c r="B12" s="403" t="s">
        <v>181</v>
      </c>
      <c r="C12" s="398">
        <v>3</v>
      </c>
      <c r="D12" s="399">
        <v>0</v>
      </c>
      <c r="E12" s="399">
        <v>0</v>
      </c>
      <c r="F12" s="400">
        <v>0</v>
      </c>
      <c r="G12" s="398">
        <v>0</v>
      </c>
      <c r="H12" s="399">
        <v>1</v>
      </c>
      <c r="I12" s="399">
        <v>0</v>
      </c>
      <c r="J12" s="400">
        <v>0</v>
      </c>
      <c r="K12" s="398">
        <v>0</v>
      </c>
      <c r="L12" s="399">
        <v>3</v>
      </c>
      <c r="M12" s="399">
        <v>0</v>
      </c>
      <c r="N12" s="400">
        <v>0</v>
      </c>
      <c r="O12" s="398">
        <v>0</v>
      </c>
      <c r="P12" s="399">
        <v>3</v>
      </c>
      <c r="Q12" s="399">
        <v>3</v>
      </c>
      <c r="R12" s="400">
        <v>0</v>
      </c>
      <c r="S12" s="398">
        <v>0</v>
      </c>
      <c r="T12" s="399">
        <v>0</v>
      </c>
      <c r="U12" s="399">
        <v>0</v>
      </c>
      <c r="V12" s="400">
        <v>0</v>
      </c>
      <c r="W12" s="401">
        <f t="shared" si="0"/>
        <v>13</v>
      </c>
      <c r="X12" s="402">
        <v>9</v>
      </c>
    </row>
    <row r="13" spans="1:24" s="290" customFormat="1" x14ac:dyDescent="0.2">
      <c r="A13" s="389">
        <v>5</v>
      </c>
      <c r="B13" s="396" t="s">
        <v>161</v>
      </c>
      <c r="C13" s="391">
        <v>0</v>
      </c>
      <c r="D13" s="392">
        <v>0</v>
      </c>
      <c r="E13" s="392">
        <v>0</v>
      </c>
      <c r="F13" s="393">
        <v>5</v>
      </c>
      <c r="G13" s="391">
        <v>5</v>
      </c>
      <c r="H13" s="392">
        <v>0</v>
      </c>
      <c r="I13" s="392">
        <v>0</v>
      </c>
      <c r="J13" s="393">
        <v>0</v>
      </c>
      <c r="K13" s="391">
        <v>0</v>
      </c>
      <c r="L13" s="392">
        <v>1</v>
      </c>
      <c r="M13" s="392">
        <v>1</v>
      </c>
      <c r="N13" s="393">
        <v>0</v>
      </c>
      <c r="O13" s="391">
        <v>0</v>
      </c>
      <c r="P13" s="392">
        <v>5</v>
      </c>
      <c r="Q13" s="392">
        <v>0</v>
      </c>
      <c r="R13" s="393">
        <v>0</v>
      </c>
      <c r="S13" s="391">
        <v>5</v>
      </c>
      <c r="T13" s="392">
        <v>5</v>
      </c>
      <c r="U13" s="392">
        <v>0</v>
      </c>
      <c r="V13" s="393">
        <v>5</v>
      </c>
      <c r="W13" s="404">
        <f t="shared" si="0"/>
        <v>32</v>
      </c>
      <c r="X13" s="394" t="s">
        <v>422</v>
      </c>
    </row>
    <row r="14" spans="1:24" s="290" customFormat="1" x14ac:dyDescent="0.2">
      <c r="A14" s="389">
        <v>6</v>
      </c>
      <c r="B14" s="390" t="s">
        <v>166</v>
      </c>
      <c r="C14" s="391">
        <v>0</v>
      </c>
      <c r="D14" s="392">
        <v>0</v>
      </c>
      <c r="E14" s="392">
        <v>0</v>
      </c>
      <c r="F14" s="393">
        <v>0</v>
      </c>
      <c r="G14" s="391">
        <v>1</v>
      </c>
      <c r="H14" s="392">
        <v>0</v>
      </c>
      <c r="I14" s="392">
        <v>0</v>
      </c>
      <c r="J14" s="393">
        <v>0</v>
      </c>
      <c r="K14" s="391">
        <v>0</v>
      </c>
      <c r="L14" s="392">
        <v>3</v>
      </c>
      <c r="M14" s="392">
        <v>5</v>
      </c>
      <c r="N14" s="393">
        <v>0</v>
      </c>
      <c r="O14" s="391">
        <v>3</v>
      </c>
      <c r="P14" s="392">
        <v>0</v>
      </c>
      <c r="Q14" s="392">
        <v>0</v>
      </c>
      <c r="R14" s="393">
        <v>0</v>
      </c>
      <c r="S14" s="391">
        <v>0</v>
      </c>
      <c r="T14" s="392">
        <v>0</v>
      </c>
      <c r="U14" s="392">
        <v>0</v>
      </c>
      <c r="V14" s="393">
        <v>0</v>
      </c>
      <c r="W14" s="394">
        <f t="shared" si="0"/>
        <v>12</v>
      </c>
      <c r="X14" s="395">
        <v>10</v>
      </c>
    </row>
    <row r="15" spans="1:24" s="290" customFormat="1" x14ac:dyDescent="0.2">
      <c r="A15" s="384">
        <v>7</v>
      </c>
      <c r="B15" s="405" t="s">
        <v>172</v>
      </c>
      <c r="C15" s="398">
        <v>0</v>
      </c>
      <c r="D15" s="399">
        <v>0</v>
      </c>
      <c r="E15" s="399">
        <v>1</v>
      </c>
      <c r="F15" s="400">
        <v>0</v>
      </c>
      <c r="G15" s="398">
        <v>3</v>
      </c>
      <c r="H15" s="399">
        <v>0</v>
      </c>
      <c r="I15" s="399">
        <v>0</v>
      </c>
      <c r="J15" s="400">
        <v>0</v>
      </c>
      <c r="K15" s="398">
        <v>0</v>
      </c>
      <c r="L15" s="399">
        <v>1</v>
      </c>
      <c r="M15" s="399">
        <v>0</v>
      </c>
      <c r="N15" s="400">
        <v>0</v>
      </c>
      <c r="O15" s="398">
        <v>3</v>
      </c>
      <c r="P15" s="399">
        <v>3</v>
      </c>
      <c r="Q15" s="399">
        <v>3</v>
      </c>
      <c r="R15" s="400">
        <v>0</v>
      </c>
      <c r="S15" s="398">
        <v>0</v>
      </c>
      <c r="T15" s="399">
        <v>0</v>
      </c>
      <c r="U15" s="399">
        <v>3</v>
      </c>
      <c r="V15" s="400">
        <v>0</v>
      </c>
      <c r="W15" s="404">
        <f t="shared" si="0"/>
        <v>17</v>
      </c>
      <c r="X15" s="401" t="s">
        <v>423</v>
      </c>
    </row>
    <row r="16" spans="1:24" s="290" customFormat="1" x14ac:dyDescent="0.2">
      <c r="A16" s="384">
        <v>8</v>
      </c>
      <c r="B16" s="406" t="s">
        <v>157</v>
      </c>
      <c r="C16" s="398">
        <v>0</v>
      </c>
      <c r="D16" s="399">
        <v>1</v>
      </c>
      <c r="E16" s="399">
        <v>0</v>
      </c>
      <c r="F16" s="400">
        <v>5</v>
      </c>
      <c r="G16" s="398">
        <v>0</v>
      </c>
      <c r="H16" s="399">
        <v>1</v>
      </c>
      <c r="I16" s="399">
        <v>0</v>
      </c>
      <c r="J16" s="400">
        <v>0</v>
      </c>
      <c r="K16" s="398">
        <v>1</v>
      </c>
      <c r="L16" s="399">
        <v>0</v>
      </c>
      <c r="M16" s="399">
        <v>0</v>
      </c>
      <c r="N16" s="400">
        <v>0</v>
      </c>
      <c r="O16" s="398">
        <v>0</v>
      </c>
      <c r="P16" s="399">
        <v>0</v>
      </c>
      <c r="Q16" s="399">
        <v>0</v>
      </c>
      <c r="R16" s="400">
        <v>0</v>
      </c>
      <c r="S16" s="398">
        <v>0</v>
      </c>
      <c r="T16" s="399">
        <v>0</v>
      </c>
      <c r="U16" s="399">
        <v>0</v>
      </c>
      <c r="V16" s="400">
        <v>0</v>
      </c>
      <c r="W16" s="401">
        <f t="shared" si="0"/>
        <v>8</v>
      </c>
      <c r="X16" s="402">
        <v>12</v>
      </c>
    </row>
    <row r="17" spans="1:24" s="290" customFormat="1" x14ac:dyDescent="0.2">
      <c r="A17" s="389">
        <v>9</v>
      </c>
      <c r="B17" s="396" t="s">
        <v>159</v>
      </c>
      <c r="C17" s="391">
        <v>0</v>
      </c>
      <c r="D17" s="392">
        <v>0</v>
      </c>
      <c r="E17" s="392">
        <v>0</v>
      </c>
      <c r="F17" s="393">
        <v>5</v>
      </c>
      <c r="G17" s="391">
        <v>0</v>
      </c>
      <c r="H17" s="392">
        <v>3</v>
      </c>
      <c r="I17" s="392">
        <v>0</v>
      </c>
      <c r="J17" s="393">
        <v>0</v>
      </c>
      <c r="K17" s="391">
        <v>1</v>
      </c>
      <c r="L17" s="392">
        <v>1</v>
      </c>
      <c r="M17" s="392">
        <v>0</v>
      </c>
      <c r="N17" s="393">
        <v>0</v>
      </c>
      <c r="O17" s="391">
        <v>5</v>
      </c>
      <c r="P17" s="392">
        <v>0</v>
      </c>
      <c r="Q17" s="392">
        <v>0</v>
      </c>
      <c r="R17" s="393">
        <v>0</v>
      </c>
      <c r="S17" s="391">
        <v>0</v>
      </c>
      <c r="T17" s="392">
        <v>0</v>
      </c>
      <c r="U17" s="392">
        <v>3</v>
      </c>
      <c r="V17" s="393">
        <v>0</v>
      </c>
      <c r="W17" s="394">
        <f t="shared" si="0"/>
        <v>18</v>
      </c>
      <c r="X17" s="394" t="s">
        <v>424</v>
      </c>
    </row>
    <row r="18" spans="1:24" s="290" customFormat="1" x14ac:dyDescent="0.2">
      <c r="A18" s="389">
        <v>10</v>
      </c>
      <c r="B18" s="396" t="s">
        <v>158</v>
      </c>
      <c r="C18" s="391">
        <v>0</v>
      </c>
      <c r="D18" s="392">
        <v>3</v>
      </c>
      <c r="E18" s="392">
        <v>0</v>
      </c>
      <c r="F18" s="393">
        <v>0</v>
      </c>
      <c r="G18" s="391">
        <v>0</v>
      </c>
      <c r="H18" s="392">
        <v>0</v>
      </c>
      <c r="I18" s="392">
        <v>0</v>
      </c>
      <c r="J18" s="393">
        <v>0</v>
      </c>
      <c r="K18" s="391">
        <v>0</v>
      </c>
      <c r="L18" s="392">
        <v>1</v>
      </c>
      <c r="M18" s="392">
        <v>0</v>
      </c>
      <c r="N18" s="393">
        <v>0</v>
      </c>
      <c r="O18" s="391">
        <v>0</v>
      </c>
      <c r="P18" s="392">
        <v>1</v>
      </c>
      <c r="Q18" s="392">
        <v>0</v>
      </c>
      <c r="R18" s="393">
        <v>0</v>
      </c>
      <c r="S18" s="391">
        <v>0</v>
      </c>
      <c r="T18" s="392">
        <v>0</v>
      </c>
      <c r="U18" s="392">
        <v>0</v>
      </c>
      <c r="V18" s="393">
        <v>0</v>
      </c>
      <c r="W18" s="394">
        <f t="shared" si="0"/>
        <v>5</v>
      </c>
      <c r="X18" s="395">
        <v>14</v>
      </c>
    </row>
    <row r="19" spans="1:24" s="290" customFormat="1" x14ac:dyDescent="0.2">
      <c r="A19" s="384">
        <v>11</v>
      </c>
      <c r="B19" s="403" t="s">
        <v>165</v>
      </c>
      <c r="C19" s="398">
        <v>0</v>
      </c>
      <c r="D19" s="399">
        <v>0</v>
      </c>
      <c r="E19" s="399">
        <v>0</v>
      </c>
      <c r="F19" s="400">
        <v>0</v>
      </c>
      <c r="G19" s="398">
        <v>0</v>
      </c>
      <c r="H19" s="399">
        <v>0</v>
      </c>
      <c r="I19" s="399">
        <v>0</v>
      </c>
      <c r="J19" s="400">
        <v>0</v>
      </c>
      <c r="K19" s="398">
        <v>0</v>
      </c>
      <c r="L19" s="399">
        <v>0</v>
      </c>
      <c r="M19" s="399">
        <v>1</v>
      </c>
      <c r="N19" s="400">
        <v>0</v>
      </c>
      <c r="O19" s="398">
        <v>0</v>
      </c>
      <c r="P19" s="399">
        <v>3</v>
      </c>
      <c r="Q19" s="399">
        <v>0</v>
      </c>
      <c r="R19" s="400">
        <v>0</v>
      </c>
      <c r="S19" s="398">
        <v>0</v>
      </c>
      <c r="T19" s="399">
        <v>0</v>
      </c>
      <c r="U19" s="399">
        <v>0</v>
      </c>
      <c r="V19" s="400">
        <v>0</v>
      </c>
      <c r="W19" s="401">
        <f t="shared" si="0"/>
        <v>4</v>
      </c>
      <c r="X19" s="402">
        <v>15</v>
      </c>
    </row>
    <row r="20" spans="1:24" x14ac:dyDescent="0.2">
      <c r="A20" s="384">
        <v>12</v>
      </c>
      <c r="B20" s="406" t="s">
        <v>169</v>
      </c>
      <c r="C20" s="398">
        <v>0</v>
      </c>
      <c r="D20" s="399">
        <v>0</v>
      </c>
      <c r="E20" s="399">
        <v>3</v>
      </c>
      <c r="F20" s="400">
        <v>0</v>
      </c>
      <c r="G20" s="398">
        <v>0</v>
      </c>
      <c r="H20" s="399">
        <v>3</v>
      </c>
      <c r="I20" s="399">
        <v>0</v>
      </c>
      <c r="J20" s="400">
        <v>0</v>
      </c>
      <c r="K20" s="398">
        <v>1</v>
      </c>
      <c r="L20" s="399">
        <v>0</v>
      </c>
      <c r="M20" s="399">
        <v>3</v>
      </c>
      <c r="N20" s="400">
        <v>0</v>
      </c>
      <c r="O20" s="398">
        <v>1</v>
      </c>
      <c r="P20" s="399">
        <v>0</v>
      </c>
      <c r="Q20" s="399">
        <v>0</v>
      </c>
      <c r="R20" s="400">
        <v>3</v>
      </c>
      <c r="S20" s="398">
        <v>5</v>
      </c>
      <c r="T20" s="399">
        <v>0</v>
      </c>
      <c r="U20" s="399">
        <v>5</v>
      </c>
      <c r="V20" s="400">
        <v>0</v>
      </c>
      <c r="W20" s="404">
        <f t="shared" si="0"/>
        <v>24</v>
      </c>
      <c r="X20" s="401" t="s">
        <v>425</v>
      </c>
    </row>
    <row r="21" spans="1:24" s="290" customFormat="1" x14ac:dyDescent="0.2">
      <c r="A21" s="389">
        <v>13</v>
      </c>
      <c r="B21" s="396" t="s">
        <v>164</v>
      </c>
      <c r="C21" s="391">
        <v>0</v>
      </c>
      <c r="D21" s="392">
        <v>0</v>
      </c>
      <c r="E21" s="392">
        <v>0</v>
      </c>
      <c r="F21" s="393">
        <v>0</v>
      </c>
      <c r="G21" s="391">
        <v>3</v>
      </c>
      <c r="H21" s="392">
        <v>1</v>
      </c>
      <c r="I21" s="392">
        <v>1</v>
      </c>
      <c r="J21" s="393">
        <v>0</v>
      </c>
      <c r="K21" s="391">
        <v>1</v>
      </c>
      <c r="L21" s="392">
        <v>5</v>
      </c>
      <c r="M21" s="392">
        <v>1</v>
      </c>
      <c r="N21" s="393">
        <v>0</v>
      </c>
      <c r="O21" s="391">
        <v>3</v>
      </c>
      <c r="P21" s="392">
        <v>0</v>
      </c>
      <c r="Q21" s="392">
        <v>3</v>
      </c>
      <c r="R21" s="393">
        <v>0</v>
      </c>
      <c r="S21" s="391">
        <v>3</v>
      </c>
      <c r="T21" s="392">
        <v>0</v>
      </c>
      <c r="U21" s="392">
        <v>0</v>
      </c>
      <c r="V21" s="393">
        <v>5</v>
      </c>
      <c r="W21" s="394">
        <f t="shared" si="0"/>
        <v>26</v>
      </c>
      <c r="X21" s="394" t="s">
        <v>426</v>
      </c>
    </row>
    <row r="22" spans="1:24" s="290" customFormat="1" x14ac:dyDescent="0.2">
      <c r="A22" s="389">
        <v>14</v>
      </c>
      <c r="B22" s="396" t="s">
        <v>153</v>
      </c>
      <c r="C22" s="391">
        <v>1</v>
      </c>
      <c r="D22" s="392">
        <v>3</v>
      </c>
      <c r="E22" s="392">
        <v>3</v>
      </c>
      <c r="F22" s="393">
        <v>1</v>
      </c>
      <c r="G22" s="391">
        <v>3</v>
      </c>
      <c r="H22" s="392">
        <v>0</v>
      </c>
      <c r="I22" s="392">
        <v>0</v>
      </c>
      <c r="J22" s="393">
        <v>3</v>
      </c>
      <c r="K22" s="391">
        <v>1</v>
      </c>
      <c r="L22" s="392">
        <v>3</v>
      </c>
      <c r="M22" s="392">
        <v>1</v>
      </c>
      <c r="N22" s="393">
        <v>3</v>
      </c>
      <c r="O22" s="391">
        <v>0</v>
      </c>
      <c r="P22" s="392">
        <v>0</v>
      </c>
      <c r="Q22" s="392">
        <v>0</v>
      </c>
      <c r="R22" s="393">
        <v>0</v>
      </c>
      <c r="S22" s="391">
        <v>5</v>
      </c>
      <c r="T22" s="392">
        <v>0</v>
      </c>
      <c r="U22" s="392">
        <v>0</v>
      </c>
      <c r="V22" s="393">
        <v>0</v>
      </c>
      <c r="W22" s="394">
        <f t="shared" si="0"/>
        <v>27</v>
      </c>
      <c r="X22" s="407" t="s">
        <v>427</v>
      </c>
    </row>
    <row r="23" spans="1:24" s="290" customFormat="1" x14ac:dyDescent="0.2">
      <c r="A23" s="384">
        <v>15</v>
      </c>
      <c r="B23" s="397" t="s">
        <v>170</v>
      </c>
      <c r="C23" s="398">
        <v>0</v>
      </c>
      <c r="D23" s="399">
        <v>0</v>
      </c>
      <c r="E23" s="399">
        <v>3</v>
      </c>
      <c r="F23" s="400">
        <v>0</v>
      </c>
      <c r="G23" s="398">
        <v>3</v>
      </c>
      <c r="H23" s="399">
        <v>0</v>
      </c>
      <c r="I23" s="399">
        <v>5</v>
      </c>
      <c r="J23" s="400">
        <v>1</v>
      </c>
      <c r="K23" s="398">
        <v>0</v>
      </c>
      <c r="L23" s="399">
        <v>3</v>
      </c>
      <c r="M23" s="399">
        <v>0</v>
      </c>
      <c r="N23" s="400">
        <v>1</v>
      </c>
      <c r="O23" s="398">
        <v>3</v>
      </c>
      <c r="P23" s="399">
        <v>0</v>
      </c>
      <c r="Q23" s="399">
        <v>0</v>
      </c>
      <c r="R23" s="400">
        <v>0</v>
      </c>
      <c r="S23" s="398">
        <v>0</v>
      </c>
      <c r="T23" s="399">
        <v>0</v>
      </c>
      <c r="U23" s="399">
        <v>0</v>
      </c>
      <c r="V23" s="400">
        <v>0</v>
      </c>
      <c r="W23" s="401">
        <f t="shared" si="0"/>
        <v>19</v>
      </c>
      <c r="X23" s="408" t="s">
        <v>428</v>
      </c>
    </row>
    <row r="24" spans="1:24" ht="13.5" thickBot="1" x14ac:dyDescent="0.25">
      <c r="A24" s="409">
        <v>16</v>
      </c>
      <c r="B24" s="410" t="s">
        <v>173</v>
      </c>
      <c r="C24" s="411">
        <v>0</v>
      </c>
      <c r="D24" s="412">
        <v>0</v>
      </c>
      <c r="E24" s="412">
        <v>0</v>
      </c>
      <c r="F24" s="413">
        <v>0</v>
      </c>
      <c r="G24" s="411">
        <v>0</v>
      </c>
      <c r="H24" s="412">
        <v>0</v>
      </c>
      <c r="I24" s="412">
        <v>0</v>
      </c>
      <c r="J24" s="413">
        <v>0</v>
      </c>
      <c r="K24" s="411">
        <v>0</v>
      </c>
      <c r="L24" s="412">
        <v>0</v>
      </c>
      <c r="M24" s="412">
        <v>0</v>
      </c>
      <c r="N24" s="413">
        <v>0</v>
      </c>
      <c r="O24" s="411">
        <v>0</v>
      </c>
      <c r="P24" s="412">
        <v>0</v>
      </c>
      <c r="Q24" s="412">
        <v>0</v>
      </c>
      <c r="R24" s="413">
        <v>0</v>
      </c>
      <c r="S24" s="411">
        <v>0</v>
      </c>
      <c r="T24" s="412">
        <v>0</v>
      </c>
      <c r="U24" s="412">
        <v>0</v>
      </c>
      <c r="V24" s="413">
        <v>0</v>
      </c>
      <c r="W24" s="414">
        <f t="shared" si="0"/>
        <v>0</v>
      </c>
      <c r="X24" s="415">
        <v>16</v>
      </c>
    </row>
    <row r="25" spans="1:24" x14ac:dyDescent="0.2">
      <c r="A25" s="416"/>
      <c r="B25" s="385" t="s">
        <v>429</v>
      </c>
      <c r="C25" s="386"/>
      <c r="D25" s="320"/>
      <c r="E25" s="320"/>
      <c r="F25" s="387"/>
      <c r="G25" s="386"/>
      <c r="H25" s="320"/>
      <c r="I25" s="320"/>
      <c r="J25" s="387"/>
      <c r="K25" s="386"/>
      <c r="L25" s="320"/>
      <c r="M25" s="320"/>
      <c r="N25" s="387"/>
      <c r="O25" s="386"/>
      <c r="P25" s="320"/>
      <c r="Q25" s="320"/>
      <c r="R25" s="387"/>
      <c r="S25" s="386"/>
      <c r="T25" s="320"/>
      <c r="U25" s="320"/>
      <c r="V25" s="387"/>
      <c r="W25" s="388"/>
      <c r="X25" s="388"/>
    </row>
    <row r="26" spans="1:24" x14ac:dyDescent="0.2">
      <c r="A26" s="670">
        <v>4</v>
      </c>
      <c r="B26" s="671" t="s">
        <v>169</v>
      </c>
      <c r="C26" s="672">
        <v>0</v>
      </c>
      <c r="D26" s="673">
        <v>3</v>
      </c>
      <c r="E26" s="673">
        <v>0</v>
      </c>
      <c r="F26" s="674">
        <v>0</v>
      </c>
      <c r="G26" s="672">
        <v>0</v>
      </c>
      <c r="H26" s="673">
        <v>0</v>
      </c>
      <c r="I26" s="673">
        <v>3</v>
      </c>
      <c r="J26" s="674">
        <v>0</v>
      </c>
      <c r="K26" s="672">
        <v>1</v>
      </c>
      <c r="L26" s="673">
        <v>0</v>
      </c>
      <c r="M26" s="673">
        <v>0</v>
      </c>
      <c r="N26" s="674">
        <v>0</v>
      </c>
      <c r="O26" s="672">
        <v>0</v>
      </c>
      <c r="P26" s="673">
        <v>0</v>
      </c>
      <c r="Q26" s="673">
        <v>0</v>
      </c>
      <c r="R26" s="674">
        <v>0</v>
      </c>
      <c r="S26" s="672">
        <v>0</v>
      </c>
      <c r="T26" s="673">
        <v>0</v>
      </c>
      <c r="U26" s="673">
        <v>0</v>
      </c>
      <c r="V26" s="674">
        <v>0</v>
      </c>
      <c r="W26" s="394">
        <f t="shared" ref="W26:W33" si="1">SUM(C26:V26)</f>
        <v>7</v>
      </c>
      <c r="X26" s="675">
        <v>7</v>
      </c>
    </row>
    <row r="27" spans="1:24" x14ac:dyDescent="0.2">
      <c r="A27" s="670">
        <v>5</v>
      </c>
      <c r="B27" s="390" t="s">
        <v>170</v>
      </c>
      <c r="C27" s="672">
        <v>1</v>
      </c>
      <c r="D27" s="673">
        <v>0</v>
      </c>
      <c r="E27" s="673">
        <v>0</v>
      </c>
      <c r="F27" s="674">
        <v>3</v>
      </c>
      <c r="G27" s="672">
        <v>0</v>
      </c>
      <c r="H27" s="673">
        <v>1</v>
      </c>
      <c r="I27" s="673">
        <v>0</v>
      </c>
      <c r="J27" s="674">
        <v>1</v>
      </c>
      <c r="K27" s="672">
        <v>1</v>
      </c>
      <c r="L27" s="673">
        <v>5</v>
      </c>
      <c r="M27" s="673">
        <v>0</v>
      </c>
      <c r="N27" s="674">
        <v>0</v>
      </c>
      <c r="O27" s="672">
        <v>0</v>
      </c>
      <c r="P27" s="673">
        <v>0</v>
      </c>
      <c r="Q27" s="673">
        <v>3</v>
      </c>
      <c r="R27" s="674">
        <v>0</v>
      </c>
      <c r="S27" s="672">
        <v>0</v>
      </c>
      <c r="T27" s="673">
        <v>0</v>
      </c>
      <c r="U27" s="673">
        <v>0</v>
      </c>
      <c r="V27" s="674">
        <v>0</v>
      </c>
      <c r="W27" s="394">
        <f t="shared" si="1"/>
        <v>15</v>
      </c>
      <c r="X27" s="676" t="s">
        <v>425</v>
      </c>
    </row>
    <row r="28" spans="1:24" x14ac:dyDescent="0.2">
      <c r="A28" s="416">
        <v>3</v>
      </c>
      <c r="B28" s="418" t="s">
        <v>164</v>
      </c>
      <c r="C28" s="386">
        <v>0</v>
      </c>
      <c r="D28" s="320">
        <v>3</v>
      </c>
      <c r="E28" s="320">
        <v>0</v>
      </c>
      <c r="F28" s="387">
        <v>3</v>
      </c>
      <c r="G28" s="386">
        <v>3</v>
      </c>
      <c r="H28" s="320">
        <v>0</v>
      </c>
      <c r="I28" s="320">
        <v>0</v>
      </c>
      <c r="J28" s="387">
        <v>0</v>
      </c>
      <c r="K28" s="386">
        <v>0</v>
      </c>
      <c r="L28" s="320">
        <v>0</v>
      </c>
      <c r="M28" s="320">
        <v>0</v>
      </c>
      <c r="N28" s="387">
        <v>1</v>
      </c>
      <c r="O28" s="386">
        <v>0</v>
      </c>
      <c r="P28" s="320">
        <v>0</v>
      </c>
      <c r="Q28" s="320">
        <v>0</v>
      </c>
      <c r="R28" s="387">
        <v>1</v>
      </c>
      <c r="S28" s="386">
        <v>0</v>
      </c>
      <c r="T28" s="320">
        <v>0</v>
      </c>
      <c r="U28" s="320">
        <v>0</v>
      </c>
      <c r="V28" s="387">
        <v>5</v>
      </c>
      <c r="W28" s="401">
        <f t="shared" si="1"/>
        <v>16</v>
      </c>
      <c r="X28" s="419">
        <v>5</v>
      </c>
    </row>
    <row r="29" spans="1:24" x14ac:dyDescent="0.2">
      <c r="A29" s="416">
        <v>6</v>
      </c>
      <c r="B29" s="418" t="s">
        <v>159</v>
      </c>
      <c r="C29" s="386">
        <v>3</v>
      </c>
      <c r="D29" s="320">
        <v>0</v>
      </c>
      <c r="E29" s="320">
        <v>0</v>
      </c>
      <c r="F29" s="387">
        <v>0</v>
      </c>
      <c r="G29" s="386">
        <v>0</v>
      </c>
      <c r="H29" s="320">
        <v>1</v>
      </c>
      <c r="I29" s="320">
        <v>3</v>
      </c>
      <c r="J29" s="387">
        <v>3</v>
      </c>
      <c r="K29" s="386">
        <v>1</v>
      </c>
      <c r="L29" s="320">
        <v>5</v>
      </c>
      <c r="M29" s="320">
        <v>0</v>
      </c>
      <c r="N29" s="387">
        <v>0</v>
      </c>
      <c r="O29" s="386">
        <v>0</v>
      </c>
      <c r="P29" s="320">
        <v>0</v>
      </c>
      <c r="Q29" s="320">
        <v>0</v>
      </c>
      <c r="R29" s="387">
        <v>3</v>
      </c>
      <c r="S29" s="386">
        <v>0</v>
      </c>
      <c r="T29" s="320">
        <v>0</v>
      </c>
      <c r="U29" s="320">
        <v>0</v>
      </c>
      <c r="V29" s="387">
        <v>3</v>
      </c>
      <c r="W29" s="401">
        <f t="shared" si="1"/>
        <v>22</v>
      </c>
      <c r="X29" s="388" t="s">
        <v>427</v>
      </c>
    </row>
    <row r="30" spans="1:24" x14ac:dyDescent="0.2">
      <c r="A30" s="670">
        <v>2</v>
      </c>
      <c r="B30" s="677" t="s">
        <v>153</v>
      </c>
      <c r="C30" s="672">
        <v>3</v>
      </c>
      <c r="D30" s="673">
        <v>1</v>
      </c>
      <c r="E30" s="673">
        <v>0</v>
      </c>
      <c r="F30" s="674">
        <v>3</v>
      </c>
      <c r="G30" s="672">
        <v>3</v>
      </c>
      <c r="H30" s="673">
        <v>5</v>
      </c>
      <c r="I30" s="673">
        <v>0</v>
      </c>
      <c r="J30" s="674">
        <v>3</v>
      </c>
      <c r="K30" s="672">
        <v>0</v>
      </c>
      <c r="L30" s="673">
        <v>1</v>
      </c>
      <c r="M30" s="673">
        <v>0</v>
      </c>
      <c r="N30" s="674">
        <v>0</v>
      </c>
      <c r="O30" s="672">
        <v>0</v>
      </c>
      <c r="P30" s="673">
        <v>3</v>
      </c>
      <c r="Q30" s="673">
        <v>1</v>
      </c>
      <c r="R30" s="674">
        <v>1</v>
      </c>
      <c r="S30" s="672">
        <v>5</v>
      </c>
      <c r="T30" s="673">
        <v>3</v>
      </c>
      <c r="U30" s="673">
        <v>0</v>
      </c>
      <c r="V30" s="674">
        <v>0</v>
      </c>
      <c r="W30" s="394">
        <f t="shared" si="1"/>
        <v>32</v>
      </c>
      <c r="X30" s="676" t="s">
        <v>422</v>
      </c>
    </row>
    <row r="31" spans="1:24" x14ac:dyDescent="0.2">
      <c r="A31" s="670">
        <v>7</v>
      </c>
      <c r="B31" s="677" t="s">
        <v>172</v>
      </c>
      <c r="C31" s="672">
        <v>0</v>
      </c>
      <c r="D31" s="673">
        <v>3</v>
      </c>
      <c r="E31" s="673">
        <v>3</v>
      </c>
      <c r="F31" s="674">
        <v>0</v>
      </c>
      <c r="G31" s="672">
        <v>0</v>
      </c>
      <c r="H31" s="673">
        <v>0</v>
      </c>
      <c r="I31" s="673">
        <v>3</v>
      </c>
      <c r="J31" s="674">
        <v>0</v>
      </c>
      <c r="K31" s="672">
        <v>0</v>
      </c>
      <c r="L31" s="673">
        <v>3</v>
      </c>
      <c r="M31" s="673">
        <v>1</v>
      </c>
      <c r="N31" s="674">
        <v>0</v>
      </c>
      <c r="O31" s="672">
        <v>0</v>
      </c>
      <c r="P31" s="673">
        <v>0</v>
      </c>
      <c r="Q31" s="673">
        <v>0</v>
      </c>
      <c r="R31" s="674">
        <v>0</v>
      </c>
      <c r="S31" s="672">
        <v>0</v>
      </c>
      <c r="T31" s="673">
        <v>0</v>
      </c>
      <c r="U31" s="673">
        <v>0</v>
      </c>
      <c r="V31" s="674">
        <v>0</v>
      </c>
      <c r="W31" s="420">
        <f t="shared" si="1"/>
        <v>13</v>
      </c>
      <c r="X31" s="675">
        <v>6</v>
      </c>
    </row>
    <row r="32" spans="1:24" x14ac:dyDescent="0.2">
      <c r="A32" s="416">
        <v>1</v>
      </c>
      <c r="B32" s="417" t="s">
        <v>161</v>
      </c>
      <c r="C32" s="386">
        <v>3</v>
      </c>
      <c r="D32" s="320">
        <v>0</v>
      </c>
      <c r="E32" s="320">
        <v>0</v>
      </c>
      <c r="F32" s="387">
        <v>1</v>
      </c>
      <c r="G32" s="386">
        <v>0</v>
      </c>
      <c r="H32" s="320">
        <v>0</v>
      </c>
      <c r="I32" s="320">
        <v>0</v>
      </c>
      <c r="J32" s="387">
        <v>0</v>
      </c>
      <c r="K32" s="386">
        <v>0</v>
      </c>
      <c r="L32" s="320">
        <v>0</v>
      </c>
      <c r="M32" s="320">
        <v>0</v>
      </c>
      <c r="N32" s="387">
        <v>0</v>
      </c>
      <c r="O32" s="386">
        <v>0</v>
      </c>
      <c r="P32" s="320">
        <v>0</v>
      </c>
      <c r="Q32" s="320">
        <v>0</v>
      </c>
      <c r="R32" s="387">
        <v>0</v>
      </c>
      <c r="S32" s="386">
        <v>0</v>
      </c>
      <c r="T32" s="320">
        <v>0</v>
      </c>
      <c r="U32" s="320">
        <v>0</v>
      </c>
      <c r="V32" s="387">
        <v>0</v>
      </c>
      <c r="W32" s="401">
        <f t="shared" si="1"/>
        <v>4</v>
      </c>
      <c r="X32" s="383">
        <v>8</v>
      </c>
    </row>
    <row r="33" spans="1:24" ht="13.5" thickBot="1" x14ac:dyDescent="0.25">
      <c r="A33" s="423">
        <v>8</v>
      </c>
      <c r="B33" s="646" t="s">
        <v>160</v>
      </c>
      <c r="C33" s="425">
        <v>3</v>
      </c>
      <c r="D33" s="426">
        <v>3</v>
      </c>
      <c r="E33" s="426">
        <v>3</v>
      </c>
      <c r="F33" s="427">
        <v>3</v>
      </c>
      <c r="G33" s="425">
        <v>0</v>
      </c>
      <c r="H33" s="426">
        <v>0</v>
      </c>
      <c r="I33" s="426">
        <v>0</v>
      </c>
      <c r="J33" s="427">
        <v>0</v>
      </c>
      <c r="K33" s="425">
        <v>0</v>
      </c>
      <c r="L33" s="426">
        <v>0</v>
      </c>
      <c r="M33" s="426">
        <v>1</v>
      </c>
      <c r="N33" s="427">
        <v>0</v>
      </c>
      <c r="O33" s="425">
        <v>3</v>
      </c>
      <c r="P33" s="426">
        <v>0</v>
      </c>
      <c r="Q33" s="426">
        <v>0</v>
      </c>
      <c r="R33" s="427">
        <v>0</v>
      </c>
      <c r="S33" s="425">
        <v>0</v>
      </c>
      <c r="T33" s="426">
        <v>0</v>
      </c>
      <c r="U33" s="426">
        <v>0</v>
      </c>
      <c r="V33" s="427">
        <v>0</v>
      </c>
      <c r="W33" s="655">
        <f t="shared" si="1"/>
        <v>16</v>
      </c>
      <c r="X33" s="647" t="s">
        <v>426</v>
      </c>
    </row>
    <row r="34" spans="1:24" x14ac:dyDescent="0.2">
      <c r="A34" s="382"/>
      <c r="B34" s="656" t="s">
        <v>430</v>
      </c>
      <c r="C34" s="650"/>
      <c r="D34" s="651"/>
      <c r="E34" s="651"/>
      <c r="F34" s="652"/>
      <c r="G34" s="650"/>
      <c r="H34" s="651"/>
      <c r="I34" s="651"/>
      <c r="J34" s="652"/>
      <c r="K34" s="650"/>
      <c r="L34" s="651"/>
      <c r="M34" s="651"/>
      <c r="N34" s="652"/>
      <c r="O34" s="650"/>
      <c r="P34" s="651"/>
      <c r="Q34" s="651"/>
      <c r="R34" s="652"/>
      <c r="S34" s="650"/>
      <c r="T34" s="651"/>
      <c r="U34" s="651"/>
      <c r="V34" s="652"/>
      <c r="W34" s="654"/>
      <c r="X34" s="654"/>
    </row>
    <row r="35" spans="1:24" x14ac:dyDescent="0.2">
      <c r="A35" s="670">
        <v>2</v>
      </c>
      <c r="B35" s="678" t="s">
        <v>159</v>
      </c>
      <c r="C35" s="672">
        <v>3</v>
      </c>
      <c r="D35" s="673">
        <v>0</v>
      </c>
      <c r="E35" s="673">
        <v>0</v>
      </c>
      <c r="F35" s="674">
        <v>0</v>
      </c>
      <c r="G35" s="672">
        <v>0</v>
      </c>
      <c r="H35" s="673">
        <v>0</v>
      </c>
      <c r="I35" s="673">
        <v>0</v>
      </c>
      <c r="J35" s="674">
        <v>0</v>
      </c>
      <c r="K35" s="672">
        <v>1</v>
      </c>
      <c r="L35" s="673">
        <v>0</v>
      </c>
      <c r="M35" s="673">
        <v>0</v>
      </c>
      <c r="N35" s="674">
        <v>0</v>
      </c>
      <c r="O35" s="672">
        <v>0</v>
      </c>
      <c r="P35" s="673">
        <v>0</v>
      </c>
      <c r="Q35" s="673">
        <v>3</v>
      </c>
      <c r="R35" s="674">
        <v>0</v>
      </c>
      <c r="S35" s="672">
        <v>5</v>
      </c>
      <c r="T35" s="673">
        <v>5</v>
      </c>
      <c r="U35" s="673">
        <v>3</v>
      </c>
      <c r="V35" s="674">
        <v>3</v>
      </c>
      <c r="W35" s="394">
        <f>SUM(C35:V35)</f>
        <v>23</v>
      </c>
      <c r="X35" s="676" t="str">
        <f ca="1">IF( INDIRECT("RC[-1]",0)=MAX(( INDIRECT("R[-1]C[-1]",0)):( INDIRECT("R[1]C[-1]",0))),"finaali","pronksi")</f>
        <v>finaali</v>
      </c>
    </row>
    <row r="36" spans="1:24" x14ac:dyDescent="0.2">
      <c r="A36" s="684">
        <v>4</v>
      </c>
      <c r="B36" s="390" t="s">
        <v>170</v>
      </c>
      <c r="C36" s="672">
        <v>0</v>
      </c>
      <c r="D36" s="673">
        <v>1</v>
      </c>
      <c r="E36" s="673">
        <v>3</v>
      </c>
      <c r="F36" s="674">
        <v>3</v>
      </c>
      <c r="G36" s="672">
        <v>0</v>
      </c>
      <c r="H36" s="673">
        <v>0</v>
      </c>
      <c r="I36" s="673">
        <v>0</v>
      </c>
      <c r="J36" s="674">
        <v>0</v>
      </c>
      <c r="K36" s="672">
        <v>0</v>
      </c>
      <c r="L36" s="673">
        <v>1</v>
      </c>
      <c r="M36" s="673">
        <v>0</v>
      </c>
      <c r="N36" s="674">
        <v>0</v>
      </c>
      <c r="O36" s="672">
        <v>0</v>
      </c>
      <c r="P36" s="673">
        <v>0</v>
      </c>
      <c r="Q36" s="673">
        <v>0</v>
      </c>
      <c r="R36" s="674">
        <v>0</v>
      </c>
      <c r="S36" s="672">
        <v>3</v>
      </c>
      <c r="T36" s="673">
        <v>0</v>
      </c>
      <c r="U36" s="673">
        <v>0</v>
      </c>
      <c r="V36" s="674">
        <v>0</v>
      </c>
      <c r="W36" s="394">
        <f>SUM(C36:V36)</f>
        <v>11</v>
      </c>
      <c r="X36" s="676" t="str">
        <f ca="1">IF( INDIRECT("RC[-1]",0)=MAX(( INDIRECT("R[-1]C[-1]",0)):( INDIRECT("R[1]C[-1]",0))),"finaali","pronksi")</f>
        <v>pronksi</v>
      </c>
    </row>
    <row r="37" spans="1:24" x14ac:dyDescent="0.2">
      <c r="A37" s="416">
        <v>1</v>
      </c>
      <c r="B37" s="417" t="s">
        <v>153</v>
      </c>
      <c r="C37" s="386">
        <v>0</v>
      </c>
      <c r="D37" s="320">
        <v>0</v>
      </c>
      <c r="E37" s="320">
        <v>1</v>
      </c>
      <c r="F37" s="387">
        <v>1</v>
      </c>
      <c r="G37" s="386">
        <v>0</v>
      </c>
      <c r="H37" s="320">
        <v>0</v>
      </c>
      <c r="I37" s="320">
        <v>3</v>
      </c>
      <c r="J37" s="387">
        <v>3</v>
      </c>
      <c r="K37" s="386">
        <v>0</v>
      </c>
      <c r="L37" s="320">
        <v>0</v>
      </c>
      <c r="M37" s="320">
        <v>5</v>
      </c>
      <c r="N37" s="387">
        <v>1</v>
      </c>
      <c r="O37" s="386">
        <v>3</v>
      </c>
      <c r="P37" s="320">
        <v>0</v>
      </c>
      <c r="Q37" s="320">
        <v>1</v>
      </c>
      <c r="R37" s="387">
        <v>0</v>
      </c>
      <c r="S37" s="386">
        <v>0</v>
      </c>
      <c r="T37" s="320">
        <v>0</v>
      </c>
      <c r="U37" s="320">
        <v>3</v>
      </c>
      <c r="V37" s="387">
        <v>3</v>
      </c>
      <c r="W37" s="401">
        <f>SUM(C37:V37)</f>
        <v>24</v>
      </c>
      <c r="X37" s="388" t="str">
        <f ca="1">IF( INDIRECT("RC[-1]",0)=MAX(( INDIRECT("R[-1]C[-1]",0)):( INDIRECT("R[1]C[-1]",0))),"finaali","pronksi")</f>
        <v>finaali</v>
      </c>
    </row>
    <row r="38" spans="1:24" ht="13.5" thickBot="1" x14ac:dyDescent="0.25">
      <c r="A38" s="685">
        <v>3</v>
      </c>
      <c r="B38" s="646" t="s">
        <v>160</v>
      </c>
      <c r="C38" s="425">
        <v>3</v>
      </c>
      <c r="D38" s="426">
        <v>5</v>
      </c>
      <c r="E38" s="426">
        <v>0</v>
      </c>
      <c r="F38" s="427">
        <v>0</v>
      </c>
      <c r="G38" s="425">
        <v>0</v>
      </c>
      <c r="H38" s="426">
        <v>0</v>
      </c>
      <c r="I38" s="426">
        <v>0</v>
      </c>
      <c r="J38" s="427">
        <v>0</v>
      </c>
      <c r="K38" s="425">
        <v>3</v>
      </c>
      <c r="L38" s="426">
        <v>0</v>
      </c>
      <c r="M38" s="426">
        <v>0</v>
      </c>
      <c r="N38" s="427">
        <v>0</v>
      </c>
      <c r="O38" s="425">
        <v>0</v>
      </c>
      <c r="P38" s="426">
        <v>0</v>
      </c>
      <c r="Q38" s="426">
        <v>0</v>
      </c>
      <c r="R38" s="427">
        <v>3</v>
      </c>
      <c r="S38" s="425">
        <v>0</v>
      </c>
      <c r="T38" s="426">
        <v>0</v>
      </c>
      <c r="U38" s="426">
        <v>3</v>
      </c>
      <c r="V38" s="427">
        <v>0</v>
      </c>
      <c r="W38" s="414">
        <f>SUM(C38:V38)</f>
        <v>17</v>
      </c>
      <c r="X38" s="647" t="str">
        <f ca="1">IF( INDIRECT("RC[-1]",0)=MAX(( INDIRECT("R[-1]C[-1]",0)):( INDIRECT("R[1]C[-1]",0))),"finaali","pronksi")</f>
        <v>pronksi</v>
      </c>
    </row>
    <row r="39" spans="1:24" x14ac:dyDescent="0.2">
      <c r="A39" s="382"/>
      <c r="B39" s="649" t="s">
        <v>431</v>
      </c>
      <c r="C39" s="650"/>
      <c r="D39" s="651"/>
      <c r="E39" s="651"/>
      <c r="F39" s="652"/>
      <c r="G39" s="650"/>
      <c r="H39" s="651"/>
      <c r="I39" s="651"/>
      <c r="J39" s="652"/>
      <c r="K39" s="650"/>
      <c r="L39" s="651"/>
      <c r="M39" s="651"/>
      <c r="N39" s="652"/>
      <c r="O39" s="650"/>
      <c r="P39" s="651"/>
      <c r="Q39" s="651"/>
      <c r="R39" s="652"/>
      <c r="S39" s="650"/>
      <c r="T39" s="651"/>
      <c r="U39" s="651"/>
      <c r="V39" s="652"/>
      <c r="W39" s="653"/>
      <c r="X39" s="654"/>
    </row>
    <row r="40" spans="1:24" x14ac:dyDescent="0.2">
      <c r="A40" s="416"/>
      <c r="B40" s="397" t="s">
        <v>170</v>
      </c>
      <c r="C40" s="386">
        <v>3</v>
      </c>
      <c r="D40" s="320">
        <v>0</v>
      </c>
      <c r="E40" s="320">
        <v>3</v>
      </c>
      <c r="F40" s="387">
        <v>3</v>
      </c>
      <c r="G40" s="386">
        <v>0</v>
      </c>
      <c r="H40" s="320">
        <v>0</v>
      </c>
      <c r="I40" s="320">
        <v>5</v>
      </c>
      <c r="J40" s="387">
        <v>0</v>
      </c>
      <c r="K40" s="386">
        <v>1</v>
      </c>
      <c r="L40" s="320">
        <v>3</v>
      </c>
      <c r="M40" s="320">
        <v>0</v>
      </c>
      <c r="N40" s="387">
        <v>0</v>
      </c>
      <c r="O40" s="386">
        <v>0</v>
      </c>
      <c r="P40" s="320">
        <v>5</v>
      </c>
      <c r="Q40" s="320">
        <v>5</v>
      </c>
      <c r="R40" s="387">
        <v>0</v>
      </c>
      <c r="S40" s="386">
        <v>0</v>
      </c>
      <c r="T40" s="320">
        <v>0</v>
      </c>
      <c r="U40" s="320">
        <v>0</v>
      </c>
      <c r="V40" s="387">
        <v>0</v>
      </c>
      <c r="W40" s="404">
        <f>SUM(C40:V40)</f>
        <v>28</v>
      </c>
      <c r="X40" s="383" t="str">
        <f ca="1">IF( INDIRECT("RC[-1]",0)=MAX(( INDIRECT("R[-1]C[-1]",0)):( INDIRECT("R[1]C[-1]",0))),"3","4")</f>
        <v>4</v>
      </c>
    </row>
    <row r="41" spans="1:24" x14ac:dyDescent="0.2">
      <c r="A41" s="416"/>
      <c r="B41" s="417" t="s">
        <v>160</v>
      </c>
      <c r="C41" s="386">
        <v>3</v>
      </c>
      <c r="D41" s="320">
        <v>3</v>
      </c>
      <c r="E41" s="320">
        <v>0</v>
      </c>
      <c r="F41" s="387">
        <v>3</v>
      </c>
      <c r="G41" s="386">
        <v>3</v>
      </c>
      <c r="H41" s="320">
        <v>0</v>
      </c>
      <c r="I41" s="320">
        <v>5</v>
      </c>
      <c r="J41" s="422">
        <v>3</v>
      </c>
      <c r="K41" s="386">
        <v>1</v>
      </c>
      <c r="L41" s="320">
        <v>0</v>
      </c>
      <c r="M41" s="320">
        <v>3</v>
      </c>
      <c r="N41" s="387">
        <v>0</v>
      </c>
      <c r="O41" s="386">
        <v>0</v>
      </c>
      <c r="P41" s="320">
        <v>1</v>
      </c>
      <c r="Q41" s="320">
        <v>3</v>
      </c>
      <c r="R41" s="387">
        <v>0</v>
      </c>
      <c r="S41" s="386">
        <v>0</v>
      </c>
      <c r="T41" s="320">
        <v>0</v>
      </c>
      <c r="U41" s="320">
        <v>0</v>
      </c>
      <c r="V41" s="387">
        <v>3</v>
      </c>
      <c r="W41" s="420">
        <f>SUM(C41:V41)</f>
        <v>31</v>
      </c>
      <c r="X41" s="383" t="str">
        <f ca="1">IF( INDIRECT("RC[-1]",0)=MAX(( INDIRECT("R[-1]C[-1]",0)):( INDIRECT("R[1]C[-1]",0))),"3","4")</f>
        <v>3</v>
      </c>
    </row>
    <row r="42" spans="1:24" x14ac:dyDescent="0.2">
      <c r="A42" s="416"/>
      <c r="B42" s="421" t="s">
        <v>432</v>
      </c>
      <c r="C42" s="386"/>
      <c r="D42" s="320"/>
      <c r="E42" s="320"/>
      <c r="F42" s="387"/>
      <c r="G42" s="386"/>
      <c r="H42" s="320"/>
      <c r="I42" s="320"/>
      <c r="J42" s="387"/>
      <c r="K42" s="386"/>
      <c r="L42" s="320"/>
      <c r="M42" s="320"/>
      <c r="N42" s="387"/>
      <c r="O42" s="386"/>
      <c r="P42" s="320"/>
      <c r="Q42" s="320"/>
      <c r="R42" s="387"/>
      <c r="S42" s="386"/>
      <c r="T42" s="320"/>
      <c r="U42" s="320"/>
      <c r="V42" s="387"/>
      <c r="W42" s="401"/>
      <c r="X42" s="388"/>
    </row>
    <row r="43" spans="1:24" x14ac:dyDescent="0.2">
      <c r="A43" s="416"/>
      <c r="B43" s="417" t="s">
        <v>153</v>
      </c>
      <c r="C43" s="386">
        <v>0</v>
      </c>
      <c r="D43" s="320">
        <v>3</v>
      </c>
      <c r="E43" s="320">
        <v>0</v>
      </c>
      <c r="F43" s="387">
        <v>3</v>
      </c>
      <c r="G43" s="386">
        <v>0</v>
      </c>
      <c r="H43" s="320">
        <v>3</v>
      </c>
      <c r="I43" s="320">
        <v>5</v>
      </c>
      <c r="J43" s="387">
        <v>0</v>
      </c>
      <c r="K43" s="386">
        <v>1</v>
      </c>
      <c r="L43" s="320">
        <v>0</v>
      </c>
      <c r="M43" s="320">
        <v>0</v>
      </c>
      <c r="N43" s="387">
        <v>0</v>
      </c>
      <c r="O43" s="386">
        <v>0</v>
      </c>
      <c r="P43" s="320">
        <v>0</v>
      </c>
      <c r="Q43" s="320">
        <v>1</v>
      </c>
      <c r="R43" s="387">
        <v>0</v>
      </c>
      <c r="S43" s="386">
        <v>5</v>
      </c>
      <c r="T43" s="320">
        <v>0</v>
      </c>
      <c r="U43" s="320">
        <v>3</v>
      </c>
      <c r="V43" s="387">
        <v>3</v>
      </c>
      <c r="W43" s="401">
        <f>SUM(C43:V43)</f>
        <v>27</v>
      </c>
      <c r="X43" s="383" t="str">
        <f ca="1">IF( INDIRECT("RC[-1]",0)=MAX(( INDIRECT("R[-1]C[-1]",0)):( INDIRECT("R[1]C[-1]",0))),"1","2")</f>
        <v>1</v>
      </c>
    </row>
    <row r="44" spans="1:24" ht="13.5" thickBot="1" x14ac:dyDescent="0.25">
      <c r="A44" s="423"/>
      <c r="B44" s="424" t="s">
        <v>159</v>
      </c>
      <c r="C44" s="425">
        <v>3</v>
      </c>
      <c r="D44" s="426">
        <v>3</v>
      </c>
      <c r="E44" s="426">
        <v>0</v>
      </c>
      <c r="F44" s="427">
        <v>0</v>
      </c>
      <c r="G44" s="425">
        <v>3</v>
      </c>
      <c r="H44" s="426">
        <v>0</v>
      </c>
      <c r="I44" s="426">
        <v>3</v>
      </c>
      <c r="J44" s="427">
        <v>1</v>
      </c>
      <c r="K44" s="425">
        <v>0</v>
      </c>
      <c r="L44" s="426">
        <v>0</v>
      </c>
      <c r="M44" s="426">
        <v>1</v>
      </c>
      <c r="N44" s="427">
        <v>0</v>
      </c>
      <c r="O44" s="425">
        <v>0</v>
      </c>
      <c r="P44" s="426">
        <v>0</v>
      </c>
      <c r="Q44" s="426">
        <v>0</v>
      </c>
      <c r="R44" s="427">
        <v>0</v>
      </c>
      <c r="S44" s="425">
        <v>0</v>
      </c>
      <c r="T44" s="426">
        <v>0</v>
      </c>
      <c r="U44" s="426">
        <v>0</v>
      </c>
      <c r="V44" s="427">
        <v>0</v>
      </c>
      <c r="W44" s="414">
        <f>SUM(C44:V44)</f>
        <v>14</v>
      </c>
      <c r="X44" s="428" t="str">
        <f ca="1">IF( INDIRECT("RC[-1]",0)=MAX(( INDIRECT("R[-1]C[-1]",0)):( INDIRECT("R[1]C[-1]",0))),"1","2")</f>
        <v>2</v>
      </c>
    </row>
    <row r="46" spans="1:24" x14ac:dyDescent="0.2">
      <c r="A46" s="429">
        <v>1</v>
      </c>
      <c r="B46" s="430" t="s">
        <v>153</v>
      </c>
      <c r="G46" s="429">
        <v>11</v>
      </c>
      <c r="H46" s="679" t="s">
        <v>162</v>
      </c>
      <c r="I46" s="680"/>
      <c r="J46" s="680"/>
      <c r="K46" s="680"/>
      <c r="L46" s="680"/>
      <c r="M46" s="680"/>
      <c r="N46" s="681"/>
    </row>
    <row r="47" spans="1:24" x14ac:dyDescent="0.2">
      <c r="A47" s="429">
        <v>2</v>
      </c>
      <c r="B47" s="431" t="s">
        <v>159</v>
      </c>
      <c r="G47" s="429">
        <v>12</v>
      </c>
      <c r="H47" s="679" t="s">
        <v>157</v>
      </c>
      <c r="I47" s="680"/>
      <c r="J47" s="680"/>
      <c r="K47" s="680"/>
      <c r="L47" s="680"/>
      <c r="M47" s="680"/>
      <c r="N47" s="681"/>
    </row>
    <row r="48" spans="1:24" x14ac:dyDescent="0.2">
      <c r="A48" s="429">
        <v>3</v>
      </c>
      <c r="B48" s="432" t="s">
        <v>160</v>
      </c>
      <c r="G48" s="429">
        <v>13</v>
      </c>
      <c r="H48" s="682" t="s">
        <v>155</v>
      </c>
      <c r="I48" s="680"/>
      <c r="J48" s="680"/>
      <c r="K48" s="680"/>
      <c r="L48" s="680"/>
      <c r="M48" s="680"/>
      <c r="N48" s="681"/>
    </row>
    <row r="49" spans="1:14" x14ac:dyDescent="0.2">
      <c r="A49" s="429">
        <v>4</v>
      </c>
      <c r="B49" s="433" t="s">
        <v>170</v>
      </c>
      <c r="G49" s="429">
        <v>14</v>
      </c>
      <c r="H49" s="679" t="s">
        <v>158</v>
      </c>
      <c r="I49" s="680"/>
      <c r="J49" s="680"/>
      <c r="K49" s="680"/>
      <c r="L49" s="680"/>
      <c r="M49" s="680"/>
      <c r="N49" s="681"/>
    </row>
    <row r="50" spans="1:14" x14ac:dyDescent="0.2">
      <c r="A50" s="429">
        <v>5</v>
      </c>
      <c r="B50" s="434" t="s">
        <v>164</v>
      </c>
      <c r="G50" s="429">
        <v>15</v>
      </c>
      <c r="H50" s="683" t="s">
        <v>165</v>
      </c>
      <c r="I50" s="680"/>
      <c r="J50" s="680"/>
      <c r="K50" s="680"/>
      <c r="L50" s="680"/>
      <c r="M50" s="680"/>
      <c r="N50" s="681"/>
    </row>
    <row r="51" spans="1:14" x14ac:dyDescent="0.2">
      <c r="A51" s="429">
        <v>6</v>
      </c>
      <c r="B51" s="435" t="s">
        <v>172</v>
      </c>
      <c r="G51" s="429">
        <v>16</v>
      </c>
      <c r="H51" s="679" t="s">
        <v>173</v>
      </c>
      <c r="I51" s="680"/>
      <c r="J51" s="680"/>
      <c r="K51" s="680"/>
      <c r="L51" s="680"/>
      <c r="M51" s="680"/>
      <c r="N51" s="681"/>
    </row>
    <row r="52" spans="1:14" x14ac:dyDescent="0.2">
      <c r="A52" s="429">
        <v>7</v>
      </c>
      <c r="B52" s="433" t="s">
        <v>169</v>
      </c>
    </row>
    <row r="53" spans="1:14" x14ac:dyDescent="0.2">
      <c r="A53" s="429">
        <v>8</v>
      </c>
      <c r="B53" s="435" t="s">
        <v>161</v>
      </c>
    </row>
    <row r="54" spans="1:14" x14ac:dyDescent="0.2">
      <c r="A54" s="429">
        <v>9</v>
      </c>
      <c r="B54" s="435" t="s">
        <v>181</v>
      </c>
    </row>
    <row r="55" spans="1:14" x14ac:dyDescent="0.2">
      <c r="A55" s="429">
        <v>10</v>
      </c>
      <c r="B55" s="433" t="s">
        <v>166</v>
      </c>
    </row>
  </sheetData>
  <conditionalFormatting sqref="W43:W44">
    <cfRule type="top10" dxfId="53" priority="13" rank="1"/>
  </conditionalFormatting>
  <conditionalFormatting sqref="W26:W27">
    <cfRule type="top10" dxfId="52" priority="20" rank="1"/>
  </conditionalFormatting>
  <conditionalFormatting sqref="W28:W29">
    <cfRule type="top10" dxfId="51" priority="19" rank="1"/>
  </conditionalFormatting>
  <conditionalFormatting sqref="W30:W31">
    <cfRule type="top10" dxfId="50" priority="18" rank="1"/>
  </conditionalFormatting>
  <conditionalFormatting sqref="W32:W33">
    <cfRule type="top10" dxfId="49" priority="17" rank="1"/>
  </conditionalFormatting>
  <conditionalFormatting sqref="W35:W36">
    <cfRule type="top10" dxfId="48" priority="16" rank="1"/>
  </conditionalFormatting>
  <conditionalFormatting sqref="W37:W38">
    <cfRule type="top10" dxfId="47" priority="15" rank="1"/>
  </conditionalFormatting>
  <conditionalFormatting sqref="W40:W41">
    <cfRule type="top10" dxfId="46" priority="14" rank="1"/>
  </conditionalFormatting>
  <conditionalFormatting sqref="B12">
    <cfRule type="duplicateValues" dxfId="45" priority="12" stopIfTrue="1"/>
  </conditionalFormatting>
  <conditionalFormatting sqref="B12">
    <cfRule type="duplicateValues" dxfId="44" priority="11" stopIfTrue="1"/>
  </conditionalFormatting>
  <conditionalFormatting sqref="B16">
    <cfRule type="duplicateValues" dxfId="43" priority="10" stopIfTrue="1"/>
  </conditionalFormatting>
  <conditionalFormatting sqref="B16">
    <cfRule type="duplicateValues" dxfId="42" priority="9" stopIfTrue="1"/>
  </conditionalFormatting>
  <conditionalFormatting sqref="B19">
    <cfRule type="duplicateValues" dxfId="41" priority="8" stopIfTrue="1"/>
  </conditionalFormatting>
  <conditionalFormatting sqref="B19">
    <cfRule type="duplicateValues" dxfId="40" priority="7" stopIfTrue="1"/>
  </conditionalFormatting>
  <conditionalFormatting sqref="B54">
    <cfRule type="duplicateValues" dxfId="39" priority="6" stopIfTrue="1"/>
  </conditionalFormatting>
  <conditionalFormatting sqref="B54">
    <cfRule type="duplicateValues" dxfId="38" priority="5" stopIfTrue="1"/>
  </conditionalFormatting>
  <conditionalFormatting sqref="H47">
    <cfRule type="duplicateValues" dxfId="37" priority="4" stopIfTrue="1"/>
  </conditionalFormatting>
  <conditionalFormatting sqref="H47">
    <cfRule type="duplicateValues" dxfId="36" priority="3" stopIfTrue="1"/>
  </conditionalFormatting>
  <conditionalFormatting sqref="H50">
    <cfRule type="duplicateValues" dxfId="35" priority="2" stopIfTrue="1"/>
  </conditionalFormatting>
  <conditionalFormatting sqref="H50">
    <cfRule type="duplicateValues" dxfId="34" priority="1" stopIfTrue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P38"/>
  <sheetViews>
    <sheetView showGridLines="0" showRowColHeaders="0" zoomScaleNormal="100" workbookViewId="0">
      <pane ySplit="6" topLeftCell="A7" activePane="bottomLeft" state="frozen"/>
      <selection activeCell="E5" sqref="E5"/>
      <selection pane="bottomLeft" activeCell="R1" sqref="R1"/>
    </sheetView>
  </sheetViews>
  <sheetFormatPr defaultRowHeight="12.75" x14ac:dyDescent="0.2"/>
  <cols>
    <col min="1" max="1" width="4" style="192" customWidth="1"/>
    <col min="2" max="3" width="3.28515625" style="192" customWidth="1"/>
    <col min="4" max="5" width="3.28515625" style="236" customWidth="1"/>
    <col min="6" max="6" width="23.7109375" style="192" bestFit="1" customWidth="1"/>
    <col min="7" max="7" width="4" style="220" bestFit="1" customWidth="1"/>
    <col min="8" max="8" width="4.7109375" style="220" customWidth="1"/>
    <col min="9" max="12" width="5.5703125" style="236" bestFit="1" customWidth="1"/>
    <col min="13" max="13" width="5.5703125" style="236" customWidth="1"/>
    <col min="14" max="16" width="3.28515625" style="192" bestFit="1" customWidth="1"/>
    <col min="17" max="18" width="9.140625" style="192"/>
    <col min="19" max="19" width="9.140625" style="192" customWidth="1"/>
    <col min="20" max="16384" width="9.140625" style="192"/>
  </cols>
  <sheetData>
    <row r="1" spans="1:16" x14ac:dyDescent="0.2">
      <c r="B1" s="308"/>
      <c r="C1" s="308" t="s">
        <v>604</v>
      </c>
      <c r="D1" s="315"/>
      <c r="E1" s="315"/>
      <c r="F1" s="315"/>
      <c r="G1" s="315"/>
      <c r="H1" s="315"/>
      <c r="I1" s="315"/>
      <c r="J1" s="315"/>
      <c r="K1" s="315"/>
      <c r="L1" s="315"/>
      <c r="M1" s="316" t="s">
        <v>582</v>
      </c>
      <c r="N1" s="190"/>
      <c r="O1" s="191" t="s">
        <v>139</v>
      </c>
      <c r="P1" s="191"/>
    </row>
    <row r="2" spans="1:16" x14ac:dyDescent="0.2">
      <c r="B2" s="488"/>
      <c r="C2" s="488" t="s">
        <v>592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  <c r="O2" s="194" t="s">
        <v>140</v>
      </c>
      <c r="P2" s="194"/>
    </row>
    <row r="3" spans="1:16" x14ac:dyDescent="0.2">
      <c r="A3" s="315" t="s">
        <v>136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O3" s="195" t="s">
        <v>141</v>
      </c>
      <c r="P3" s="195"/>
    </row>
    <row r="4" spans="1:16" ht="31.5" customHeight="1" x14ac:dyDescent="0.2">
      <c r="A4" s="318"/>
      <c r="B4" s="318"/>
      <c r="C4" s="318"/>
      <c r="D4" s="318"/>
      <c r="E4" s="318"/>
      <c r="F4" s="318"/>
      <c r="G4" s="318"/>
      <c r="H4" s="318"/>
      <c r="I4" s="489" t="s">
        <v>446</v>
      </c>
      <c r="J4" s="489" t="s">
        <v>447</v>
      </c>
      <c r="K4" s="489" t="s">
        <v>448</v>
      </c>
      <c r="L4" s="489" t="s">
        <v>449</v>
      </c>
      <c r="M4" s="489" t="s">
        <v>450</v>
      </c>
      <c r="N4" s="802" t="s">
        <v>142</v>
      </c>
      <c r="O4" s="803" t="s">
        <v>143</v>
      </c>
      <c r="P4" s="804" t="s">
        <v>144</v>
      </c>
    </row>
    <row r="5" spans="1:16" x14ac:dyDescent="0.2">
      <c r="A5" s="781" t="s">
        <v>620</v>
      </c>
      <c r="B5" s="794"/>
      <c r="C5" s="794"/>
      <c r="D5" s="795"/>
      <c r="E5" s="796"/>
      <c r="F5" s="320"/>
      <c r="G5" s="783" t="s">
        <v>621</v>
      </c>
      <c r="H5" s="783"/>
      <c r="I5" s="793" t="str">
        <f>HYPERLINK("#M1!J1"," M1  ")</f>
        <v xml:space="preserve"> M1  </v>
      </c>
      <c r="J5" s="793" t="str">
        <f>HYPERLINK("#M2!J1"," M2  ")</f>
        <v xml:space="preserve"> M2  </v>
      </c>
      <c r="K5" s="793" t="str">
        <f>HYPERLINK("#M3!J1"," M3  ")</f>
        <v xml:space="preserve"> M3  </v>
      </c>
      <c r="L5" s="793" t="str">
        <f>HYPERLINK("#M4!H1"," M4  ")</f>
        <v xml:space="preserve"> M4  </v>
      </c>
      <c r="M5" s="793" t="str">
        <f>HYPERLINK("#M5MI1"," M5  ")</f>
        <v xml:space="preserve"> M5  </v>
      </c>
      <c r="N5" s="802"/>
      <c r="O5" s="803"/>
      <c r="P5" s="804"/>
    </row>
    <row r="6" spans="1:16" x14ac:dyDescent="0.2">
      <c r="A6" s="780" t="s">
        <v>619</v>
      </c>
      <c r="B6" s="643" t="s">
        <v>451</v>
      </c>
      <c r="C6" s="640" t="s">
        <v>145</v>
      </c>
      <c r="D6" s="637" t="s">
        <v>146</v>
      </c>
      <c r="E6" s="321" t="s">
        <v>148</v>
      </c>
      <c r="F6" s="321" t="s">
        <v>147</v>
      </c>
      <c r="G6" s="780" t="s">
        <v>148</v>
      </c>
      <c r="H6" s="205" t="s">
        <v>149</v>
      </c>
      <c r="I6" s="765" t="s">
        <v>151</v>
      </c>
      <c r="J6" s="765" t="s">
        <v>150</v>
      </c>
      <c r="K6" s="765" t="s">
        <v>151</v>
      </c>
      <c r="L6" s="766" t="s">
        <v>150</v>
      </c>
      <c r="M6" s="766" t="s">
        <v>152</v>
      </c>
      <c r="N6" s="206"/>
      <c r="O6" s="207"/>
      <c r="P6" s="190"/>
    </row>
    <row r="7" spans="1:16" x14ac:dyDescent="0.2">
      <c r="A7" s="783">
        <v>1</v>
      </c>
      <c r="B7" s="644">
        <v>1</v>
      </c>
      <c r="C7" s="641"/>
      <c r="D7" s="638"/>
      <c r="E7" s="208"/>
      <c r="F7" s="773" t="s">
        <v>155</v>
      </c>
      <c r="G7" s="784">
        <v>106</v>
      </c>
      <c r="H7" s="209">
        <f t="array" ref="H7">(IF(COUNT(I7,K7)&lt;1,SUM(I7,K7),SUM(LARGE((I7,K7),{1}))))+(IF(COUNT(J7,L7)&lt;1,SUM(J7,L7),SUM(LARGE((J7,L7),{1}))))+M7</f>
        <v>106</v>
      </c>
      <c r="I7" s="211" t="s">
        <v>154</v>
      </c>
      <c r="J7" s="212">
        <v>40</v>
      </c>
      <c r="K7" s="212">
        <v>26</v>
      </c>
      <c r="L7" s="211" t="s">
        <v>154</v>
      </c>
      <c r="M7" s="212">
        <v>40</v>
      </c>
      <c r="N7" s="214">
        <f t="shared" ref="N7:N36" si="0">COUNTIF(I7:M7,"&gt;=0")</f>
        <v>3</v>
      </c>
      <c r="O7" s="214">
        <f t="shared" ref="O7:O36" si="1">COUNTIF(I7:M7,"&gt;=30")</f>
        <v>2</v>
      </c>
      <c r="P7" s="214">
        <f t="shared" ref="P7:P36" si="2">COUNTIF(I7:M7,"=40")</f>
        <v>2</v>
      </c>
    </row>
    <row r="8" spans="1:16" x14ac:dyDescent="0.2">
      <c r="A8" s="783">
        <v>2</v>
      </c>
      <c r="B8" s="644">
        <v>2</v>
      </c>
      <c r="C8" s="641"/>
      <c r="D8" s="638"/>
      <c r="E8" s="208"/>
      <c r="F8" s="322" t="s">
        <v>156</v>
      </c>
      <c r="G8" s="784">
        <v>100</v>
      </c>
      <c r="H8" s="209">
        <f t="array" ref="H8">(IF(COUNT(I8,K8)&lt;1,SUM(I8,K8),SUM(LARGE((I8,K8),{1}))))+(IF(COUNT(J8,L8)&lt;1,SUM(J8,L8),SUM(LARGE((J8,L8),{1}))))+M8</f>
        <v>100</v>
      </c>
      <c r="I8" s="211">
        <v>30</v>
      </c>
      <c r="J8" s="211">
        <v>30</v>
      </c>
      <c r="K8" s="320">
        <v>40</v>
      </c>
      <c r="L8" s="212">
        <v>30</v>
      </c>
      <c r="M8" s="212">
        <v>30</v>
      </c>
      <c r="N8" s="214">
        <f t="shared" si="0"/>
        <v>5</v>
      </c>
      <c r="O8" s="214">
        <f t="shared" si="1"/>
        <v>5</v>
      </c>
      <c r="P8" s="214">
        <f t="shared" si="2"/>
        <v>1</v>
      </c>
    </row>
    <row r="9" spans="1:16" x14ac:dyDescent="0.2">
      <c r="A9" s="783">
        <v>3</v>
      </c>
      <c r="B9" s="644">
        <v>3</v>
      </c>
      <c r="C9" s="641"/>
      <c r="D9" s="638"/>
      <c r="E9" s="208"/>
      <c r="F9" s="323" t="s">
        <v>163</v>
      </c>
      <c r="G9" s="784">
        <v>88</v>
      </c>
      <c r="H9" s="209">
        <f t="array" ref="H9">(IF(COUNT(I9,K9)&lt;1,SUM(I9,K9),SUM(LARGE((I9,K9),{1}))))+(IF(COUNT(J9,L9)&lt;1,SUM(J9,L9),SUM(LARGE((J9,L9),{1}))))+M9</f>
        <v>88</v>
      </c>
      <c r="I9" s="211" t="s">
        <v>154</v>
      </c>
      <c r="J9" s="212">
        <v>34</v>
      </c>
      <c r="K9" s="212">
        <v>20</v>
      </c>
      <c r="L9" s="211" t="s">
        <v>154</v>
      </c>
      <c r="M9" s="212">
        <v>34</v>
      </c>
      <c r="N9" s="214">
        <f t="shared" si="0"/>
        <v>3</v>
      </c>
      <c r="O9" s="214">
        <f t="shared" si="1"/>
        <v>2</v>
      </c>
      <c r="P9" s="214">
        <f t="shared" si="2"/>
        <v>0</v>
      </c>
    </row>
    <row r="10" spans="1:16" x14ac:dyDescent="0.2">
      <c r="A10" s="783">
        <v>4</v>
      </c>
      <c r="B10" s="644">
        <v>4</v>
      </c>
      <c r="C10" s="641"/>
      <c r="D10" s="638"/>
      <c r="E10" s="208">
        <v>1</v>
      </c>
      <c r="F10" s="204" t="s">
        <v>157</v>
      </c>
      <c r="G10" s="784">
        <v>84</v>
      </c>
      <c r="H10" s="209">
        <f t="array" ref="H10">(IF(COUNT(I10,K10)&lt;1,SUM(I10,K10),SUM(LARGE((I10,K10),{1}))))+(IF(COUNT(J10,L10)&lt;1,SUM(J10,L10),SUM(LARGE((J10,L10),{1}))))+M10</f>
        <v>84</v>
      </c>
      <c r="I10" s="212">
        <v>24</v>
      </c>
      <c r="J10" s="211">
        <v>26</v>
      </c>
      <c r="K10" s="211">
        <v>16</v>
      </c>
      <c r="L10" s="212">
        <v>40</v>
      </c>
      <c r="M10" s="212">
        <v>20</v>
      </c>
      <c r="N10" s="214">
        <f t="shared" si="0"/>
        <v>5</v>
      </c>
      <c r="O10" s="214">
        <f t="shared" si="1"/>
        <v>1</v>
      </c>
      <c r="P10" s="214">
        <f t="shared" si="2"/>
        <v>1</v>
      </c>
    </row>
    <row r="11" spans="1:16" x14ac:dyDescent="0.2">
      <c r="A11" s="783">
        <v>5</v>
      </c>
      <c r="B11" s="644">
        <v>5</v>
      </c>
      <c r="C11" s="641"/>
      <c r="D11" s="638">
        <v>1</v>
      </c>
      <c r="E11" s="208">
        <v>2</v>
      </c>
      <c r="F11" s="228" t="s">
        <v>162</v>
      </c>
      <c r="G11" s="784">
        <v>80</v>
      </c>
      <c r="H11" s="209">
        <f t="array" ref="H11">(IF(COUNT(I11,K11)&lt;1,SUM(I11,K11),SUM(LARGE((I11,K11),{1}))))+(IF(COUNT(J11,L11)&lt;1,SUM(J11,L11),SUM(LARGE((J11,L11),{1}))))+M11</f>
        <v>80</v>
      </c>
      <c r="I11" s="212">
        <v>24</v>
      </c>
      <c r="J11" s="211">
        <v>26</v>
      </c>
      <c r="K11" s="211">
        <v>16</v>
      </c>
      <c r="L11" s="212">
        <v>40</v>
      </c>
      <c r="M11" s="212">
        <v>16</v>
      </c>
      <c r="N11" s="214">
        <f t="shared" si="0"/>
        <v>5</v>
      </c>
      <c r="O11" s="214">
        <f t="shared" si="1"/>
        <v>1</v>
      </c>
      <c r="P11" s="214">
        <f t="shared" si="2"/>
        <v>1</v>
      </c>
    </row>
    <row r="12" spans="1:16" x14ac:dyDescent="0.2">
      <c r="A12" s="783">
        <v>6</v>
      </c>
      <c r="B12" s="644">
        <v>6</v>
      </c>
      <c r="C12" s="641"/>
      <c r="D12" s="638"/>
      <c r="E12" s="208">
        <v>3</v>
      </c>
      <c r="F12" s="240" t="s">
        <v>165</v>
      </c>
      <c r="G12" s="784">
        <v>78</v>
      </c>
      <c r="H12" s="209">
        <f t="array" ref="H12">(IF(COUNT(I12,K12)&lt;1,SUM(I12,K12),SUM(LARGE((I12,K12),{1}))))+(IF(COUNT(J12,L12)&lt;1,SUM(J12,L12),SUM(LARGE((J12,L12),{1}))))+M12</f>
        <v>78</v>
      </c>
      <c r="I12" s="212">
        <v>34</v>
      </c>
      <c r="J12" s="212">
        <v>26</v>
      </c>
      <c r="K12" s="211">
        <v>18</v>
      </c>
      <c r="L12" s="210" t="s">
        <v>154</v>
      </c>
      <c r="M12" s="212">
        <v>18</v>
      </c>
      <c r="N12" s="214">
        <f t="shared" si="0"/>
        <v>4</v>
      </c>
      <c r="O12" s="214">
        <f t="shared" si="1"/>
        <v>1</v>
      </c>
      <c r="P12" s="214">
        <f t="shared" si="2"/>
        <v>0</v>
      </c>
    </row>
    <row r="13" spans="1:16" x14ac:dyDescent="0.2">
      <c r="A13" s="783">
        <v>7</v>
      </c>
      <c r="B13" s="644">
        <v>7</v>
      </c>
      <c r="C13" s="641"/>
      <c r="D13" s="638"/>
      <c r="E13" s="208"/>
      <c r="F13" s="219" t="s">
        <v>158</v>
      </c>
      <c r="G13" s="784">
        <v>78</v>
      </c>
      <c r="H13" s="209">
        <f t="array" ref="H13">(IF(COUNT(I13,K13)&lt;1,SUM(I13,K13),SUM(LARGE((I13,K13),{1}))))+(IF(COUNT(J13,L13)&lt;1,SUM(J13,L13),SUM(LARGE((J13,L13),{1}))))+M13</f>
        <v>78</v>
      </c>
      <c r="I13" s="212">
        <v>34</v>
      </c>
      <c r="J13" s="211">
        <v>30</v>
      </c>
      <c r="K13" s="211">
        <v>18</v>
      </c>
      <c r="L13" s="217">
        <v>30</v>
      </c>
      <c r="M13" s="212">
        <v>14</v>
      </c>
      <c r="N13" s="214">
        <f t="shared" si="0"/>
        <v>5</v>
      </c>
      <c r="O13" s="214">
        <f t="shared" si="1"/>
        <v>3</v>
      </c>
      <c r="P13" s="214">
        <f t="shared" si="2"/>
        <v>0</v>
      </c>
    </row>
    <row r="14" spans="1:16" x14ac:dyDescent="0.2">
      <c r="A14" s="783">
        <v>8</v>
      </c>
      <c r="B14" s="644">
        <v>8</v>
      </c>
      <c r="C14" s="641"/>
      <c r="D14" s="638"/>
      <c r="E14" s="208"/>
      <c r="F14" s="198" t="s">
        <v>161</v>
      </c>
      <c r="G14" s="784">
        <v>76</v>
      </c>
      <c r="H14" s="209">
        <f t="array" ref="H14">(IF(COUNT(I14,K14)&lt;1,SUM(I14,K14),SUM(LARGE((I14,K14),{1}))))+(IF(COUNT(J14,L14)&lt;1,SUM(J14,L14),SUM(LARGE((J14,L14),{1}))))+M14</f>
        <v>76</v>
      </c>
      <c r="I14" s="211">
        <v>16</v>
      </c>
      <c r="J14" s="212">
        <v>40</v>
      </c>
      <c r="K14" s="212">
        <v>24</v>
      </c>
      <c r="L14" s="211" t="s">
        <v>154</v>
      </c>
      <c r="M14" s="212">
        <v>12</v>
      </c>
      <c r="N14" s="214">
        <f t="shared" si="0"/>
        <v>4</v>
      </c>
      <c r="O14" s="214">
        <f t="shared" si="1"/>
        <v>1</v>
      </c>
      <c r="P14" s="214">
        <f t="shared" si="2"/>
        <v>1</v>
      </c>
    </row>
    <row r="15" spans="1:16" x14ac:dyDescent="0.2">
      <c r="A15" s="783">
        <v>9</v>
      </c>
      <c r="B15" s="644">
        <v>9</v>
      </c>
      <c r="C15" s="641"/>
      <c r="D15" s="638"/>
      <c r="E15" s="208"/>
      <c r="F15" s="198" t="s">
        <v>168</v>
      </c>
      <c r="G15" s="784">
        <v>70</v>
      </c>
      <c r="H15" s="209">
        <f t="array" ref="H15">(IF(COUNT(I15,K15)&lt;1,SUM(I15,K15),SUM(LARGE((I15,K15),{1}))))+(IF(COUNT(J15,L15)&lt;1,SUM(J15,L15),SUM(LARGE((J15,L15),{1}))))+M15</f>
        <v>70</v>
      </c>
      <c r="I15" s="211" t="s">
        <v>154</v>
      </c>
      <c r="J15" s="212">
        <v>40</v>
      </c>
      <c r="K15" s="212">
        <v>26</v>
      </c>
      <c r="L15" s="211" t="s">
        <v>154</v>
      </c>
      <c r="M15" s="212">
        <v>4</v>
      </c>
      <c r="N15" s="214">
        <f t="shared" si="0"/>
        <v>3</v>
      </c>
      <c r="O15" s="214">
        <f t="shared" si="1"/>
        <v>1</v>
      </c>
      <c r="P15" s="214">
        <f t="shared" si="2"/>
        <v>1</v>
      </c>
    </row>
    <row r="16" spans="1:16" x14ac:dyDescent="0.2">
      <c r="A16" s="783">
        <v>10</v>
      </c>
      <c r="B16" s="644">
        <v>10</v>
      </c>
      <c r="C16" s="641"/>
      <c r="D16" s="638"/>
      <c r="E16" s="208"/>
      <c r="F16" s="198" t="s">
        <v>166</v>
      </c>
      <c r="G16" s="784">
        <v>68</v>
      </c>
      <c r="H16" s="209">
        <f t="array" ref="H16">(IF(COUNT(I16,K16)&lt;1,SUM(I16,K16),SUM(LARGE((I16,K16),{1}))))+(IF(COUNT(J16,L16)&lt;1,SUM(J16,L16),SUM(LARGE((J16,L16),{1}))))+M16</f>
        <v>68</v>
      </c>
      <c r="I16" s="210" t="s">
        <v>154</v>
      </c>
      <c r="J16" s="211" t="s">
        <v>154</v>
      </c>
      <c r="K16" s="212">
        <v>34</v>
      </c>
      <c r="L16" s="217">
        <v>26</v>
      </c>
      <c r="M16" s="212">
        <v>8</v>
      </c>
      <c r="N16" s="214">
        <f t="shared" si="0"/>
        <v>3</v>
      </c>
      <c r="O16" s="214">
        <f t="shared" si="1"/>
        <v>1</v>
      </c>
      <c r="P16" s="214">
        <f t="shared" si="2"/>
        <v>0</v>
      </c>
    </row>
    <row r="17" spans="1:16" x14ac:dyDescent="0.2">
      <c r="A17" s="783">
        <v>11</v>
      </c>
      <c r="B17" s="644">
        <v>11</v>
      </c>
      <c r="C17" s="641"/>
      <c r="D17" s="638"/>
      <c r="E17" s="208"/>
      <c r="F17" s="198" t="s">
        <v>167</v>
      </c>
      <c r="G17" s="784">
        <v>66</v>
      </c>
      <c r="H17" s="209">
        <f t="array" ref="H17">(IF(COUNT(I17,K17)&lt;1,SUM(I17,K17),SUM(LARGE((I17,K17),{1}))))+(IF(COUNT(J17,L17)&lt;1,SUM(J17,L17),SUM(LARGE((J17,L17),{1}))))+M17</f>
        <v>66</v>
      </c>
      <c r="I17" s="217">
        <v>26</v>
      </c>
      <c r="J17" s="211">
        <v>30</v>
      </c>
      <c r="K17" s="211">
        <v>14</v>
      </c>
      <c r="L17" s="212">
        <v>30</v>
      </c>
      <c r="M17" s="212">
        <v>10</v>
      </c>
      <c r="N17" s="214">
        <f t="shared" si="0"/>
        <v>5</v>
      </c>
      <c r="O17" s="214">
        <f t="shared" si="1"/>
        <v>2</v>
      </c>
      <c r="P17" s="214">
        <f t="shared" si="2"/>
        <v>0</v>
      </c>
    </row>
    <row r="18" spans="1:16" x14ac:dyDescent="0.2">
      <c r="A18" s="783">
        <v>12</v>
      </c>
      <c r="B18" s="644">
        <v>12</v>
      </c>
      <c r="C18" s="641"/>
      <c r="D18" s="638"/>
      <c r="E18" s="208"/>
      <c r="F18" s="198" t="s">
        <v>176</v>
      </c>
      <c r="G18" s="784">
        <v>66</v>
      </c>
      <c r="H18" s="209">
        <f t="array" ref="H18">(IF(COUNT(I18,K18)&lt;1,SUM(I18,K18),SUM(LARGE((I18,K18),{1}))))+(IF(COUNT(J18,L18)&lt;1,SUM(J18,L18),SUM(LARGE((J18,L18),{1}))))+M18</f>
        <v>66</v>
      </c>
      <c r="I18" s="210" t="s">
        <v>154</v>
      </c>
      <c r="J18" s="211" t="s">
        <v>154</v>
      </c>
      <c r="K18" s="212">
        <v>34</v>
      </c>
      <c r="L18" s="217">
        <v>26</v>
      </c>
      <c r="M18" s="212">
        <v>6</v>
      </c>
      <c r="N18" s="214">
        <f t="shared" si="0"/>
        <v>3</v>
      </c>
      <c r="O18" s="214">
        <f t="shared" si="1"/>
        <v>1</v>
      </c>
      <c r="P18" s="214">
        <f t="shared" si="2"/>
        <v>0</v>
      </c>
    </row>
    <row r="19" spans="1:16" x14ac:dyDescent="0.2">
      <c r="A19" s="783">
        <v>13</v>
      </c>
      <c r="B19" s="644">
        <v>13</v>
      </c>
      <c r="C19" s="641"/>
      <c r="D19" s="638"/>
      <c r="E19" s="208"/>
      <c r="F19" s="198" t="s">
        <v>169</v>
      </c>
      <c r="G19" s="784">
        <v>62</v>
      </c>
      <c r="H19" s="209">
        <f t="array" ref="H19">(IF(COUNT(I19,K19)&lt;1,SUM(I19,K19),SUM(LARGE((I19,K19),{1}))))+(IF(COUNT(J19,L19)&lt;1,SUM(J19,L19),SUM(LARGE((J19,L19),{1}))))+M19</f>
        <v>62</v>
      </c>
      <c r="I19" s="211">
        <v>30</v>
      </c>
      <c r="J19" s="211" t="s">
        <v>154</v>
      </c>
      <c r="K19" s="212">
        <v>40</v>
      </c>
      <c r="L19" s="212"/>
      <c r="M19" s="212">
        <v>22</v>
      </c>
      <c r="N19" s="214">
        <f t="shared" si="0"/>
        <v>3</v>
      </c>
      <c r="O19" s="214">
        <f t="shared" si="1"/>
        <v>2</v>
      </c>
      <c r="P19" s="214">
        <f t="shared" si="2"/>
        <v>1</v>
      </c>
    </row>
    <row r="20" spans="1:16" x14ac:dyDescent="0.2">
      <c r="A20" s="783">
        <v>14</v>
      </c>
      <c r="B20" s="644">
        <v>14</v>
      </c>
      <c r="C20" s="641"/>
      <c r="D20" s="638"/>
      <c r="E20" s="208"/>
      <c r="F20" s="198" t="s">
        <v>178</v>
      </c>
      <c r="G20" s="784">
        <v>61</v>
      </c>
      <c r="H20" s="209">
        <f t="array" ref="H20">(IF(COUNT(I20,K20)&lt;1,SUM(I20,K20),SUM(LARGE((I20,K20),{1}))))+(IF(COUNT(J20,L20)&lt;1,SUM(J20,L20),SUM(LARGE((J20,L20),{1}))))+M20</f>
        <v>61</v>
      </c>
      <c r="I20" s="212">
        <v>26</v>
      </c>
      <c r="J20" s="211" t="s">
        <v>154</v>
      </c>
      <c r="K20" s="211">
        <v>14</v>
      </c>
      <c r="L20" s="212">
        <v>34</v>
      </c>
      <c r="M20" s="212">
        <v>1</v>
      </c>
      <c r="N20" s="214">
        <f t="shared" si="0"/>
        <v>4</v>
      </c>
      <c r="O20" s="214">
        <f t="shared" si="1"/>
        <v>1</v>
      </c>
      <c r="P20" s="214">
        <f t="shared" si="2"/>
        <v>0</v>
      </c>
    </row>
    <row r="21" spans="1:16" x14ac:dyDescent="0.2">
      <c r="A21" s="783">
        <v>15</v>
      </c>
      <c r="B21" s="644">
        <v>15</v>
      </c>
      <c r="C21" s="641"/>
      <c r="D21" s="638"/>
      <c r="E21" s="208"/>
      <c r="F21" s="219" t="s">
        <v>182</v>
      </c>
      <c r="G21" s="784">
        <v>56</v>
      </c>
      <c r="H21" s="209">
        <f t="array" ref="H21">(IF(COUNT(I21,K21)&lt;1,SUM(I21,K21),SUM(LARGE((I21,K21),{1}))))+(IF(COUNT(J21,L21)&lt;1,SUM(J21,L21),SUM(LARGE((J21,L21),{1}))))+M21</f>
        <v>56</v>
      </c>
      <c r="I21" s="212">
        <v>22</v>
      </c>
      <c r="J21" s="212">
        <v>34</v>
      </c>
      <c r="K21" s="211">
        <v>20</v>
      </c>
      <c r="L21" s="211" t="s">
        <v>154</v>
      </c>
      <c r="M21" s="212"/>
      <c r="N21" s="214">
        <f t="shared" si="0"/>
        <v>3</v>
      </c>
      <c r="O21" s="214">
        <f t="shared" si="1"/>
        <v>1</v>
      </c>
      <c r="P21" s="214">
        <f t="shared" si="2"/>
        <v>0</v>
      </c>
    </row>
    <row r="22" spans="1:16" x14ac:dyDescent="0.2">
      <c r="A22" s="783">
        <v>16</v>
      </c>
      <c r="B22" s="644">
        <v>16</v>
      </c>
      <c r="C22" s="641"/>
      <c r="D22" s="638"/>
      <c r="E22" s="208"/>
      <c r="F22" s="198" t="s">
        <v>171</v>
      </c>
      <c r="G22" s="784">
        <v>55</v>
      </c>
      <c r="H22" s="209">
        <f t="array" ref="H22">(IF(COUNT(I22,K22)&lt;1,SUM(I22,K22),SUM(LARGE((I22,K22),{1}))))+(IF(COUNT(J22,L22)&lt;1,SUM(J22,L22),SUM(LARGE((J22,L22),{1}))))+M22</f>
        <v>55</v>
      </c>
      <c r="I22" s="211" t="s">
        <v>154</v>
      </c>
      <c r="J22" s="212">
        <v>34</v>
      </c>
      <c r="K22" s="212">
        <v>20</v>
      </c>
      <c r="L22" s="211" t="s">
        <v>154</v>
      </c>
      <c r="M22" s="212">
        <v>1</v>
      </c>
      <c r="N22" s="214">
        <f t="shared" si="0"/>
        <v>3</v>
      </c>
      <c r="O22" s="214">
        <f t="shared" si="1"/>
        <v>1</v>
      </c>
      <c r="P22" s="214">
        <f t="shared" si="2"/>
        <v>0</v>
      </c>
    </row>
    <row r="23" spans="1:16" s="220" customFormat="1" x14ac:dyDescent="0.2">
      <c r="A23" s="783">
        <v>17</v>
      </c>
      <c r="B23" s="644">
        <v>17</v>
      </c>
      <c r="C23" s="641"/>
      <c r="D23" s="638"/>
      <c r="E23" s="208">
        <v>4</v>
      </c>
      <c r="F23" s="240" t="s">
        <v>452</v>
      </c>
      <c r="G23" s="784">
        <v>52</v>
      </c>
      <c r="H23" s="209">
        <f t="array" ref="H23">(IF(COUNT(I23,K23)&lt;1,SUM(I23,K23),SUM(LARGE((I23,K23),{1}))))+(IF(COUNT(J23,L23)&lt;1,SUM(J23,L23),SUM(LARGE((J23,L23),{1}))))+M23</f>
        <v>52</v>
      </c>
      <c r="I23" s="212">
        <v>18</v>
      </c>
      <c r="J23" s="211" t="s">
        <v>154</v>
      </c>
      <c r="K23" s="211" t="s">
        <v>154</v>
      </c>
      <c r="L23" s="212">
        <v>34</v>
      </c>
      <c r="M23" s="212"/>
      <c r="N23" s="214">
        <f t="shared" si="0"/>
        <v>2</v>
      </c>
      <c r="O23" s="214">
        <f t="shared" si="1"/>
        <v>1</v>
      </c>
      <c r="P23" s="214">
        <f t="shared" si="2"/>
        <v>0</v>
      </c>
    </row>
    <row r="24" spans="1:16" x14ac:dyDescent="0.2">
      <c r="A24" s="783">
        <v>18</v>
      </c>
      <c r="B24" s="644">
        <v>18</v>
      </c>
      <c r="C24" s="641"/>
      <c r="D24" s="638"/>
      <c r="E24" s="208"/>
      <c r="F24" s="198" t="s">
        <v>172</v>
      </c>
      <c r="G24" s="784">
        <v>50</v>
      </c>
      <c r="H24" s="209">
        <f t="array" ref="H24">(IF(COUNT(I24,K24)&lt;1,SUM(I24,K24),SUM(LARGE((I24,K24),{1}))))+(IF(COUNT(J24,L24)&lt;1,SUM(J24,L24),SUM(LARGE((J24,L24),{1}))))+M24</f>
        <v>50</v>
      </c>
      <c r="I24" s="210" t="s">
        <v>154</v>
      </c>
      <c r="J24" s="211" t="s">
        <v>154</v>
      </c>
      <c r="K24" s="212">
        <v>24</v>
      </c>
      <c r="L24" s="217">
        <v>26</v>
      </c>
      <c r="M24" s="212"/>
      <c r="N24" s="214">
        <f t="shared" si="0"/>
        <v>2</v>
      </c>
      <c r="O24" s="214">
        <f t="shared" si="1"/>
        <v>0</v>
      </c>
      <c r="P24" s="214">
        <f t="shared" si="2"/>
        <v>0</v>
      </c>
    </row>
    <row r="25" spans="1:16" x14ac:dyDescent="0.2">
      <c r="A25" s="783">
        <v>19</v>
      </c>
      <c r="B25" s="644">
        <v>19</v>
      </c>
      <c r="C25" s="641"/>
      <c r="D25" s="638"/>
      <c r="E25" s="208"/>
      <c r="F25" s="198" t="s">
        <v>160</v>
      </c>
      <c r="G25" s="784">
        <v>44</v>
      </c>
      <c r="H25" s="209">
        <f t="array" ref="H25">(IF(COUNT(I25,K25)&lt;1,SUM(I25,K25),SUM(LARGE((I25,K25),{1}))))+(IF(COUNT(J25,L25)&lt;1,SUM(J25,L25),SUM(LARGE((J25,L25),{1}))))+M25</f>
        <v>44</v>
      </c>
      <c r="I25" s="212">
        <v>20</v>
      </c>
      <c r="J25" s="211" t="s">
        <v>154</v>
      </c>
      <c r="K25" s="211" t="s">
        <v>154</v>
      </c>
      <c r="L25" s="212"/>
      <c r="M25" s="212">
        <v>24</v>
      </c>
      <c r="N25" s="214">
        <f t="shared" si="0"/>
        <v>2</v>
      </c>
      <c r="O25" s="214">
        <f t="shared" si="1"/>
        <v>0</v>
      </c>
      <c r="P25" s="214">
        <f t="shared" si="2"/>
        <v>0</v>
      </c>
    </row>
    <row r="26" spans="1:16" x14ac:dyDescent="0.2">
      <c r="A26" s="783">
        <v>20</v>
      </c>
      <c r="B26" s="644">
        <v>20</v>
      </c>
      <c r="C26" s="641"/>
      <c r="D26" s="638"/>
      <c r="E26" s="208"/>
      <c r="F26" s="198" t="s">
        <v>210</v>
      </c>
      <c r="G26" s="784">
        <v>40</v>
      </c>
      <c r="H26" s="209">
        <f t="array" ref="H26">(IF(COUNT(I26,K26)&lt;1,SUM(I26,K26),SUM(LARGE((I26,K26),{1}))))+(IF(COUNT(J26,L26)&lt;1,SUM(J26,L26),SUM(LARGE((J26,L26),{1}))))+M26</f>
        <v>40</v>
      </c>
      <c r="I26" s="212">
        <v>40</v>
      </c>
      <c r="J26" s="211" t="s">
        <v>154</v>
      </c>
      <c r="K26" s="210">
        <v>30</v>
      </c>
      <c r="L26" s="212"/>
      <c r="M26" s="212"/>
      <c r="N26" s="214">
        <f t="shared" si="0"/>
        <v>2</v>
      </c>
      <c r="O26" s="214">
        <f t="shared" si="1"/>
        <v>2</v>
      </c>
      <c r="P26" s="214">
        <f t="shared" si="2"/>
        <v>1</v>
      </c>
    </row>
    <row r="27" spans="1:16" x14ac:dyDescent="0.2">
      <c r="A27" s="783">
        <v>20</v>
      </c>
      <c r="B27" s="644">
        <v>21</v>
      </c>
      <c r="C27" s="641"/>
      <c r="D27" s="638">
        <v>2</v>
      </c>
      <c r="E27" s="774"/>
      <c r="F27" s="218" t="s">
        <v>351</v>
      </c>
      <c r="G27" s="784">
        <v>40</v>
      </c>
      <c r="H27" s="209">
        <f t="array" ref="H27">(IF(COUNT(I27,K27)&lt;1,SUM(I27,K27),SUM(LARGE((I27,K27),{1}))))+(IF(COUNT(J27,L27)&lt;1,SUM(J27,L27),SUM(LARGE((J27,L27),{1}))))+M27</f>
        <v>40</v>
      </c>
      <c r="I27" s="210" t="s">
        <v>154</v>
      </c>
      <c r="J27" s="211" t="s">
        <v>154</v>
      </c>
      <c r="K27" s="211"/>
      <c r="L27" s="217">
        <v>40</v>
      </c>
      <c r="M27" s="212"/>
      <c r="N27" s="214">
        <f t="shared" si="0"/>
        <v>1</v>
      </c>
      <c r="O27" s="214">
        <f t="shared" si="1"/>
        <v>1</v>
      </c>
      <c r="P27" s="214">
        <f t="shared" si="2"/>
        <v>1</v>
      </c>
    </row>
    <row r="28" spans="1:16" x14ac:dyDescent="0.2">
      <c r="A28" s="783">
        <v>20</v>
      </c>
      <c r="B28" s="644"/>
      <c r="C28" s="641">
        <v>1</v>
      </c>
      <c r="D28" s="638"/>
      <c r="E28" s="208"/>
      <c r="F28" s="222" t="s">
        <v>174</v>
      </c>
      <c r="G28" s="784">
        <v>40</v>
      </c>
      <c r="H28" s="209">
        <f t="array" ref="H28">(IF(COUNT(I28,K28)&lt;1,SUM(I28,K28),SUM(LARGE((I28,K28),{1}))))+(IF(COUNT(J28,L28)&lt;1,SUM(J28,L28),SUM(LARGE((J28,L28),{1}))))+M28</f>
        <v>40</v>
      </c>
      <c r="I28" s="212">
        <v>40</v>
      </c>
      <c r="J28" s="211" t="s">
        <v>154</v>
      </c>
      <c r="K28" s="210">
        <v>30</v>
      </c>
      <c r="L28" s="212"/>
      <c r="M28" s="212"/>
      <c r="N28" s="214">
        <f t="shared" si="0"/>
        <v>2</v>
      </c>
      <c r="O28" s="214">
        <f t="shared" si="1"/>
        <v>2</v>
      </c>
      <c r="P28" s="214">
        <f t="shared" si="2"/>
        <v>1</v>
      </c>
    </row>
    <row r="29" spans="1:16" x14ac:dyDescent="0.2">
      <c r="A29" s="783">
        <v>23</v>
      </c>
      <c r="B29" s="644"/>
      <c r="C29" s="641">
        <v>2</v>
      </c>
      <c r="D29" s="638"/>
      <c r="E29" s="208"/>
      <c r="F29" s="222" t="s">
        <v>187</v>
      </c>
      <c r="G29" s="784">
        <v>36</v>
      </c>
      <c r="H29" s="209">
        <f t="array" ref="H29">(IF(COUNT(I29,K29)&lt;1,SUM(I29,K29),SUM(LARGE((I29,K29),{1}))))+(IF(COUNT(J29,L29)&lt;1,SUM(J29,L29),SUM(LARGE((J29,L29),{1}))))+M29</f>
        <v>36</v>
      </c>
      <c r="I29" s="210" t="s">
        <v>154</v>
      </c>
      <c r="J29" s="211" t="s">
        <v>154</v>
      </c>
      <c r="K29" s="211"/>
      <c r="L29" s="217">
        <v>34</v>
      </c>
      <c r="M29" s="212">
        <v>2</v>
      </c>
      <c r="N29" s="214">
        <f t="shared" si="0"/>
        <v>2</v>
      </c>
      <c r="O29" s="214">
        <f t="shared" si="1"/>
        <v>1</v>
      </c>
      <c r="P29" s="214">
        <f t="shared" si="2"/>
        <v>0</v>
      </c>
    </row>
    <row r="30" spans="1:16" x14ac:dyDescent="0.2">
      <c r="A30" s="783">
        <v>24</v>
      </c>
      <c r="B30" s="644">
        <v>22</v>
      </c>
      <c r="C30" s="641"/>
      <c r="D30" s="638"/>
      <c r="E30" s="208"/>
      <c r="F30" s="198" t="s">
        <v>181</v>
      </c>
      <c r="G30" s="784">
        <v>26</v>
      </c>
      <c r="H30" s="209">
        <f t="array" ref="H30">(IF(COUNT(I30,K30)&lt;1,SUM(I30,K30),SUM(LARGE((I30,K30),{1}))))+(IF(COUNT(J30,L30)&lt;1,SUM(J30,L30),SUM(LARGE((J30,L30),{1}))))+M30</f>
        <v>26</v>
      </c>
      <c r="I30" s="210" t="s">
        <v>154</v>
      </c>
      <c r="J30" s="211" t="s">
        <v>154</v>
      </c>
      <c r="K30" s="211"/>
      <c r="L30" s="217"/>
      <c r="M30" s="212">
        <v>26</v>
      </c>
      <c r="N30" s="214">
        <f t="shared" si="0"/>
        <v>1</v>
      </c>
      <c r="O30" s="214">
        <f t="shared" si="1"/>
        <v>0</v>
      </c>
      <c r="P30" s="214">
        <f t="shared" si="2"/>
        <v>0</v>
      </c>
    </row>
    <row r="31" spans="1:16" x14ac:dyDescent="0.2">
      <c r="A31" s="783">
        <v>25</v>
      </c>
      <c r="B31" s="644">
        <v>23</v>
      </c>
      <c r="C31" s="641"/>
      <c r="D31" s="638"/>
      <c r="E31" s="208"/>
      <c r="F31" s="219" t="s">
        <v>192</v>
      </c>
      <c r="G31" s="784">
        <v>22</v>
      </c>
      <c r="H31" s="209">
        <f t="array" ref="H31">(IF(COUNT(I31,K31)&lt;1,SUM(I31,K31),SUM(LARGE((I31,K31),{1}))))+(IF(COUNT(J31,L31)&lt;1,SUM(J31,L31),SUM(LARGE((J31,L31),{1}))))+M31</f>
        <v>22</v>
      </c>
      <c r="I31" s="211">
        <v>22</v>
      </c>
      <c r="J31" s="211" t="s">
        <v>154</v>
      </c>
      <c r="K31" s="212">
        <v>22</v>
      </c>
      <c r="L31" s="212"/>
      <c r="M31" s="212"/>
      <c r="N31" s="214">
        <f t="shared" si="0"/>
        <v>2</v>
      </c>
      <c r="O31" s="214">
        <f t="shared" si="1"/>
        <v>0</v>
      </c>
      <c r="P31" s="214">
        <f t="shared" si="2"/>
        <v>0</v>
      </c>
    </row>
    <row r="32" spans="1:16" x14ac:dyDescent="0.2">
      <c r="A32" s="783">
        <v>25</v>
      </c>
      <c r="B32" s="644">
        <v>24</v>
      </c>
      <c r="C32" s="641"/>
      <c r="D32" s="638"/>
      <c r="E32" s="208"/>
      <c r="F32" s="198" t="s">
        <v>453</v>
      </c>
      <c r="G32" s="784">
        <v>22</v>
      </c>
      <c r="H32" s="209">
        <f t="array" ref="H32">(IF(COUNT(I32,K32)&lt;1,SUM(I32,K32),SUM(LARGE((I32,K32),{1}))))+(IF(COUNT(J32,L32)&lt;1,SUM(J32,L32),SUM(LARGE((J32,L32),{1}))))+M32</f>
        <v>22</v>
      </c>
      <c r="I32" s="210" t="s">
        <v>154</v>
      </c>
      <c r="J32" s="211" t="s">
        <v>154</v>
      </c>
      <c r="K32" s="212">
        <v>22</v>
      </c>
      <c r="L32" s="217"/>
      <c r="M32" s="212"/>
      <c r="N32" s="214">
        <f t="shared" si="0"/>
        <v>1</v>
      </c>
      <c r="O32" s="214">
        <f t="shared" si="1"/>
        <v>0</v>
      </c>
      <c r="P32" s="214">
        <f t="shared" si="2"/>
        <v>0</v>
      </c>
    </row>
    <row r="33" spans="1:16" x14ac:dyDescent="0.2">
      <c r="A33" s="783">
        <v>27</v>
      </c>
      <c r="B33" s="644"/>
      <c r="C33" s="641">
        <v>3</v>
      </c>
      <c r="D33" s="638"/>
      <c r="E33" s="208"/>
      <c r="F33" s="222" t="s">
        <v>180</v>
      </c>
      <c r="G33" s="784">
        <v>20</v>
      </c>
      <c r="H33" s="209">
        <f t="array" ref="H33">(IF(COUNT(I33,K33)&lt;1,SUM(I33,K33),SUM(LARGE((I33,K33),{1}))))+(IF(COUNT(J33,L33)&lt;1,SUM(J33,L33),SUM(LARGE((J33,L33),{1}))))+M33</f>
        <v>20</v>
      </c>
      <c r="I33" s="212">
        <v>20</v>
      </c>
      <c r="J33" s="211" t="s">
        <v>154</v>
      </c>
      <c r="K33" s="211" t="s">
        <v>154</v>
      </c>
      <c r="L33" s="212"/>
      <c r="M33" s="212"/>
      <c r="N33" s="214">
        <f t="shared" si="0"/>
        <v>1</v>
      </c>
      <c r="O33" s="214">
        <f t="shared" si="1"/>
        <v>0</v>
      </c>
      <c r="P33" s="214">
        <f t="shared" si="2"/>
        <v>0</v>
      </c>
    </row>
    <row r="34" spans="1:16" x14ac:dyDescent="0.2">
      <c r="A34" s="783">
        <v>28</v>
      </c>
      <c r="B34" s="644">
        <v>25</v>
      </c>
      <c r="C34" s="641"/>
      <c r="D34" s="638"/>
      <c r="E34" s="208"/>
      <c r="F34" s="219" t="s">
        <v>159</v>
      </c>
      <c r="G34" s="784">
        <v>18</v>
      </c>
      <c r="H34" s="209">
        <f t="array" ref="H34">(IF(COUNT(I34,K34)&lt;1,SUM(I34,K34),SUM(LARGE((I34,K34),{1}))))+(IF(COUNT(J34,L34)&lt;1,SUM(J34,L34),SUM(LARGE((J34,L34),{1}))))+M34</f>
        <v>18</v>
      </c>
      <c r="I34" s="212">
        <v>18</v>
      </c>
      <c r="J34" s="211" t="s">
        <v>154</v>
      </c>
      <c r="K34" s="211" t="s">
        <v>154</v>
      </c>
      <c r="L34" s="212"/>
      <c r="M34" s="212"/>
      <c r="N34" s="214">
        <f t="shared" si="0"/>
        <v>1</v>
      </c>
      <c r="O34" s="214">
        <f t="shared" si="1"/>
        <v>0</v>
      </c>
      <c r="P34" s="214">
        <f t="shared" si="2"/>
        <v>0</v>
      </c>
    </row>
    <row r="35" spans="1:16" x14ac:dyDescent="0.2">
      <c r="A35" s="783">
        <v>29</v>
      </c>
      <c r="B35" s="644"/>
      <c r="C35" s="641">
        <v>4</v>
      </c>
      <c r="D35" s="638"/>
      <c r="E35" s="208"/>
      <c r="F35" s="222" t="s">
        <v>173</v>
      </c>
      <c r="G35" s="784">
        <v>16</v>
      </c>
      <c r="H35" s="209">
        <f t="array" ref="H35">(IF(COUNT(I35,K35)&lt;1,SUM(I35,K35),SUM(LARGE((I35,K35),{1}))))+(IF(COUNT(J35,L35)&lt;1,SUM(J35,L35),SUM(LARGE((J35,L35),{1}))))+M35</f>
        <v>16</v>
      </c>
      <c r="I35" s="217">
        <v>16</v>
      </c>
      <c r="J35" s="211" t="s">
        <v>154</v>
      </c>
      <c r="K35" s="211" t="s">
        <v>154</v>
      </c>
      <c r="L35" s="217"/>
      <c r="M35" s="212"/>
      <c r="N35" s="214">
        <f t="shared" si="0"/>
        <v>1</v>
      </c>
      <c r="O35" s="214">
        <f t="shared" si="1"/>
        <v>0</v>
      </c>
      <c r="P35" s="214">
        <f t="shared" si="2"/>
        <v>0</v>
      </c>
    </row>
    <row r="36" spans="1:16" x14ac:dyDescent="0.2">
      <c r="A36" s="783">
        <v>30</v>
      </c>
      <c r="B36" s="644">
        <v>26</v>
      </c>
      <c r="C36" s="641"/>
      <c r="D36" s="638"/>
      <c r="E36" s="208"/>
      <c r="F36" s="198" t="s">
        <v>454</v>
      </c>
      <c r="G36" s="784">
        <v>1</v>
      </c>
      <c r="H36" s="209">
        <f t="array" ref="H36">(IF(COUNT(I36,K36)&lt;1,SUM(I36,K36),SUM(LARGE((I36,K36),{1}))))+(IF(COUNT(J36,L36)&lt;1,SUM(J36,L36),SUM(LARGE((J36,L36),{1}))))+M36</f>
        <v>1</v>
      </c>
      <c r="I36" s="210" t="s">
        <v>154</v>
      </c>
      <c r="J36" s="211" t="s">
        <v>154</v>
      </c>
      <c r="K36" s="490"/>
      <c r="L36" s="490"/>
      <c r="M36" s="212">
        <v>1</v>
      </c>
      <c r="N36" s="214">
        <f t="shared" si="0"/>
        <v>1</v>
      </c>
      <c r="O36" s="214">
        <f t="shared" si="1"/>
        <v>0</v>
      </c>
      <c r="P36" s="214">
        <f t="shared" si="2"/>
        <v>0</v>
      </c>
    </row>
    <row r="37" spans="1:16" x14ac:dyDescent="0.2">
      <c r="A37" s="229">
        <f>COUNT(A7:A36)</f>
        <v>30</v>
      </c>
      <c r="B37" s="645">
        <f>COUNT(B7:B36)</f>
        <v>26</v>
      </c>
      <c r="C37" s="642">
        <f>COUNT(C7:C36)</f>
        <v>4</v>
      </c>
      <c r="D37" s="639">
        <f>COUNT(D7:D36)</f>
        <v>2</v>
      </c>
      <c r="E37" s="229">
        <f>COUNT(E7:E36)</f>
        <v>4</v>
      </c>
      <c r="F37" s="230" t="s">
        <v>201</v>
      </c>
      <c r="G37" s="231"/>
      <c r="H37" s="231"/>
      <c r="I37" s="232">
        <f>COUNTIF(I7:I36,"&gt;=0")</f>
        <v>18</v>
      </c>
      <c r="J37" s="232">
        <f>COUNTIF(J7:J36,"&gt;=0")</f>
        <v>12</v>
      </c>
      <c r="K37" s="232">
        <f>COUNTIF(K7:K36,"&gt;=0")</f>
        <v>21</v>
      </c>
      <c r="L37" s="232">
        <f>COUNTIF(L7:L36,"&gt;=0")</f>
        <v>12</v>
      </c>
      <c r="M37" s="232">
        <f>COUNTIF(M7:M36,"&gt;=0")</f>
        <v>19</v>
      </c>
      <c r="N37" s="230"/>
      <c r="O37" s="233">
        <f>SUM(O7:O36)</f>
        <v>33</v>
      </c>
      <c r="P37" s="233">
        <f>SUM(P7:P36)</f>
        <v>11</v>
      </c>
    </row>
    <row r="38" spans="1:16" x14ac:dyDescent="0.2">
      <c r="A38" s="194"/>
      <c r="B38" s="194"/>
      <c r="C38" s="194"/>
      <c r="D38" s="234"/>
      <c r="E38" s="234"/>
      <c r="F38" s="230" t="s">
        <v>202</v>
      </c>
      <c r="G38" s="231"/>
      <c r="H38" s="231"/>
      <c r="I38" s="234">
        <v>9</v>
      </c>
      <c r="J38" s="234">
        <v>4</v>
      </c>
      <c r="K38" s="234">
        <v>10</v>
      </c>
      <c r="L38" s="234">
        <v>4</v>
      </c>
      <c r="M38" s="234"/>
      <c r="N38" s="194"/>
      <c r="O38" s="194"/>
      <c r="P38" s="194"/>
    </row>
  </sheetData>
  <autoFilter ref="N6:P6"/>
  <mergeCells count="3">
    <mergeCell ref="N4:N5"/>
    <mergeCell ref="O4:O5"/>
    <mergeCell ref="P4:P5"/>
  </mergeCells>
  <conditionalFormatting sqref="F36">
    <cfRule type="duplicateValues" dxfId="33" priority="6" stopIfTrue="1"/>
  </conditionalFormatting>
  <conditionalFormatting sqref="I37:M37">
    <cfRule type="top10" dxfId="32" priority="7" stopIfTrue="1" rank="1"/>
  </conditionalFormatting>
  <conditionalFormatting sqref="F31:F36 F7:F29">
    <cfRule type="duplicateValues" dxfId="31" priority="5" stopIfTrue="1"/>
  </conditionalFormatting>
  <conditionalFormatting sqref="I7:M36">
    <cfRule type="cellIs" dxfId="30" priority="2" stopIfTrue="1" operator="equal">
      <formula>30</formula>
    </cfRule>
    <cfRule type="cellIs" dxfId="29" priority="3" stopIfTrue="1" operator="equal">
      <formula>34</formula>
    </cfRule>
    <cfRule type="cellIs" dxfId="28" priority="4" stopIfTrue="1" operator="equal">
      <formula>40</formula>
    </cfRule>
  </conditionalFormatting>
  <conditionalFormatting sqref="F31:F35 F7:F29">
    <cfRule type="duplicateValues" dxfId="27" priority="8" stopIfTrue="1"/>
  </conditionalFormatting>
  <conditionalFormatting sqref="O7:O36">
    <cfRule type="top10" dxfId="26" priority="9" stopIfTrue="1" rank="1"/>
  </conditionalFormatting>
  <conditionalFormatting sqref="P7:P36">
    <cfRule type="top10" dxfId="25" priority="10" stopIfTrue="1" rank="1"/>
  </conditionalFormatting>
  <conditionalFormatting sqref="N7:N36">
    <cfRule type="top10" dxfId="24" priority="11" stopIfTrue="1" rank="1"/>
  </conditionalFormatting>
  <conditionalFormatting sqref="H7:H36">
    <cfRule type="duplicateValues" dxfId="23" priority="1" stopIfTrue="1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300" r:id="rId1"/>
  <headerFooter alignWithMargins="0">
    <oddHeader>&amp;R&amp;"Arial,Regular"&amp;9Page &amp;P of &amp;N</oddHead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I58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M1" sqref="M1"/>
    </sheetView>
  </sheetViews>
  <sheetFormatPr defaultRowHeight="12.75" x14ac:dyDescent="0.2"/>
  <cols>
    <col min="1" max="1" width="3.28515625" style="381" customWidth="1"/>
    <col min="2" max="2" width="31.140625" style="381" bestFit="1" customWidth="1"/>
    <col min="3" max="7" width="9.42578125" style="381" customWidth="1"/>
    <col min="8" max="8" width="3.140625" style="381" bestFit="1" customWidth="1"/>
    <col min="9" max="11" width="1.7109375" style="381" customWidth="1"/>
    <col min="12" max="16384" width="9.140625" style="381"/>
  </cols>
  <sheetData>
    <row r="1" spans="1:9" x14ac:dyDescent="0.2">
      <c r="A1" s="491" t="str">
        <f>UPPER((Kalend!E9)&amp;" - "&amp;(Kalend!C9)&amp;" - "&amp;(Kalend!D9))</f>
        <v>M1 - MÄETAGUSE 6. KV 1. ETAPP - DUO</v>
      </c>
      <c r="F1" s="239" t="str">
        <f>HYPERLINK("#'Kalend'!I1","Kalender")</f>
        <v>Kalender</v>
      </c>
      <c r="G1" s="59"/>
      <c r="H1" s="239" t="str">
        <f>HYPERLINK("#'Reit'!G1","Reiting")</f>
        <v>Reiting</v>
      </c>
      <c r="I1" s="59"/>
    </row>
    <row r="2" spans="1:9" x14ac:dyDescent="0.2">
      <c r="A2" s="59" t="str">
        <f>"Toimumisaeg: "&amp;(Kalend!A9)&amp;" kell "&amp;(Kalend!B9)</f>
        <v>Toimumisaeg: T, 19.05.2015 kell 18:00</v>
      </c>
    </row>
    <row r="3" spans="1:9" x14ac:dyDescent="0.2">
      <c r="A3" s="59" t="str">
        <f>"Toimumiskoht: "&amp;(Kalend!F9)</f>
        <v>Toimumiskoht: Mäetaguse staadion</v>
      </c>
    </row>
    <row r="4" spans="1:9" x14ac:dyDescent="0.2">
      <c r="A4" s="59" t="str">
        <f>"Korraldaja: "&amp;(Kalend!G9)</f>
        <v>Korraldaja: Mäetaguse SK, Taavi Toomel</v>
      </c>
    </row>
    <row r="6" spans="1:9" x14ac:dyDescent="0.2">
      <c r="A6" s="492" t="s">
        <v>329</v>
      </c>
      <c r="B6" s="492"/>
      <c r="C6" s="287">
        <v>1</v>
      </c>
      <c r="D6" s="287">
        <v>2</v>
      </c>
      <c r="E6" s="287">
        <v>3</v>
      </c>
      <c r="F6" s="287" t="s">
        <v>330</v>
      </c>
      <c r="G6" s="287" t="s">
        <v>222</v>
      </c>
    </row>
    <row r="7" spans="1:9" x14ac:dyDescent="0.2">
      <c r="A7" s="492">
        <v>1</v>
      </c>
      <c r="B7" s="493" t="s">
        <v>455</v>
      </c>
      <c r="C7" s="325"/>
      <c r="D7" s="326">
        <v>13</v>
      </c>
      <c r="E7" s="326">
        <v>6</v>
      </c>
      <c r="F7" s="327" t="s">
        <v>400</v>
      </c>
      <c r="G7" s="326" t="s">
        <v>226</v>
      </c>
    </row>
    <row r="8" spans="1:9" x14ac:dyDescent="0.2">
      <c r="A8" s="492">
        <v>2</v>
      </c>
      <c r="B8" s="493" t="s">
        <v>300</v>
      </c>
      <c r="C8" s="326">
        <v>9</v>
      </c>
      <c r="D8" s="325"/>
      <c r="E8" s="326">
        <v>3</v>
      </c>
      <c r="F8" s="327" t="s">
        <v>398</v>
      </c>
      <c r="G8" s="326" t="s">
        <v>225</v>
      </c>
    </row>
    <row r="9" spans="1:9" x14ac:dyDescent="0.2">
      <c r="A9" s="492">
        <v>3</v>
      </c>
      <c r="B9" s="493" t="s">
        <v>301</v>
      </c>
      <c r="C9" s="326">
        <v>13</v>
      </c>
      <c r="D9" s="495">
        <v>13</v>
      </c>
      <c r="E9" s="325"/>
      <c r="F9" s="327" t="s">
        <v>399</v>
      </c>
      <c r="G9" s="495" t="s">
        <v>224</v>
      </c>
    </row>
    <row r="11" spans="1:9" x14ac:dyDescent="0.2">
      <c r="A11" s="492" t="s">
        <v>337</v>
      </c>
      <c r="B11" s="492"/>
      <c r="C11" s="287">
        <v>1</v>
      </c>
      <c r="D11" s="287">
        <v>2</v>
      </c>
      <c r="E11" s="287">
        <v>3</v>
      </c>
      <c r="F11" s="287" t="s">
        <v>330</v>
      </c>
      <c r="G11" s="287" t="s">
        <v>222</v>
      </c>
    </row>
    <row r="12" spans="1:9" x14ac:dyDescent="0.2">
      <c r="A12" s="492">
        <v>1</v>
      </c>
      <c r="B12" s="493" t="s">
        <v>375</v>
      </c>
      <c r="C12" s="325"/>
      <c r="D12" s="326">
        <v>13</v>
      </c>
      <c r="E12" s="326">
        <v>13</v>
      </c>
      <c r="F12" s="327" t="s">
        <v>399</v>
      </c>
      <c r="G12" s="326" t="s">
        <v>224</v>
      </c>
    </row>
    <row r="13" spans="1:9" x14ac:dyDescent="0.2">
      <c r="A13" s="492">
        <v>2</v>
      </c>
      <c r="B13" s="496" t="s">
        <v>456</v>
      </c>
      <c r="C13" s="326">
        <v>4</v>
      </c>
      <c r="D13" s="325"/>
      <c r="E13" s="326">
        <v>13</v>
      </c>
      <c r="F13" s="327" t="s">
        <v>400</v>
      </c>
      <c r="G13" s="326" t="s">
        <v>226</v>
      </c>
    </row>
    <row r="14" spans="1:9" x14ac:dyDescent="0.2">
      <c r="A14" s="492">
        <v>3</v>
      </c>
      <c r="B14" s="493" t="s">
        <v>457</v>
      </c>
      <c r="C14" s="326">
        <v>1</v>
      </c>
      <c r="D14" s="495">
        <v>11</v>
      </c>
      <c r="E14" s="325"/>
      <c r="F14" s="327" t="s">
        <v>398</v>
      </c>
      <c r="G14" s="495" t="s">
        <v>225</v>
      </c>
    </row>
    <row r="16" spans="1:9" x14ac:dyDescent="0.2">
      <c r="A16" s="492" t="s">
        <v>364</v>
      </c>
      <c r="B16" s="492"/>
      <c r="C16" s="287">
        <v>1</v>
      </c>
      <c r="D16" s="287">
        <v>2</v>
      </c>
      <c r="E16" s="287">
        <v>3</v>
      </c>
      <c r="F16" s="287" t="s">
        <v>330</v>
      </c>
      <c r="G16" s="287" t="s">
        <v>222</v>
      </c>
    </row>
    <row r="17" spans="1:8" x14ac:dyDescent="0.2">
      <c r="A17" s="492">
        <v>1</v>
      </c>
      <c r="B17" s="496" t="s">
        <v>294</v>
      </c>
      <c r="C17" s="325"/>
      <c r="D17" s="326">
        <v>11</v>
      </c>
      <c r="E17" s="326">
        <v>13</v>
      </c>
      <c r="F17" s="327" t="s">
        <v>400</v>
      </c>
      <c r="G17" s="326" t="s">
        <v>224</v>
      </c>
      <c r="H17" s="625" t="s">
        <v>458</v>
      </c>
    </row>
    <row r="18" spans="1:8" x14ac:dyDescent="0.2">
      <c r="A18" s="492">
        <v>2</v>
      </c>
      <c r="B18" s="496" t="s">
        <v>459</v>
      </c>
      <c r="C18" s="326">
        <v>13</v>
      </c>
      <c r="D18" s="325"/>
      <c r="E18" s="326">
        <v>10</v>
      </c>
      <c r="F18" s="327" t="s">
        <v>400</v>
      </c>
      <c r="G18" s="326" t="s">
        <v>225</v>
      </c>
      <c r="H18" s="625" t="s">
        <v>460</v>
      </c>
    </row>
    <row r="19" spans="1:8" x14ac:dyDescent="0.2">
      <c r="A19" s="492">
        <v>3</v>
      </c>
      <c r="B19" s="493" t="s">
        <v>289</v>
      </c>
      <c r="C19" s="326">
        <v>10</v>
      </c>
      <c r="D19" s="495">
        <v>13</v>
      </c>
      <c r="E19" s="325"/>
      <c r="F19" s="327" t="s">
        <v>400</v>
      </c>
      <c r="G19" s="495" t="s">
        <v>226</v>
      </c>
      <c r="H19" s="625" t="s">
        <v>563</v>
      </c>
    </row>
    <row r="21" spans="1:8" x14ac:dyDescent="0.2">
      <c r="A21" s="497"/>
      <c r="B21" s="328" t="s">
        <v>341</v>
      </c>
      <c r="C21" s="249" t="s">
        <v>345</v>
      </c>
      <c r="F21" s="248"/>
      <c r="G21" s="249"/>
      <c r="H21" s="247"/>
    </row>
    <row r="22" spans="1:8" x14ac:dyDescent="0.2">
      <c r="A22" s="497"/>
      <c r="B22" s="328" t="s">
        <v>344</v>
      </c>
      <c r="C22" s="249" t="s">
        <v>343</v>
      </c>
      <c r="E22" s="249"/>
      <c r="F22" s="248"/>
      <c r="G22" s="249"/>
      <c r="H22" s="247"/>
    </row>
    <row r="23" spans="1:8" x14ac:dyDescent="0.2">
      <c r="A23" s="497"/>
      <c r="B23" s="328" t="s">
        <v>347</v>
      </c>
      <c r="C23" s="249" t="s">
        <v>334</v>
      </c>
      <c r="E23" s="249"/>
      <c r="F23" s="248"/>
      <c r="G23" s="249"/>
      <c r="H23" s="247"/>
    </row>
    <row r="24" spans="1:8" x14ac:dyDescent="0.2">
      <c r="B24" s="328"/>
      <c r="C24" s="249"/>
      <c r="E24" s="249"/>
      <c r="F24" s="248"/>
      <c r="G24" s="249"/>
      <c r="H24" s="247"/>
    </row>
    <row r="25" spans="1:8" x14ac:dyDescent="0.2">
      <c r="A25" s="498" t="s">
        <v>461</v>
      </c>
      <c r="B25" s="328"/>
      <c r="C25" s="249"/>
      <c r="E25" s="249"/>
      <c r="F25" s="248"/>
      <c r="G25" s="249"/>
      <c r="H25" s="247"/>
    </row>
    <row r="27" spans="1:8" x14ac:dyDescent="0.2">
      <c r="A27" s="492"/>
      <c r="B27" s="492"/>
      <c r="C27" s="287">
        <v>1</v>
      </c>
      <c r="D27" s="287">
        <v>2</v>
      </c>
      <c r="E27" s="287">
        <v>3</v>
      </c>
      <c r="F27" s="287" t="s">
        <v>330</v>
      </c>
      <c r="G27" s="287" t="s">
        <v>222</v>
      </c>
    </row>
    <row r="28" spans="1:8" x14ac:dyDescent="0.2">
      <c r="A28" s="492">
        <v>1</v>
      </c>
      <c r="B28" s="493" t="s">
        <v>301</v>
      </c>
      <c r="C28" s="325"/>
      <c r="D28" s="326">
        <v>12</v>
      </c>
      <c r="E28" s="326">
        <v>12</v>
      </c>
      <c r="F28" s="327" t="s">
        <v>398</v>
      </c>
      <c r="G28" s="326" t="s">
        <v>225</v>
      </c>
    </row>
    <row r="29" spans="1:8" x14ac:dyDescent="0.2">
      <c r="A29" s="492">
        <v>2</v>
      </c>
      <c r="B29" s="493" t="s">
        <v>375</v>
      </c>
      <c r="C29" s="326">
        <v>13</v>
      </c>
      <c r="D29" s="325"/>
      <c r="E29" s="326">
        <v>13</v>
      </c>
      <c r="F29" s="327" t="s">
        <v>399</v>
      </c>
      <c r="G29" s="326" t="s">
        <v>224</v>
      </c>
    </row>
    <row r="30" spans="1:8" x14ac:dyDescent="0.2">
      <c r="A30" s="492">
        <v>3</v>
      </c>
      <c r="B30" s="499" t="s">
        <v>294</v>
      </c>
      <c r="C30" s="326">
        <v>13</v>
      </c>
      <c r="D30" s="495">
        <v>1</v>
      </c>
      <c r="E30" s="325"/>
      <c r="F30" s="327" t="s">
        <v>400</v>
      </c>
      <c r="G30" s="495" t="s">
        <v>226</v>
      </c>
    </row>
    <row r="31" spans="1:8" s="503" customFormat="1" x14ac:dyDescent="0.2">
      <c r="A31" s="500"/>
      <c r="B31" s="501"/>
      <c r="C31" s="248"/>
      <c r="D31" s="502"/>
      <c r="E31" s="248"/>
      <c r="F31" s="312"/>
      <c r="G31" s="502"/>
    </row>
    <row r="32" spans="1:8" s="503" customFormat="1" x14ac:dyDescent="0.2">
      <c r="A32" s="504" t="s">
        <v>462</v>
      </c>
      <c r="B32" s="501"/>
      <c r="C32" s="248"/>
      <c r="D32" s="502"/>
      <c r="E32" s="248"/>
      <c r="F32" s="312"/>
      <c r="G32" s="502"/>
    </row>
    <row r="34" spans="1:8" x14ac:dyDescent="0.2">
      <c r="A34" s="492"/>
      <c r="B34" s="492"/>
      <c r="C34" s="287">
        <v>1</v>
      </c>
      <c r="D34" s="287">
        <v>2</v>
      </c>
      <c r="E34" s="287">
        <v>3</v>
      </c>
      <c r="F34" s="287" t="s">
        <v>330</v>
      </c>
      <c r="G34" s="287" t="s">
        <v>222</v>
      </c>
    </row>
    <row r="35" spans="1:8" x14ac:dyDescent="0.2">
      <c r="A35" s="492">
        <v>1</v>
      </c>
      <c r="B35" s="493" t="s">
        <v>455</v>
      </c>
      <c r="C35" s="325"/>
      <c r="D35" s="326">
        <v>13</v>
      </c>
      <c r="E35" s="326">
        <v>13</v>
      </c>
      <c r="F35" s="327" t="s">
        <v>399</v>
      </c>
      <c r="G35" s="326" t="s">
        <v>224</v>
      </c>
    </row>
    <row r="36" spans="1:8" x14ac:dyDescent="0.2">
      <c r="A36" s="492">
        <v>2</v>
      </c>
      <c r="B36" s="496" t="s">
        <v>456</v>
      </c>
      <c r="C36" s="326">
        <v>6</v>
      </c>
      <c r="D36" s="325"/>
      <c r="E36" s="326">
        <v>10</v>
      </c>
      <c r="F36" s="327" t="s">
        <v>398</v>
      </c>
      <c r="G36" s="326" t="s">
        <v>225</v>
      </c>
    </row>
    <row r="37" spans="1:8" x14ac:dyDescent="0.2">
      <c r="A37" s="492">
        <v>3</v>
      </c>
      <c r="B37" s="493" t="s">
        <v>289</v>
      </c>
      <c r="C37" s="326">
        <v>8</v>
      </c>
      <c r="D37" s="495">
        <v>13</v>
      </c>
      <c r="E37" s="325"/>
      <c r="F37" s="327" t="s">
        <v>400</v>
      </c>
      <c r="G37" s="495" t="s">
        <v>226</v>
      </c>
    </row>
    <row r="39" spans="1:8" x14ac:dyDescent="0.2">
      <c r="A39" s="505" t="s">
        <v>463</v>
      </c>
    </row>
    <row r="41" spans="1:8" x14ac:dyDescent="0.2">
      <c r="A41" s="492"/>
      <c r="B41" s="492"/>
      <c r="C41" s="287">
        <v>1</v>
      </c>
      <c r="D41" s="287">
        <v>2</v>
      </c>
      <c r="E41" s="287">
        <v>3</v>
      </c>
      <c r="F41" s="287" t="s">
        <v>330</v>
      </c>
      <c r="G41" s="287" t="s">
        <v>222</v>
      </c>
    </row>
    <row r="42" spans="1:8" x14ac:dyDescent="0.2">
      <c r="A42" s="492">
        <v>1</v>
      </c>
      <c r="B42" s="493" t="s">
        <v>300</v>
      </c>
      <c r="C42" s="325"/>
      <c r="D42" s="326">
        <v>13</v>
      </c>
      <c r="E42" s="326">
        <v>13</v>
      </c>
      <c r="F42" s="327" t="s">
        <v>399</v>
      </c>
      <c r="G42" s="326" t="s">
        <v>224</v>
      </c>
    </row>
    <row r="43" spans="1:8" x14ac:dyDescent="0.2">
      <c r="A43" s="492">
        <v>2</v>
      </c>
      <c r="B43" s="493" t="s">
        <v>457</v>
      </c>
      <c r="C43" s="326" t="s">
        <v>235</v>
      </c>
      <c r="D43" s="325"/>
      <c r="E43" s="326" t="s">
        <v>235</v>
      </c>
      <c r="F43" s="327" t="s">
        <v>398</v>
      </c>
      <c r="G43" s="326" t="s">
        <v>225</v>
      </c>
    </row>
    <row r="44" spans="1:8" x14ac:dyDescent="0.2">
      <c r="A44" s="492">
        <v>3</v>
      </c>
      <c r="B44" s="499" t="s">
        <v>459</v>
      </c>
      <c r="C44" s="326" t="s">
        <v>235</v>
      </c>
      <c r="D44" s="495">
        <v>13</v>
      </c>
      <c r="E44" s="325"/>
      <c r="F44" s="327" t="s">
        <v>400</v>
      </c>
      <c r="G44" s="495" t="s">
        <v>226</v>
      </c>
    </row>
    <row r="46" spans="1:8" x14ac:dyDescent="0.2">
      <c r="A46" s="497"/>
      <c r="B46" s="328" t="s">
        <v>341</v>
      </c>
      <c r="C46" s="249" t="s">
        <v>345</v>
      </c>
      <c r="F46" s="248"/>
      <c r="G46" s="249"/>
      <c r="H46" s="247"/>
    </row>
    <row r="47" spans="1:8" x14ac:dyDescent="0.2">
      <c r="A47" s="497"/>
      <c r="B47" s="328" t="s">
        <v>344</v>
      </c>
      <c r="C47" s="249" t="s">
        <v>343</v>
      </c>
      <c r="E47" s="249"/>
      <c r="F47" s="248"/>
      <c r="G47" s="249"/>
      <c r="H47" s="247"/>
    </row>
    <row r="48" spans="1:8" x14ac:dyDescent="0.2">
      <c r="A48" s="497"/>
      <c r="B48" s="328" t="s">
        <v>347</v>
      </c>
      <c r="C48" s="249" t="s">
        <v>334</v>
      </c>
      <c r="E48" s="249"/>
      <c r="F48" s="248"/>
      <c r="G48" s="249"/>
      <c r="H48" s="247"/>
    </row>
    <row r="50" spans="1:2" x14ac:dyDescent="0.2">
      <c r="A50" s="492">
        <v>1</v>
      </c>
      <c r="B50" s="506" t="s">
        <v>375</v>
      </c>
    </row>
    <row r="51" spans="1:2" x14ac:dyDescent="0.2">
      <c r="A51" s="492">
        <v>2</v>
      </c>
      <c r="B51" s="507" t="s">
        <v>294</v>
      </c>
    </row>
    <row r="52" spans="1:2" x14ac:dyDescent="0.2">
      <c r="A52" s="492">
        <v>3</v>
      </c>
      <c r="B52" s="508" t="s">
        <v>301</v>
      </c>
    </row>
    <row r="53" spans="1:2" x14ac:dyDescent="0.2">
      <c r="A53" s="492">
        <v>4</v>
      </c>
      <c r="B53" s="493" t="s">
        <v>455</v>
      </c>
    </row>
    <row r="54" spans="1:2" x14ac:dyDescent="0.2">
      <c r="A54" s="492">
        <v>5</v>
      </c>
      <c r="B54" s="493" t="s">
        <v>289</v>
      </c>
    </row>
    <row r="55" spans="1:2" x14ac:dyDescent="0.2">
      <c r="A55" s="492">
        <v>6</v>
      </c>
      <c r="B55" s="496" t="s">
        <v>456</v>
      </c>
    </row>
    <row r="56" spans="1:2" x14ac:dyDescent="0.2">
      <c r="A56" s="492">
        <v>7</v>
      </c>
      <c r="B56" s="493" t="s">
        <v>300</v>
      </c>
    </row>
    <row r="57" spans="1:2" x14ac:dyDescent="0.2">
      <c r="A57" s="492">
        <v>8</v>
      </c>
      <c r="B57" s="499" t="s">
        <v>459</v>
      </c>
    </row>
    <row r="58" spans="1:2" x14ac:dyDescent="0.2">
      <c r="A58" s="492">
        <v>9</v>
      </c>
      <c r="B58" s="493" t="s">
        <v>457</v>
      </c>
    </row>
  </sheetData>
  <conditionalFormatting sqref="B7">
    <cfRule type="duplicateValues" dxfId="22" priority="4" stopIfTrue="1"/>
  </conditionalFormatting>
  <conditionalFormatting sqref="B35">
    <cfRule type="duplicateValues" dxfId="21" priority="3" stopIfTrue="1"/>
  </conditionalFormatting>
  <conditionalFormatting sqref="B53">
    <cfRule type="duplicateValues" dxfId="20" priority="2" stopIfTrue="1"/>
  </conditionalFormatting>
  <conditionalFormatting sqref="C7:E44">
    <cfRule type="cellIs" dxfId="19" priority="1" stopIfTrue="1" operator="equal">
      <formula>13</formula>
    </cfRule>
  </conditionalFormatting>
  <pageMargins left="0.78740157480314965" right="0.39370078740157483" top="0.39370078740157483" bottom="0.39370078740157483" header="0.39370078740157483" footer="0"/>
  <pageSetup paperSize="9" fitToHeight="0" orientation="portrait" verticalDpi="1200" r:id="rId1"/>
  <headerFooter>
    <oddHeader>&amp;R&amp;"Arial,Regular"&amp;9Page &amp;P of &amp;N</oddHeader>
  </headerFooter>
  <ignoredErrors>
    <ignoredError sqref="H17:H19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I19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J1" sqref="J1"/>
    </sheetView>
  </sheetViews>
  <sheetFormatPr defaultRowHeight="12.75" x14ac:dyDescent="0.2"/>
  <cols>
    <col min="1" max="1" width="3.28515625" style="381" customWidth="1"/>
    <col min="2" max="2" width="37.7109375" style="381" bestFit="1" customWidth="1"/>
    <col min="3" max="8" width="7.28515625" style="381" customWidth="1"/>
    <col min="9" max="10" width="6.7109375" style="381" customWidth="1"/>
    <col min="11" max="16" width="5.7109375" style="381" customWidth="1"/>
    <col min="17" max="16384" width="9.140625" style="381"/>
  </cols>
  <sheetData>
    <row r="1" spans="1:9" x14ac:dyDescent="0.2">
      <c r="A1" s="491" t="str">
        <f>UPPER((Kalend!E17)&amp;" - "&amp;(Kalend!C17)&amp;" - "&amp;(Kalend!D17))</f>
        <v>M2 - MÄETAGUSE 6. KV 2. ETAPP - TRIO</v>
      </c>
      <c r="F1" s="239" t="str">
        <f>HYPERLINK("#'Kalend'!I1","Kalender")</f>
        <v>Kalender</v>
      </c>
      <c r="G1" s="59"/>
      <c r="H1" s="239" t="str">
        <f>HYPERLINK("#'Reit'!G1","Reiting")</f>
        <v>Reiting</v>
      </c>
      <c r="I1" s="59"/>
    </row>
    <row r="2" spans="1:9" x14ac:dyDescent="0.2">
      <c r="A2" s="59" t="str">
        <f>"Toimumisaeg: "&amp;(Kalend!A17)&amp;" kell "&amp;(Kalend!B17)</f>
        <v>Toimumisaeg: T, 16.06.2015 kell 18:00</v>
      </c>
    </row>
    <row r="3" spans="1:9" x14ac:dyDescent="0.2">
      <c r="A3" s="59" t="str">
        <f>"Toimumiskoht: "&amp;(Kalend!F17)</f>
        <v>Toimumiskoht: Mäetaguse staadion</v>
      </c>
    </row>
    <row r="4" spans="1:9" x14ac:dyDescent="0.2">
      <c r="A4" s="59" t="str">
        <f>"Korraldaja: "&amp;(Kalend!G17)</f>
        <v>Korraldaja: Mäetaguse SK, Taavi Toomel</v>
      </c>
    </row>
    <row r="6" spans="1:9" x14ac:dyDescent="0.2">
      <c r="A6" s="492" t="s">
        <v>329</v>
      </c>
      <c r="B6" s="492"/>
      <c r="C6" s="287">
        <v>1</v>
      </c>
      <c r="D6" s="287">
        <v>2</v>
      </c>
      <c r="E6" s="287">
        <v>3</v>
      </c>
      <c r="F6" s="287">
        <v>4</v>
      </c>
      <c r="G6" s="287" t="s">
        <v>330</v>
      </c>
      <c r="H6" s="287" t="s">
        <v>222</v>
      </c>
    </row>
    <row r="7" spans="1:9" x14ac:dyDescent="0.2">
      <c r="A7" s="492">
        <v>1</v>
      </c>
      <c r="B7" s="493" t="s">
        <v>279</v>
      </c>
      <c r="C7" s="325"/>
      <c r="D7" s="326">
        <v>2</v>
      </c>
      <c r="E7" s="326">
        <v>11</v>
      </c>
      <c r="F7" s="326">
        <v>5</v>
      </c>
      <c r="G7" s="327" t="s">
        <v>331</v>
      </c>
      <c r="H7" s="326" t="s">
        <v>276</v>
      </c>
    </row>
    <row r="8" spans="1:9" x14ac:dyDescent="0.2">
      <c r="A8" s="492">
        <v>2</v>
      </c>
      <c r="B8" s="509" t="s">
        <v>340</v>
      </c>
      <c r="C8" s="326">
        <v>13</v>
      </c>
      <c r="D8" s="325"/>
      <c r="E8" s="326">
        <v>7</v>
      </c>
      <c r="F8" s="326">
        <v>13</v>
      </c>
      <c r="G8" s="327" t="s">
        <v>332</v>
      </c>
      <c r="H8" s="326" t="s">
        <v>226</v>
      </c>
    </row>
    <row r="9" spans="1:9" x14ac:dyDescent="0.2">
      <c r="A9" s="492">
        <v>3</v>
      </c>
      <c r="B9" s="493" t="s">
        <v>464</v>
      </c>
      <c r="C9" s="326">
        <v>13</v>
      </c>
      <c r="D9" s="495">
        <v>13</v>
      </c>
      <c r="E9" s="325"/>
      <c r="F9" s="326">
        <v>13</v>
      </c>
      <c r="G9" s="327" t="s">
        <v>336</v>
      </c>
      <c r="H9" s="495" t="s">
        <v>224</v>
      </c>
    </row>
    <row r="10" spans="1:9" x14ac:dyDescent="0.2">
      <c r="A10" s="492">
        <v>4</v>
      </c>
      <c r="B10" s="493" t="s">
        <v>415</v>
      </c>
      <c r="C10" s="326">
        <v>13</v>
      </c>
      <c r="D10" s="326">
        <v>11</v>
      </c>
      <c r="E10" s="326">
        <v>9</v>
      </c>
      <c r="F10" s="325"/>
      <c r="G10" s="327" t="s">
        <v>334</v>
      </c>
      <c r="H10" s="326" t="s">
        <v>225</v>
      </c>
    </row>
    <row r="12" spans="1:9" x14ac:dyDescent="0.2">
      <c r="B12" s="328" t="s">
        <v>341</v>
      </c>
      <c r="C12" s="249" t="s">
        <v>342</v>
      </c>
      <c r="D12" s="249" t="s">
        <v>343</v>
      </c>
    </row>
    <row r="13" spans="1:9" x14ac:dyDescent="0.2">
      <c r="B13" s="328" t="s">
        <v>344</v>
      </c>
      <c r="C13" s="249" t="s">
        <v>345</v>
      </c>
      <c r="D13" s="249" t="s">
        <v>346</v>
      </c>
    </row>
    <row r="14" spans="1:9" x14ac:dyDescent="0.2">
      <c r="B14" s="328" t="s">
        <v>347</v>
      </c>
      <c r="C14" s="249" t="s">
        <v>334</v>
      </c>
      <c r="D14" s="249" t="s">
        <v>348</v>
      </c>
    </row>
    <row r="16" spans="1:9" x14ac:dyDescent="0.2">
      <c r="A16" s="240">
        <v>1</v>
      </c>
      <c r="B16" s="285" t="s">
        <v>464</v>
      </c>
    </row>
    <row r="17" spans="1:2" x14ac:dyDescent="0.2">
      <c r="A17" s="240">
        <v>2</v>
      </c>
      <c r="B17" s="510" t="s">
        <v>340</v>
      </c>
    </row>
    <row r="18" spans="1:2" x14ac:dyDescent="0.2">
      <c r="A18" s="240">
        <v>3</v>
      </c>
      <c r="B18" s="508" t="s">
        <v>415</v>
      </c>
    </row>
    <row r="19" spans="1:2" x14ac:dyDescent="0.2">
      <c r="A19" s="240">
        <v>4</v>
      </c>
      <c r="B19" s="493" t="s">
        <v>279</v>
      </c>
    </row>
  </sheetData>
  <conditionalFormatting sqref="C7:F10">
    <cfRule type="cellIs" dxfId="18" priority="1" stopIfTrue="1" operator="equal">
      <formula>13</formula>
    </cfRule>
  </conditionalFormatting>
  <hyperlinks>
    <hyperlink ref="T1" location="'1'!A1" display="12.05"/>
  </hyperlinks>
  <pageMargins left="0.78740157480314965" right="0.39370078740157483" top="0.59055118110236227" bottom="0.39370078740157483" header="0.59055118110236227" footer="0"/>
  <pageSetup paperSize="9" fitToHeight="0" orientation="landscape" verticalDpi="180" r:id="rId1"/>
  <headerFooter>
    <oddHeader>&amp;R&amp;"Arial,Regular"&amp;9Page &amp;P of 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I60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K1" sqref="K1"/>
    </sheetView>
  </sheetViews>
  <sheetFormatPr defaultRowHeight="12.75" x14ac:dyDescent="0.2"/>
  <cols>
    <col min="1" max="1" width="3.28515625" style="381" customWidth="1"/>
    <col min="2" max="2" width="34.140625" style="381" bestFit="1" customWidth="1"/>
    <col min="3" max="9" width="8.28515625" style="381" customWidth="1"/>
    <col min="10" max="13" width="2.7109375" style="381" customWidth="1"/>
    <col min="14" max="16384" width="9.140625" style="381"/>
  </cols>
  <sheetData>
    <row r="1" spans="1:9" x14ac:dyDescent="0.2">
      <c r="A1" s="491" t="str">
        <f>UPPER((Kalend!E23)&amp;" - "&amp;(Kalend!C23)&amp;" - "&amp;(Kalend!D23))</f>
        <v>M3 - MÄETAGUSE 6. KV 3. ETAPP - DUO</v>
      </c>
      <c r="F1" s="239" t="str">
        <f>HYPERLINK("#'Kalend'!I1","Kalender")</f>
        <v>Kalender</v>
      </c>
      <c r="G1" s="59"/>
      <c r="H1" s="239" t="str">
        <f>HYPERLINK("#'Reit'!G1","Reiting")</f>
        <v>Reiting</v>
      </c>
      <c r="I1" s="59"/>
    </row>
    <row r="2" spans="1:9" x14ac:dyDescent="0.2">
      <c r="A2" s="59" t="str">
        <f>"Toimumisaeg: "&amp;(Kalend!A23)&amp;" kell "&amp;(Kalend!B23)</f>
        <v>Toimumisaeg: T, 07.07.2015 kell 18:00</v>
      </c>
    </row>
    <row r="3" spans="1:9" x14ac:dyDescent="0.2">
      <c r="A3" s="59" t="str">
        <f>"Toimumiskoht: "&amp;(Kalend!F23)</f>
        <v>Toimumiskoht: Mäetaguse staadion</v>
      </c>
    </row>
    <row r="4" spans="1:9" x14ac:dyDescent="0.2">
      <c r="A4" s="59" t="str">
        <f>"Korraldaja: "&amp;(Kalend!G23)</f>
        <v>Korraldaja: Mäetaguse SK, Taavi Toomel</v>
      </c>
    </row>
    <row r="6" spans="1:9" x14ac:dyDescent="0.2">
      <c r="A6" s="511" t="s">
        <v>465</v>
      </c>
    </row>
    <row r="8" spans="1:9" x14ac:dyDescent="0.2">
      <c r="A8" s="492" t="s">
        <v>329</v>
      </c>
      <c r="B8" s="492"/>
      <c r="C8" s="287">
        <v>1</v>
      </c>
      <c r="D8" s="287">
        <v>2</v>
      </c>
      <c r="E8" s="287">
        <v>3</v>
      </c>
      <c r="F8" s="287">
        <v>4</v>
      </c>
      <c r="G8" s="287" t="s">
        <v>330</v>
      </c>
      <c r="H8" s="287" t="s">
        <v>222</v>
      </c>
    </row>
    <row r="9" spans="1:9" x14ac:dyDescent="0.2">
      <c r="A9" s="492">
        <v>1</v>
      </c>
      <c r="B9" s="493" t="s">
        <v>290</v>
      </c>
      <c r="C9" s="325"/>
      <c r="D9" s="326">
        <v>13</v>
      </c>
      <c r="E9" s="326">
        <v>13</v>
      </c>
      <c r="F9" s="326">
        <v>13</v>
      </c>
      <c r="G9" s="327" t="s">
        <v>336</v>
      </c>
      <c r="H9" s="326" t="s">
        <v>224</v>
      </c>
    </row>
    <row r="10" spans="1:9" x14ac:dyDescent="0.2">
      <c r="A10" s="492">
        <v>2</v>
      </c>
      <c r="B10" s="493" t="s">
        <v>455</v>
      </c>
      <c r="C10" s="326">
        <v>8</v>
      </c>
      <c r="D10" s="325"/>
      <c r="E10" s="326">
        <v>9</v>
      </c>
      <c r="F10" s="326">
        <v>8</v>
      </c>
      <c r="G10" s="327" t="s">
        <v>331</v>
      </c>
      <c r="H10" s="326" t="s">
        <v>276</v>
      </c>
    </row>
    <row r="11" spans="1:9" x14ac:dyDescent="0.2">
      <c r="A11" s="492">
        <v>3</v>
      </c>
      <c r="B11" s="499" t="s">
        <v>340</v>
      </c>
      <c r="C11" s="326">
        <v>4</v>
      </c>
      <c r="D11" s="495">
        <v>13</v>
      </c>
      <c r="E11" s="325"/>
      <c r="F11" s="326">
        <v>6</v>
      </c>
      <c r="G11" s="327" t="s">
        <v>334</v>
      </c>
      <c r="H11" s="495" t="s">
        <v>225</v>
      </c>
    </row>
    <row r="12" spans="1:9" x14ac:dyDescent="0.2">
      <c r="A12" s="492">
        <v>4</v>
      </c>
      <c r="B12" s="499" t="s">
        <v>466</v>
      </c>
      <c r="C12" s="326">
        <v>8</v>
      </c>
      <c r="D12" s="495">
        <v>13</v>
      </c>
      <c r="E12" s="326">
        <v>13</v>
      </c>
      <c r="F12" s="325"/>
      <c r="G12" s="327" t="s">
        <v>332</v>
      </c>
      <c r="H12" s="326" t="s">
        <v>226</v>
      </c>
    </row>
    <row r="14" spans="1:9" x14ac:dyDescent="0.2">
      <c r="A14" s="492" t="s">
        <v>337</v>
      </c>
      <c r="B14" s="492"/>
      <c r="C14" s="287">
        <v>1</v>
      </c>
      <c r="D14" s="287">
        <v>2</v>
      </c>
      <c r="E14" s="287">
        <v>3</v>
      </c>
      <c r="F14" s="287" t="s">
        <v>330</v>
      </c>
      <c r="G14" s="287" t="s">
        <v>222</v>
      </c>
    </row>
    <row r="15" spans="1:9" x14ac:dyDescent="0.2">
      <c r="A15" s="492">
        <v>1</v>
      </c>
      <c r="B15" s="493" t="s">
        <v>301</v>
      </c>
      <c r="C15" s="325"/>
      <c r="D15" s="326">
        <v>13</v>
      </c>
      <c r="E15" s="326">
        <v>13</v>
      </c>
      <c r="F15" s="327" t="s">
        <v>399</v>
      </c>
      <c r="G15" s="326" t="s">
        <v>224</v>
      </c>
    </row>
    <row r="16" spans="1:9" x14ac:dyDescent="0.2">
      <c r="A16" s="492">
        <v>2</v>
      </c>
      <c r="B16" s="499" t="s">
        <v>467</v>
      </c>
      <c r="C16" s="326">
        <v>9</v>
      </c>
      <c r="D16" s="325"/>
      <c r="E16" s="326">
        <v>13</v>
      </c>
      <c r="F16" s="327" t="s">
        <v>400</v>
      </c>
      <c r="G16" s="326" t="s">
        <v>226</v>
      </c>
    </row>
    <row r="17" spans="1:8" x14ac:dyDescent="0.2">
      <c r="A17" s="492">
        <v>3</v>
      </c>
      <c r="B17" s="499" t="s">
        <v>294</v>
      </c>
      <c r="C17" s="326">
        <v>9</v>
      </c>
      <c r="D17" s="495">
        <v>8</v>
      </c>
      <c r="E17" s="325"/>
      <c r="F17" s="327" t="s">
        <v>398</v>
      </c>
      <c r="G17" s="495" t="s">
        <v>225</v>
      </c>
    </row>
    <row r="19" spans="1:8" x14ac:dyDescent="0.2">
      <c r="A19" s="492" t="s">
        <v>364</v>
      </c>
      <c r="B19" s="492"/>
      <c r="C19" s="287">
        <v>1</v>
      </c>
      <c r="D19" s="287">
        <v>2</v>
      </c>
      <c r="E19" s="287">
        <v>3</v>
      </c>
      <c r="F19" s="287" t="s">
        <v>330</v>
      </c>
      <c r="G19" s="287" t="s">
        <v>222</v>
      </c>
    </row>
    <row r="20" spans="1:8" x14ac:dyDescent="0.2">
      <c r="A20" s="492">
        <v>1</v>
      </c>
      <c r="B20" s="496" t="s">
        <v>468</v>
      </c>
      <c r="C20" s="325"/>
      <c r="D20" s="326">
        <v>13</v>
      </c>
      <c r="E20" s="326">
        <v>9</v>
      </c>
      <c r="F20" s="327" t="s">
        <v>400</v>
      </c>
      <c r="G20" s="326" t="s">
        <v>226</v>
      </c>
      <c r="H20" s="623" t="s">
        <v>469</v>
      </c>
    </row>
    <row r="21" spans="1:8" x14ac:dyDescent="0.2">
      <c r="A21" s="492">
        <v>2</v>
      </c>
      <c r="B21" s="493" t="s">
        <v>375</v>
      </c>
      <c r="C21" s="326">
        <v>11</v>
      </c>
      <c r="D21" s="325"/>
      <c r="E21" s="326">
        <v>13</v>
      </c>
      <c r="F21" s="327" t="s">
        <v>400</v>
      </c>
      <c r="G21" s="326" t="s">
        <v>224</v>
      </c>
      <c r="H21" s="623" t="s">
        <v>470</v>
      </c>
    </row>
    <row r="22" spans="1:8" x14ac:dyDescent="0.2">
      <c r="A22" s="492">
        <v>3</v>
      </c>
      <c r="B22" s="493" t="s">
        <v>289</v>
      </c>
      <c r="C22" s="326">
        <v>13</v>
      </c>
      <c r="D22" s="495">
        <v>6</v>
      </c>
      <c r="E22" s="325"/>
      <c r="F22" s="327" t="s">
        <v>400</v>
      </c>
      <c r="G22" s="495" t="s">
        <v>225</v>
      </c>
      <c r="H22" s="623" t="s">
        <v>471</v>
      </c>
    </row>
    <row r="24" spans="1:8" x14ac:dyDescent="0.2">
      <c r="A24" s="497"/>
      <c r="B24" s="328" t="s">
        <v>341</v>
      </c>
      <c r="C24" s="249" t="s">
        <v>342</v>
      </c>
      <c r="D24" s="249" t="s">
        <v>343</v>
      </c>
      <c r="F24" s="248"/>
      <c r="G24" s="249"/>
      <c r="H24" s="247"/>
    </row>
    <row r="25" spans="1:8" x14ac:dyDescent="0.2">
      <c r="A25" s="497"/>
      <c r="B25" s="328" t="s">
        <v>344</v>
      </c>
      <c r="C25" s="249" t="s">
        <v>346</v>
      </c>
      <c r="D25" s="249" t="s">
        <v>345</v>
      </c>
      <c r="E25" s="249"/>
      <c r="F25" s="248"/>
      <c r="G25" s="249"/>
      <c r="H25" s="247"/>
    </row>
    <row r="26" spans="1:8" x14ac:dyDescent="0.2">
      <c r="A26" s="497"/>
      <c r="B26" s="328" t="s">
        <v>347</v>
      </c>
      <c r="C26" s="249" t="s">
        <v>348</v>
      </c>
      <c r="D26" s="249" t="s">
        <v>334</v>
      </c>
      <c r="F26" s="248"/>
      <c r="G26" s="249"/>
      <c r="H26" s="247"/>
    </row>
    <row r="27" spans="1:8" x14ac:dyDescent="0.2">
      <c r="C27" s="249"/>
      <c r="D27" s="249"/>
    </row>
    <row r="28" spans="1:8" x14ac:dyDescent="0.2">
      <c r="A28" s="498" t="s">
        <v>461</v>
      </c>
      <c r="B28" s="328"/>
      <c r="C28" s="249"/>
      <c r="D28" s="249"/>
      <c r="E28" s="249"/>
      <c r="F28" s="248"/>
      <c r="G28" s="249"/>
      <c r="H28" s="247"/>
    </row>
    <row r="30" spans="1:8" x14ac:dyDescent="0.2">
      <c r="A30" s="492"/>
      <c r="B30" s="492"/>
      <c r="C30" s="287">
        <v>1</v>
      </c>
      <c r="D30" s="287">
        <v>2</v>
      </c>
      <c r="E30" s="287">
        <v>3</v>
      </c>
      <c r="F30" s="287" t="s">
        <v>330</v>
      </c>
      <c r="G30" s="287" t="s">
        <v>222</v>
      </c>
    </row>
    <row r="31" spans="1:8" x14ac:dyDescent="0.2">
      <c r="A31" s="492">
        <v>1</v>
      </c>
      <c r="B31" s="493" t="s">
        <v>290</v>
      </c>
      <c r="C31" s="325"/>
      <c r="D31" s="326">
        <v>8</v>
      </c>
      <c r="E31" s="326">
        <v>13</v>
      </c>
      <c r="F31" s="327" t="s">
        <v>400</v>
      </c>
      <c r="G31" s="326" t="s">
        <v>226</v>
      </c>
    </row>
    <row r="32" spans="1:8" x14ac:dyDescent="0.2">
      <c r="A32" s="492">
        <v>2</v>
      </c>
      <c r="B32" s="493" t="s">
        <v>301</v>
      </c>
      <c r="C32" s="326">
        <v>13</v>
      </c>
      <c r="D32" s="325"/>
      <c r="E32" s="326">
        <v>13</v>
      </c>
      <c r="F32" s="327" t="s">
        <v>399</v>
      </c>
      <c r="G32" s="326" t="s">
        <v>224</v>
      </c>
    </row>
    <row r="33" spans="1:7" x14ac:dyDescent="0.2">
      <c r="A33" s="492">
        <v>3</v>
      </c>
      <c r="B33" s="493" t="s">
        <v>375</v>
      </c>
      <c r="C33" s="326">
        <v>12</v>
      </c>
      <c r="D33" s="495">
        <v>5</v>
      </c>
      <c r="E33" s="325"/>
      <c r="F33" s="327" t="s">
        <v>398</v>
      </c>
      <c r="G33" s="495" t="s">
        <v>225</v>
      </c>
    </row>
    <row r="34" spans="1:7" s="503" customFormat="1" x14ac:dyDescent="0.2">
      <c r="A34" s="500"/>
      <c r="B34" s="501"/>
      <c r="C34" s="248"/>
      <c r="D34" s="502"/>
      <c r="E34" s="248"/>
      <c r="F34" s="312"/>
      <c r="G34" s="502"/>
    </row>
    <row r="35" spans="1:7" s="503" customFormat="1" x14ac:dyDescent="0.2">
      <c r="A35" s="504" t="s">
        <v>462</v>
      </c>
      <c r="B35" s="501"/>
      <c r="C35" s="248"/>
      <c r="D35" s="502"/>
      <c r="E35" s="248"/>
      <c r="F35" s="312"/>
      <c r="G35" s="502"/>
    </row>
    <row r="37" spans="1:7" x14ac:dyDescent="0.2">
      <c r="A37" s="492"/>
      <c r="B37" s="492"/>
      <c r="C37" s="287">
        <v>1</v>
      </c>
      <c r="D37" s="287">
        <v>2</v>
      </c>
      <c r="E37" s="287">
        <v>3</v>
      </c>
      <c r="F37" s="287" t="s">
        <v>330</v>
      </c>
      <c r="G37" s="287" t="s">
        <v>222</v>
      </c>
    </row>
    <row r="38" spans="1:7" x14ac:dyDescent="0.2">
      <c r="A38" s="492">
        <v>1</v>
      </c>
      <c r="B38" s="499" t="s">
        <v>466</v>
      </c>
      <c r="C38" s="325"/>
      <c r="D38" s="326">
        <v>12</v>
      </c>
      <c r="E38" s="326">
        <v>13</v>
      </c>
      <c r="F38" s="327" t="s">
        <v>400</v>
      </c>
      <c r="G38" s="326" t="s">
        <v>226</v>
      </c>
    </row>
    <row r="39" spans="1:7" x14ac:dyDescent="0.2">
      <c r="A39" s="492">
        <v>2</v>
      </c>
      <c r="B39" s="499" t="s">
        <v>467</v>
      </c>
      <c r="C39" s="326">
        <v>13</v>
      </c>
      <c r="D39" s="325"/>
      <c r="E39" s="326">
        <v>13</v>
      </c>
      <c r="F39" s="327" t="s">
        <v>399</v>
      </c>
      <c r="G39" s="326" t="s">
        <v>224</v>
      </c>
    </row>
    <row r="40" spans="1:7" x14ac:dyDescent="0.2">
      <c r="A40" s="492">
        <v>3</v>
      </c>
      <c r="B40" s="499" t="s">
        <v>468</v>
      </c>
      <c r="C40" s="326">
        <v>12</v>
      </c>
      <c r="D40" s="495">
        <v>6</v>
      </c>
      <c r="E40" s="325"/>
      <c r="F40" s="327" t="s">
        <v>398</v>
      </c>
      <c r="G40" s="495" t="s">
        <v>225</v>
      </c>
    </row>
    <row r="42" spans="1:7" x14ac:dyDescent="0.2">
      <c r="A42" s="505" t="s">
        <v>463</v>
      </c>
    </row>
    <row r="44" spans="1:7" x14ac:dyDescent="0.2">
      <c r="A44" s="492"/>
      <c r="B44" s="492"/>
      <c r="C44" s="287">
        <v>1</v>
      </c>
      <c r="D44" s="287">
        <v>2</v>
      </c>
      <c r="E44" s="287">
        <v>3</v>
      </c>
      <c r="F44" s="287" t="s">
        <v>330</v>
      </c>
      <c r="G44" s="287" t="s">
        <v>222</v>
      </c>
    </row>
    <row r="45" spans="1:7" x14ac:dyDescent="0.2">
      <c r="A45" s="492">
        <v>1</v>
      </c>
      <c r="B45" s="499" t="s">
        <v>340</v>
      </c>
      <c r="C45" s="325"/>
      <c r="D45" s="326">
        <v>13</v>
      </c>
      <c r="E45" s="326">
        <v>13</v>
      </c>
      <c r="F45" s="327" t="s">
        <v>399</v>
      </c>
      <c r="G45" s="326" t="s">
        <v>224</v>
      </c>
    </row>
    <row r="46" spans="1:7" x14ac:dyDescent="0.2">
      <c r="A46" s="492">
        <v>2</v>
      </c>
      <c r="B46" s="499" t="s">
        <v>294</v>
      </c>
      <c r="C46" s="326">
        <v>5</v>
      </c>
      <c r="D46" s="325"/>
      <c r="E46" s="326">
        <v>13</v>
      </c>
      <c r="F46" s="327" t="s">
        <v>400</v>
      </c>
      <c r="G46" s="326" t="s">
        <v>226</v>
      </c>
    </row>
    <row r="47" spans="1:7" x14ac:dyDescent="0.2">
      <c r="A47" s="492">
        <v>3</v>
      </c>
      <c r="B47" s="493" t="s">
        <v>289</v>
      </c>
      <c r="C47" s="326">
        <v>4</v>
      </c>
      <c r="D47" s="495">
        <v>4</v>
      </c>
      <c r="E47" s="325"/>
      <c r="F47" s="327" t="s">
        <v>398</v>
      </c>
      <c r="G47" s="495" t="s">
        <v>225</v>
      </c>
    </row>
    <row r="48" spans="1:7" x14ac:dyDescent="0.2">
      <c r="A48" s="497"/>
      <c r="B48" s="512"/>
      <c r="C48" s="247"/>
      <c r="D48" s="513"/>
      <c r="E48" s="248"/>
      <c r="F48" s="249"/>
      <c r="G48" s="513"/>
    </row>
    <row r="49" spans="1:7" x14ac:dyDescent="0.2">
      <c r="A49" s="497"/>
      <c r="B49" s="512"/>
      <c r="C49" s="247"/>
      <c r="D49" s="513"/>
      <c r="E49" s="248"/>
      <c r="F49" s="249"/>
      <c r="G49" s="513"/>
    </row>
    <row r="51" spans="1:7" x14ac:dyDescent="0.2">
      <c r="A51" s="492">
        <v>1</v>
      </c>
      <c r="B51" s="506" t="s">
        <v>301</v>
      </c>
    </row>
    <row r="52" spans="1:7" x14ac:dyDescent="0.2">
      <c r="A52" s="492">
        <v>2</v>
      </c>
      <c r="B52" s="507" t="s">
        <v>290</v>
      </c>
    </row>
    <row r="53" spans="1:7" x14ac:dyDescent="0.2">
      <c r="A53" s="492">
        <v>3</v>
      </c>
      <c r="B53" s="508" t="s">
        <v>375</v>
      </c>
    </row>
    <row r="54" spans="1:7" x14ac:dyDescent="0.2">
      <c r="A54" s="492">
        <v>4</v>
      </c>
      <c r="B54" s="499" t="s">
        <v>467</v>
      </c>
    </row>
    <row r="55" spans="1:7" x14ac:dyDescent="0.2">
      <c r="A55" s="492">
        <v>5</v>
      </c>
      <c r="B55" s="499" t="s">
        <v>466</v>
      </c>
    </row>
    <row r="56" spans="1:7" x14ac:dyDescent="0.2">
      <c r="A56" s="492">
        <v>6</v>
      </c>
      <c r="B56" s="499" t="s">
        <v>468</v>
      </c>
    </row>
    <row r="57" spans="1:7" x14ac:dyDescent="0.2">
      <c r="A57" s="492">
        <v>7</v>
      </c>
      <c r="B57" s="499" t="s">
        <v>340</v>
      </c>
    </row>
    <row r="58" spans="1:7" x14ac:dyDescent="0.2">
      <c r="A58" s="492">
        <v>8</v>
      </c>
      <c r="B58" s="499" t="s">
        <v>294</v>
      </c>
    </row>
    <row r="59" spans="1:7" x14ac:dyDescent="0.2">
      <c r="A59" s="492">
        <v>9</v>
      </c>
      <c r="B59" s="493" t="s">
        <v>289</v>
      </c>
    </row>
    <row r="60" spans="1:7" x14ac:dyDescent="0.2">
      <c r="A60" s="492">
        <v>10</v>
      </c>
      <c r="B60" s="493" t="s">
        <v>455</v>
      </c>
    </row>
  </sheetData>
  <conditionalFormatting sqref="B10">
    <cfRule type="duplicateValues" dxfId="17" priority="3" stopIfTrue="1"/>
  </conditionalFormatting>
  <conditionalFormatting sqref="B60">
    <cfRule type="duplicateValues" dxfId="16" priority="2" stopIfTrue="1"/>
  </conditionalFormatting>
  <conditionalFormatting sqref="C9:F47">
    <cfRule type="cellIs" dxfId="15" priority="1" stopIfTrue="1" operator="equal">
      <formula>13</formula>
    </cfRule>
  </conditionalFormatting>
  <pageMargins left="0.59055118110236227" right="0.39370078740157483" top="0.78740157480314965" bottom="0.39370078740157483" header="0.78740157480314965" footer="0"/>
  <pageSetup paperSize="9" fitToHeight="0" orientation="portrait" verticalDpi="1200" r:id="rId1"/>
  <headerFooter>
    <oddHeader>&amp;R&amp;"Arial,Regular"&amp;9Page &amp;P of &amp;N</oddHeader>
  </headerFooter>
  <ignoredErrors>
    <ignoredError sqref="H20:H22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H19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H1" sqref="H1"/>
    </sheetView>
  </sheetViews>
  <sheetFormatPr defaultRowHeight="12.75" x14ac:dyDescent="0.2"/>
  <cols>
    <col min="1" max="1" width="3.28515625" style="381" customWidth="1"/>
    <col min="2" max="2" width="50.85546875" style="381" bestFit="1" customWidth="1"/>
    <col min="3" max="8" width="8.42578125" style="381" customWidth="1"/>
    <col min="9" max="11" width="6.5703125" style="381" customWidth="1"/>
    <col min="12" max="23" width="4.7109375" style="381" customWidth="1"/>
    <col min="24" max="16384" width="9.140625" style="381"/>
  </cols>
  <sheetData>
    <row r="1" spans="1:8" x14ac:dyDescent="0.2">
      <c r="A1" s="491" t="str">
        <f>UPPER((Kalend!E36)&amp;" - "&amp;(Kalend!C36)&amp;" - "&amp;(Kalend!D36))</f>
        <v>M4 - MÄETAGUSE 6. KV 4. ETAPP - TRIO</v>
      </c>
      <c r="D1" s="239" t="str">
        <f>HYPERLINK("#'Kalend'!I1","Kalender")</f>
        <v>Kalender</v>
      </c>
      <c r="E1" s="59"/>
      <c r="F1" s="239" t="str">
        <f>HYPERLINK("#'Reit'!G1","Reiting")</f>
        <v>Reiting</v>
      </c>
      <c r="G1" s="59"/>
    </row>
    <row r="2" spans="1:8" x14ac:dyDescent="0.2">
      <c r="A2" s="59" t="str">
        <f>"Toimumisaeg: "&amp;(Kalend!A36)&amp;" kell "&amp;(Kalend!B36)</f>
        <v>Toimumisaeg: E, 24.08.2015 kell 18:00</v>
      </c>
    </row>
    <row r="3" spans="1:8" x14ac:dyDescent="0.2">
      <c r="A3" s="59" t="str">
        <f>"Toimumiskoht: "&amp;(Kalend!F36)</f>
        <v>Toimumiskoht: Mäetaguse staadion</v>
      </c>
    </row>
    <row r="4" spans="1:8" x14ac:dyDescent="0.2">
      <c r="A4" s="59" t="str">
        <f>"Korraldaja: "&amp;(Kalend!G36)</f>
        <v>Korraldaja: Mäetaguse SK, Taavi Toomel</v>
      </c>
    </row>
    <row r="6" spans="1:8" x14ac:dyDescent="0.2">
      <c r="A6" s="492" t="s">
        <v>329</v>
      </c>
      <c r="B6" s="492"/>
      <c r="C6" s="287">
        <v>1</v>
      </c>
      <c r="D6" s="287">
        <v>2</v>
      </c>
      <c r="E6" s="287">
        <v>3</v>
      </c>
      <c r="F6" s="287">
        <v>4</v>
      </c>
      <c r="G6" s="287" t="s">
        <v>330</v>
      </c>
      <c r="H6" s="287" t="s">
        <v>222</v>
      </c>
    </row>
    <row r="7" spans="1:8" x14ac:dyDescent="0.2">
      <c r="A7" s="492">
        <v>1</v>
      </c>
      <c r="B7" s="493" t="s">
        <v>472</v>
      </c>
      <c r="C7" s="325"/>
      <c r="D7" s="326">
        <v>13</v>
      </c>
      <c r="E7" s="326">
        <v>8</v>
      </c>
      <c r="F7" s="326">
        <v>13</v>
      </c>
      <c r="G7" s="327" t="s">
        <v>332</v>
      </c>
      <c r="H7" s="326" t="s">
        <v>224</v>
      </c>
    </row>
    <row r="8" spans="1:8" x14ac:dyDescent="0.2">
      <c r="A8" s="492">
        <v>2</v>
      </c>
      <c r="B8" s="493" t="s">
        <v>415</v>
      </c>
      <c r="C8" s="326">
        <v>8</v>
      </c>
      <c r="D8" s="325"/>
      <c r="E8" s="326">
        <v>13</v>
      </c>
      <c r="F8" s="326">
        <v>10</v>
      </c>
      <c r="G8" s="327" t="s">
        <v>334</v>
      </c>
      <c r="H8" s="326" t="s">
        <v>225</v>
      </c>
    </row>
    <row r="9" spans="1:8" x14ac:dyDescent="0.2">
      <c r="A9" s="492">
        <v>3</v>
      </c>
      <c r="B9" s="493" t="s">
        <v>335</v>
      </c>
      <c r="C9" s="326">
        <v>13</v>
      </c>
      <c r="D9" s="495">
        <v>5</v>
      </c>
      <c r="E9" s="325"/>
      <c r="F9" s="326">
        <v>4</v>
      </c>
      <c r="G9" s="327" t="s">
        <v>334</v>
      </c>
      <c r="H9" s="495" t="s">
        <v>276</v>
      </c>
    </row>
    <row r="10" spans="1:8" x14ac:dyDescent="0.2">
      <c r="A10" s="492">
        <v>4</v>
      </c>
      <c r="B10" s="509" t="s">
        <v>473</v>
      </c>
      <c r="C10" s="326">
        <v>11</v>
      </c>
      <c r="D10" s="326">
        <v>13</v>
      </c>
      <c r="E10" s="326">
        <v>13</v>
      </c>
      <c r="F10" s="325"/>
      <c r="G10" s="327" t="s">
        <v>332</v>
      </c>
      <c r="H10" s="326" t="s">
        <v>226</v>
      </c>
    </row>
    <row r="12" spans="1:8" x14ac:dyDescent="0.2">
      <c r="B12" s="328" t="s">
        <v>341</v>
      </c>
      <c r="C12" s="249" t="s">
        <v>342</v>
      </c>
      <c r="D12" s="249" t="s">
        <v>343</v>
      </c>
    </row>
    <row r="13" spans="1:8" x14ac:dyDescent="0.2">
      <c r="B13" s="328" t="s">
        <v>344</v>
      </c>
      <c r="C13" s="249" t="s">
        <v>345</v>
      </c>
      <c r="D13" s="249" t="s">
        <v>346</v>
      </c>
    </row>
    <row r="14" spans="1:8" x14ac:dyDescent="0.2">
      <c r="B14" s="328" t="s">
        <v>347</v>
      </c>
      <c r="C14" s="249" t="s">
        <v>334</v>
      </c>
      <c r="D14" s="249" t="s">
        <v>348</v>
      </c>
    </row>
    <row r="16" spans="1:8" x14ac:dyDescent="0.2">
      <c r="A16" s="492">
        <v>1</v>
      </c>
      <c r="B16" s="506" t="s">
        <v>472</v>
      </c>
    </row>
    <row r="17" spans="1:2" x14ac:dyDescent="0.2">
      <c r="A17" s="492">
        <v>2</v>
      </c>
      <c r="B17" s="507" t="s">
        <v>474</v>
      </c>
    </row>
    <row r="18" spans="1:2" x14ac:dyDescent="0.2">
      <c r="A18" s="492">
        <v>3</v>
      </c>
      <c r="B18" s="508" t="s">
        <v>415</v>
      </c>
    </row>
    <row r="19" spans="1:2" x14ac:dyDescent="0.2">
      <c r="A19" s="492">
        <v>4</v>
      </c>
      <c r="B19" s="499" t="s">
        <v>335</v>
      </c>
    </row>
  </sheetData>
  <conditionalFormatting sqref="C7:F10">
    <cfRule type="cellIs" dxfId="14" priority="1" stopIfTrue="1" operator="equal">
      <formula>13</formula>
    </cfRule>
  </conditionalFormatting>
  <hyperlinks>
    <hyperlink ref="T1" location="'1'!A1" display="12.05"/>
  </hyperlinks>
  <pageMargins left="0.78740157480314965" right="0.39370078740157483" top="0.78740157480314965" bottom="0.39370078740157483" header="0.78740157480314965" footer="0"/>
  <pageSetup paperSize="9" fitToHeight="0" orientation="landscape" verticalDpi="1200" r:id="rId1"/>
  <headerFooter>
    <oddHeader>&amp;R&amp;"Arial,Regular"&amp;9Page &amp;P of &amp;N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L124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M1" sqref="M1"/>
    </sheetView>
  </sheetViews>
  <sheetFormatPr defaultRowHeight="12.75" x14ac:dyDescent="0.2"/>
  <cols>
    <col min="1" max="1" width="3.28515625" style="381" customWidth="1"/>
    <col min="2" max="2" width="23.7109375" style="381" bestFit="1" customWidth="1"/>
    <col min="3" max="9" width="6.5703125" style="381" customWidth="1"/>
    <col min="10" max="10" width="4" style="381" customWidth="1"/>
    <col min="11" max="16384" width="9.140625" style="381"/>
  </cols>
  <sheetData>
    <row r="1" spans="1:12" x14ac:dyDescent="0.2">
      <c r="A1" s="491" t="str">
        <f>UPPER((Kalend!E46)&amp;" - "&amp;(Kalend!C46)&amp;" - "&amp;(Kalend!D46))</f>
        <v>M5 - MÄETAGUSE 6. KV 5. ETAPP - ÜKSIK</v>
      </c>
      <c r="I1" s="239" t="str">
        <f>HYPERLINK("#'Kalend'!I1","Kalender")</f>
        <v>Kalender</v>
      </c>
      <c r="J1" s="59"/>
      <c r="K1" s="239" t="str">
        <f>HYPERLINK("#'Reit'!G1","Reiting")</f>
        <v>Reiting</v>
      </c>
      <c r="L1" s="59"/>
    </row>
    <row r="2" spans="1:12" x14ac:dyDescent="0.2">
      <c r="A2" s="59" t="str">
        <f>"Toimumisaeg: "&amp;(Kalend!A46)&amp;" kell "&amp;(Kalend!B46)</f>
        <v>Toimumisaeg: L, 03.10.2015 kell 10:00</v>
      </c>
    </row>
    <row r="3" spans="1:12" x14ac:dyDescent="0.2">
      <c r="A3" s="59" t="str">
        <f>"Toimumiskoht: "&amp;(Kalend!F46)</f>
        <v>Toimumiskoht: Mäetaguse staadion</v>
      </c>
    </row>
    <row r="4" spans="1:12" x14ac:dyDescent="0.2">
      <c r="A4" s="59" t="str">
        <f>"Korraldaja: "&amp;(Kalend!G46)</f>
        <v>Korraldaja: Mäetaguse SK, Taavi Toomel</v>
      </c>
    </row>
    <row r="6" spans="1:12" x14ac:dyDescent="0.2">
      <c r="A6" s="511" t="s">
        <v>475</v>
      </c>
    </row>
    <row r="8" spans="1:12" x14ac:dyDescent="0.2">
      <c r="A8" s="492" t="s">
        <v>329</v>
      </c>
      <c r="B8" s="492"/>
      <c r="C8" s="287">
        <v>1</v>
      </c>
      <c r="D8" s="287">
        <v>2</v>
      </c>
      <c r="E8" s="287">
        <v>3</v>
      </c>
      <c r="F8" s="287">
        <v>4</v>
      </c>
      <c r="G8" s="287">
        <v>5</v>
      </c>
      <c r="H8" s="287" t="s">
        <v>330</v>
      </c>
      <c r="I8" s="287" t="s">
        <v>222</v>
      </c>
    </row>
    <row r="9" spans="1:12" x14ac:dyDescent="0.2">
      <c r="A9" s="492">
        <v>1</v>
      </c>
      <c r="B9" s="219" t="s">
        <v>156</v>
      </c>
      <c r="C9" s="325"/>
      <c r="D9" s="326">
        <v>13</v>
      </c>
      <c r="E9" s="326">
        <v>13</v>
      </c>
      <c r="F9" s="326">
        <v>13</v>
      </c>
      <c r="G9" s="326">
        <v>13</v>
      </c>
      <c r="H9" s="327" t="s">
        <v>476</v>
      </c>
      <c r="I9" s="326" t="s">
        <v>224</v>
      </c>
    </row>
    <row r="10" spans="1:12" x14ac:dyDescent="0.2">
      <c r="A10" s="492">
        <v>2</v>
      </c>
      <c r="B10" s="509" t="s">
        <v>162</v>
      </c>
      <c r="C10" s="326">
        <v>7</v>
      </c>
      <c r="D10" s="325"/>
      <c r="E10" s="326">
        <v>9</v>
      </c>
      <c r="F10" s="326">
        <v>13</v>
      </c>
      <c r="G10" s="326">
        <v>7</v>
      </c>
      <c r="H10" s="327" t="s">
        <v>345</v>
      </c>
      <c r="I10" s="514" t="s">
        <v>225</v>
      </c>
      <c r="J10" s="624" t="s">
        <v>562</v>
      </c>
    </row>
    <row r="11" spans="1:12" x14ac:dyDescent="0.2">
      <c r="A11" s="492">
        <v>3</v>
      </c>
      <c r="B11" s="509" t="s">
        <v>166</v>
      </c>
      <c r="C11" s="326">
        <v>8</v>
      </c>
      <c r="D11" s="326">
        <v>13</v>
      </c>
      <c r="E11" s="325"/>
      <c r="F11" s="326">
        <v>9</v>
      </c>
      <c r="G11" s="326">
        <v>11</v>
      </c>
      <c r="H11" s="327" t="s">
        <v>345</v>
      </c>
      <c r="I11" s="326" t="s">
        <v>276</v>
      </c>
      <c r="J11" s="624" t="s">
        <v>563</v>
      </c>
    </row>
    <row r="12" spans="1:12" x14ac:dyDescent="0.2">
      <c r="A12" s="492">
        <v>4</v>
      </c>
      <c r="B12" s="509" t="s">
        <v>171</v>
      </c>
      <c r="C12" s="326">
        <v>5</v>
      </c>
      <c r="D12" s="326">
        <v>6</v>
      </c>
      <c r="E12" s="326">
        <v>13</v>
      </c>
      <c r="F12" s="325"/>
      <c r="G12" s="326">
        <v>9</v>
      </c>
      <c r="H12" s="327" t="s">
        <v>345</v>
      </c>
      <c r="I12" s="326" t="s">
        <v>388</v>
      </c>
      <c r="J12" s="624" t="s">
        <v>471</v>
      </c>
    </row>
    <row r="13" spans="1:12" x14ac:dyDescent="0.2">
      <c r="A13" s="492">
        <v>5</v>
      </c>
      <c r="B13" s="509" t="s">
        <v>160</v>
      </c>
      <c r="C13" s="326">
        <v>6</v>
      </c>
      <c r="D13" s="326">
        <v>13</v>
      </c>
      <c r="E13" s="326">
        <v>13</v>
      </c>
      <c r="F13" s="326">
        <v>13</v>
      </c>
      <c r="G13" s="325"/>
      <c r="H13" s="327" t="s">
        <v>387</v>
      </c>
      <c r="I13" s="326" t="s">
        <v>226</v>
      </c>
    </row>
    <row r="15" spans="1:12" x14ac:dyDescent="0.2">
      <c r="A15" s="492" t="s">
        <v>337</v>
      </c>
      <c r="B15" s="492"/>
      <c r="C15" s="287">
        <v>1</v>
      </c>
      <c r="D15" s="287">
        <v>2</v>
      </c>
      <c r="E15" s="287">
        <v>3</v>
      </c>
      <c r="F15" s="287">
        <v>4</v>
      </c>
      <c r="G15" s="287">
        <v>5</v>
      </c>
      <c r="H15" s="287" t="s">
        <v>330</v>
      </c>
      <c r="I15" s="287" t="s">
        <v>222</v>
      </c>
    </row>
    <row r="16" spans="1:12" x14ac:dyDescent="0.2">
      <c r="A16" s="492">
        <v>1</v>
      </c>
      <c r="B16" s="509" t="s">
        <v>168</v>
      </c>
      <c r="C16" s="325"/>
      <c r="D16" s="326">
        <v>6</v>
      </c>
      <c r="E16" s="326">
        <v>13</v>
      </c>
      <c r="F16" s="326">
        <v>9</v>
      </c>
      <c r="G16" s="326">
        <v>13</v>
      </c>
      <c r="H16" s="327" t="s">
        <v>386</v>
      </c>
      <c r="I16" s="326" t="s">
        <v>276</v>
      </c>
    </row>
    <row r="17" spans="1:9" x14ac:dyDescent="0.2">
      <c r="A17" s="492">
        <v>2</v>
      </c>
      <c r="B17" s="509" t="s">
        <v>158</v>
      </c>
      <c r="C17" s="326">
        <v>13</v>
      </c>
      <c r="D17" s="325"/>
      <c r="E17" s="326">
        <v>13</v>
      </c>
      <c r="F17" s="326">
        <v>8</v>
      </c>
      <c r="G17" s="326">
        <v>4</v>
      </c>
      <c r="H17" s="327" t="s">
        <v>386</v>
      </c>
      <c r="I17" s="326" t="s">
        <v>225</v>
      </c>
    </row>
    <row r="18" spans="1:9" x14ac:dyDescent="0.2">
      <c r="A18" s="492">
        <v>3</v>
      </c>
      <c r="B18" s="509" t="s">
        <v>178</v>
      </c>
      <c r="C18" s="326">
        <v>6</v>
      </c>
      <c r="D18" s="326">
        <v>10</v>
      </c>
      <c r="E18" s="325"/>
      <c r="F18" s="326">
        <v>5</v>
      </c>
      <c r="G18" s="326">
        <v>5</v>
      </c>
      <c r="H18" s="327" t="s">
        <v>390</v>
      </c>
      <c r="I18" s="326" t="s">
        <v>388</v>
      </c>
    </row>
    <row r="19" spans="1:9" x14ac:dyDescent="0.2">
      <c r="A19" s="492">
        <v>4</v>
      </c>
      <c r="B19" s="509" t="s">
        <v>169</v>
      </c>
      <c r="C19" s="326">
        <v>13</v>
      </c>
      <c r="D19" s="326">
        <v>13</v>
      </c>
      <c r="E19" s="326">
        <v>13</v>
      </c>
      <c r="F19" s="325"/>
      <c r="G19" s="326">
        <v>6</v>
      </c>
      <c r="H19" s="327" t="s">
        <v>387</v>
      </c>
      <c r="I19" s="326" t="s">
        <v>226</v>
      </c>
    </row>
    <row r="20" spans="1:9" x14ac:dyDescent="0.2">
      <c r="A20" s="492">
        <v>5</v>
      </c>
      <c r="B20" s="509" t="s">
        <v>181</v>
      </c>
      <c r="C20" s="326">
        <v>9</v>
      </c>
      <c r="D20" s="326">
        <v>13</v>
      </c>
      <c r="E20" s="326">
        <v>13</v>
      </c>
      <c r="F20" s="326">
        <v>13</v>
      </c>
      <c r="G20" s="325"/>
      <c r="H20" s="327" t="s">
        <v>387</v>
      </c>
      <c r="I20" s="326" t="s">
        <v>224</v>
      </c>
    </row>
    <row r="22" spans="1:9" x14ac:dyDescent="0.2">
      <c r="A22" s="492" t="s">
        <v>364</v>
      </c>
      <c r="B22" s="492"/>
      <c r="C22" s="287">
        <v>1</v>
      </c>
      <c r="D22" s="287">
        <v>2</v>
      </c>
      <c r="E22" s="287">
        <v>3</v>
      </c>
      <c r="F22" s="287">
        <v>4</v>
      </c>
      <c r="G22" s="287">
        <v>5</v>
      </c>
      <c r="H22" s="287" t="s">
        <v>330</v>
      </c>
      <c r="I22" s="287" t="s">
        <v>222</v>
      </c>
    </row>
    <row r="23" spans="1:9" x14ac:dyDescent="0.2">
      <c r="A23" s="492">
        <v>1</v>
      </c>
      <c r="B23" s="509" t="s">
        <v>157</v>
      </c>
      <c r="C23" s="325"/>
      <c r="D23" s="326">
        <v>13</v>
      </c>
      <c r="E23" s="326">
        <v>13</v>
      </c>
      <c r="F23" s="326">
        <v>13</v>
      </c>
      <c r="G23" s="326">
        <v>13</v>
      </c>
      <c r="H23" s="327" t="s">
        <v>389</v>
      </c>
      <c r="I23" s="326" t="s">
        <v>224</v>
      </c>
    </row>
    <row r="24" spans="1:9" x14ac:dyDescent="0.2">
      <c r="A24" s="492">
        <v>2</v>
      </c>
      <c r="B24" s="509" t="s">
        <v>165</v>
      </c>
      <c r="C24" s="326">
        <v>10</v>
      </c>
      <c r="D24" s="325"/>
      <c r="E24" s="326">
        <v>13</v>
      </c>
      <c r="F24" s="326">
        <v>13</v>
      </c>
      <c r="G24" s="326">
        <v>13</v>
      </c>
      <c r="H24" s="327" t="s">
        <v>387</v>
      </c>
      <c r="I24" s="326" t="s">
        <v>226</v>
      </c>
    </row>
    <row r="25" spans="1:9" x14ac:dyDescent="0.2">
      <c r="A25" s="492">
        <v>3</v>
      </c>
      <c r="B25" s="509" t="s">
        <v>167</v>
      </c>
      <c r="C25" s="326">
        <v>12</v>
      </c>
      <c r="D25" s="326">
        <v>11</v>
      </c>
      <c r="E25" s="325"/>
      <c r="F25" s="326">
        <v>13</v>
      </c>
      <c r="G25" s="326">
        <v>13</v>
      </c>
      <c r="H25" s="327" t="s">
        <v>386</v>
      </c>
      <c r="I25" s="326" t="s">
        <v>225</v>
      </c>
    </row>
    <row r="26" spans="1:9" x14ac:dyDescent="0.2">
      <c r="A26" s="492">
        <v>4</v>
      </c>
      <c r="B26" s="509" t="s">
        <v>187</v>
      </c>
      <c r="C26" s="326">
        <v>6</v>
      </c>
      <c r="D26" s="326">
        <v>3</v>
      </c>
      <c r="E26" s="326">
        <v>9</v>
      </c>
      <c r="F26" s="325"/>
      <c r="G26" s="326">
        <v>13</v>
      </c>
      <c r="H26" s="327" t="s">
        <v>345</v>
      </c>
      <c r="I26" s="326" t="s">
        <v>276</v>
      </c>
    </row>
    <row r="27" spans="1:9" x14ac:dyDescent="0.2">
      <c r="A27" s="492">
        <v>5</v>
      </c>
      <c r="B27" s="509" t="s">
        <v>454</v>
      </c>
      <c r="C27" s="326">
        <v>8</v>
      </c>
      <c r="D27" s="326">
        <v>8</v>
      </c>
      <c r="E27" s="326">
        <v>6</v>
      </c>
      <c r="F27" s="326">
        <v>8</v>
      </c>
      <c r="G27" s="325"/>
      <c r="H27" s="327" t="s">
        <v>390</v>
      </c>
      <c r="I27" s="326" t="s">
        <v>388</v>
      </c>
    </row>
    <row r="29" spans="1:9" x14ac:dyDescent="0.2">
      <c r="A29" s="497"/>
      <c r="B29" s="328" t="s">
        <v>341</v>
      </c>
      <c r="C29" s="249" t="s">
        <v>392</v>
      </c>
      <c r="D29" s="249" t="s">
        <v>346</v>
      </c>
      <c r="F29" s="515"/>
      <c r="G29" s="248"/>
      <c r="H29" s="515"/>
      <c r="I29" s="515"/>
    </row>
    <row r="30" spans="1:9" x14ac:dyDescent="0.2">
      <c r="A30" s="497"/>
      <c r="B30" s="328" t="s">
        <v>344</v>
      </c>
      <c r="C30" s="249" t="s">
        <v>345</v>
      </c>
      <c r="D30" s="249" t="s">
        <v>396</v>
      </c>
      <c r="F30" s="515"/>
      <c r="G30" s="248"/>
      <c r="H30" s="515"/>
      <c r="I30" s="515"/>
    </row>
    <row r="31" spans="1:9" x14ac:dyDescent="0.2">
      <c r="A31" s="497"/>
      <c r="B31" s="328" t="s">
        <v>347</v>
      </c>
      <c r="C31" s="249" t="s">
        <v>391</v>
      </c>
      <c r="D31" s="249" t="s">
        <v>348</v>
      </c>
      <c r="F31" s="515"/>
      <c r="G31" s="248"/>
      <c r="H31" s="515"/>
      <c r="I31" s="515"/>
    </row>
    <row r="32" spans="1:9" x14ac:dyDescent="0.2">
      <c r="A32" s="497"/>
      <c r="B32" s="328" t="s">
        <v>393</v>
      </c>
      <c r="C32" s="249" t="s">
        <v>332</v>
      </c>
      <c r="D32" s="249" t="s">
        <v>394</v>
      </c>
      <c r="F32" s="515"/>
      <c r="G32" s="248"/>
      <c r="H32" s="515"/>
      <c r="I32" s="515"/>
    </row>
    <row r="33" spans="1:9" x14ac:dyDescent="0.2">
      <c r="A33" s="497"/>
      <c r="B33" s="328" t="s">
        <v>395</v>
      </c>
      <c r="C33" s="249" t="s">
        <v>343</v>
      </c>
      <c r="D33" s="249" t="s">
        <v>342</v>
      </c>
      <c r="F33" s="515"/>
      <c r="G33" s="248"/>
      <c r="H33" s="515"/>
      <c r="I33" s="515"/>
    </row>
    <row r="35" spans="1:9" x14ac:dyDescent="0.2">
      <c r="A35" s="492" t="s">
        <v>365</v>
      </c>
      <c r="B35" s="492"/>
      <c r="C35" s="287">
        <v>1</v>
      </c>
      <c r="D35" s="287">
        <v>2</v>
      </c>
      <c r="E35" s="287">
        <v>3</v>
      </c>
      <c r="F35" s="287">
        <v>4</v>
      </c>
      <c r="G35" s="287" t="s">
        <v>330</v>
      </c>
      <c r="H35" s="287" t="s">
        <v>222</v>
      </c>
    </row>
    <row r="36" spans="1:9" x14ac:dyDescent="0.2">
      <c r="A36" s="492">
        <v>1</v>
      </c>
      <c r="B36" s="509" t="s">
        <v>155</v>
      </c>
      <c r="C36" s="325"/>
      <c r="D36" s="326">
        <v>13</v>
      </c>
      <c r="E36" s="326">
        <v>13</v>
      </c>
      <c r="F36" s="326">
        <v>13</v>
      </c>
      <c r="G36" s="327" t="s">
        <v>336</v>
      </c>
      <c r="H36" s="326" t="s">
        <v>224</v>
      </c>
    </row>
    <row r="37" spans="1:9" x14ac:dyDescent="0.2">
      <c r="A37" s="492">
        <v>2</v>
      </c>
      <c r="B37" s="509" t="s">
        <v>161</v>
      </c>
      <c r="C37" s="326">
        <v>8</v>
      </c>
      <c r="D37" s="325"/>
      <c r="E37" s="326">
        <v>13</v>
      </c>
      <c r="F37" s="326">
        <v>3</v>
      </c>
      <c r="G37" s="327" t="s">
        <v>334</v>
      </c>
      <c r="H37" s="326" t="s">
        <v>225</v>
      </c>
    </row>
    <row r="38" spans="1:9" x14ac:dyDescent="0.2">
      <c r="A38" s="492">
        <v>3</v>
      </c>
      <c r="B38" s="509" t="s">
        <v>176</v>
      </c>
      <c r="C38" s="326">
        <v>7</v>
      </c>
      <c r="D38" s="495">
        <v>12</v>
      </c>
      <c r="E38" s="325"/>
      <c r="F38" s="326">
        <v>8</v>
      </c>
      <c r="G38" s="327" t="s">
        <v>331</v>
      </c>
      <c r="H38" s="495" t="s">
        <v>276</v>
      </c>
    </row>
    <row r="39" spans="1:9" x14ac:dyDescent="0.2">
      <c r="A39" s="492">
        <v>4</v>
      </c>
      <c r="B39" s="509" t="s">
        <v>163</v>
      </c>
      <c r="C39" s="326">
        <v>7</v>
      </c>
      <c r="D39" s="326">
        <v>13</v>
      </c>
      <c r="E39" s="326">
        <v>13</v>
      </c>
      <c r="F39" s="325"/>
      <c r="G39" s="327" t="s">
        <v>332</v>
      </c>
      <c r="H39" s="326" t="s">
        <v>226</v>
      </c>
    </row>
    <row r="41" spans="1:9" x14ac:dyDescent="0.2">
      <c r="B41" s="328" t="s">
        <v>341</v>
      </c>
      <c r="C41" s="249" t="s">
        <v>342</v>
      </c>
      <c r="D41" s="249" t="s">
        <v>343</v>
      </c>
    </row>
    <row r="42" spans="1:9" x14ac:dyDescent="0.2">
      <c r="B42" s="328" t="s">
        <v>344</v>
      </c>
      <c r="C42" s="249" t="s">
        <v>345</v>
      </c>
      <c r="D42" s="249" t="s">
        <v>346</v>
      </c>
    </row>
    <row r="43" spans="1:9" x14ac:dyDescent="0.2">
      <c r="B43" s="328" t="s">
        <v>347</v>
      </c>
      <c r="C43" s="249" t="s">
        <v>334</v>
      </c>
      <c r="D43" s="249" t="s">
        <v>348</v>
      </c>
    </row>
    <row r="45" spans="1:9" s="517" customFormat="1" x14ac:dyDescent="0.2">
      <c r="A45" s="516" t="s">
        <v>284</v>
      </c>
    </row>
    <row r="46" spans="1:9" s="517" customFormat="1" x14ac:dyDescent="0.2">
      <c r="A46" s="516"/>
    </row>
    <row r="47" spans="1:9" s="517" customFormat="1" x14ac:dyDescent="0.2">
      <c r="A47" s="518" t="s">
        <v>241</v>
      </c>
      <c r="B47" s="517" t="s">
        <v>156</v>
      </c>
      <c r="C47" s="522">
        <v>13</v>
      </c>
    </row>
    <row r="48" spans="1:9" s="517" customFormat="1" x14ac:dyDescent="0.2">
      <c r="B48" s="519"/>
      <c r="C48" s="520" t="s">
        <v>156</v>
      </c>
      <c r="D48" s="521"/>
      <c r="F48" s="522">
        <v>12</v>
      </c>
    </row>
    <row r="49" spans="1:11" s="517" customFormat="1" x14ac:dyDescent="0.2">
      <c r="A49" s="518" t="s">
        <v>242</v>
      </c>
      <c r="B49" s="523" t="s">
        <v>169</v>
      </c>
      <c r="C49" s="524">
        <v>4</v>
      </c>
      <c r="E49" s="525"/>
    </row>
    <row r="50" spans="1:11" s="517" customFormat="1" x14ac:dyDescent="0.2">
      <c r="D50" s="526"/>
      <c r="E50" s="527"/>
      <c r="F50" s="517" t="s">
        <v>163</v>
      </c>
      <c r="I50" s="522">
        <v>10</v>
      </c>
    </row>
    <row r="51" spans="1:11" s="517" customFormat="1" x14ac:dyDescent="0.2">
      <c r="A51" s="518" t="s">
        <v>246</v>
      </c>
      <c r="B51" s="528" t="s">
        <v>157</v>
      </c>
      <c r="C51" s="529">
        <v>9</v>
      </c>
      <c r="E51" s="527"/>
      <c r="F51" s="519"/>
      <c r="G51" s="519"/>
      <c r="H51" s="525"/>
    </row>
    <row r="52" spans="1:11" s="517" customFormat="1" x14ac:dyDescent="0.2">
      <c r="B52" s="519"/>
      <c r="C52" s="530" t="s">
        <v>163</v>
      </c>
      <c r="E52" s="531"/>
      <c r="F52" s="529">
        <v>13</v>
      </c>
      <c r="G52" s="526"/>
      <c r="H52" s="527"/>
    </row>
    <row r="53" spans="1:11" s="517" customFormat="1" x14ac:dyDescent="0.2">
      <c r="A53" s="518" t="s">
        <v>245</v>
      </c>
      <c r="B53" s="523" t="s">
        <v>163</v>
      </c>
      <c r="C53" s="536">
        <v>13</v>
      </c>
      <c r="D53" s="519"/>
      <c r="F53" s="526"/>
      <c r="G53" s="526"/>
      <c r="H53" s="527"/>
    </row>
    <row r="54" spans="1:11" s="517" customFormat="1" ht="13.5" thickBot="1" x14ac:dyDescent="0.25">
      <c r="F54" s="526"/>
      <c r="G54" s="526"/>
      <c r="H54" s="527"/>
      <c r="J54" s="517" t="s">
        <v>155</v>
      </c>
    </row>
    <row r="55" spans="1:11" s="517" customFormat="1" x14ac:dyDescent="0.2">
      <c r="A55" s="518" t="s">
        <v>233</v>
      </c>
      <c r="B55" s="517" t="s">
        <v>160</v>
      </c>
      <c r="C55" s="522">
        <v>12</v>
      </c>
      <c r="F55" s="526"/>
      <c r="G55" s="526"/>
      <c r="H55" s="527"/>
      <c r="I55" s="532"/>
      <c r="J55" s="533" t="s">
        <v>240</v>
      </c>
      <c r="K55" s="626"/>
    </row>
    <row r="56" spans="1:11" s="517" customFormat="1" x14ac:dyDescent="0.2">
      <c r="B56" s="519"/>
      <c r="C56" s="520" t="s">
        <v>181</v>
      </c>
      <c r="D56" s="521"/>
      <c r="F56" s="529">
        <v>9</v>
      </c>
      <c r="G56" s="526"/>
      <c r="H56" s="527"/>
      <c r="K56" s="526"/>
    </row>
    <row r="57" spans="1:11" s="517" customFormat="1" ht="13.5" thickBot="1" x14ac:dyDescent="0.25">
      <c r="A57" s="518" t="s">
        <v>232</v>
      </c>
      <c r="B57" s="521" t="s">
        <v>181</v>
      </c>
      <c r="C57" s="524">
        <v>13</v>
      </c>
      <c r="E57" s="525"/>
      <c r="F57" s="526"/>
      <c r="G57" s="526"/>
      <c r="H57" s="527"/>
      <c r="J57" s="534" t="s">
        <v>163</v>
      </c>
      <c r="K57" s="534"/>
    </row>
    <row r="58" spans="1:11" s="517" customFormat="1" x14ac:dyDescent="0.2">
      <c r="D58" s="526"/>
      <c r="E58" s="527"/>
      <c r="F58" s="521" t="s">
        <v>155</v>
      </c>
      <c r="G58" s="521"/>
      <c r="H58" s="531"/>
      <c r="I58" s="522">
        <v>13</v>
      </c>
      <c r="J58" s="533" t="s">
        <v>244</v>
      </c>
    </row>
    <row r="59" spans="1:11" s="517" customFormat="1" x14ac:dyDescent="0.2">
      <c r="A59" s="518" t="s">
        <v>236</v>
      </c>
      <c r="B59" s="517" t="s">
        <v>165</v>
      </c>
      <c r="C59" s="529">
        <v>7</v>
      </c>
      <c r="E59" s="527"/>
    </row>
    <row r="60" spans="1:11" s="517" customFormat="1" x14ac:dyDescent="0.2">
      <c r="B60" s="519"/>
      <c r="C60" s="530" t="s">
        <v>155</v>
      </c>
      <c r="E60" s="531"/>
      <c r="F60" s="522">
        <v>13</v>
      </c>
    </row>
    <row r="61" spans="1:11" s="517" customFormat="1" x14ac:dyDescent="0.2">
      <c r="A61" s="518" t="s">
        <v>234</v>
      </c>
      <c r="B61" s="521" t="s">
        <v>155</v>
      </c>
      <c r="C61" s="536">
        <v>13</v>
      </c>
      <c r="D61" s="519"/>
    </row>
    <row r="62" spans="1:11" s="517" customFormat="1" x14ac:dyDescent="0.2">
      <c r="F62" s="517" t="s">
        <v>156</v>
      </c>
      <c r="I62" s="529">
        <v>13</v>
      </c>
      <c r="J62" s="526"/>
    </row>
    <row r="63" spans="1:11" s="517" customFormat="1" ht="13.5" thickBot="1" x14ac:dyDescent="0.25">
      <c r="F63" s="519"/>
      <c r="G63" s="519"/>
      <c r="H63" s="525"/>
      <c r="I63" s="534"/>
      <c r="J63" s="534" t="s">
        <v>156</v>
      </c>
    </row>
    <row r="64" spans="1:11" s="517" customFormat="1" x14ac:dyDescent="0.2">
      <c r="F64" s="521" t="s">
        <v>181</v>
      </c>
      <c r="G64" s="521"/>
      <c r="H64" s="531"/>
      <c r="I64" s="522">
        <v>9</v>
      </c>
      <c r="J64" s="535" t="s">
        <v>247</v>
      </c>
      <c r="K64" s="626"/>
    </row>
    <row r="65" spans="3:11" s="517" customFormat="1" x14ac:dyDescent="0.2">
      <c r="J65" s="526"/>
      <c r="K65" s="526"/>
    </row>
    <row r="66" spans="3:11" s="517" customFormat="1" ht="13.5" thickBot="1" x14ac:dyDescent="0.25">
      <c r="G66" s="526"/>
      <c r="H66" s="526"/>
      <c r="J66" s="534" t="s">
        <v>181</v>
      </c>
      <c r="K66" s="534"/>
    </row>
    <row r="67" spans="3:11" s="517" customFormat="1" x14ac:dyDescent="0.2">
      <c r="C67" s="517" t="s">
        <v>169</v>
      </c>
      <c r="F67" s="522">
        <v>13</v>
      </c>
      <c r="J67" s="518" t="s">
        <v>248</v>
      </c>
    </row>
    <row r="68" spans="3:11" s="517" customFormat="1" x14ac:dyDescent="0.2">
      <c r="C68" s="519"/>
      <c r="D68" s="519"/>
      <c r="E68" s="525"/>
      <c r="F68" s="520" t="s">
        <v>169</v>
      </c>
      <c r="G68" s="521"/>
      <c r="H68" s="521"/>
      <c r="I68" s="522">
        <v>4</v>
      </c>
    </row>
    <row r="69" spans="3:11" s="517" customFormat="1" x14ac:dyDescent="0.2">
      <c r="C69" s="521" t="s">
        <v>157</v>
      </c>
      <c r="D69" s="521"/>
      <c r="E69" s="531"/>
      <c r="F69" s="524">
        <v>9</v>
      </c>
      <c r="H69" s="527"/>
    </row>
    <row r="70" spans="3:11" s="517" customFormat="1" ht="13.5" thickBot="1" x14ac:dyDescent="0.25">
      <c r="F70" s="526"/>
      <c r="H70" s="527"/>
      <c r="J70" s="517" t="s">
        <v>160</v>
      </c>
    </row>
    <row r="71" spans="3:11" s="517" customFormat="1" x14ac:dyDescent="0.2">
      <c r="C71" s="517" t="s">
        <v>160</v>
      </c>
      <c r="F71" s="529">
        <v>13</v>
      </c>
      <c r="H71" s="527"/>
      <c r="I71" s="532"/>
      <c r="J71" s="533" t="s">
        <v>250</v>
      </c>
      <c r="K71" s="626"/>
    </row>
    <row r="72" spans="3:11" s="517" customFormat="1" x14ac:dyDescent="0.2">
      <c r="C72" s="519"/>
      <c r="D72" s="519"/>
      <c r="E72" s="525"/>
      <c r="F72" s="530" t="s">
        <v>160</v>
      </c>
      <c r="H72" s="531"/>
      <c r="I72" s="529">
        <v>13</v>
      </c>
      <c r="K72" s="526"/>
    </row>
    <row r="73" spans="3:11" s="517" customFormat="1" ht="13.5" thickBot="1" x14ac:dyDescent="0.25">
      <c r="C73" s="521" t="s">
        <v>165</v>
      </c>
      <c r="D73" s="521"/>
      <c r="E73" s="531"/>
      <c r="F73" s="536">
        <v>9</v>
      </c>
      <c r="G73" s="519"/>
      <c r="I73" s="526"/>
      <c r="J73" s="526" t="s">
        <v>169</v>
      </c>
      <c r="K73" s="534"/>
    </row>
    <row r="74" spans="3:11" s="517" customFormat="1" x14ac:dyDescent="0.2">
      <c r="I74" s="526"/>
      <c r="J74" s="533" t="s">
        <v>251</v>
      </c>
    </row>
    <row r="75" spans="3:11" s="517" customFormat="1" x14ac:dyDescent="0.2">
      <c r="F75" s="517" t="s">
        <v>157</v>
      </c>
      <c r="I75" s="529">
        <v>13</v>
      </c>
      <c r="J75" s="526"/>
    </row>
    <row r="76" spans="3:11" s="517" customFormat="1" ht="13.5" thickBot="1" x14ac:dyDescent="0.25">
      <c r="F76" s="519"/>
      <c r="G76" s="519"/>
      <c r="H76" s="525"/>
      <c r="I76" s="534"/>
      <c r="J76" s="534" t="s">
        <v>157</v>
      </c>
    </row>
    <row r="77" spans="3:11" s="517" customFormat="1" x14ac:dyDescent="0.2">
      <c r="F77" s="521" t="s">
        <v>165</v>
      </c>
      <c r="G77" s="521"/>
      <c r="H77" s="531"/>
      <c r="I77" s="522">
        <v>12</v>
      </c>
      <c r="J77" s="535" t="s">
        <v>252</v>
      </c>
      <c r="K77" s="626"/>
    </row>
    <row r="78" spans="3:11" s="517" customFormat="1" x14ac:dyDescent="0.2">
      <c r="J78" s="526"/>
      <c r="K78" s="526"/>
    </row>
    <row r="79" spans="3:11" s="517" customFormat="1" ht="13.5" thickBot="1" x14ac:dyDescent="0.25">
      <c r="G79" s="526"/>
      <c r="H79" s="526"/>
      <c r="J79" s="534" t="s">
        <v>165</v>
      </c>
      <c r="K79" s="534"/>
    </row>
    <row r="80" spans="3:11" s="517" customFormat="1" x14ac:dyDescent="0.2">
      <c r="G80" s="526"/>
      <c r="H80" s="526"/>
      <c r="J80" s="518" t="s">
        <v>253</v>
      </c>
    </row>
    <row r="81" spans="1:10" s="517" customFormat="1" x14ac:dyDescent="0.2">
      <c r="G81" s="526"/>
      <c r="H81" s="526"/>
      <c r="J81" s="518"/>
    </row>
    <row r="82" spans="1:10" s="517" customFormat="1" x14ac:dyDescent="0.2">
      <c r="A82" s="516" t="s">
        <v>477</v>
      </c>
      <c r="G82" s="526"/>
      <c r="H82" s="526"/>
      <c r="J82" s="518"/>
    </row>
    <row r="83" spans="1:10" s="517" customFormat="1" x14ac:dyDescent="0.2">
      <c r="G83" s="526"/>
      <c r="H83" s="526"/>
      <c r="J83" s="518"/>
    </row>
    <row r="84" spans="1:10" x14ac:dyDescent="0.2">
      <c r="A84" s="492"/>
      <c r="B84" s="492"/>
      <c r="C84" s="287">
        <v>1</v>
      </c>
      <c r="D84" s="287">
        <v>2</v>
      </c>
      <c r="E84" s="287">
        <v>3</v>
      </c>
      <c r="F84" s="287">
        <v>4</v>
      </c>
      <c r="G84" s="287" t="s">
        <v>330</v>
      </c>
      <c r="H84" s="287" t="s">
        <v>222</v>
      </c>
    </row>
    <row r="85" spans="1:10" x14ac:dyDescent="0.2">
      <c r="A85" s="492">
        <v>1</v>
      </c>
      <c r="B85" s="509" t="s">
        <v>162</v>
      </c>
      <c r="C85" s="325"/>
      <c r="D85" s="326">
        <v>13</v>
      </c>
      <c r="E85" s="326">
        <v>13</v>
      </c>
      <c r="F85" s="326">
        <v>13</v>
      </c>
      <c r="G85" s="327" t="s">
        <v>336</v>
      </c>
      <c r="H85" s="326" t="s">
        <v>224</v>
      </c>
      <c r="J85" s="491" t="s">
        <v>255</v>
      </c>
    </row>
    <row r="86" spans="1:10" x14ac:dyDescent="0.2">
      <c r="A86" s="492">
        <v>2</v>
      </c>
      <c r="B86" s="509" t="s">
        <v>158</v>
      </c>
      <c r="C86" s="326">
        <v>12</v>
      </c>
      <c r="D86" s="325"/>
      <c r="E86" s="326">
        <v>13</v>
      </c>
      <c r="F86" s="326">
        <v>13</v>
      </c>
      <c r="G86" s="327" t="s">
        <v>332</v>
      </c>
      <c r="H86" s="326" t="s">
        <v>226</v>
      </c>
      <c r="J86" s="491" t="s">
        <v>256</v>
      </c>
    </row>
    <row r="87" spans="1:10" x14ac:dyDescent="0.2">
      <c r="A87" s="492">
        <v>3</v>
      </c>
      <c r="B87" s="509" t="s">
        <v>167</v>
      </c>
      <c r="C87" s="326">
        <v>5</v>
      </c>
      <c r="D87" s="495">
        <v>5</v>
      </c>
      <c r="E87" s="325"/>
      <c r="F87" s="326">
        <v>10</v>
      </c>
      <c r="G87" s="327" t="s">
        <v>331</v>
      </c>
      <c r="H87" s="495" t="s">
        <v>276</v>
      </c>
      <c r="J87" s="491" t="s">
        <v>258</v>
      </c>
    </row>
    <row r="88" spans="1:10" x14ac:dyDescent="0.2">
      <c r="A88" s="492">
        <v>4</v>
      </c>
      <c r="B88" s="509" t="s">
        <v>161</v>
      </c>
      <c r="C88" s="326">
        <v>12</v>
      </c>
      <c r="D88" s="326">
        <v>7</v>
      </c>
      <c r="E88" s="326">
        <v>13</v>
      </c>
      <c r="F88" s="325"/>
      <c r="G88" s="327" t="s">
        <v>334</v>
      </c>
      <c r="H88" s="326" t="s">
        <v>225</v>
      </c>
      <c r="J88" s="491" t="s">
        <v>257</v>
      </c>
    </row>
    <row r="90" spans="1:10" s="517" customFormat="1" x14ac:dyDescent="0.2">
      <c r="A90" s="516" t="s">
        <v>478</v>
      </c>
      <c r="G90" s="526"/>
      <c r="H90" s="526"/>
      <c r="J90" s="518"/>
    </row>
    <row r="91" spans="1:10" s="517" customFormat="1" x14ac:dyDescent="0.2">
      <c r="G91" s="526"/>
      <c r="H91" s="526"/>
      <c r="J91" s="518"/>
    </row>
    <row r="92" spans="1:10" x14ac:dyDescent="0.2">
      <c r="A92" s="492"/>
      <c r="B92" s="492"/>
      <c r="C92" s="287">
        <v>1</v>
      </c>
      <c r="D92" s="287">
        <v>2</v>
      </c>
      <c r="E92" s="287">
        <v>3</v>
      </c>
      <c r="F92" s="287">
        <v>4</v>
      </c>
      <c r="G92" s="287" t="s">
        <v>330</v>
      </c>
      <c r="H92" s="287" t="s">
        <v>222</v>
      </c>
    </row>
    <row r="93" spans="1:10" x14ac:dyDescent="0.2">
      <c r="A93" s="492">
        <v>1</v>
      </c>
      <c r="B93" s="509" t="s">
        <v>166</v>
      </c>
      <c r="C93" s="325"/>
      <c r="D93" s="326">
        <v>13</v>
      </c>
      <c r="E93" s="326">
        <v>13</v>
      </c>
      <c r="F93" s="326">
        <v>13</v>
      </c>
      <c r="G93" s="327" t="s">
        <v>336</v>
      </c>
      <c r="H93" s="326" t="s">
        <v>224</v>
      </c>
      <c r="J93" s="491" t="s">
        <v>263</v>
      </c>
    </row>
    <row r="94" spans="1:10" x14ac:dyDescent="0.2">
      <c r="A94" s="492">
        <v>2</v>
      </c>
      <c r="B94" s="509" t="s">
        <v>168</v>
      </c>
      <c r="C94" s="326">
        <v>7</v>
      </c>
      <c r="D94" s="325"/>
      <c r="E94" s="326">
        <v>13</v>
      </c>
      <c r="F94" s="326">
        <v>12</v>
      </c>
      <c r="G94" s="327" t="s">
        <v>334</v>
      </c>
      <c r="H94" s="326" t="s">
        <v>225</v>
      </c>
      <c r="J94" s="491" t="s">
        <v>268</v>
      </c>
    </row>
    <row r="95" spans="1:10" x14ac:dyDescent="0.2">
      <c r="A95" s="492">
        <v>3</v>
      </c>
      <c r="B95" s="509" t="s">
        <v>187</v>
      </c>
      <c r="C95" s="326">
        <v>11</v>
      </c>
      <c r="D95" s="495">
        <v>9</v>
      </c>
      <c r="E95" s="325"/>
      <c r="F95" s="326">
        <v>8</v>
      </c>
      <c r="G95" s="327" t="s">
        <v>331</v>
      </c>
      <c r="H95" s="495" t="s">
        <v>276</v>
      </c>
      <c r="J95" s="491" t="s">
        <v>269</v>
      </c>
    </row>
    <row r="96" spans="1:10" x14ac:dyDescent="0.2">
      <c r="A96" s="492">
        <v>4</v>
      </c>
      <c r="B96" s="509" t="s">
        <v>176</v>
      </c>
      <c r="C96" s="326">
        <v>8</v>
      </c>
      <c r="D96" s="326">
        <v>13</v>
      </c>
      <c r="E96" s="326">
        <v>13</v>
      </c>
      <c r="F96" s="325"/>
      <c r="G96" s="327" t="s">
        <v>332</v>
      </c>
      <c r="H96" s="326" t="s">
        <v>226</v>
      </c>
      <c r="J96" s="491" t="s">
        <v>265</v>
      </c>
    </row>
    <row r="97" spans="1:10" s="517" customFormat="1" x14ac:dyDescent="0.2">
      <c r="G97" s="526"/>
      <c r="H97" s="526"/>
      <c r="J97" s="518"/>
    </row>
    <row r="98" spans="1:10" s="517" customFormat="1" x14ac:dyDescent="0.2">
      <c r="A98" s="516" t="s">
        <v>479</v>
      </c>
    </row>
    <row r="99" spans="1:10" s="517" customFormat="1" x14ac:dyDescent="0.2">
      <c r="G99" s="526"/>
      <c r="H99" s="526"/>
      <c r="J99" s="518"/>
    </row>
    <row r="100" spans="1:10" x14ac:dyDescent="0.2">
      <c r="A100" s="492"/>
      <c r="B100" s="492"/>
      <c r="C100" s="287">
        <v>1</v>
      </c>
      <c r="D100" s="287">
        <v>2</v>
      </c>
      <c r="E100" s="287">
        <v>3</v>
      </c>
      <c r="F100" s="287" t="s">
        <v>330</v>
      </c>
      <c r="G100" s="287" t="s">
        <v>222</v>
      </c>
    </row>
    <row r="101" spans="1:10" x14ac:dyDescent="0.2">
      <c r="A101" s="492">
        <v>1</v>
      </c>
      <c r="B101" s="499" t="s">
        <v>171</v>
      </c>
      <c r="C101" s="325"/>
      <c r="D101" s="326">
        <v>13</v>
      </c>
      <c r="E101" s="326">
        <v>13</v>
      </c>
      <c r="F101" s="327" t="s">
        <v>399</v>
      </c>
      <c r="G101" s="326" t="s">
        <v>224</v>
      </c>
      <c r="J101" s="491" t="s">
        <v>270</v>
      </c>
    </row>
    <row r="102" spans="1:10" x14ac:dyDescent="0.2">
      <c r="A102" s="492">
        <v>2</v>
      </c>
      <c r="B102" s="496" t="s">
        <v>178</v>
      </c>
      <c r="C102" s="326">
        <v>6</v>
      </c>
      <c r="D102" s="325"/>
      <c r="E102" s="326">
        <v>13</v>
      </c>
      <c r="F102" s="327" t="s">
        <v>400</v>
      </c>
      <c r="G102" s="326" t="s">
        <v>226</v>
      </c>
      <c r="J102" s="491" t="s">
        <v>318</v>
      </c>
    </row>
    <row r="103" spans="1:10" x14ac:dyDescent="0.2">
      <c r="A103" s="492">
        <v>3</v>
      </c>
      <c r="B103" s="499" t="s">
        <v>454</v>
      </c>
      <c r="C103" s="326">
        <v>0</v>
      </c>
      <c r="D103" s="495">
        <v>0</v>
      </c>
      <c r="E103" s="325"/>
      <c r="F103" s="327" t="s">
        <v>398</v>
      </c>
      <c r="G103" s="495" t="s">
        <v>225</v>
      </c>
      <c r="J103" s="491" t="s">
        <v>319</v>
      </c>
    </row>
    <row r="104" spans="1:10" x14ac:dyDescent="0.2">
      <c r="A104" s="497"/>
      <c r="B104" s="537"/>
      <c r="C104" s="247"/>
      <c r="D104" s="513"/>
      <c r="E104" s="248"/>
      <c r="F104" s="249"/>
      <c r="G104" s="513"/>
      <c r="J104" s="491"/>
    </row>
    <row r="106" spans="1:10" x14ac:dyDescent="0.2">
      <c r="A106" s="240">
        <v>1</v>
      </c>
      <c r="B106" s="285" t="s">
        <v>155</v>
      </c>
    </row>
    <row r="107" spans="1:10" x14ac:dyDescent="0.2">
      <c r="A107" s="240">
        <v>2</v>
      </c>
      <c r="B107" s="215" t="s">
        <v>163</v>
      </c>
    </row>
    <row r="108" spans="1:10" x14ac:dyDescent="0.2">
      <c r="A108" s="240">
        <v>3</v>
      </c>
      <c r="B108" s="216" t="s">
        <v>156</v>
      </c>
    </row>
    <row r="109" spans="1:10" x14ac:dyDescent="0.2">
      <c r="A109" s="240">
        <v>4</v>
      </c>
      <c r="B109" s="219" t="s">
        <v>181</v>
      </c>
    </row>
    <row r="110" spans="1:10" x14ac:dyDescent="0.2">
      <c r="A110" s="240">
        <v>5</v>
      </c>
      <c r="B110" s="219" t="s">
        <v>160</v>
      </c>
    </row>
    <row r="111" spans="1:10" x14ac:dyDescent="0.2">
      <c r="A111" s="240">
        <v>6</v>
      </c>
      <c r="B111" s="219" t="s">
        <v>169</v>
      </c>
    </row>
    <row r="112" spans="1:10" x14ac:dyDescent="0.2">
      <c r="A112" s="240">
        <v>7</v>
      </c>
      <c r="B112" s="219" t="s">
        <v>157</v>
      </c>
    </row>
    <row r="113" spans="1:2" x14ac:dyDescent="0.2">
      <c r="A113" s="240">
        <v>8</v>
      </c>
      <c r="B113" s="219" t="s">
        <v>165</v>
      </c>
    </row>
    <row r="114" spans="1:2" x14ac:dyDescent="0.2">
      <c r="A114" s="240">
        <v>9</v>
      </c>
      <c r="B114" s="219" t="s">
        <v>162</v>
      </c>
    </row>
    <row r="115" spans="1:2" x14ac:dyDescent="0.2">
      <c r="A115" s="240">
        <v>10</v>
      </c>
      <c r="B115" s="219" t="s">
        <v>158</v>
      </c>
    </row>
    <row r="116" spans="1:2" x14ac:dyDescent="0.2">
      <c r="A116" s="240">
        <v>11</v>
      </c>
      <c r="B116" s="219" t="s">
        <v>161</v>
      </c>
    </row>
    <row r="117" spans="1:2" x14ac:dyDescent="0.2">
      <c r="A117" s="240">
        <v>12</v>
      </c>
      <c r="B117" s="219" t="s">
        <v>167</v>
      </c>
    </row>
    <row r="118" spans="1:2" x14ac:dyDescent="0.2">
      <c r="A118" s="240">
        <v>13</v>
      </c>
      <c r="B118" s="219" t="s">
        <v>166</v>
      </c>
    </row>
    <row r="119" spans="1:2" x14ac:dyDescent="0.2">
      <c r="A119" s="240">
        <v>14</v>
      </c>
      <c r="B119" s="219" t="s">
        <v>176</v>
      </c>
    </row>
    <row r="120" spans="1:2" x14ac:dyDescent="0.2">
      <c r="A120" s="240">
        <v>15</v>
      </c>
      <c r="B120" s="219" t="s">
        <v>168</v>
      </c>
    </row>
    <row r="121" spans="1:2" x14ac:dyDescent="0.2">
      <c r="A121" s="240">
        <v>16</v>
      </c>
      <c r="B121" s="219" t="s">
        <v>187</v>
      </c>
    </row>
    <row r="122" spans="1:2" x14ac:dyDescent="0.2">
      <c r="A122" s="240">
        <v>17</v>
      </c>
      <c r="B122" s="219" t="s">
        <v>171</v>
      </c>
    </row>
    <row r="123" spans="1:2" x14ac:dyDescent="0.2">
      <c r="A123" s="240">
        <v>18</v>
      </c>
      <c r="B123" s="219" t="s">
        <v>178</v>
      </c>
    </row>
    <row r="124" spans="1:2" x14ac:dyDescent="0.2">
      <c r="A124" s="240">
        <v>19</v>
      </c>
      <c r="B124" s="219" t="s">
        <v>454</v>
      </c>
    </row>
  </sheetData>
  <conditionalFormatting sqref="C9:I103">
    <cfRule type="cellIs" dxfId="13" priority="1" stopIfTrue="1" operator="equal">
      <formula>13</formula>
    </cfRule>
  </conditionalFormatting>
  <pageMargins left="0.78740157480314965" right="0.39370078740157483" top="0.78740157480314965" bottom="0.39370078740157483" header="0.78740157480314965" footer="0"/>
  <pageSetup paperSize="9" scale="98" fitToHeight="0" orientation="portrait" verticalDpi="1200" r:id="rId1"/>
  <headerFooter>
    <oddHeader>&amp;R&amp;"Arial,Regular"&amp;9Page &amp;P of &amp;N</oddHeader>
  </headerFooter>
  <rowBreaks count="2" manualBreakCount="2">
    <brk id="43" max="16383" man="1"/>
    <brk id="80" max="16383" man="1"/>
  </rowBreaks>
  <ignoredErrors>
    <ignoredError sqref="J10:J1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R37"/>
  <sheetViews>
    <sheetView showGridLines="0" showRowColHeaders="0" zoomScaleNormal="100" workbookViewId="0">
      <pane ySplit="8" topLeftCell="A9" activePane="bottomLeft" state="frozen"/>
      <selection activeCell="E5" sqref="E5"/>
      <selection pane="bottomLeft" activeCell="N1" sqref="N1"/>
    </sheetView>
  </sheetViews>
  <sheetFormatPr defaultRowHeight="12.75" x14ac:dyDescent="0.2"/>
  <cols>
    <col min="1" max="1" width="3" style="236" customWidth="1"/>
    <col min="2" max="2" width="17.85546875" style="192" customWidth="1"/>
    <col min="3" max="12" width="5.28515625" style="236" customWidth="1"/>
    <col min="13" max="13" width="3" style="220" bestFit="1" customWidth="1"/>
    <col min="14" max="14" width="8" style="236" bestFit="1" customWidth="1"/>
    <col min="15" max="15" width="6" style="236" bestFit="1" customWidth="1"/>
    <col min="16" max="16" width="3.28515625" style="192" bestFit="1" customWidth="1"/>
    <col min="17" max="19" width="3.28515625" style="192" customWidth="1"/>
    <col min="20" max="16384" width="9.140625" style="192"/>
  </cols>
  <sheetData>
    <row r="1" spans="1:18" x14ac:dyDescent="0.2">
      <c r="A1" s="314" t="s">
        <v>567</v>
      </c>
      <c r="B1" s="315"/>
      <c r="C1" s="443"/>
      <c r="D1" s="443"/>
      <c r="E1" s="443"/>
      <c r="F1" s="443"/>
      <c r="G1" s="443"/>
      <c r="H1" s="443"/>
      <c r="I1" s="443"/>
      <c r="J1" s="443"/>
      <c r="K1" s="192"/>
      <c r="L1" s="192"/>
      <c r="M1" s="443"/>
      <c r="N1" s="192"/>
      <c r="P1" s="191" t="s">
        <v>139</v>
      </c>
      <c r="Q1" s="191"/>
    </row>
    <row r="2" spans="1:18" x14ac:dyDescent="0.2">
      <c r="A2" s="538" t="s">
        <v>593</v>
      </c>
      <c r="B2" s="315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P2" s="194" t="s">
        <v>140</v>
      </c>
      <c r="Q2" s="194"/>
    </row>
    <row r="3" spans="1:18" x14ac:dyDescent="0.2">
      <c r="A3" s="538" t="s">
        <v>480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P3" s="195" t="s">
        <v>141</v>
      </c>
      <c r="Q3" s="195"/>
    </row>
    <row r="4" spans="1:18" ht="12.75" customHeight="1" x14ac:dyDescent="0.2">
      <c r="A4" s="538" t="s">
        <v>481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</row>
    <row r="5" spans="1:18" ht="15" customHeight="1" x14ac:dyDescent="0.2">
      <c r="A5" s="443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53"/>
    </row>
    <row r="6" spans="1:18" ht="31.5" customHeight="1" x14ac:dyDescent="0.2">
      <c r="A6" s="446"/>
      <c r="B6" s="446"/>
      <c r="C6" s="539" t="str">
        <f>MID(Kalend!A6,4,5)</f>
        <v>06.05</v>
      </c>
      <c r="D6" s="539" t="str">
        <f>MID(Kalend!A10,4,5)</f>
        <v>20.05</v>
      </c>
      <c r="E6" s="539" t="str">
        <f>MID(Kalend!A14,4,5)</f>
        <v>03.06</v>
      </c>
      <c r="F6" s="539" t="str">
        <f>MID(Kalend!A18,4,5)</f>
        <v>17.06</v>
      </c>
      <c r="G6" s="539" t="str">
        <f>MID(Kalend!A21,4,5)</f>
        <v>01.07</v>
      </c>
      <c r="H6" s="539" t="str">
        <f>MID(Kalend!A25,4,5)</f>
        <v>15.07</v>
      </c>
      <c r="I6" s="539" t="str">
        <f>MID(Kalend!A29,4,5)</f>
        <v>05.08</v>
      </c>
      <c r="J6" s="539" t="str">
        <f>MID(Kalend!A32,4,5)</f>
        <v>19.08</v>
      </c>
      <c r="K6" s="539" t="str">
        <f>MID(Kalend!A39,4,5)</f>
        <v>02.09</v>
      </c>
      <c r="L6" s="539" t="str">
        <f>MID(Kalend!A42,4,5)</f>
        <v>16.09</v>
      </c>
      <c r="M6" s="540" t="s">
        <v>136</v>
      </c>
      <c r="N6" s="541"/>
      <c r="O6" s="632" t="str">
        <f>MID(Kalend!A47,4,5)</f>
        <v>04.10</v>
      </c>
      <c r="P6" s="802" t="s">
        <v>142</v>
      </c>
      <c r="Q6" s="804" t="s">
        <v>144</v>
      </c>
    </row>
    <row r="7" spans="1:18" ht="15" x14ac:dyDescent="0.25">
      <c r="A7" s="446"/>
      <c r="B7" s="446"/>
      <c r="C7" s="542" t="str">
        <f>HYPERLINK("#'V1'!K1"," V1. ")</f>
        <v xml:space="preserve"> V1. </v>
      </c>
      <c r="D7" s="542" t="str">
        <f>HYPERLINK("#'V2'!H1"," V2. ")</f>
        <v xml:space="preserve"> V2. </v>
      </c>
      <c r="E7" s="542" t="str">
        <f>HYPERLINK("#'V3'!K1"," V3. ")</f>
        <v xml:space="preserve"> V3. </v>
      </c>
      <c r="F7" s="542" t="str">
        <f>HYPERLINK("#'V4'!J1"," V4. ")</f>
        <v xml:space="preserve"> V4. </v>
      </c>
      <c r="G7" s="542" t="str">
        <f>HYPERLINK("#'V5'!L1"," V5. ")</f>
        <v xml:space="preserve"> V5. </v>
      </c>
      <c r="H7" s="542" t="str">
        <f>HYPERLINK("#'V6'!J1"," V6. ")</f>
        <v xml:space="preserve"> V6. </v>
      </c>
      <c r="I7" s="542" t="str">
        <f>HYPERLINK("#'V7'!K1"," V7. ")</f>
        <v xml:space="preserve"> V7. </v>
      </c>
      <c r="J7" s="542" t="str">
        <f>HYPERLINK("#'V8'!J1"," V8. ")</f>
        <v xml:space="preserve"> V8. </v>
      </c>
      <c r="K7" s="542" t="str">
        <f>HYPERLINK("#'V9'!L1"," V9. ")</f>
        <v xml:space="preserve"> V9. </v>
      </c>
      <c r="L7" s="542" t="str">
        <f>HYPERLINK("#'V10'!I1"," V10. ")</f>
        <v xml:space="preserve"> V10. </v>
      </c>
      <c r="M7" s="540" t="s">
        <v>136</v>
      </c>
      <c r="N7" s="627" t="s">
        <v>564</v>
      </c>
      <c r="O7" s="543" t="str">
        <f>HYPERLINK("#'V Fin'!J1","V Fin.")</f>
        <v>V Fin.</v>
      </c>
      <c r="P7" s="802"/>
      <c r="Q7" s="804"/>
    </row>
    <row r="8" spans="1:18" x14ac:dyDescent="0.2">
      <c r="A8" s="451"/>
      <c r="B8" s="451" t="s">
        <v>147</v>
      </c>
      <c r="C8" s="767" t="s">
        <v>151</v>
      </c>
      <c r="D8" s="767" t="s">
        <v>150</v>
      </c>
      <c r="E8" s="767" t="s">
        <v>151</v>
      </c>
      <c r="F8" s="767" t="s">
        <v>150</v>
      </c>
      <c r="G8" s="767" t="s">
        <v>151</v>
      </c>
      <c r="H8" s="767" t="s">
        <v>150</v>
      </c>
      <c r="I8" s="767" t="s">
        <v>151</v>
      </c>
      <c r="J8" s="767" t="s">
        <v>150</v>
      </c>
      <c r="K8" s="767" t="s">
        <v>151</v>
      </c>
      <c r="L8" s="767" t="s">
        <v>150</v>
      </c>
      <c r="M8" s="768" t="s">
        <v>148</v>
      </c>
      <c r="N8" s="769"/>
      <c r="O8" s="767" t="s">
        <v>152</v>
      </c>
      <c r="P8" s="206"/>
      <c r="Q8" s="207"/>
      <c r="R8" s="190"/>
    </row>
    <row r="9" spans="1:18" x14ac:dyDescent="0.2">
      <c r="A9" s="454">
        <v>1</v>
      </c>
      <c r="B9" s="466" t="s">
        <v>19</v>
      </c>
      <c r="C9" s="544">
        <v>3</v>
      </c>
      <c r="D9" s="544">
        <v>3</v>
      </c>
      <c r="E9" s="544">
        <v>5</v>
      </c>
      <c r="F9" s="545">
        <v>3</v>
      </c>
      <c r="G9" s="544">
        <v>2</v>
      </c>
      <c r="H9" s="544">
        <v>3</v>
      </c>
      <c r="I9" s="770">
        <v>1</v>
      </c>
      <c r="J9" s="770">
        <v>1</v>
      </c>
      <c r="K9" s="771">
        <v>1</v>
      </c>
      <c r="L9" s="459">
        <v>2</v>
      </c>
      <c r="M9" s="455">
        <v>21</v>
      </c>
      <c r="N9" s="466" t="s">
        <v>422</v>
      </c>
      <c r="O9" s="628">
        <v>4</v>
      </c>
      <c r="P9" s="214">
        <f>COUNTIF(C9:L9,"&gt;=0")</f>
        <v>10</v>
      </c>
      <c r="Q9" s="236">
        <v>1</v>
      </c>
    </row>
    <row r="10" spans="1:18" x14ac:dyDescent="0.2">
      <c r="A10" s="454">
        <v>2</v>
      </c>
      <c r="B10" s="466" t="s">
        <v>195</v>
      </c>
      <c r="C10" s="544">
        <v>3</v>
      </c>
      <c r="D10" s="770">
        <v>1</v>
      </c>
      <c r="E10" s="544">
        <v>4</v>
      </c>
      <c r="F10" s="544">
        <v>2</v>
      </c>
      <c r="G10" s="770">
        <v>2</v>
      </c>
      <c r="H10" s="544">
        <v>3</v>
      </c>
      <c r="I10" s="544">
        <v>4</v>
      </c>
      <c r="J10" s="544">
        <v>2</v>
      </c>
      <c r="K10" s="459">
        <v>3</v>
      </c>
      <c r="L10" s="771">
        <v>1</v>
      </c>
      <c r="M10" s="455">
        <v>21</v>
      </c>
      <c r="N10" s="466" t="s">
        <v>427</v>
      </c>
      <c r="O10" s="628">
        <v>5</v>
      </c>
      <c r="P10" s="214">
        <f t="shared" ref="P10:P30" si="0">COUNTIF(C10:L10,"&gt;=0")</f>
        <v>10</v>
      </c>
      <c r="Q10" s="236"/>
    </row>
    <row r="11" spans="1:18" x14ac:dyDescent="0.2">
      <c r="A11" s="454">
        <v>3</v>
      </c>
      <c r="B11" s="466" t="s">
        <v>158</v>
      </c>
      <c r="C11" s="544">
        <v>1</v>
      </c>
      <c r="D11" s="544">
        <v>2</v>
      </c>
      <c r="E11" s="544">
        <v>3</v>
      </c>
      <c r="F11" s="545">
        <v>3</v>
      </c>
      <c r="G11" s="544">
        <v>2</v>
      </c>
      <c r="H11" s="545">
        <v>5</v>
      </c>
      <c r="I11" s="544">
        <v>4</v>
      </c>
      <c r="J11" s="770" t="s">
        <v>154</v>
      </c>
      <c r="K11" s="770" t="s">
        <v>154</v>
      </c>
      <c r="L11" s="770" t="s">
        <v>154</v>
      </c>
      <c r="M11" s="455">
        <v>20</v>
      </c>
      <c r="N11" s="466" t="s">
        <v>426</v>
      </c>
      <c r="O11" s="628">
        <v>9</v>
      </c>
      <c r="P11" s="214">
        <f t="shared" si="0"/>
        <v>7</v>
      </c>
      <c r="Q11" s="236">
        <v>2</v>
      </c>
    </row>
    <row r="12" spans="1:18" x14ac:dyDescent="0.2">
      <c r="A12" s="454">
        <v>4</v>
      </c>
      <c r="B12" s="466" t="s">
        <v>186</v>
      </c>
      <c r="C12" s="770" t="s">
        <v>154</v>
      </c>
      <c r="D12" s="544">
        <v>1</v>
      </c>
      <c r="E12" s="544">
        <v>5</v>
      </c>
      <c r="F12" s="544">
        <v>1</v>
      </c>
      <c r="G12" s="770" t="s">
        <v>154</v>
      </c>
      <c r="H12" s="545">
        <v>5</v>
      </c>
      <c r="I12" s="544">
        <v>2</v>
      </c>
      <c r="J12" s="544">
        <v>1</v>
      </c>
      <c r="K12" s="459">
        <v>2</v>
      </c>
      <c r="L12" s="771">
        <v>1</v>
      </c>
      <c r="M12" s="455">
        <v>17</v>
      </c>
      <c r="N12" s="466" t="s">
        <v>425</v>
      </c>
      <c r="O12" s="628">
        <v>10</v>
      </c>
      <c r="P12" s="214">
        <f t="shared" si="0"/>
        <v>8</v>
      </c>
      <c r="Q12" s="236">
        <v>1</v>
      </c>
    </row>
    <row r="13" spans="1:18" x14ac:dyDescent="0.2">
      <c r="A13" s="454">
        <v>5</v>
      </c>
      <c r="B13" s="546" t="s">
        <v>156</v>
      </c>
      <c r="C13" s="544">
        <v>3</v>
      </c>
      <c r="D13" s="545">
        <v>4</v>
      </c>
      <c r="E13" s="544">
        <v>2</v>
      </c>
      <c r="F13" s="544">
        <v>2</v>
      </c>
      <c r="G13" s="544">
        <v>2</v>
      </c>
      <c r="H13" s="544">
        <v>3</v>
      </c>
      <c r="I13" s="770" t="s">
        <v>154</v>
      </c>
      <c r="J13" s="770" t="s">
        <v>154</v>
      </c>
      <c r="K13" s="770" t="s">
        <v>154</v>
      </c>
      <c r="L13" s="544"/>
      <c r="M13" s="455">
        <v>16</v>
      </c>
      <c r="N13" s="466" t="s">
        <v>428</v>
      </c>
      <c r="O13" s="629">
        <v>1</v>
      </c>
      <c r="P13" s="214">
        <f t="shared" si="0"/>
        <v>6</v>
      </c>
      <c r="Q13" s="236">
        <v>1</v>
      </c>
    </row>
    <row r="14" spans="1:18" x14ac:dyDescent="0.2">
      <c r="A14" s="454">
        <v>6</v>
      </c>
      <c r="B14" s="466" t="s">
        <v>352</v>
      </c>
      <c r="C14" s="770" t="s">
        <v>154</v>
      </c>
      <c r="D14" s="544">
        <v>1</v>
      </c>
      <c r="E14" s="770" t="s">
        <v>154</v>
      </c>
      <c r="F14" s="544">
        <v>1</v>
      </c>
      <c r="G14" s="544">
        <v>2</v>
      </c>
      <c r="H14" s="544">
        <v>3</v>
      </c>
      <c r="I14" s="544">
        <v>4</v>
      </c>
      <c r="J14" s="544">
        <v>2</v>
      </c>
      <c r="K14" s="459">
        <v>2</v>
      </c>
      <c r="L14" s="771">
        <v>1</v>
      </c>
      <c r="M14" s="455">
        <v>15</v>
      </c>
      <c r="N14" s="466" t="s">
        <v>424</v>
      </c>
      <c r="O14" s="628">
        <v>6</v>
      </c>
      <c r="P14" s="214">
        <f t="shared" si="0"/>
        <v>8</v>
      </c>
      <c r="Q14" s="236"/>
    </row>
    <row r="15" spans="1:18" x14ac:dyDescent="0.2">
      <c r="A15" s="454">
        <v>7</v>
      </c>
      <c r="B15" s="547" t="s">
        <v>176</v>
      </c>
      <c r="C15" s="544">
        <v>3</v>
      </c>
      <c r="D15" s="544">
        <v>3</v>
      </c>
      <c r="E15" s="544">
        <v>3</v>
      </c>
      <c r="F15" s="544">
        <v>1</v>
      </c>
      <c r="G15" s="770" t="s">
        <v>154</v>
      </c>
      <c r="H15" s="770" t="s">
        <v>154</v>
      </c>
      <c r="I15" s="544">
        <v>4</v>
      </c>
      <c r="J15" s="770" t="s">
        <v>154</v>
      </c>
      <c r="K15" s="459"/>
      <c r="L15" s="459"/>
      <c r="M15" s="455">
        <v>14</v>
      </c>
      <c r="N15" s="466" t="s">
        <v>423</v>
      </c>
      <c r="O15" s="628">
        <v>8</v>
      </c>
      <c r="P15" s="214">
        <f t="shared" si="0"/>
        <v>5</v>
      </c>
      <c r="Q15" s="236"/>
    </row>
    <row r="16" spans="1:18" x14ac:dyDescent="0.2">
      <c r="A16" s="454">
        <v>8</v>
      </c>
      <c r="B16" s="466" t="s">
        <v>166</v>
      </c>
      <c r="C16" s="544">
        <v>3</v>
      </c>
      <c r="D16" s="544">
        <v>2</v>
      </c>
      <c r="E16" s="544">
        <v>1</v>
      </c>
      <c r="F16" s="770" t="s">
        <v>154</v>
      </c>
      <c r="G16" s="770" t="s">
        <v>154</v>
      </c>
      <c r="H16" s="544">
        <v>3</v>
      </c>
      <c r="I16" s="544">
        <v>4</v>
      </c>
      <c r="J16" s="770" t="s">
        <v>154</v>
      </c>
      <c r="K16" s="459"/>
      <c r="L16" s="459"/>
      <c r="M16" s="455">
        <v>13</v>
      </c>
      <c r="N16" s="466" t="s">
        <v>421</v>
      </c>
      <c r="O16" s="628">
        <v>7</v>
      </c>
      <c r="P16" s="214">
        <f t="shared" si="0"/>
        <v>5</v>
      </c>
      <c r="Q16" s="236"/>
    </row>
    <row r="17" spans="1:17" x14ac:dyDescent="0.2">
      <c r="A17" s="454">
        <v>9</v>
      </c>
      <c r="B17" s="466" t="s">
        <v>210</v>
      </c>
      <c r="C17" s="545">
        <v>5</v>
      </c>
      <c r="D17" s="770" t="s">
        <v>154</v>
      </c>
      <c r="E17" s="545">
        <v>6</v>
      </c>
      <c r="F17" s="770" t="s">
        <v>154</v>
      </c>
      <c r="G17" s="770" t="s">
        <v>154</v>
      </c>
      <c r="H17" s="544">
        <v>1</v>
      </c>
      <c r="I17" s="544"/>
      <c r="J17" s="544"/>
      <c r="K17" s="459"/>
      <c r="L17" s="459"/>
      <c r="M17" s="455">
        <v>12</v>
      </c>
      <c r="N17" s="466" t="s">
        <v>482</v>
      </c>
      <c r="O17" s="628"/>
      <c r="P17" s="214">
        <f t="shared" si="0"/>
        <v>3</v>
      </c>
      <c r="Q17" s="236">
        <v>2</v>
      </c>
    </row>
    <row r="18" spans="1:17" x14ac:dyDescent="0.2">
      <c r="A18" s="454">
        <v>9</v>
      </c>
      <c r="B18" s="469" t="s">
        <v>174</v>
      </c>
      <c r="C18" s="545">
        <v>5</v>
      </c>
      <c r="D18" s="770" t="s">
        <v>154</v>
      </c>
      <c r="E18" s="545">
        <v>6</v>
      </c>
      <c r="F18" s="770" t="s">
        <v>154</v>
      </c>
      <c r="G18" s="770" t="s">
        <v>154</v>
      </c>
      <c r="H18" s="544">
        <v>1</v>
      </c>
      <c r="I18" s="459"/>
      <c r="J18" s="544"/>
      <c r="K18" s="459"/>
      <c r="L18" s="459"/>
      <c r="M18" s="455">
        <v>12</v>
      </c>
      <c r="N18" s="466" t="s">
        <v>482</v>
      </c>
      <c r="O18" s="628"/>
      <c r="P18" s="214">
        <f t="shared" si="0"/>
        <v>3</v>
      </c>
      <c r="Q18" s="236">
        <v>2</v>
      </c>
    </row>
    <row r="19" spans="1:17" x14ac:dyDescent="0.2">
      <c r="A19" s="454">
        <v>11</v>
      </c>
      <c r="B19" s="548" t="s">
        <v>160</v>
      </c>
      <c r="C19" s="770" t="s">
        <v>154</v>
      </c>
      <c r="D19" s="545">
        <v>4</v>
      </c>
      <c r="E19" s="544">
        <v>4</v>
      </c>
      <c r="F19" s="770" t="s">
        <v>154</v>
      </c>
      <c r="G19" s="770" t="s">
        <v>154</v>
      </c>
      <c r="H19" s="544"/>
      <c r="I19" s="544">
        <v>4</v>
      </c>
      <c r="J19" s="544"/>
      <c r="K19" s="459"/>
      <c r="L19" s="459"/>
      <c r="M19" s="455">
        <v>12</v>
      </c>
      <c r="N19" s="466" t="s">
        <v>483</v>
      </c>
      <c r="O19" s="630">
        <v>2</v>
      </c>
      <c r="P19" s="214">
        <f t="shared" si="0"/>
        <v>3</v>
      </c>
      <c r="Q19" s="236">
        <v>1</v>
      </c>
    </row>
    <row r="20" spans="1:17" x14ac:dyDescent="0.2">
      <c r="A20" s="454">
        <v>12</v>
      </c>
      <c r="B20" s="462" t="s">
        <v>169</v>
      </c>
      <c r="C20" s="770" t="s">
        <v>154</v>
      </c>
      <c r="D20" s="459">
        <v>3</v>
      </c>
      <c r="E20" s="770" t="s">
        <v>154</v>
      </c>
      <c r="F20" s="770" t="s">
        <v>154</v>
      </c>
      <c r="G20" s="459">
        <v>2</v>
      </c>
      <c r="H20" s="459">
        <v>3</v>
      </c>
      <c r="I20" s="459"/>
      <c r="J20" s="459"/>
      <c r="K20" s="459"/>
      <c r="L20" s="459"/>
      <c r="M20" s="455">
        <v>8</v>
      </c>
      <c r="N20" s="466" t="s">
        <v>484</v>
      </c>
      <c r="O20" s="631">
        <v>3</v>
      </c>
      <c r="P20" s="214">
        <f t="shared" si="0"/>
        <v>3</v>
      </c>
      <c r="Q20" s="236"/>
    </row>
    <row r="21" spans="1:17" x14ac:dyDescent="0.2">
      <c r="A21" s="454">
        <v>13</v>
      </c>
      <c r="B21" s="466" t="s">
        <v>485</v>
      </c>
      <c r="C21" s="770" t="s">
        <v>154</v>
      </c>
      <c r="D21" s="770" t="s">
        <v>154</v>
      </c>
      <c r="E21" s="544">
        <v>1</v>
      </c>
      <c r="F21" s="770" t="s">
        <v>154</v>
      </c>
      <c r="G21" s="544"/>
      <c r="H21" s="544">
        <v>3</v>
      </c>
      <c r="I21" s="544">
        <v>2</v>
      </c>
      <c r="J21" s="544"/>
      <c r="K21" s="459"/>
      <c r="L21" s="459"/>
      <c r="M21" s="455">
        <v>8</v>
      </c>
      <c r="N21" s="466" t="s">
        <v>486</v>
      </c>
      <c r="O21" s="628">
        <v>13</v>
      </c>
      <c r="P21" s="214">
        <f t="shared" si="0"/>
        <v>3</v>
      </c>
      <c r="Q21" s="236"/>
    </row>
    <row r="22" spans="1:17" x14ac:dyDescent="0.2">
      <c r="A22" s="454">
        <v>14</v>
      </c>
      <c r="B22" s="466" t="s">
        <v>353</v>
      </c>
      <c r="C22" s="770" t="s">
        <v>154</v>
      </c>
      <c r="D22" s="770" t="s">
        <v>154</v>
      </c>
      <c r="E22" s="770" t="s">
        <v>154</v>
      </c>
      <c r="F22" s="544"/>
      <c r="G22" s="544"/>
      <c r="H22" s="544"/>
      <c r="I22" s="544">
        <v>1</v>
      </c>
      <c r="J22" s="544">
        <v>2</v>
      </c>
      <c r="K22" s="459">
        <v>3</v>
      </c>
      <c r="L22" s="459">
        <v>1</v>
      </c>
      <c r="M22" s="455">
        <v>7</v>
      </c>
      <c r="N22" s="466" t="s">
        <v>487</v>
      </c>
      <c r="O22" s="628">
        <v>12</v>
      </c>
      <c r="P22" s="214">
        <f t="shared" si="0"/>
        <v>4</v>
      </c>
      <c r="Q22" s="236"/>
    </row>
    <row r="23" spans="1:17" x14ac:dyDescent="0.2">
      <c r="A23" s="454">
        <v>15</v>
      </c>
      <c r="B23" s="466" t="s">
        <v>488</v>
      </c>
      <c r="C23" s="770" t="s">
        <v>154</v>
      </c>
      <c r="D23" s="770" t="s">
        <v>154</v>
      </c>
      <c r="E23" s="770" t="s">
        <v>154</v>
      </c>
      <c r="F23" s="545">
        <v>3</v>
      </c>
      <c r="G23" s="544"/>
      <c r="H23" s="544"/>
      <c r="I23" s="544"/>
      <c r="J23" s="544">
        <v>1</v>
      </c>
      <c r="K23" s="459">
        <v>1</v>
      </c>
      <c r="L23" s="459">
        <v>2</v>
      </c>
      <c r="M23" s="455">
        <v>5</v>
      </c>
      <c r="N23" s="466" t="s">
        <v>489</v>
      </c>
      <c r="O23" s="628">
        <v>14</v>
      </c>
      <c r="P23" s="214">
        <f t="shared" si="0"/>
        <v>4</v>
      </c>
      <c r="Q23" s="236">
        <v>1</v>
      </c>
    </row>
    <row r="24" spans="1:17" x14ac:dyDescent="0.2">
      <c r="A24" s="454">
        <v>16</v>
      </c>
      <c r="B24" s="549" t="s">
        <v>180</v>
      </c>
      <c r="C24" s="544">
        <v>1</v>
      </c>
      <c r="D24" s="544">
        <v>2</v>
      </c>
      <c r="E24" s="544">
        <v>2</v>
      </c>
      <c r="F24" s="770" t="s">
        <v>154</v>
      </c>
      <c r="G24" s="770" t="s">
        <v>154</v>
      </c>
      <c r="H24" s="770" t="s">
        <v>154</v>
      </c>
      <c r="I24" s="544"/>
      <c r="J24" s="544"/>
      <c r="K24" s="459"/>
      <c r="L24" s="459"/>
      <c r="M24" s="455">
        <v>5</v>
      </c>
      <c r="N24" s="466" t="s">
        <v>490</v>
      </c>
      <c r="O24" s="628"/>
      <c r="P24" s="214">
        <f t="shared" si="0"/>
        <v>3</v>
      </c>
      <c r="Q24" s="236"/>
    </row>
    <row r="25" spans="1:17" x14ac:dyDescent="0.2">
      <c r="A25" s="454">
        <v>17</v>
      </c>
      <c r="B25" s="466" t="s">
        <v>491</v>
      </c>
      <c r="C25" s="770" t="s">
        <v>154</v>
      </c>
      <c r="D25" s="545">
        <v>4</v>
      </c>
      <c r="E25" s="770" t="s">
        <v>154</v>
      </c>
      <c r="F25" s="770" t="s">
        <v>154</v>
      </c>
      <c r="G25" s="544"/>
      <c r="H25" s="544">
        <v>3</v>
      </c>
      <c r="I25" s="544"/>
      <c r="J25" s="544"/>
      <c r="K25" s="459"/>
      <c r="L25" s="459"/>
      <c r="M25" s="455">
        <v>7</v>
      </c>
      <c r="N25" s="466" t="s">
        <v>492</v>
      </c>
      <c r="O25" s="628"/>
      <c r="P25" s="214">
        <f t="shared" si="0"/>
        <v>2</v>
      </c>
      <c r="Q25" s="236">
        <v>1</v>
      </c>
    </row>
    <row r="26" spans="1:17" x14ac:dyDescent="0.2">
      <c r="A26" s="454">
        <v>18</v>
      </c>
      <c r="B26" s="469" t="s">
        <v>493</v>
      </c>
      <c r="C26" s="770" t="s">
        <v>154</v>
      </c>
      <c r="D26" s="770" t="s">
        <v>154</v>
      </c>
      <c r="E26" s="770" t="s">
        <v>154</v>
      </c>
      <c r="F26" s="544">
        <v>2</v>
      </c>
      <c r="G26" s="544"/>
      <c r="H26" s="544"/>
      <c r="I26" s="544"/>
      <c r="J26" s="544"/>
      <c r="K26" s="459"/>
      <c r="L26" s="459"/>
      <c r="M26" s="455">
        <v>2</v>
      </c>
      <c r="N26" s="466" t="s">
        <v>494</v>
      </c>
      <c r="O26" s="628"/>
      <c r="P26" s="214">
        <f t="shared" si="0"/>
        <v>1</v>
      </c>
      <c r="Q26" s="236"/>
    </row>
    <row r="27" spans="1:17" x14ac:dyDescent="0.2">
      <c r="A27" s="454">
        <v>19</v>
      </c>
      <c r="B27" s="466" t="s">
        <v>495</v>
      </c>
      <c r="C27" s="770" t="s">
        <v>154</v>
      </c>
      <c r="D27" s="770" t="s">
        <v>154</v>
      </c>
      <c r="E27" s="770" t="s">
        <v>154</v>
      </c>
      <c r="F27" s="544"/>
      <c r="G27" s="544"/>
      <c r="H27" s="544"/>
      <c r="I27" s="544"/>
      <c r="J27" s="544"/>
      <c r="K27" s="459"/>
      <c r="L27" s="459">
        <v>2</v>
      </c>
      <c r="M27" s="455">
        <v>2</v>
      </c>
      <c r="N27" s="466" t="s">
        <v>496</v>
      </c>
      <c r="O27" s="628">
        <v>11</v>
      </c>
      <c r="P27" s="214">
        <f t="shared" si="0"/>
        <v>1</v>
      </c>
      <c r="Q27" s="236"/>
    </row>
    <row r="28" spans="1:17" x14ac:dyDescent="0.2">
      <c r="A28" s="454">
        <v>20</v>
      </c>
      <c r="B28" s="466" t="s">
        <v>172</v>
      </c>
      <c r="C28" s="770" t="s">
        <v>154</v>
      </c>
      <c r="D28" s="770" t="s">
        <v>154</v>
      </c>
      <c r="E28" s="770" t="s">
        <v>154</v>
      </c>
      <c r="F28" s="544"/>
      <c r="G28" s="544"/>
      <c r="H28" s="545">
        <v>5</v>
      </c>
      <c r="I28" s="544"/>
      <c r="J28" s="544"/>
      <c r="K28" s="459"/>
      <c r="L28" s="459"/>
      <c r="M28" s="455">
        <v>5</v>
      </c>
      <c r="N28" s="466"/>
      <c r="O28" s="469"/>
      <c r="P28" s="214">
        <f t="shared" si="0"/>
        <v>1</v>
      </c>
      <c r="Q28" s="236">
        <v>1</v>
      </c>
    </row>
    <row r="29" spans="1:17" x14ac:dyDescent="0.2">
      <c r="A29" s="454">
        <v>21</v>
      </c>
      <c r="B29" s="466" t="s">
        <v>168</v>
      </c>
      <c r="C29" s="544">
        <v>3</v>
      </c>
      <c r="D29" s="770" t="s">
        <v>154</v>
      </c>
      <c r="E29" s="770" t="s">
        <v>154</v>
      </c>
      <c r="F29" s="770" t="s">
        <v>154</v>
      </c>
      <c r="G29" s="544"/>
      <c r="H29" s="544"/>
      <c r="I29" s="544"/>
      <c r="J29" s="544"/>
      <c r="K29" s="459"/>
      <c r="L29" s="459"/>
      <c r="M29" s="455">
        <v>3</v>
      </c>
      <c r="N29" s="466"/>
      <c r="O29" s="469"/>
      <c r="P29" s="214">
        <f t="shared" si="0"/>
        <v>1</v>
      </c>
      <c r="Q29" s="236"/>
    </row>
    <row r="30" spans="1:17" x14ac:dyDescent="0.2">
      <c r="A30" s="454">
        <v>22</v>
      </c>
      <c r="B30" s="466" t="s">
        <v>497</v>
      </c>
      <c r="C30" s="770" t="s">
        <v>154</v>
      </c>
      <c r="D30" s="770" t="s">
        <v>154</v>
      </c>
      <c r="E30" s="770" t="s">
        <v>154</v>
      </c>
      <c r="F30" s="544"/>
      <c r="G30" s="544"/>
      <c r="H30" s="544">
        <v>3</v>
      </c>
      <c r="I30" s="544"/>
      <c r="J30" s="544"/>
      <c r="K30" s="459"/>
      <c r="L30" s="459"/>
      <c r="M30" s="455">
        <v>3</v>
      </c>
      <c r="N30" s="466"/>
      <c r="O30" s="469"/>
      <c r="P30" s="214">
        <f t="shared" si="0"/>
        <v>1</v>
      </c>
      <c r="Q30" s="236"/>
    </row>
    <row r="31" spans="1:17" x14ac:dyDescent="0.2">
      <c r="A31" s="454">
        <v>23</v>
      </c>
      <c r="B31" s="466" t="s">
        <v>498</v>
      </c>
      <c r="C31" s="770" t="s">
        <v>154</v>
      </c>
      <c r="D31" s="770" t="s">
        <v>154</v>
      </c>
      <c r="E31" s="770" t="s">
        <v>154</v>
      </c>
      <c r="F31" s="544"/>
      <c r="G31" s="544"/>
      <c r="H31" s="544">
        <v>1</v>
      </c>
      <c r="I31" s="544"/>
      <c r="J31" s="544"/>
      <c r="K31" s="459"/>
      <c r="L31" s="459"/>
      <c r="M31" s="455">
        <v>1</v>
      </c>
      <c r="N31" s="466"/>
      <c r="O31" s="469"/>
      <c r="P31" s="214">
        <f>COUNTIF(C31:L31,"&gt;=0")</f>
        <v>1</v>
      </c>
      <c r="Q31" s="236"/>
    </row>
    <row r="32" spans="1:17" x14ac:dyDescent="0.2">
      <c r="A32" s="229">
        <f>COUNT(A9:A31)</f>
        <v>23</v>
      </c>
      <c r="B32" s="194" t="s">
        <v>201</v>
      </c>
      <c r="C32" s="232">
        <f t="shared" ref="C32:L32" si="1">COUNTIF(C9:C30,"&gt;=0")</f>
        <v>10</v>
      </c>
      <c r="D32" s="232">
        <f t="shared" si="1"/>
        <v>12</v>
      </c>
      <c r="E32" s="232">
        <f t="shared" si="1"/>
        <v>12</v>
      </c>
      <c r="F32" s="232">
        <f t="shared" si="1"/>
        <v>9</v>
      </c>
      <c r="G32" s="232">
        <f t="shared" si="1"/>
        <v>6</v>
      </c>
      <c r="H32" s="232">
        <f t="shared" si="1"/>
        <v>14</v>
      </c>
      <c r="I32" s="232">
        <f t="shared" si="1"/>
        <v>10</v>
      </c>
      <c r="J32" s="232">
        <f t="shared" si="1"/>
        <v>6</v>
      </c>
      <c r="K32" s="232">
        <f t="shared" si="1"/>
        <v>6</v>
      </c>
      <c r="L32" s="232">
        <f t="shared" si="1"/>
        <v>7</v>
      </c>
      <c r="M32" s="231"/>
      <c r="N32" s="232">
        <f>COUNTIF(N9:N30,"&gt;=0")</f>
        <v>0</v>
      </c>
      <c r="O32" s="232">
        <v>14</v>
      </c>
      <c r="P32" s="194"/>
    </row>
    <row r="33" spans="1:16" x14ac:dyDescent="0.2">
      <c r="A33" s="234"/>
      <c r="B33" s="194" t="s">
        <v>202</v>
      </c>
      <c r="C33" s="234">
        <v>5</v>
      </c>
      <c r="D33" s="234">
        <v>4</v>
      </c>
      <c r="E33" s="234">
        <v>6</v>
      </c>
      <c r="F33" s="234">
        <v>3</v>
      </c>
      <c r="G33" s="234">
        <v>3</v>
      </c>
      <c r="H33" s="234">
        <v>5</v>
      </c>
      <c r="I33" s="234">
        <v>5</v>
      </c>
      <c r="J33" s="234">
        <v>2</v>
      </c>
      <c r="K33" s="234">
        <v>3</v>
      </c>
      <c r="L33" s="234">
        <v>2</v>
      </c>
      <c r="M33" s="231"/>
      <c r="N33" s="234"/>
      <c r="O33" s="234"/>
      <c r="P33" s="194"/>
    </row>
    <row r="36" spans="1:16" x14ac:dyDescent="0.2">
      <c r="M36" s="236"/>
    </row>
    <row r="37" spans="1:16" x14ac:dyDescent="0.2">
      <c r="M37" s="236"/>
    </row>
  </sheetData>
  <mergeCells count="2">
    <mergeCell ref="P6:P7"/>
    <mergeCell ref="Q6:Q7"/>
  </mergeCells>
  <conditionalFormatting sqref="C32:L32 N32:O32">
    <cfRule type="top10" dxfId="12" priority="2" stopIfTrue="1" rank="1"/>
  </conditionalFormatting>
  <conditionalFormatting sqref="Q9:Q31">
    <cfRule type="top10" dxfId="11" priority="1" stopIfTrue="1" rank="1"/>
  </conditionalFormatting>
  <conditionalFormatting sqref="P9:P31">
    <cfRule type="top10" dxfId="10" priority="3" stopIfTrue="1" rank="1"/>
  </conditionalFormatting>
  <pageMargins left="0.39370078740157483" right="0.39370078740157483" top="0.59055118110236227" bottom="0.39370078740157483" header="0.39370078740157483" footer="0"/>
  <pageSetup paperSize="9" fitToHeight="0" orientation="portrait" useFirstPageNumber="1" verticalDpi="300" r:id="rId1"/>
  <headerFooter alignWithMargins="0">
    <oddHeader>&amp;R&amp;"Arial,Regular"&amp;9Page &amp;P of &amp;N</oddHeader>
  </headerFooter>
  <rowBreaks count="1" manualBreakCount="1">
    <brk id="3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40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J1" sqref="J1"/>
    </sheetView>
  </sheetViews>
  <sheetFormatPr defaultRowHeight="12.75" x14ac:dyDescent="0.2"/>
  <cols>
    <col min="1" max="1" width="4.85546875" style="503" customWidth="1"/>
    <col min="2" max="2" width="19.42578125" style="503" bestFit="1" customWidth="1"/>
    <col min="3" max="3" width="9.7109375" style="503" customWidth="1"/>
    <col min="4" max="4" width="19.42578125" style="503" bestFit="1" customWidth="1"/>
    <col min="5" max="10" width="9.7109375" style="503" customWidth="1"/>
    <col min="11" max="16384" width="9.140625" style="503"/>
  </cols>
  <sheetData>
    <row r="1" spans="1:10" x14ac:dyDescent="0.2">
      <c r="A1" s="491" t="str">
        <f>UPPER((Kalend!E47)&amp;" - "&amp;(Kalend!C47)&amp;" - "&amp;(Kalend!D47))</f>
        <v>V FIN - VOKA KARIKAS – SUPERFINAAL - ÜKSIK</v>
      </c>
      <c r="F1" s="239" t="str">
        <f>HYPERLINK("#'Kalend'!I1","Kalender")</f>
        <v>Kalender</v>
      </c>
      <c r="G1" s="59"/>
      <c r="H1" s="239" t="str">
        <f>HYPERLINK("#'Reit'!G1","Reiting")</f>
        <v>Reiting</v>
      </c>
      <c r="I1" s="59"/>
      <c r="J1" s="59"/>
    </row>
    <row r="2" spans="1:10" x14ac:dyDescent="0.2">
      <c r="A2" s="59" t="str">
        <f>"Toimumisaeg: "&amp;(Kalend!A47)&amp;" kell "&amp;(Kalend!B47)</f>
        <v>Toimumisaeg: P, 04.10.2015 kell 10:00</v>
      </c>
    </row>
    <row r="3" spans="1:10" x14ac:dyDescent="0.2">
      <c r="A3" s="59" t="str">
        <f>"Toimumiskoht: "&amp;(Kalend!F47)</f>
        <v>Toimumiskoht: Voka staadion</v>
      </c>
    </row>
    <row r="4" spans="1:10" x14ac:dyDescent="0.2">
      <c r="A4" s="59" t="str">
        <f>"Korraldaja: "&amp;(Kalend!G47)</f>
        <v>Korraldaja: Johannes Neiland</v>
      </c>
    </row>
    <row r="6" spans="1:10" x14ac:dyDescent="0.2">
      <c r="A6" s="550" t="s">
        <v>349</v>
      </c>
    </row>
    <row r="7" spans="1:10" x14ac:dyDescent="0.2">
      <c r="A7" s="551"/>
    </row>
    <row r="8" spans="1:10" x14ac:dyDescent="0.2">
      <c r="A8" s="552" t="s">
        <v>350</v>
      </c>
      <c r="C8" s="252">
        <v>1</v>
      </c>
      <c r="D8" s="503" t="s">
        <v>19</v>
      </c>
      <c r="E8" s="337">
        <v>13</v>
      </c>
    </row>
    <row r="9" spans="1:10" x14ac:dyDescent="0.2">
      <c r="C9" s="332"/>
      <c r="D9" s="333">
        <v>-537</v>
      </c>
      <c r="E9" s="553" t="s">
        <v>19</v>
      </c>
      <c r="F9" s="337">
        <v>13</v>
      </c>
    </row>
    <row r="10" spans="1:10" x14ac:dyDescent="0.2">
      <c r="C10" s="332">
        <v>16</v>
      </c>
      <c r="D10" s="554" t="s">
        <v>235</v>
      </c>
      <c r="E10" s="335">
        <v>0</v>
      </c>
    </row>
    <row r="11" spans="1:10" x14ac:dyDescent="0.2">
      <c r="C11" s="332"/>
      <c r="E11" s="555">
        <v>-549</v>
      </c>
      <c r="F11" s="556" t="s">
        <v>19</v>
      </c>
      <c r="G11" s="337">
        <v>7</v>
      </c>
    </row>
    <row r="12" spans="1:10" x14ac:dyDescent="0.2">
      <c r="C12" s="332">
        <v>9</v>
      </c>
      <c r="D12" s="503" t="s">
        <v>160</v>
      </c>
      <c r="E12" s="634">
        <v>13</v>
      </c>
      <c r="F12" s="557"/>
    </row>
    <row r="13" spans="1:10" x14ac:dyDescent="0.2">
      <c r="C13" s="332"/>
      <c r="D13" s="333">
        <v>-538</v>
      </c>
      <c r="E13" s="558" t="s">
        <v>160</v>
      </c>
      <c r="F13" s="341">
        <v>10</v>
      </c>
    </row>
    <row r="14" spans="1:10" x14ac:dyDescent="0.2">
      <c r="C14" s="332">
        <v>8</v>
      </c>
      <c r="D14" s="554" t="s">
        <v>166</v>
      </c>
      <c r="E14" s="342">
        <v>7</v>
      </c>
      <c r="F14" s="559"/>
    </row>
    <row r="15" spans="1:10" x14ac:dyDescent="0.2">
      <c r="C15" s="560"/>
      <c r="F15" s="555">
        <v>-557</v>
      </c>
      <c r="G15" s="556" t="s">
        <v>156</v>
      </c>
      <c r="H15" s="337">
        <v>13</v>
      </c>
    </row>
    <row r="16" spans="1:10" x14ac:dyDescent="0.2">
      <c r="C16" s="252">
        <v>5</v>
      </c>
      <c r="D16" s="503" t="s">
        <v>156</v>
      </c>
      <c r="E16" s="337">
        <v>13</v>
      </c>
      <c r="F16" s="559"/>
      <c r="G16" s="557"/>
    </row>
    <row r="17" spans="3:11" x14ac:dyDescent="0.2">
      <c r="C17" s="332"/>
      <c r="D17" s="333">
        <v>-539</v>
      </c>
      <c r="E17" s="553" t="s">
        <v>156</v>
      </c>
      <c r="F17" s="341">
        <v>13</v>
      </c>
      <c r="G17" s="559"/>
    </row>
    <row r="18" spans="3:11" x14ac:dyDescent="0.2">
      <c r="C18" s="332">
        <v>12</v>
      </c>
      <c r="D18" s="554" t="s">
        <v>353</v>
      </c>
      <c r="E18" s="335">
        <v>1</v>
      </c>
      <c r="F18" s="559"/>
      <c r="G18" s="559"/>
    </row>
    <row r="19" spans="3:11" x14ac:dyDescent="0.2">
      <c r="C19" s="332"/>
      <c r="E19" s="555">
        <v>-550</v>
      </c>
      <c r="F19" s="561" t="s">
        <v>156</v>
      </c>
      <c r="G19" s="341">
        <v>13</v>
      </c>
    </row>
    <row r="20" spans="3:11" x14ac:dyDescent="0.2">
      <c r="C20" s="332">
        <v>13</v>
      </c>
      <c r="D20" s="503" t="s">
        <v>488</v>
      </c>
      <c r="E20" s="341">
        <v>6</v>
      </c>
      <c r="F20" s="556"/>
      <c r="G20" s="559"/>
    </row>
    <row r="21" spans="3:11" x14ac:dyDescent="0.2">
      <c r="C21" s="332"/>
      <c r="D21" s="562">
        <v>-540</v>
      </c>
      <c r="E21" s="558" t="s">
        <v>186</v>
      </c>
      <c r="F21" s="271">
        <v>5</v>
      </c>
      <c r="G21" s="559"/>
    </row>
    <row r="22" spans="3:11" x14ac:dyDescent="0.2">
      <c r="C22" s="332">
        <v>4</v>
      </c>
      <c r="D22" s="554" t="s">
        <v>186</v>
      </c>
      <c r="E22" s="342">
        <v>13</v>
      </c>
      <c r="F22" s="556"/>
      <c r="G22" s="559"/>
    </row>
    <row r="23" spans="3:11" x14ac:dyDescent="0.2">
      <c r="G23" s="555">
        <v>-567</v>
      </c>
      <c r="H23" s="503" t="s">
        <v>156</v>
      </c>
      <c r="I23" s="337">
        <v>13</v>
      </c>
    </row>
    <row r="24" spans="3:11" x14ac:dyDescent="0.2">
      <c r="C24" s="252">
        <v>3</v>
      </c>
      <c r="D24" s="503" t="s">
        <v>158</v>
      </c>
      <c r="E24" s="337">
        <v>13</v>
      </c>
      <c r="G24" s="559"/>
      <c r="H24" s="563"/>
      <c r="I24" s="337"/>
    </row>
    <row r="25" spans="3:11" x14ac:dyDescent="0.2">
      <c r="C25" s="332"/>
      <c r="D25" s="562">
        <v>-541</v>
      </c>
      <c r="E25" s="503" t="s">
        <v>158</v>
      </c>
      <c r="F25" s="337">
        <v>9</v>
      </c>
      <c r="G25" s="559"/>
      <c r="H25" s="559"/>
      <c r="I25" s="337"/>
    </row>
    <row r="26" spans="3:11" x14ac:dyDescent="0.2">
      <c r="C26" s="332">
        <v>14</v>
      </c>
      <c r="D26" s="554" t="s">
        <v>495</v>
      </c>
      <c r="E26" s="335">
        <v>1</v>
      </c>
      <c r="G26" s="559"/>
      <c r="H26" s="559"/>
    </row>
    <row r="27" spans="3:11" x14ac:dyDescent="0.2">
      <c r="C27" s="332"/>
      <c r="E27" s="555">
        <v>-551</v>
      </c>
      <c r="F27" s="553" t="s">
        <v>352</v>
      </c>
      <c r="G27" s="341">
        <v>6</v>
      </c>
      <c r="H27" s="559"/>
    </row>
    <row r="28" spans="3:11" x14ac:dyDescent="0.2">
      <c r="C28" s="332">
        <v>11</v>
      </c>
      <c r="D28" s="503" t="s">
        <v>485</v>
      </c>
      <c r="E28" s="341">
        <v>7</v>
      </c>
      <c r="F28" s="557"/>
      <c r="G28" s="559"/>
      <c r="H28" s="559"/>
    </row>
    <row r="29" spans="3:11" x14ac:dyDescent="0.2">
      <c r="C29" s="332"/>
      <c r="D29" s="333">
        <v>-542</v>
      </c>
      <c r="E29" s="558" t="s">
        <v>352</v>
      </c>
      <c r="F29" s="341">
        <v>13</v>
      </c>
      <c r="G29" s="559"/>
      <c r="H29" s="559"/>
    </row>
    <row r="30" spans="3:11" x14ac:dyDescent="0.2">
      <c r="C30" s="332">
        <v>6</v>
      </c>
      <c r="D30" s="554" t="s">
        <v>352</v>
      </c>
      <c r="E30" s="342">
        <v>13</v>
      </c>
      <c r="F30" s="559"/>
      <c r="G30" s="559"/>
      <c r="H30" s="559"/>
    </row>
    <row r="31" spans="3:11" ht="13.5" thickBot="1" x14ac:dyDescent="0.25">
      <c r="F31" s="555">
        <v>-558</v>
      </c>
      <c r="G31" s="561" t="s">
        <v>169</v>
      </c>
      <c r="H31" s="341">
        <v>4</v>
      </c>
      <c r="I31" s="564"/>
      <c r="J31" s="565" t="s">
        <v>156</v>
      </c>
    </row>
    <row r="32" spans="3:11" x14ac:dyDescent="0.2">
      <c r="C32" s="252">
        <v>7</v>
      </c>
      <c r="D32" s="503" t="s">
        <v>176</v>
      </c>
      <c r="E32" s="337">
        <v>11</v>
      </c>
      <c r="F32" s="559"/>
      <c r="H32" s="559"/>
      <c r="I32" s="566"/>
      <c r="J32" s="567" t="s">
        <v>240</v>
      </c>
      <c r="K32" s="568"/>
    </row>
    <row r="33" spans="1:11" x14ac:dyDescent="0.2">
      <c r="C33" s="332"/>
      <c r="D33" s="333">
        <v>-543</v>
      </c>
      <c r="E33" s="553" t="s">
        <v>169</v>
      </c>
      <c r="F33" s="341">
        <v>13</v>
      </c>
      <c r="H33" s="559"/>
      <c r="J33" s="556"/>
      <c r="K33" s="556"/>
    </row>
    <row r="34" spans="1:11" ht="13.5" thickBot="1" x14ac:dyDescent="0.25">
      <c r="C34" s="332">
        <v>10</v>
      </c>
      <c r="D34" s="554" t="s">
        <v>169</v>
      </c>
      <c r="E34" s="335">
        <v>13</v>
      </c>
      <c r="F34" s="559"/>
      <c r="H34" s="559"/>
      <c r="J34" s="569" t="s">
        <v>160</v>
      </c>
      <c r="K34" s="569"/>
    </row>
    <row r="35" spans="1:11" x14ac:dyDescent="0.2">
      <c r="C35" s="332"/>
      <c r="E35" s="555">
        <v>-552</v>
      </c>
      <c r="F35" s="561" t="s">
        <v>169</v>
      </c>
      <c r="G35" s="337">
        <v>13</v>
      </c>
      <c r="H35" s="559"/>
      <c r="J35" s="560" t="s">
        <v>244</v>
      </c>
    </row>
    <row r="36" spans="1:11" x14ac:dyDescent="0.2">
      <c r="C36" s="332">
        <v>15</v>
      </c>
      <c r="D36" s="503" t="s">
        <v>235</v>
      </c>
      <c r="E36" s="341">
        <v>0</v>
      </c>
      <c r="F36" s="556"/>
      <c r="H36" s="559"/>
    </row>
    <row r="37" spans="1:11" x14ac:dyDescent="0.2">
      <c r="C37" s="332"/>
      <c r="D37" s="333">
        <v>-544</v>
      </c>
      <c r="E37" s="558" t="s">
        <v>195</v>
      </c>
      <c r="F37" s="271">
        <v>6</v>
      </c>
      <c r="G37" s="556"/>
      <c r="H37" s="559"/>
    </row>
    <row r="38" spans="1:11" x14ac:dyDescent="0.2">
      <c r="C38" s="332">
        <v>2</v>
      </c>
      <c r="D38" s="554" t="s">
        <v>195</v>
      </c>
      <c r="E38" s="342">
        <v>13</v>
      </c>
      <c r="F38" s="556"/>
      <c r="G38" s="556"/>
      <c r="H38" s="559"/>
    </row>
    <row r="39" spans="1:11" x14ac:dyDescent="0.2">
      <c r="D39" s="332"/>
      <c r="E39" s="556"/>
      <c r="F39" s="271"/>
      <c r="G39" s="570" t="s">
        <v>354</v>
      </c>
      <c r="H39" s="561" t="s">
        <v>160</v>
      </c>
      <c r="I39" s="337">
        <v>7</v>
      </c>
    </row>
    <row r="40" spans="1:11" x14ac:dyDescent="0.2">
      <c r="D40" s="332"/>
      <c r="E40" s="556"/>
      <c r="H40" s="500"/>
      <c r="I40" s="556"/>
    </row>
    <row r="41" spans="1:11" x14ac:dyDescent="0.2">
      <c r="A41" s="331" t="s">
        <v>355</v>
      </c>
      <c r="B41" s="73"/>
      <c r="C41" s="556"/>
      <c r="D41" s="560">
        <v>-557</v>
      </c>
      <c r="E41" s="554" t="s">
        <v>19</v>
      </c>
      <c r="F41" s="337">
        <v>13</v>
      </c>
      <c r="G41" s="556"/>
    </row>
    <row r="42" spans="1:11" x14ac:dyDescent="0.2">
      <c r="A42" s="252"/>
      <c r="E42" s="557"/>
      <c r="G42" s="556"/>
    </row>
    <row r="43" spans="1:11" x14ac:dyDescent="0.2">
      <c r="A43" s="332"/>
      <c r="B43" s="560">
        <v>-552</v>
      </c>
      <c r="C43" s="554" t="s">
        <v>195</v>
      </c>
      <c r="D43" s="337">
        <v>13</v>
      </c>
      <c r="E43" s="559"/>
      <c r="F43" s="556"/>
      <c r="G43" s="337"/>
    </row>
    <row r="44" spans="1:11" x14ac:dyDescent="0.2">
      <c r="A44" s="332"/>
      <c r="B44" s="560"/>
      <c r="C44" s="557"/>
      <c r="D44" s="337"/>
      <c r="E44" s="359">
        <v>565</v>
      </c>
      <c r="F44" s="553" t="s">
        <v>19</v>
      </c>
      <c r="G44" s="337">
        <v>7</v>
      </c>
    </row>
    <row r="45" spans="1:11" x14ac:dyDescent="0.2">
      <c r="A45" s="332"/>
      <c r="B45" s="560"/>
      <c r="C45" s="571">
        <v>553</v>
      </c>
      <c r="D45" s="337" t="s">
        <v>195</v>
      </c>
      <c r="E45" s="337">
        <v>13</v>
      </c>
      <c r="F45" s="563"/>
    </row>
    <row r="46" spans="1:11" x14ac:dyDescent="0.2">
      <c r="A46" s="332">
        <v>-540</v>
      </c>
      <c r="B46" s="503" t="s">
        <v>488</v>
      </c>
      <c r="C46" s="341">
        <v>9</v>
      </c>
      <c r="D46" s="563"/>
      <c r="F46" s="572"/>
    </row>
    <row r="47" spans="1:11" x14ac:dyDescent="0.2">
      <c r="A47" s="332"/>
      <c r="B47" s="355">
        <v>545</v>
      </c>
      <c r="C47" s="558" t="s">
        <v>353</v>
      </c>
      <c r="D47" s="341">
        <v>2</v>
      </c>
      <c r="E47" s="559"/>
      <c r="F47" s="559"/>
    </row>
    <row r="48" spans="1:11" x14ac:dyDescent="0.2">
      <c r="A48" s="332">
        <v>-539</v>
      </c>
      <c r="B48" s="554" t="s">
        <v>353</v>
      </c>
      <c r="C48" s="342">
        <v>13</v>
      </c>
      <c r="E48" s="572"/>
      <c r="F48" s="572"/>
    </row>
    <row r="49" spans="1:9" x14ac:dyDescent="0.2">
      <c r="A49" s="332"/>
      <c r="B49" s="556"/>
      <c r="C49" s="271"/>
      <c r="D49" s="354">
        <v>561</v>
      </c>
      <c r="E49" s="558" t="s">
        <v>195</v>
      </c>
      <c r="F49" s="341" t="s">
        <v>136</v>
      </c>
    </row>
    <row r="50" spans="1:9" x14ac:dyDescent="0.2">
      <c r="B50" s="560">
        <v>-551</v>
      </c>
      <c r="C50" s="503" t="s">
        <v>158</v>
      </c>
      <c r="D50" s="341">
        <v>10</v>
      </c>
      <c r="F50" s="559"/>
    </row>
    <row r="51" spans="1:9" x14ac:dyDescent="0.2">
      <c r="B51" s="560"/>
      <c r="C51" s="339"/>
      <c r="D51" s="559"/>
      <c r="F51" s="359" t="s">
        <v>372</v>
      </c>
      <c r="G51" s="503" t="s">
        <v>160</v>
      </c>
      <c r="H51" s="337">
        <v>13</v>
      </c>
    </row>
    <row r="52" spans="1:9" x14ac:dyDescent="0.2">
      <c r="B52" s="560"/>
      <c r="C52" s="354">
        <v>554</v>
      </c>
      <c r="D52" s="559" t="s">
        <v>166</v>
      </c>
      <c r="E52" s="337">
        <v>4</v>
      </c>
      <c r="G52" s="563"/>
    </row>
    <row r="53" spans="1:9" x14ac:dyDescent="0.2">
      <c r="A53" s="332">
        <v>-538</v>
      </c>
      <c r="B53" s="556" t="s">
        <v>166</v>
      </c>
      <c r="C53" s="341">
        <v>13</v>
      </c>
      <c r="D53" s="573"/>
      <c r="G53" s="572"/>
    </row>
    <row r="54" spans="1:9" x14ac:dyDescent="0.2">
      <c r="A54" s="332"/>
      <c r="B54" s="355">
        <v>546</v>
      </c>
      <c r="C54" s="558" t="s">
        <v>166</v>
      </c>
      <c r="D54" s="337">
        <v>13</v>
      </c>
      <c r="F54" s="559"/>
      <c r="G54" s="559"/>
    </row>
    <row r="55" spans="1:9" x14ac:dyDescent="0.2">
      <c r="A55" s="332">
        <v>-537</v>
      </c>
      <c r="B55" s="554" t="s">
        <v>235</v>
      </c>
      <c r="C55" s="342">
        <v>0</v>
      </c>
      <c r="D55" s="73">
        <v>-558</v>
      </c>
      <c r="E55" s="337" t="s">
        <v>352</v>
      </c>
      <c r="F55" s="341">
        <v>8</v>
      </c>
      <c r="G55" s="559"/>
    </row>
    <row r="56" spans="1:9" x14ac:dyDescent="0.2">
      <c r="A56" s="332"/>
      <c r="B56" s="556"/>
      <c r="C56" s="271"/>
      <c r="E56" s="557"/>
      <c r="F56" s="572"/>
      <c r="G56" s="559"/>
    </row>
    <row r="57" spans="1:9" x14ac:dyDescent="0.2">
      <c r="A57" s="332"/>
      <c r="B57" s="560">
        <v>-550</v>
      </c>
      <c r="C57" s="503" t="s">
        <v>186</v>
      </c>
      <c r="D57" s="337">
        <v>12</v>
      </c>
      <c r="E57" s="559"/>
      <c r="F57" s="559"/>
      <c r="G57" s="559"/>
    </row>
    <row r="58" spans="1:9" x14ac:dyDescent="0.2">
      <c r="A58" s="332"/>
      <c r="B58" s="560"/>
      <c r="C58" s="357"/>
      <c r="E58" s="359">
        <v>566</v>
      </c>
      <c r="F58" s="558" t="s">
        <v>160</v>
      </c>
      <c r="G58" s="358">
        <v>13</v>
      </c>
    </row>
    <row r="59" spans="1:9" x14ac:dyDescent="0.2">
      <c r="A59" s="332"/>
      <c r="B59" s="560"/>
      <c r="C59" s="571">
        <v>555</v>
      </c>
      <c r="D59" s="553" t="s">
        <v>176</v>
      </c>
      <c r="E59" s="337">
        <v>1</v>
      </c>
      <c r="F59" s="573"/>
      <c r="G59" s="559"/>
    </row>
    <row r="60" spans="1:9" x14ac:dyDescent="0.2">
      <c r="A60" s="332">
        <v>-544</v>
      </c>
      <c r="B60" s="503" t="s">
        <v>235</v>
      </c>
      <c r="C60" s="341">
        <v>0</v>
      </c>
      <c r="D60" s="557"/>
      <c r="F60" s="566"/>
      <c r="G60" s="359" t="s">
        <v>358</v>
      </c>
      <c r="H60" s="553" t="s">
        <v>160</v>
      </c>
      <c r="I60" s="574" t="s">
        <v>359</v>
      </c>
    </row>
    <row r="61" spans="1:9" x14ac:dyDescent="0.2">
      <c r="A61" s="332"/>
      <c r="B61" s="355">
        <v>547</v>
      </c>
      <c r="C61" s="558" t="s">
        <v>176</v>
      </c>
      <c r="D61" s="341">
        <v>13</v>
      </c>
      <c r="E61" s="559"/>
      <c r="F61" s="556"/>
      <c r="H61" s="573"/>
      <c r="I61" s="556"/>
    </row>
    <row r="62" spans="1:9" x14ac:dyDescent="0.2">
      <c r="A62" s="332">
        <v>-543</v>
      </c>
      <c r="B62" s="554" t="s">
        <v>176</v>
      </c>
      <c r="C62" s="342">
        <v>13</v>
      </c>
      <c r="D62" s="354">
        <v>562</v>
      </c>
      <c r="E62" s="558" t="s">
        <v>160</v>
      </c>
      <c r="F62" s="271">
        <v>13</v>
      </c>
      <c r="G62" s="559"/>
      <c r="H62" s="556"/>
      <c r="I62" s="556"/>
    </row>
    <row r="63" spans="1:9" x14ac:dyDescent="0.2">
      <c r="A63" s="332"/>
      <c r="B63" s="556"/>
      <c r="C63" s="271"/>
      <c r="D63" s="559"/>
      <c r="G63" s="559"/>
      <c r="H63" s="556"/>
      <c r="I63" s="556"/>
    </row>
    <row r="64" spans="1:9" x14ac:dyDescent="0.2">
      <c r="A64" s="332"/>
      <c r="B64" s="560">
        <v>-549</v>
      </c>
      <c r="C64" s="503" t="s">
        <v>160</v>
      </c>
      <c r="D64" s="341">
        <v>13</v>
      </c>
      <c r="F64" s="556"/>
      <c r="G64" s="559"/>
      <c r="H64" s="556"/>
      <c r="I64" s="556"/>
    </row>
    <row r="65" spans="1:11" x14ac:dyDescent="0.2">
      <c r="A65" s="332"/>
      <c r="B65" s="560"/>
      <c r="C65" s="339"/>
      <c r="D65" s="572"/>
      <c r="F65" s="556"/>
      <c r="G65" s="559"/>
      <c r="H65" s="556"/>
      <c r="I65" s="556"/>
    </row>
    <row r="66" spans="1:11" x14ac:dyDescent="0.2">
      <c r="A66" s="332"/>
      <c r="B66" s="560"/>
      <c r="C66" s="571">
        <v>556</v>
      </c>
      <c r="D66" s="561" t="s">
        <v>160</v>
      </c>
      <c r="E66" s="337">
        <v>13</v>
      </c>
      <c r="F66" s="556"/>
      <c r="G66" s="559"/>
      <c r="H66" s="556"/>
      <c r="I66" s="556"/>
    </row>
    <row r="67" spans="1:11" x14ac:dyDescent="0.2">
      <c r="A67" s="332">
        <v>-542</v>
      </c>
      <c r="B67" s="556" t="s">
        <v>485</v>
      </c>
      <c r="C67" s="341">
        <v>5</v>
      </c>
      <c r="G67" s="559"/>
      <c r="H67" s="556"/>
      <c r="I67" s="556"/>
    </row>
    <row r="68" spans="1:11" x14ac:dyDescent="0.2">
      <c r="A68" s="332"/>
      <c r="B68" s="360">
        <v>548</v>
      </c>
      <c r="C68" s="561" t="s">
        <v>495</v>
      </c>
      <c r="D68" s="337">
        <v>3</v>
      </c>
      <c r="F68" s="500">
        <v>-567</v>
      </c>
      <c r="G68" s="561" t="s">
        <v>169</v>
      </c>
      <c r="H68" s="271">
        <v>11</v>
      </c>
      <c r="I68" s="556"/>
    </row>
    <row r="69" spans="1:11" x14ac:dyDescent="0.2">
      <c r="A69" s="560">
        <v>-541</v>
      </c>
      <c r="B69" s="561" t="s">
        <v>495</v>
      </c>
      <c r="C69" s="342">
        <v>13</v>
      </c>
      <c r="D69" s="73"/>
      <c r="E69" s="271"/>
      <c r="F69" s="337"/>
      <c r="H69" s="556"/>
      <c r="I69" s="556"/>
    </row>
    <row r="70" spans="1:11" x14ac:dyDescent="0.2">
      <c r="B70" s="556"/>
      <c r="C70" s="271"/>
      <c r="D70" s="73"/>
      <c r="E70" s="271"/>
      <c r="F70" s="337"/>
      <c r="H70" s="556"/>
      <c r="I70" s="556"/>
    </row>
    <row r="71" spans="1:11" ht="13.5" thickBot="1" x14ac:dyDescent="0.25">
      <c r="A71" s="560"/>
      <c r="B71" s="556"/>
      <c r="C71" s="271"/>
      <c r="D71" s="271"/>
      <c r="E71" s="337"/>
      <c r="J71" s="503" t="s">
        <v>169</v>
      </c>
    </row>
    <row r="72" spans="1:11" x14ac:dyDescent="0.2">
      <c r="B72" s="556"/>
      <c r="C72" s="271"/>
      <c r="D72" s="271"/>
      <c r="E72" s="337"/>
      <c r="J72" s="567" t="s">
        <v>247</v>
      </c>
      <c r="K72" s="568"/>
    </row>
    <row r="73" spans="1:11" x14ac:dyDescent="0.2">
      <c r="B73" s="556"/>
      <c r="C73" s="271"/>
      <c r="D73" s="271"/>
      <c r="E73" s="337"/>
      <c r="K73" s="556"/>
    </row>
    <row r="74" spans="1:11" ht="13.5" thickBot="1" x14ac:dyDescent="0.25">
      <c r="B74" s="556"/>
      <c r="C74" s="271"/>
      <c r="D74" s="271"/>
      <c r="E74" s="337"/>
      <c r="J74" s="556" t="s">
        <v>19</v>
      </c>
      <c r="K74" s="569"/>
    </row>
    <row r="75" spans="1:11" x14ac:dyDescent="0.2">
      <c r="B75" s="556"/>
      <c r="C75" s="271"/>
      <c r="D75" s="271"/>
      <c r="E75" s="337"/>
      <c r="J75" s="567" t="s">
        <v>248</v>
      </c>
    </row>
    <row r="77" spans="1:11" x14ac:dyDescent="0.2">
      <c r="A77" s="552" t="s">
        <v>361</v>
      </c>
    </row>
    <row r="78" spans="1:11" x14ac:dyDescent="0.2">
      <c r="G78" s="332">
        <v>565</v>
      </c>
      <c r="H78" s="503" t="s">
        <v>195</v>
      </c>
      <c r="I78" s="271">
        <v>13</v>
      </c>
      <c r="J78" s="556"/>
    </row>
    <row r="79" spans="1:11" ht="13.5" thickBot="1" x14ac:dyDescent="0.25">
      <c r="H79" s="557"/>
      <c r="I79" s="569"/>
      <c r="J79" s="569" t="s">
        <v>195</v>
      </c>
    </row>
    <row r="80" spans="1:11" x14ac:dyDescent="0.2">
      <c r="G80" s="332">
        <v>566</v>
      </c>
      <c r="H80" s="561" t="s">
        <v>352</v>
      </c>
      <c r="I80" s="337">
        <v>4</v>
      </c>
      <c r="J80" s="500" t="s">
        <v>250</v>
      </c>
      <c r="K80" s="568"/>
    </row>
    <row r="81" spans="1:11" x14ac:dyDescent="0.2">
      <c r="J81" s="556"/>
      <c r="K81" s="556"/>
    </row>
    <row r="82" spans="1:11" ht="13.5" thickBot="1" x14ac:dyDescent="0.25">
      <c r="H82" s="556"/>
      <c r="J82" s="569" t="s">
        <v>352</v>
      </c>
      <c r="K82" s="569"/>
    </row>
    <row r="83" spans="1:11" x14ac:dyDescent="0.2">
      <c r="I83" s="556"/>
      <c r="J83" s="500" t="s">
        <v>251</v>
      </c>
    </row>
    <row r="84" spans="1:11" x14ac:dyDescent="0.2">
      <c r="I84" s="556"/>
      <c r="J84" s="500"/>
    </row>
    <row r="85" spans="1:11" x14ac:dyDescent="0.2">
      <c r="A85" s="552" t="s">
        <v>362</v>
      </c>
      <c r="I85" s="556"/>
      <c r="J85" s="500"/>
    </row>
    <row r="86" spans="1:11" x14ac:dyDescent="0.2">
      <c r="G86" s="560">
        <v>561</v>
      </c>
      <c r="H86" s="503" t="s">
        <v>166</v>
      </c>
      <c r="I86" s="271">
        <v>13</v>
      </c>
      <c r="J86" s="556"/>
    </row>
    <row r="87" spans="1:11" ht="13.5" thickBot="1" x14ac:dyDescent="0.25">
      <c r="H87" s="557"/>
      <c r="I87" s="569"/>
      <c r="J87" s="569" t="s">
        <v>166</v>
      </c>
    </row>
    <row r="88" spans="1:11" x14ac:dyDescent="0.2">
      <c r="G88" s="560">
        <v>562</v>
      </c>
      <c r="H88" s="561" t="s">
        <v>176</v>
      </c>
      <c r="I88" s="337">
        <v>5</v>
      </c>
      <c r="J88" s="500" t="s">
        <v>252</v>
      </c>
      <c r="K88" s="568"/>
    </row>
    <row r="89" spans="1:11" x14ac:dyDescent="0.2">
      <c r="J89" s="556"/>
      <c r="K89" s="556"/>
    </row>
    <row r="90" spans="1:11" ht="13.5" thickBot="1" x14ac:dyDescent="0.25">
      <c r="J90" s="569" t="s">
        <v>176</v>
      </c>
      <c r="K90" s="569"/>
    </row>
    <row r="91" spans="1:11" x14ac:dyDescent="0.2">
      <c r="I91" s="556"/>
      <c r="J91" s="500" t="s">
        <v>253</v>
      </c>
    </row>
    <row r="92" spans="1:11" x14ac:dyDescent="0.2">
      <c r="A92" s="331"/>
      <c r="I92" s="556"/>
      <c r="J92" s="500"/>
    </row>
    <row r="93" spans="1:11" x14ac:dyDescent="0.2">
      <c r="A93" s="331" t="s">
        <v>254</v>
      </c>
      <c r="I93" s="556"/>
      <c r="J93" s="500"/>
    </row>
    <row r="94" spans="1:11" x14ac:dyDescent="0.2">
      <c r="B94" s="556"/>
      <c r="D94" s="556"/>
      <c r="E94" s="556"/>
      <c r="F94" s="252">
        <v>553</v>
      </c>
      <c r="G94" s="554" t="s">
        <v>353</v>
      </c>
      <c r="H94" s="337">
        <v>5</v>
      </c>
    </row>
    <row r="95" spans="1:11" x14ac:dyDescent="0.2">
      <c r="F95" s="332"/>
      <c r="G95" s="364"/>
      <c r="H95" s="554" t="s">
        <v>158</v>
      </c>
      <c r="I95" s="271">
        <v>13</v>
      </c>
    </row>
    <row r="96" spans="1:11" x14ac:dyDescent="0.2">
      <c r="F96" s="332">
        <v>554</v>
      </c>
      <c r="G96" s="561" t="s">
        <v>158</v>
      </c>
      <c r="H96" s="361">
        <v>13</v>
      </c>
    </row>
    <row r="97" spans="1:11" ht="13.5" thickBot="1" x14ac:dyDescent="0.25">
      <c r="F97" s="332"/>
      <c r="H97" s="559"/>
      <c r="J97" s="503" t="s">
        <v>158</v>
      </c>
    </row>
    <row r="98" spans="1:11" x14ac:dyDescent="0.2">
      <c r="F98" s="332">
        <v>555</v>
      </c>
      <c r="G98" s="503" t="s">
        <v>186</v>
      </c>
      <c r="H98" s="341">
        <v>13</v>
      </c>
      <c r="I98" s="575"/>
      <c r="J98" s="567" t="s">
        <v>255</v>
      </c>
      <c r="K98" s="568"/>
    </row>
    <row r="99" spans="1:11" x14ac:dyDescent="0.2">
      <c r="F99" s="332"/>
      <c r="G99" s="364"/>
      <c r="H99" s="561" t="s">
        <v>186</v>
      </c>
      <c r="I99" s="271">
        <v>12</v>
      </c>
      <c r="K99" s="556"/>
    </row>
    <row r="100" spans="1:11" ht="13.5" thickBot="1" x14ac:dyDescent="0.25">
      <c r="F100" s="332">
        <v>556</v>
      </c>
      <c r="G100" s="561" t="s">
        <v>495</v>
      </c>
      <c r="H100" s="337">
        <v>12</v>
      </c>
      <c r="I100" s="556"/>
      <c r="J100" s="556" t="s">
        <v>186</v>
      </c>
      <c r="K100" s="569"/>
    </row>
    <row r="101" spans="1:11" x14ac:dyDescent="0.2">
      <c r="F101" s="560"/>
      <c r="I101" s="556"/>
      <c r="J101" s="567" t="s">
        <v>256</v>
      </c>
    </row>
    <row r="102" spans="1:11" x14ac:dyDescent="0.2">
      <c r="F102" s="560"/>
      <c r="G102" s="332"/>
      <c r="H102" s="503" t="s">
        <v>353</v>
      </c>
      <c r="I102" s="271">
        <v>12</v>
      </c>
      <c r="J102" s="556"/>
    </row>
    <row r="103" spans="1:11" ht="13.5" thickBot="1" x14ac:dyDescent="0.25">
      <c r="F103" s="560"/>
      <c r="H103" s="557"/>
      <c r="I103" s="569"/>
      <c r="J103" s="569" t="s">
        <v>495</v>
      </c>
    </row>
    <row r="104" spans="1:11" x14ac:dyDescent="0.2">
      <c r="F104" s="560"/>
      <c r="G104" s="332"/>
      <c r="H104" s="561" t="s">
        <v>495</v>
      </c>
      <c r="I104" s="337">
        <v>13</v>
      </c>
      <c r="J104" s="500" t="s">
        <v>257</v>
      </c>
      <c r="K104" s="568"/>
    </row>
    <row r="105" spans="1:11" x14ac:dyDescent="0.2">
      <c r="F105" s="560"/>
      <c r="J105" s="556"/>
      <c r="K105" s="556"/>
    </row>
    <row r="106" spans="1:11" ht="13.5" thickBot="1" x14ac:dyDescent="0.25">
      <c r="F106" s="560"/>
      <c r="H106" s="556"/>
      <c r="J106" s="569" t="s">
        <v>353</v>
      </c>
      <c r="K106" s="569"/>
    </row>
    <row r="107" spans="1:11" x14ac:dyDescent="0.2">
      <c r="F107" s="560"/>
      <c r="I107" s="556"/>
      <c r="J107" s="500" t="s">
        <v>258</v>
      </c>
    </row>
    <row r="108" spans="1:11" x14ac:dyDescent="0.2">
      <c r="B108" s="556"/>
      <c r="D108" s="556"/>
      <c r="E108" s="556"/>
      <c r="F108" s="556"/>
    </row>
    <row r="109" spans="1:11" x14ac:dyDescent="0.2">
      <c r="A109" s="331" t="s">
        <v>363</v>
      </c>
      <c r="B109" s="556"/>
      <c r="D109" s="556"/>
      <c r="E109" s="556"/>
      <c r="F109" s="556"/>
    </row>
    <row r="110" spans="1:11" x14ac:dyDescent="0.2">
      <c r="F110" s="252">
        <v>545</v>
      </c>
      <c r="G110" s="503" t="s">
        <v>488</v>
      </c>
      <c r="H110" s="337">
        <v>13</v>
      </c>
    </row>
    <row r="111" spans="1:11" x14ac:dyDescent="0.2">
      <c r="F111" s="332"/>
      <c r="G111" s="364"/>
      <c r="H111" s="554" t="s">
        <v>488</v>
      </c>
      <c r="I111" s="271">
        <v>12</v>
      </c>
    </row>
    <row r="112" spans="1:11" x14ac:dyDescent="0.2">
      <c r="F112" s="332">
        <v>546</v>
      </c>
      <c r="G112" s="561" t="s">
        <v>235</v>
      </c>
      <c r="H112" s="361">
        <v>0</v>
      </c>
    </row>
    <row r="113" spans="1:11" ht="13.5" thickBot="1" x14ac:dyDescent="0.25">
      <c r="F113" s="332"/>
      <c r="H113" s="559"/>
      <c r="J113" s="503" t="s">
        <v>485</v>
      </c>
    </row>
    <row r="114" spans="1:11" x14ac:dyDescent="0.2">
      <c r="F114" s="332">
        <v>547</v>
      </c>
      <c r="G114" s="503" t="s">
        <v>235</v>
      </c>
      <c r="H114" s="341">
        <v>0</v>
      </c>
      <c r="I114" s="575"/>
      <c r="J114" s="567" t="s">
        <v>263</v>
      </c>
      <c r="K114" s="568"/>
    </row>
    <row r="115" spans="1:11" x14ac:dyDescent="0.2">
      <c r="F115" s="332"/>
      <c r="G115" s="364"/>
      <c r="H115" s="561" t="s">
        <v>485</v>
      </c>
      <c r="I115" s="271">
        <v>13</v>
      </c>
      <c r="K115" s="556"/>
    </row>
    <row r="116" spans="1:11" ht="13.5" thickBot="1" x14ac:dyDescent="0.25">
      <c r="F116" s="332">
        <v>548</v>
      </c>
      <c r="G116" s="561" t="s">
        <v>485</v>
      </c>
      <c r="H116" s="337">
        <v>13</v>
      </c>
      <c r="I116" s="556"/>
      <c r="J116" s="556" t="s">
        <v>488</v>
      </c>
      <c r="K116" s="569"/>
    </row>
    <row r="117" spans="1:11" x14ac:dyDescent="0.2">
      <c r="F117" s="560"/>
      <c r="I117" s="556"/>
      <c r="J117" s="567" t="s">
        <v>265</v>
      </c>
    </row>
    <row r="118" spans="1:11" x14ac:dyDescent="0.2">
      <c r="F118" s="560"/>
      <c r="G118" s="332"/>
      <c r="H118" s="503" t="s">
        <v>235</v>
      </c>
      <c r="I118" s="271"/>
      <c r="J118" s="556"/>
    </row>
    <row r="119" spans="1:11" ht="13.5" thickBot="1" x14ac:dyDescent="0.25">
      <c r="F119" s="560"/>
      <c r="H119" s="557"/>
      <c r="I119" s="569"/>
      <c r="J119" s="569"/>
    </row>
    <row r="120" spans="1:11" x14ac:dyDescent="0.2">
      <c r="F120" s="560"/>
      <c r="G120" s="332"/>
      <c r="H120" s="561" t="s">
        <v>235</v>
      </c>
      <c r="I120" s="337"/>
      <c r="J120" s="500" t="s">
        <v>268</v>
      </c>
      <c r="K120" s="568"/>
    </row>
    <row r="121" spans="1:11" x14ac:dyDescent="0.2">
      <c r="F121" s="560"/>
      <c r="J121" s="556"/>
      <c r="K121" s="556"/>
    </row>
    <row r="122" spans="1:11" ht="13.5" thickBot="1" x14ac:dyDescent="0.25">
      <c r="F122" s="560"/>
      <c r="H122" s="556"/>
      <c r="J122" s="569"/>
      <c r="K122" s="569"/>
    </row>
    <row r="123" spans="1:11" x14ac:dyDescent="0.2">
      <c r="F123" s="560"/>
      <c r="I123" s="556"/>
      <c r="J123" s="500" t="s">
        <v>269</v>
      </c>
    </row>
    <row r="124" spans="1:11" x14ac:dyDescent="0.2">
      <c r="G124" s="560"/>
      <c r="H124" s="556"/>
      <c r="I124" s="556"/>
      <c r="J124" s="556"/>
    </row>
    <row r="125" spans="1:11" x14ac:dyDescent="0.2">
      <c r="A125" s="552" t="s">
        <v>367</v>
      </c>
      <c r="D125" s="576" t="s">
        <v>368</v>
      </c>
      <c r="G125" s="556"/>
      <c r="H125" s="556"/>
      <c r="I125" s="500"/>
      <c r="J125" s="556"/>
    </row>
    <row r="126" spans="1:11" x14ac:dyDescent="0.2">
      <c r="G126" s="556"/>
      <c r="H126" s="500"/>
      <c r="I126" s="556"/>
      <c r="J126" s="271"/>
    </row>
    <row r="127" spans="1:11" x14ac:dyDescent="0.2">
      <c r="A127" s="577">
        <v>1</v>
      </c>
      <c r="B127" s="578" t="s">
        <v>156</v>
      </c>
      <c r="C127" s="368" t="s">
        <v>369</v>
      </c>
      <c r="D127" s="579" t="s">
        <v>19</v>
      </c>
      <c r="G127" s="556"/>
      <c r="H127" s="556"/>
      <c r="I127" s="556"/>
      <c r="J127" s="556"/>
    </row>
    <row r="128" spans="1:11" x14ac:dyDescent="0.2">
      <c r="A128" s="577">
        <v>2</v>
      </c>
      <c r="B128" s="510" t="s">
        <v>160</v>
      </c>
      <c r="C128" s="368" t="s">
        <v>370</v>
      </c>
      <c r="D128" s="580" t="s">
        <v>195</v>
      </c>
      <c r="G128" s="556"/>
      <c r="H128" s="556"/>
      <c r="I128" s="556"/>
      <c r="J128" s="500"/>
    </row>
    <row r="129" spans="1:10" x14ac:dyDescent="0.2">
      <c r="A129" s="577">
        <v>3</v>
      </c>
      <c r="B129" s="581" t="s">
        <v>169</v>
      </c>
      <c r="C129" s="368" t="s">
        <v>371</v>
      </c>
      <c r="D129" s="582" t="s">
        <v>352</v>
      </c>
      <c r="G129" s="556"/>
      <c r="H129" s="556"/>
      <c r="I129" s="556"/>
      <c r="J129" s="556"/>
    </row>
    <row r="130" spans="1:10" x14ac:dyDescent="0.2">
      <c r="A130" s="577">
        <v>4</v>
      </c>
      <c r="B130" s="583" t="s">
        <v>19</v>
      </c>
      <c r="C130" s="368" t="s">
        <v>372</v>
      </c>
      <c r="D130" s="503" t="s">
        <v>186</v>
      </c>
      <c r="G130" s="252"/>
      <c r="H130" s="556"/>
      <c r="I130" s="271"/>
      <c r="J130" s="556"/>
    </row>
    <row r="131" spans="1:10" x14ac:dyDescent="0.2">
      <c r="A131" s="577">
        <v>5</v>
      </c>
      <c r="B131" s="583" t="s">
        <v>195</v>
      </c>
      <c r="C131" s="368" t="s">
        <v>373</v>
      </c>
      <c r="D131" s="503" t="s">
        <v>495</v>
      </c>
      <c r="H131" s="556"/>
      <c r="I131" s="556"/>
      <c r="J131" s="556"/>
    </row>
    <row r="132" spans="1:10" x14ac:dyDescent="0.2">
      <c r="A132" s="577">
        <v>6</v>
      </c>
      <c r="B132" s="583" t="s">
        <v>352</v>
      </c>
      <c r="C132" s="368" t="s">
        <v>499</v>
      </c>
      <c r="D132" s="503" t="s">
        <v>353</v>
      </c>
    </row>
    <row r="133" spans="1:10" x14ac:dyDescent="0.2">
      <c r="A133" s="577">
        <v>7</v>
      </c>
      <c r="B133" s="583" t="s">
        <v>166</v>
      </c>
      <c r="C133" s="368" t="s">
        <v>500</v>
      </c>
      <c r="D133" s="503" t="s">
        <v>485</v>
      </c>
      <c r="F133" s="584"/>
      <c r="G133" s="551"/>
    </row>
    <row r="134" spans="1:10" x14ac:dyDescent="0.2">
      <c r="A134" s="577">
        <v>8</v>
      </c>
      <c r="B134" s="583" t="s">
        <v>176</v>
      </c>
      <c r="C134" s="368" t="s">
        <v>501</v>
      </c>
      <c r="D134" s="503" t="s">
        <v>488</v>
      </c>
      <c r="F134" s="584"/>
      <c r="G134" s="551"/>
    </row>
    <row r="135" spans="1:10" x14ac:dyDescent="0.2">
      <c r="A135" s="577">
        <v>9</v>
      </c>
      <c r="B135" s="583" t="s">
        <v>158</v>
      </c>
      <c r="C135" s="368"/>
    </row>
    <row r="136" spans="1:10" x14ac:dyDescent="0.2">
      <c r="A136" s="577">
        <v>10</v>
      </c>
      <c r="B136" s="583" t="s">
        <v>186</v>
      </c>
      <c r="C136" s="368"/>
    </row>
    <row r="137" spans="1:10" x14ac:dyDescent="0.2">
      <c r="A137" s="577">
        <v>11</v>
      </c>
      <c r="B137" s="583" t="s">
        <v>495</v>
      </c>
      <c r="D137" s="368"/>
    </row>
    <row r="138" spans="1:10" x14ac:dyDescent="0.2">
      <c r="A138" s="577">
        <v>12</v>
      </c>
      <c r="B138" s="583" t="s">
        <v>353</v>
      </c>
      <c r="D138" s="368"/>
    </row>
    <row r="139" spans="1:10" x14ac:dyDescent="0.2">
      <c r="A139" s="577">
        <v>13</v>
      </c>
      <c r="B139" s="583" t="s">
        <v>485</v>
      </c>
      <c r="D139" s="368"/>
    </row>
    <row r="140" spans="1:10" x14ac:dyDescent="0.2">
      <c r="A140" s="577">
        <v>14</v>
      </c>
      <c r="B140" s="583" t="s">
        <v>488</v>
      </c>
      <c r="D140" s="368"/>
    </row>
  </sheetData>
  <conditionalFormatting sqref="C8:I120">
    <cfRule type="cellIs" dxfId="9" priority="1" stopIfTrue="1" operator="equal">
      <formula>13</formula>
    </cfRule>
  </conditionalFormatting>
  <pageMargins left="0.78740157480314965" right="0.39370078740157483" top="0.59055118110236227" bottom="0.39370078740157483" header="0.39370078740157483" footer="0"/>
  <pageSetup paperSize="9" fitToHeight="0" orientation="landscape" r:id="rId1"/>
  <headerFooter>
    <oddHeader>&amp;R&amp;"Arial,Regular"&amp;9Page &amp;P of &amp;N</oddHeader>
  </headerFooter>
  <rowBreaks count="4" manualBreakCount="4">
    <brk id="39" max="19" man="1"/>
    <brk id="75" max="19" man="1"/>
    <brk id="107" max="19" man="1"/>
    <brk id="141" max="1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6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L1" sqref="L1"/>
    </sheetView>
  </sheetViews>
  <sheetFormatPr defaultRowHeight="12.75" x14ac:dyDescent="0.2"/>
  <cols>
    <col min="1" max="1" width="3.28515625" style="381" customWidth="1"/>
    <col min="2" max="2" width="30.7109375" style="381" bestFit="1" customWidth="1"/>
    <col min="3" max="9" width="7.140625" style="381" customWidth="1"/>
    <col min="10" max="10" width="3.140625" style="381" bestFit="1" customWidth="1"/>
    <col min="11" max="11" width="3.5703125" style="381" customWidth="1"/>
    <col min="12" max="12" width="8.140625" style="381" bestFit="1" customWidth="1"/>
    <col min="13" max="16384" width="9.140625" style="381"/>
  </cols>
  <sheetData>
    <row r="1" spans="1:12" x14ac:dyDescent="0.2">
      <c r="A1" s="491" t="str">
        <f>UPPER((Kalend!E6)&amp;" - "&amp;(Kalend!C6)&amp;" - "&amp;(Kalend!D6))</f>
        <v>V1 - VOKA KARIKAS 1 - DUO</v>
      </c>
      <c r="G1" s="239" t="str">
        <f>HYPERLINK("#'Kalend'!I1","Kalender")</f>
        <v>Kalender</v>
      </c>
      <c r="H1" s="59"/>
      <c r="I1" s="239" t="str">
        <f>HYPERLINK("#'Reit'!G1","Reiting")</f>
        <v>Reiting</v>
      </c>
      <c r="J1" s="59"/>
      <c r="K1" s="59"/>
    </row>
    <row r="2" spans="1:12" x14ac:dyDescent="0.2">
      <c r="A2" s="59" t="str">
        <f>"Toimumisaeg: "&amp;(Kalend!A6)&amp;" kell "&amp;(Kalend!B6)</f>
        <v>Toimumisaeg: K, 06.05.2015 kell 18:00</v>
      </c>
    </row>
    <row r="3" spans="1:12" x14ac:dyDescent="0.2">
      <c r="A3" s="59" t="str">
        <f>"Toimumiskoht: "&amp;(Kalend!F6)</f>
        <v>Toimumiskoht: Voka staadion</v>
      </c>
    </row>
    <row r="4" spans="1:12" x14ac:dyDescent="0.2">
      <c r="A4" s="59" t="str">
        <f>"Korraldaja: "&amp;(Kalend!G6)</f>
        <v>Korraldaja: Johannes Neiland</v>
      </c>
    </row>
    <row r="5" spans="1:12" x14ac:dyDescent="0.2">
      <c r="A5" s="59"/>
    </row>
    <row r="6" spans="1:12" x14ac:dyDescent="0.2">
      <c r="A6" s="286" t="s">
        <v>502</v>
      </c>
    </row>
    <row r="7" spans="1:12" x14ac:dyDescent="0.2">
      <c r="A7" s="286" t="s">
        <v>349</v>
      </c>
    </row>
    <row r="9" spans="1:12" x14ac:dyDescent="0.2">
      <c r="A9" s="585" t="s">
        <v>329</v>
      </c>
      <c r="B9" s="585"/>
      <c r="C9" s="494">
        <v>1</v>
      </c>
      <c r="D9" s="494">
        <v>2</v>
      </c>
      <c r="E9" s="494">
        <v>3</v>
      </c>
      <c r="F9" s="494">
        <v>4</v>
      </c>
      <c r="G9" s="494">
        <v>5</v>
      </c>
      <c r="H9" s="494" t="s">
        <v>330</v>
      </c>
      <c r="I9" s="287" t="s">
        <v>222</v>
      </c>
    </row>
    <row r="10" spans="1:12" x14ac:dyDescent="0.2">
      <c r="A10" s="585">
        <v>1</v>
      </c>
      <c r="B10" s="509" t="s">
        <v>503</v>
      </c>
      <c r="C10" s="586"/>
      <c r="D10" s="495">
        <v>5</v>
      </c>
      <c r="E10" s="495">
        <v>8</v>
      </c>
      <c r="F10" s="495">
        <v>8</v>
      </c>
      <c r="G10" s="495">
        <v>4</v>
      </c>
      <c r="H10" s="587" t="s">
        <v>390</v>
      </c>
      <c r="I10" s="495" t="s">
        <v>388</v>
      </c>
      <c r="L10" s="588" t="s">
        <v>504</v>
      </c>
    </row>
    <row r="11" spans="1:12" x14ac:dyDescent="0.2">
      <c r="A11" s="585">
        <v>2</v>
      </c>
      <c r="B11" s="509" t="s">
        <v>505</v>
      </c>
      <c r="C11" s="495">
        <v>13</v>
      </c>
      <c r="D11" s="586"/>
      <c r="E11" s="495">
        <v>13</v>
      </c>
      <c r="F11" s="495">
        <v>10</v>
      </c>
      <c r="G11" s="495">
        <v>2</v>
      </c>
      <c r="H11" s="587" t="s">
        <v>386</v>
      </c>
      <c r="I11" s="495" t="s">
        <v>276</v>
      </c>
      <c r="J11" s="589" t="s">
        <v>460</v>
      </c>
      <c r="L11" s="588" t="s">
        <v>506</v>
      </c>
    </row>
    <row r="12" spans="1:12" x14ac:dyDescent="0.2">
      <c r="A12" s="585">
        <v>3</v>
      </c>
      <c r="B12" s="509" t="s">
        <v>507</v>
      </c>
      <c r="C12" s="495">
        <v>13</v>
      </c>
      <c r="D12" s="495">
        <v>11</v>
      </c>
      <c r="E12" s="586"/>
      <c r="F12" s="495">
        <v>13</v>
      </c>
      <c r="G12" s="495">
        <v>9</v>
      </c>
      <c r="H12" s="587" t="s">
        <v>386</v>
      </c>
      <c r="I12" s="495" t="s">
        <v>226</v>
      </c>
      <c r="J12" s="589" t="s">
        <v>458</v>
      </c>
      <c r="L12" s="588" t="s">
        <v>506</v>
      </c>
    </row>
    <row r="13" spans="1:12" x14ac:dyDescent="0.2">
      <c r="A13" s="585">
        <v>4</v>
      </c>
      <c r="B13" s="509" t="s">
        <v>508</v>
      </c>
      <c r="C13" s="495">
        <v>13</v>
      </c>
      <c r="D13" s="495">
        <v>13</v>
      </c>
      <c r="E13" s="495">
        <v>10</v>
      </c>
      <c r="F13" s="586"/>
      <c r="G13" s="495">
        <v>3</v>
      </c>
      <c r="H13" s="587" t="s">
        <v>386</v>
      </c>
      <c r="I13" s="495" t="s">
        <v>225</v>
      </c>
      <c r="J13" s="624" t="s">
        <v>563</v>
      </c>
      <c r="L13" s="588" t="s">
        <v>506</v>
      </c>
    </row>
    <row r="14" spans="1:12" x14ac:dyDescent="0.2">
      <c r="A14" s="585">
        <v>5</v>
      </c>
      <c r="B14" s="509" t="s">
        <v>375</v>
      </c>
      <c r="C14" s="495">
        <v>13</v>
      </c>
      <c r="D14" s="495">
        <v>13</v>
      </c>
      <c r="E14" s="495">
        <v>13</v>
      </c>
      <c r="F14" s="495">
        <v>13</v>
      </c>
      <c r="G14" s="586"/>
      <c r="H14" s="587" t="s">
        <v>389</v>
      </c>
      <c r="I14" s="495" t="s">
        <v>224</v>
      </c>
      <c r="L14" s="588" t="s">
        <v>509</v>
      </c>
    </row>
    <row r="15" spans="1:12" x14ac:dyDescent="0.2">
      <c r="A15" s="497"/>
      <c r="B15" s="515"/>
      <c r="C15" s="515"/>
      <c r="D15" s="515"/>
      <c r="E15" s="515"/>
      <c r="F15" s="515"/>
      <c r="G15" s="248"/>
      <c r="H15" s="515"/>
      <c r="I15" s="515"/>
    </row>
    <row r="16" spans="1:12" x14ac:dyDescent="0.2">
      <c r="A16" s="497"/>
      <c r="B16" s="328" t="s">
        <v>341</v>
      </c>
      <c r="C16" s="249" t="s">
        <v>342</v>
      </c>
      <c r="D16" s="249" t="s">
        <v>343</v>
      </c>
      <c r="F16" s="515"/>
      <c r="G16" s="248"/>
      <c r="H16" s="515"/>
      <c r="I16" s="515"/>
    </row>
    <row r="17" spans="1:9" x14ac:dyDescent="0.2">
      <c r="A17" s="497"/>
      <c r="B17" s="328" t="s">
        <v>344</v>
      </c>
      <c r="C17" s="249" t="s">
        <v>392</v>
      </c>
      <c r="D17" s="249" t="s">
        <v>346</v>
      </c>
      <c r="F17" s="515"/>
      <c r="G17" s="248"/>
      <c r="H17" s="515"/>
      <c r="I17" s="515"/>
    </row>
    <row r="18" spans="1:9" x14ac:dyDescent="0.2">
      <c r="A18" s="497"/>
      <c r="B18" s="328" t="s">
        <v>347</v>
      </c>
      <c r="C18" s="249" t="s">
        <v>391</v>
      </c>
      <c r="D18" s="249" t="s">
        <v>348</v>
      </c>
      <c r="F18" s="515"/>
      <c r="G18" s="248"/>
      <c r="H18" s="515"/>
      <c r="I18" s="515"/>
    </row>
    <row r="19" spans="1:9" x14ac:dyDescent="0.2">
      <c r="A19" s="497"/>
      <c r="B19" s="328" t="s">
        <v>393</v>
      </c>
      <c r="C19" s="249" t="s">
        <v>394</v>
      </c>
      <c r="D19" s="249" t="s">
        <v>345</v>
      </c>
      <c r="F19" s="515"/>
      <c r="G19" s="248"/>
      <c r="H19" s="515"/>
      <c r="I19" s="515"/>
    </row>
    <row r="20" spans="1:9" x14ac:dyDescent="0.2">
      <c r="A20" s="497"/>
      <c r="B20" s="328" t="s">
        <v>395</v>
      </c>
      <c r="C20" s="249" t="s">
        <v>334</v>
      </c>
      <c r="D20" s="249" t="s">
        <v>396</v>
      </c>
      <c r="F20" s="515"/>
      <c r="G20" s="248"/>
      <c r="H20" s="515"/>
      <c r="I20" s="515"/>
    </row>
    <row r="22" spans="1:9" x14ac:dyDescent="0.2">
      <c r="A22" s="590">
        <v>1</v>
      </c>
      <c r="B22" s="585" t="s">
        <v>375</v>
      </c>
      <c r="C22" s="588" t="s">
        <v>509</v>
      </c>
    </row>
    <row r="23" spans="1:9" x14ac:dyDescent="0.2">
      <c r="A23" s="590">
        <v>2</v>
      </c>
      <c r="B23" s="591" t="s">
        <v>507</v>
      </c>
      <c r="C23" s="588" t="s">
        <v>506</v>
      </c>
    </row>
    <row r="24" spans="1:9" x14ac:dyDescent="0.2">
      <c r="A24" s="590">
        <v>3</v>
      </c>
      <c r="B24" s="591" t="s">
        <v>508</v>
      </c>
      <c r="C24" s="588" t="s">
        <v>506</v>
      </c>
    </row>
    <row r="25" spans="1:9" x14ac:dyDescent="0.2">
      <c r="A25" s="590">
        <v>4</v>
      </c>
      <c r="B25" s="591" t="s">
        <v>505</v>
      </c>
      <c r="C25" s="588" t="s">
        <v>506</v>
      </c>
    </row>
    <row r="26" spans="1:9" x14ac:dyDescent="0.2">
      <c r="A26" s="590">
        <v>5</v>
      </c>
      <c r="B26" s="591" t="s">
        <v>503</v>
      </c>
      <c r="C26" s="588" t="s">
        <v>504</v>
      </c>
    </row>
  </sheetData>
  <conditionalFormatting sqref="C10:G14">
    <cfRule type="cellIs" dxfId="8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4" manualBreakCount="4">
    <brk id="46" max="16383" man="1"/>
    <brk id="84" max="16383" man="1"/>
    <brk id="122" max="16383" man="1"/>
    <brk id="157" max="16383" man="1"/>
  </rowBreaks>
  <ignoredErrors>
    <ignoredError sqref="J11:J13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1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H1" sqref="H1"/>
    </sheetView>
  </sheetViews>
  <sheetFormatPr defaultRowHeight="12.75" x14ac:dyDescent="0.2"/>
  <cols>
    <col min="1" max="1" width="3.28515625" style="381" customWidth="1"/>
    <col min="2" max="2" width="49.85546875" style="381" bestFit="1" customWidth="1"/>
    <col min="3" max="8" width="8.28515625" style="381" customWidth="1"/>
    <col min="9" max="9" width="3.85546875" style="381" customWidth="1"/>
    <col min="10" max="10" width="8.140625" style="381" bestFit="1" customWidth="1"/>
    <col min="11" max="16384" width="9.140625" style="381"/>
  </cols>
  <sheetData>
    <row r="1" spans="1:10" x14ac:dyDescent="0.2">
      <c r="A1" s="491" t="str">
        <f>UPPER((Kalend!E10)&amp;" - "&amp;(Kalend!C10)&amp;" - "&amp;(Kalend!D10))</f>
        <v>V2 - VOKA KARIKAS 2 - TRIO</v>
      </c>
      <c r="D1" s="239" t="str">
        <f>HYPERLINK("#'Kalend'!I1","Kalender")</f>
        <v>Kalender</v>
      </c>
      <c r="E1" s="59"/>
      <c r="F1" s="239" t="str">
        <f>HYPERLINK("#'Reit'!G1","Reiting")</f>
        <v>Reiting</v>
      </c>
      <c r="G1" s="59"/>
      <c r="H1" s="59"/>
    </row>
    <row r="2" spans="1:10" x14ac:dyDescent="0.2">
      <c r="A2" s="59" t="str">
        <f>"Toimumisaeg: "&amp;(Kalend!A10)&amp;" kell "&amp;(Kalend!B10)</f>
        <v>Toimumisaeg: K, 20.05.2015 kell 18:00</v>
      </c>
    </row>
    <row r="3" spans="1:10" x14ac:dyDescent="0.2">
      <c r="A3" s="59" t="str">
        <f>"Toimumiskoht: "&amp;(Kalend!F10)</f>
        <v>Toimumiskoht: Voka staadion</v>
      </c>
    </row>
    <row r="4" spans="1:10" x14ac:dyDescent="0.2">
      <c r="A4" s="59" t="str">
        <f>"Korraldaja: "&amp;(Kalend!G10)</f>
        <v>Korraldaja: Johannes Neiland</v>
      </c>
    </row>
    <row r="5" spans="1:10" x14ac:dyDescent="0.2">
      <c r="A5" s="59"/>
    </row>
    <row r="6" spans="1:10" x14ac:dyDescent="0.2">
      <c r="A6" s="286" t="s">
        <v>349</v>
      </c>
    </row>
    <row r="8" spans="1:10" x14ac:dyDescent="0.2">
      <c r="A8" s="492" t="s">
        <v>329</v>
      </c>
      <c r="B8" s="492"/>
      <c r="C8" s="287">
        <v>1</v>
      </c>
      <c r="D8" s="287">
        <v>2</v>
      </c>
      <c r="E8" s="287">
        <v>3</v>
      </c>
      <c r="F8" s="287">
        <v>4</v>
      </c>
      <c r="G8" s="287" t="s">
        <v>330</v>
      </c>
      <c r="H8" s="287" t="s">
        <v>222</v>
      </c>
    </row>
    <row r="9" spans="1:10" x14ac:dyDescent="0.2">
      <c r="A9" s="492">
        <v>1</v>
      </c>
      <c r="B9" s="509" t="s">
        <v>510</v>
      </c>
      <c r="C9" s="325"/>
      <c r="D9" s="326">
        <v>13</v>
      </c>
      <c r="E9" s="326">
        <v>13</v>
      </c>
      <c r="F9" s="326">
        <v>13</v>
      </c>
      <c r="G9" s="327" t="s">
        <v>336</v>
      </c>
      <c r="H9" s="326" t="s">
        <v>224</v>
      </c>
      <c r="J9" s="491" t="s">
        <v>511</v>
      </c>
    </row>
    <row r="10" spans="1:10" x14ac:dyDescent="0.2">
      <c r="A10" s="492">
        <v>2</v>
      </c>
      <c r="B10" s="219" t="s">
        <v>512</v>
      </c>
      <c r="C10" s="326">
        <v>11</v>
      </c>
      <c r="D10" s="325"/>
      <c r="E10" s="326">
        <v>13</v>
      </c>
      <c r="F10" s="326">
        <v>11</v>
      </c>
      <c r="G10" s="327" t="s">
        <v>334</v>
      </c>
      <c r="H10" s="326" t="s">
        <v>225</v>
      </c>
      <c r="J10" s="491" t="s">
        <v>513</v>
      </c>
    </row>
    <row r="11" spans="1:10" x14ac:dyDescent="0.2">
      <c r="A11" s="492">
        <v>3</v>
      </c>
      <c r="B11" s="509" t="s">
        <v>514</v>
      </c>
      <c r="C11" s="326">
        <v>8</v>
      </c>
      <c r="D11" s="495">
        <v>4</v>
      </c>
      <c r="E11" s="325"/>
      <c r="F11" s="326">
        <v>9</v>
      </c>
      <c r="G11" s="327" t="s">
        <v>331</v>
      </c>
      <c r="H11" s="495" t="s">
        <v>276</v>
      </c>
      <c r="J11" s="491" t="s">
        <v>504</v>
      </c>
    </row>
    <row r="12" spans="1:10" x14ac:dyDescent="0.2">
      <c r="A12" s="492">
        <v>4</v>
      </c>
      <c r="B12" s="509" t="s">
        <v>515</v>
      </c>
      <c r="C12" s="326">
        <v>1</v>
      </c>
      <c r="D12" s="326">
        <v>13</v>
      </c>
      <c r="E12" s="326">
        <v>13</v>
      </c>
      <c r="F12" s="325"/>
      <c r="G12" s="327" t="s">
        <v>332</v>
      </c>
      <c r="H12" s="326" t="s">
        <v>226</v>
      </c>
      <c r="J12" s="491" t="s">
        <v>506</v>
      </c>
    </row>
    <row r="14" spans="1:10" x14ac:dyDescent="0.2">
      <c r="B14" s="328" t="s">
        <v>341</v>
      </c>
      <c r="C14" s="249" t="s">
        <v>342</v>
      </c>
      <c r="D14" s="249" t="s">
        <v>343</v>
      </c>
    </row>
    <row r="15" spans="1:10" x14ac:dyDescent="0.2">
      <c r="B15" s="328" t="s">
        <v>344</v>
      </c>
      <c r="C15" s="249" t="s">
        <v>345</v>
      </c>
      <c r="D15" s="249" t="s">
        <v>346</v>
      </c>
    </row>
    <row r="16" spans="1:10" x14ac:dyDescent="0.2">
      <c r="B16" s="328" t="s">
        <v>347</v>
      </c>
      <c r="C16" s="249" t="s">
        <v>334</v>
      </c>
      <c r="D16" s="249" t="s">
        <v>348</v>
      </c>
    </row>
    <row r="18" spans="1:3" x14ac:dyDescent="0.2">
      <c r="A18" s="240">
        <v>1</v>
      </c>
      <c r="B18" s="492" t="s">
        <v>510</v>
      </c>
      <c r="C18" s="491" t="s">
        <v>511</v>
      </c>
    </row>
    <row r="19" spans="1:3" x14ac:dyDescent="0.2">
      <c r="A19" s="240">
        <v>2</v>
      </c>
      <c r="B19" s="509" t="s">
        <v>515</v>
      </c>
      <c r="C19" s="491" t="s">
        <v>506</v>
      </c>
    </row>
    <row r="20" spans="1:3" x14ac:dyDescent="0.2">
      <c r="A20" s="240">
        <v>3</v>
      </c>
      <c r="B20" s="219" t="s">
        <v>512</v>
      </c>
      <c r="C20" s="491" t="s">
        <v>513</v>
      </c>
    </row>
    <row r="21" spans="1:3" x14ac:dyDescent="0.2">
      <c r="A21" s="240">
        <v>4</v>
      </c>
      <c r="B21" s="509" t="s">
        <v>514</v>
      </c>
      <c r="C21" s="491" t="s">
        <v>504</v>
      </c>
    </row>
  </sheetData>
  <conditionalFormatting sqref="B10">
    <cfRule type="duplicateValues" dxfId="7" priority="3" stopIfTrue="1"/>
  </conditionalFormatting>
  <conditionalFormatting sqref="B20">
    <cfRule type="duplicateValues" dxfId="6" priority="2" stopIfTrue="1"/>
  </conditionalFormatting>
  <conditionalFormatting sqref="C9:F12">
    <cfRule type="cellIs" dxfId="5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4" manualBreakCount="4">
    <brk id="26" max="16383" man="1"/>
    <brk id="64" max="16383" man="1"/>
    <brk id="102" max="16383" man="1"/>
    <brk id="13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7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K1" sqref="K1"/>
    </sheetView>
  </sheetViews>
  <sheetFormatPr defaultRowHeight="12.75" x14ac:dyDescent="0.2"/>
  <cols>
    <col min="1" max="1" width="3.28515625" style="381" customWidth="1"/>
    <col min="2" max="2" width="30.5703125" style="381" bestFit="1" customWidth="1"/>
    <col min="3" max="10" width="7.42578125" style="381" customWidth="1"/>
    <col min="11" max="11" width="4.7109375" style="381" customWidth="1"/>
    <col min="12" max="16384" width="9.140625" style="381"/>
  </cols>
  <sheetData>
    <row r="1" spans="1:12" x14ac:dyDescent="0.2">
      <c r="A1" s="491" t="str">
        <f>UPPER((Kalend!E14)&amp;" - "&amp;(Kalend!C14)&amp;" - "&amp;(Kalend!D14))</f>
        <v>V3 - VOKA KARIKAS 3 - DUO</v>
      </c>
      <c r="G1" s="239" t="str">
        <f>HYPERLINK("#'Kalend'!I1","Kalender")</f>
        <v>Kalender</v>
      </c>
      <c r="H1" s="59"/>
      <c r="I1" s="239" t="str">
        <f>HYPERLINK("#'Reit'!G1","Reiting")</f>
        <v>Reiting</v>
      </c>
      <c r="J1" s="59"/>
      <c r="K1" s="59"/>
    </row>
    <row r="2" spans="1:12" x14ac:dyDescent="0.2">
      <c r="A2" s="59" t="str">
        <f>"Toimumisaeg: "&amp;(Kalend!A14)&amp;" kell "&amp;(Kalend!B14)</f>
        <v>Toimumisaeg: K, 03.06.2015 kell 18:00</v>
      </c>
    </row>
    <row r="3" spans="1:12" x14ac:dyDescent="0.2">
      <c r="A3" s="59" t="str">
        <f>"Toimumiskoht: "&amp;(Kalend!F14)</f>
        <v>Toimumiskoht: Voka staadion</v>
      </c>
    </row>
    <row r="4" spans="1:12" x14ac:dyDescent="0.2">
      <c r="A4" s="59" t="str">
        <f>"Korraldaja: "&amp;(Kalend!G14)</f>
        <v>Korraldaja: Johannes Neiland</v>
      </c>
    </row>
    <row r="5" spans="1:12" x14ac:dyDescent="0.2">
      <c r="A5" s="59"/>
    </row>
    <row r="6" spans="1:12" x14ac:dyDescent="0.2">
      <c r="A6" s="286" t="s">
        <v>349</v>
      </c>
    </row>
    <row r="8" spans="1:12" s="594" customFormat="1" x14ac:dyDescent="0.2">
      <c r="A8" s="592" t="s">
        <v>329</v>
      </c>
      <c r="B8" s="592"/>
      <c r="C8" s="593">
        <v>1</v>
      </c>
      <c r="D8" s="593">
        <v>2</v>
      </c>
      <c r="E8" s="593">
        <v>3</v>
      </c>
      <c r="F8" s="593">
        <v>4</v>
      </c>
      <c r="G8" s="593">
        <v>5</v>
      </c>
      <c r="H8" s="593">
        <v>6</v>
      </c>
      <c r="I8" s="593" t="s">
        <v>330</v>
      </c>
      <c r="J8" s="287" t="s">
        <v>222</v>
      </c>
    </row>
    <row r="9" spans="1:12" s="594" customFormat="1" x14ac:dyDescent="0.2">
      <c r="A9" s="592">
        <v>1</v>
      </c>
      <c r="B9" s="493" t="s">
        <v>516</v>
      </c>
      <c r="C9" s="595"/>
      <c r="D9" s="596">
        <v>9</v>
      </c>
      <c r="E9" s="596">
        <v>10</v>
      </c>
      <c r="F9" s="596">
        <v>4</v>
      </c>
      <c r="G9" s="596">
        <v>13</v>
      </c>
      <c r="H9" s="596">
        <v>10</v>
      </c>
      <c r="I9" s="597" t="s">
        <v>342</v>
      </c>
      <c r="J9" s="596" t="s">
        <v>388</v>
      </c>
      <c r="L9" s="491" t="s">
        <v>513</v>
      </c>
    </row>
    <row r="10" spans="1:12" s="594" customFormat="1" x14ac:dyDescent="0.2">
      <c r="A10" s="592">
        <v>2</v>
      </c>
      <c r="B10" s="493" t="s">
        <v>298</v>
      </c>
      <c r="C10" s="596">
        <v>13</v>
      </c>
      <c r="D10" s="595"/>
      <c r="E10" s="596">
        <v>13</v>
      </c>
      <c r="F10" s="596">
        <v>2</v>
      </c>
      <c r="G10" s="596">
        <v>13</v>
      </c>
      <c r="H10" s="596">
        <v>13</v>
      </c>
      <c r="I10" s="597" t="s">
        <v>476</v>
      </c>
      <c r="J10" s="596" t="s">
        <v>226</v>
      </c>
      <c r="L10" s="491" t="s">
        <v>509</v>
      </c>
    </row>
    <row r="11" spans="1:12" s="594" customFormat="1" x14ac:dyDescent="0.2">
      <c r="A11" s="592">
        <v>3</v>
      </c>
      <c r="B11" s="493" t="s">
        <v>517</v>
      </c>
      <c r="C11" s="596">
        <v>13</v>
      </c>
      <c r="D11" s="596">
        <v>7</v>
      </c>
      <c r="E11" s="595"/>
      <c r="F11" s="596">
        <v>13</v>
      </c>
      <c r="G11" s="596">
        <v>9</v>
      </c>
      <c r="H11" s="596">
        <v>7</v>
      </c>
      <c r="I11" s="597" t="s">
        <v>343</v>
      </c>
      <c r="J11" s="596" t="s">
        <v>276</v>
      </c>
      <c r="L11" s="491" t="s">
        <v>506</v>
      </c>
    </row>
    <row r="12" spans="1:12" s="598" customFormat="1" x14ac:dyDescent="0.2">
      <c r="A12" s="592">
        <v>4</v>
      </c>
      <c r="B12" s="509" t="s">
        <v>375</v>
      </c>
      <c r="C12" s="596">
        <v>13</v>
      </c>
      <c r="D12" s="596">
        <v>13</v>
      </c>
      <c r="E12" s="596">
        <v>4</v>
      </c>
      <c r="F12" s="595"/>
      <c r="G12" s="596">
        <v>13</v>
      </c>
      <c r="H12" s="596">
        <v>13</v>
      </c>
      <c r="I12" s="597" t="s">
        <v>476</v>
      </c>
      <c r="J12" s="596" t="s">
        <v>224</v>
      </c>
      <c r="L12" s="491" t="s">
        <v>518</v>
      </c>
    </row>
    <row r="13" spans="1:12" s="598" customFormat="1" x14ac:dyDescent="0.2">
      <c r="A13" s="592">
        <v>5</v>
      </c>
      <c r="B13" s="509" t="s">
        <v>519</v>
      </c>
      <c r="C13" s="596">
        <v>10</v>
      </c>
      <c r="D13" s="596">
        <v>4</v>
      </c>
      <c r="E13" s="596">
        <v>13</v>
      </c>
      <c r="F13" s="599">
        <v>11</v>
      </c>
      <c r="G13" s="595"/>
      <c r="H13" s="596">
        <v>10</v>
      </c>
      <c r="I13" s="597" t="s">
        <v>342</v>
      </c>
      <c r="J13" s="596" t="s">
        <v>520</v>
      </c>
      <c r="L13" s="491" t="s">
        <v>504</v>
      </c>
    </row>
    <row r="14" spans="1:12" s="594" customFormat="1" x14ac:dyDescent="0.2">
      <c r="A14" s="592">
        <v>6</v>
      </c>
      <c r="B14" s="493" t="s">
        <v>521</v>
      </c>
      <c r="C14" s="596">
        <v>13</v>
      </c>
      <c r="D14" s="596">
        <v>8</v>
      </c>
      <c r="E14" s="596">
        <v>13</v>
      </c>
      <c r="F14" s="596">
        <v>9</v>
      </c>
      <c r="G14" s="599">
        <v>13</v>
      </c>
      <c r="H14" s="595"/>
      <c r="I14" s="597" t="s">
        <v>409</v>
      </c>
      <c r="J14" s="596" t="s">
        <v>225</v>
      </c>
      <c r="L14" s="491" t="s">
        <v>511</v>
      </c>
    </row>
    <row r="15" spans="1:12" s="594" customFormat="1" x14ac:dyDescent="0.2">
      <c r="A15" s="598"/>
      <c r="C15" s="600"/>
      <c r="D15" s="600"/>
      <c r="E15" s="600"/>
      <c r="F15" s="600"/>
      <c r="G15" s="600"/>
      <c r="H15" s="600"/>
      <c r="I15" s="601"/>
      <c r="J15" s="600"/>
    </row>
    <row r="16" spans="1:12" s="59" customFormat="1" x14ac:dyDescent="0.2">
      <c r="A16" s="65"/>
      <c r="B16" s="328" t="s">
        <v>341</v>
      </c>
      <c r="C16" s="249" t="s">
        <v>522</v>
      </c>
      <c r="D16" s="249" t="s">
        <v>391</v>
      </c>
      <c r="E16" s="249" t="s">
        <v>348</v>
      </c>
      <c r="F16" s="247"/>
      <c r="G16" s="248"/>
      <c r="H16" s="248"/>
      <c r="I16" s="249"/>
      <c r="J16" s="247"/>
    </row>
    <row r="17" spans="1:10" s="59" customFormat="1" x14ac:dyDescent="0.2">
      <c r="A17" s="65"/>
      <c r="B17" s="328" t="s">
        <v>344</v>
      </c>
      <c r="C17" s="249" t="s">
        <v>334</v>
      </c>
      <c r="D17" s="249" t="s">
        <v>394</v>
      </c>
      <c r="E17" s="249" t="s">
        <v>523</v>
      </c>
      <c r="I17" s="249"/>
      <c r="J17" s="247"/>
    </row>
    <row r="18" spans="1:10" s="59" customFormat="1" x14ac:dyDescent="0.2">
      <c r="A18" s="65"/>
      <c r="B18" s="328" t="s">
        <v>347</v>
      </c>
      <c r="C18" s="249" t="s">
        <v>392</v>
      </c>
      <c r="D18" s="249" t="s">
        <v>346</v>
      </c>
      <c r="E18" s="249" t="s">
        <v>524</v>
      </c>
      <c r="I18" s="249"/>
      <c r="J18" s="247"/>
    </row>
    <row r="19" spans="1:10" s="59" customFormat="1" x14ac:dyDescent="0.2">
      <c r="A19" s="65"/>
      <c r="B19" s="328" t="s">
        <v>393</v>
      </c>
      <c r="C19" s="249" t="s">
        <v>345</v>
      </c>
      <c r="D19" s="249" t="s">
        <v>525</v>
      </c>
      <c r="E19" s="249" t="s">
        <v>396</v>
      </c>
      <c r="G19" s="248"/>
      <c r="H19" s="248"/>
      <c r="I19" s="249"/>
      <c r="J19" s="247"/>
    </row>
    <row r="20" spans="1:10" s="59" customFormat="1" x14ac:dyDescent="0.2">
      <c r="A20" s="65"/>
      <c r="B20" s="328" t="s">
        <v>395</v>
      </c>
      <c r="C20" s="249" t="s">
        <v>342</v>
      </c>
      <c r="D20" s="249" t="s">
        <v>343</v>
      </c>
      <c r="E20" s="249" t="s">
        <v>526</v>
      </c>
      <c r="I20" s="249"/>
      <c r="J20" s="602"/>
    </row>
    <row r="22" spans="1:10" x14ac:dyDescent="0.2">
      <c r="A22" s="592">
        <v>1</v>
      </c>
      <c r="B22" s="492" t="s">
        <v>375</v>
      </c>
      <c r="C22" s="491" t="s">
        <v>518</v>
      </c>
    </row>
    <row r="23" spans="1:10" x14ac:dyDescent="0.2">
      <c r="A23" s="592">
        <v>2</v>
      </c>
      <c r="B23" s="493" t="s">
        <v>298</v>
      </c>
      <c r="C23" s="491" t="s">
        <v>509</v>
      </c>
    </row>
    <row r="24" spans="1:10" x14ac:dyDescent="0.2">
      <c r="A24" s="592">
        <v>3</v>
      </c>
      <c r="B24" s="493" t="s">
        <v>521</v>
      </c>
      <c r="C24" s="491" t="s">
        <v>511</v>
      </c>
    </row>
    <row r="25" spans="1:10" x14ac:dyDescent="0.2">
      <c r="A25" s="592">
        <v>4</v>
      </c>
      <c r="B25" s="493" t="s">
        <v>517</v>
      </c>
      <c r="C25" s="491" t="s">
        <v>506</v>
      </c>
    </row>
    <row r="26" spans="1:10" x14ac:dyDescent="0.2">
      <c r="A26" s="592">
        <v>5</v>
      </c>
      <c r="B26" s="493" t="s">
        <v>516</v>
      </c>
      <c r="C26" s="491" t="s">
        <v>513</v>
      </c>
    </row>
    <row r="27" spans="1:10" x14ac:dyDescent="0.2">
      <c r="A27" s="592">
        <v>6</v>
      </c>
      <c r="B27" s="509" t="s">
        <v>519</v>
      </c>
      <c r="C27" s="491" t="s">
        <v>504</v>
      </c>
    </row>
  </sheetData>
  <conditionalFormatting sqref="C9:H14">
    <cfRule type="cellIs" dxfId="4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3" manualBreakCount="3">
    <brk id="40" max="16383" man="1"/>
    <brk id="78" max="16383" man="1"/>
    <brk id="113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9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K1" sqref="K1"/>
    </sheetView>
  </sheetViews>
  <sheetFormatPr defaultRowHeight="12.75" x14ac:dyDescent="0.2"/>
  <cols>
    <col min="1" max="1" width="3.28515625" style="381" customWidth="1"/>
    <col min="2" max="2" width="39.140625" style="381" bestFit="1" customWidth="1"/>
    <col min="3" max="7" width="7.140625" style="381" customWidth="1"/>
    <col min="8" max="9" width="6.42578125" style="381" customWidth="1"/>
    <col min="10" max="10" width="3.140625" style="381" bestFit="1" customWidth="1"/>
    <col min="11" max="16384" width="9.140625" style="381"/>
  </cols>
  <sheetData>
    <row r="1" spans="1:10" x14ac:dyDescent="0.2">
      <c r="A1" s="491" t="str">
        <f>UPPER((Kalend!E18)&amp;" - "&amp;(Kalend!C18)&amp;" - "&amp;(Kalend!D18))</f>
        <v>V4 - VOKA KARIKAS 4 - TRIO</v>
      </c>
      <c r="F1" s="239" t="str">
        <f>HYPERLINK("#'Kalend'!I1","Kalender")</f>
        <v>Kalender</v>
      </c>
      <c r="G1" s="59"/>
      <c r="H1" s="239" t="str">
        <f>HYPERLINK("#'Reit'!G1","Reiting")</f>
        <v>Reiting</v>
      </c>
      <c r="I1" s="59"/>
      <c r="J1" s="59"/>
    </row>
    <row r="2" spans="1:10" x14ac:dyDescent="0.2">
      <c r="A2" s="59" t="str">
        <f>"Toimumisaeg: "&amp;(Kalend!A18)&amp;" kell "&amp;(Kalend!B18)</f>
        <v>Toimumisaeg: K, 17.06.2015 kell 18:00</v>
      </c>
    </row>
    <row r="3" spans="1:10" x14ac:dyDescent="0.2">
      <c r="A3" s="59" t="str">
        <f>"Toimumiskoht: "&amp;(Kalend!F18)</f>
        <v>Toimumiskoht: Voka staadion</v>
      </c>
    </row>
    <row r="4" spans="1:10" x14ac:dyDescent="0.2">
      <c r="A4" s="59" t="str">
        <f>"Korraldaja: "&amp;(Kalend!G18)</f>
        <v>Korraldaja: Johannes Neiland</v>
      </c>
    </row>
    <row r="5" spans="1:10" x14ac:dyDescent="0.2">
      <c r="A5" s="59"/>
    </row>
    <row r="6" spans="1:10" x14ac:dyDescent="0.2">
      <c r="A6" s="286" t="s">
        <v>349</v>
      </c>
    </row>
    <row r="8" spans="1:10" x14ac:dyDescent="0.2">
      <c r="A8" s="492" t="s">
        <v>329</v>
      </c>
      <c r="B8" s="492"/>
      <c r="C8" s="287">
        <v>1</v>
      </c>
      <c r="D8" s="287">
        <v>2</v>
      </c>
      <c r="E8" s="287">
        <v>3</v>
      </c>
      <c r="F8" s="287" t="s">
        <v>330</v>
      </c>
      <c r="G8" s="287" t="s">
        <v>222</v>
      </c>
    </row>
    <row r="9" spans="1:10" x14ac:dyDescent="0.2">
      <c r="A9" s="492">
        <v>1</v>
      </c>
      <c r="B9" s="603" t="s">
        <v>527</v>
      </c>
      <c r="C9" s="325"/>
      <c r="D9" s="326">
        <v>13</v>
      </c>
      <c r="E9" s="326">
        <v>13</v>
      </c>
      <c r="F9" s="327" t="s">
        <v>399</v>
      </c>
      <c r="G9" s="326" t="s">
        <v>224</v>
      </c>
      <c r="I9" s="491" t="s">
        <v>506</v>
      </c>
    </row>
    <row r="10" spans="1:10" x14ac:dyDescent="0.2">
      <c r="A10" s="492">
        <v>2</v>
      </c>
      <c r="B10" s="219" t="s">
        <v>528</v>
      </c>
      <c r="C10" s="326">
        <v>2</v>
      </c>
      <c r="D10" s="325"/>
      <c r="E10" s="326">
        <v>13</v>
      </c>
      <c r="F10" s="327" t="s">
        <v>400</v>
      </c>
      <c r="G10" s="326" t="s">
        <v>226</v>
      </c>
      <c r="I10" s="491" t="s">
        <v>513</v>
      </c>
    </row>
    <row r="11" spans="1:10" x14ac:dyDescent="0.2">
      <c r="A11" s="492">
        <v>3</v>
      </c>
      <c r="B11" s="219" t="s">
        <v>529</v>
      </c>
      <c r="C11" s="326">
        <v>12</v>
      </c>
      <c r="D11" s="495">
        <v>6</v>
      </c>
      <c r="E11" s="325"/>
      <c r="F11" s="327" t="s">
        <v>398</v>
      </c>
      <c r="G11" s="495" t="s">
        <v>225</v>
      </c>
      <c r="I11" s="491" t="s">
        <v>504</v>
      </c>
    </row>
    <row r="13" spans="1:10" x14ac:dyDescent="0.2">
      <c r="A13" s="497"/>
      <c r="B13" s="328" t="s">
        <v>341</v>
      </c>
      <c r="C13" s="249" t="s">
        <v>345</v>
      </c>
      <c r="F13" s="248"/>
      <c r="G13" s="249"/>
      <c r="H13" s="247"/>
    </row>
    <row r="14" spans="1:10" x14ac:dyDescent="0.2">
      <c r="A14" s="497"/>
      <c r="B14" s="328" t="s">
        <v>344</v>
      </c>
      <c r="C14" s="249" t="s">
        <v>343</v>
      </c>
      <c r="E14" s="249"/>
      <c r="F14" s="248"/>
      <c r="G14" s="249"/>
      <c r="H14" s="247"/>
    </row>
    <row r="15" spans="1:10" x14ac:dyDescent="0.2">
      <c r="A15" s="497"/>
      <c r="B15" s="328" t="s">
        <v>347</v>
      </c>
      <c r="C15" s="249" t="s">
        <v>334</v>
      </c>
      <c r="E15" s="249"/>
      <c r="F15" s="248"/>
      <c r="G15" s="249"/>
      <c r="H15" s="247"/>
    </row>
    <row r="17" spans="1:3" x14ac:dyDescent="0.2">
      <c r="A17" s="240">
        <v>1</v>
      </c>
      <c r="B17" s="604" t="s">
        <v>527</v>
      </c>
      <c r="C17" s="491" t="s">
        <v>506</v>
      </c>
    </row>
    <row r="18" spans="1:3" x14ac:dyDescent="0.2">
      <c r="A18" s="240">
        <v>2</v>
      </c>
      <c r="B18" s="219" t="s">
        <v>528</v>
      </c>
      <c r="C18" s="491" t="s">
        <v>513</v>
      </c>
    </row>
    <row r="19" spans="1:3" x14ac:dyDescent="0.2">
      <c r="A19" s="240">
        <v>3</v>
      </c>
      <c r="B19" s="219" t="s">
        <v>529</v>
      </c>
      <c r="C19" s="491" t="s">
        <v>504</v>
      </c>
    </row>
  </sheetData>
  <conditionalFormatting sqref="C9:E11">
    <cfRule type="cellIs" dxfId="3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4" manualBreakCount="4">
    <brk id="26" max="16383" man="1"/>
    <brk id="64" max="16383" man="1"/>
    <brk id="102" max="16383" man="1"/>
    <brk id="137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4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K1" sqref="K1"/>
    </sheetView>
  </sheetViews>
  <sheetFormatPr defaultRowHeight="12.75" x14ac:dyDescent="0.2"/>
  <cols>
    <col min="1" max="1" width="3.28515625" style="381" customWidth="1"/>
    <col min="2" max="2" width="30.7109375" style="381" bestFit="1" customWidth="1"/>
    <col min="3" max="7" width="7.5703125" style="381" customWidth="1"/>
    <col min="8" max="8" width="3.85546875" style="381" customWidth="1"/>
    <col min="9" max="9" width="3.7109375" style="381" customWidth="1"/>
    <col min="10" max="10" width="8.140625" style="381" bestFit="1" customWidth="1"/>
    <col min="11" max="16384" width="9.140625" style="381"/>
  </cols>
  <sheetData>
    <row r="1" spans="1:11" x14ac:dyDescent="0.2">
      <c r="A1" s="491" t="str">
        <f>UPPER((Kalend!E21)&amp;" - "&amp;(Kalend!C21)&amp;" - "&amp;(Kalend!D21))</f>
        <v>V5 - VOKA KARIKAS 5 - DUO</v>
      </c>
      <c r="G1" s="239" t="str">
        <f>HYPERLINK("#'Kalend'!I1","Kalender")</f>
        <v>Kalender</v>
      </c>
      <c r="H1" s="59"/>
      <c r="I1" s="239" t="str">
        <f>HYPERLINK("#'Reit'!G1","Reiting")</f>
        <v>Reiting</v>
      </c>
      <c r="J1" s="59"/>
      <c r="K1" s="59"/>
    </row>
    <row r="2" spans="1:11" x14ac:dyDescent="0.2">
      <c r="A2" s="59" t="str">
        <f>"Toimumisaeg: "&amp;(Kalend!A21)&amp;" kell "&amp;(Kalend!B21)</f>
        <v>Toimumisaeg: K, 01.07.2015 kell 18:00</v>
      </c>
    </row>
    <row r="3" spans="1:11" x14ac:dyDescent="0.2">
      <c r="A3" s="59" t="str">
        <f>"Toimumiskoht: "&amp;(Kalend!F21)</f>
        <v>Toimumiskoht: Voka staadion</v>
      </c>
    </row>
    <row r="4" spans="1:11" x14ac:dyDescent="0.2">
      <c r="A4" s="59" t="str">
        <f>"Korraldaja: "&amp;(Kalend!G21)</f>
        <v>Korraldaja: Johannes Neiland</v>
      </c>
    </row>
    <row r="5" spans="1:11" x14ac:dyDescent="0.2">
      <c r="A5" s="59"/>
    </row>
    <row r="6" spans="1:11" x14ac:dyDescent="0.2">
      <c r="A6" s="286" t="s">
        <v>349</v>
      </c>
    </row>
    <row r="8" spans="1:11" x14ac:dyDescent="0.2">
      <c r="A8" s="492" t="s">
        <v>329</v>
      </c>
      <c r="B8" s="492"/>
      <c r="C8" s="287">
        <v>1</v>
      </c>
      <c r="D8" s="287">
        <v>2</v>
      </c>
      <c r="E8" s="287">
        <v>3</v>
      </c>
      <c r="F8" s="287" t="s">
        <v>330</v>
      </c>
      <c r="G8" s="287" t="s">
        <v>222</v>
      </c>
    </row>
    <row r="9" spans="1:11" x14ac:dyDescent="0.2">
      <c r="A9" s="492">
        <v>1</v>
      </c>
      <c r="B9" s="603" t="s">
        <v>530</v>
      </c>
      <c r="C9" s="325"/>
      <c r="D9" s="326">
        <v>6</v>
      </c>
      <c r="E9" s="326">
        <v>13</v>
      </c>
      <c r="F9" s="327" t="s">
        <v>400</v>
      </c>
      <c r="G9" s="326"/>
      <c r="H9" s="589" t="s">
        <v>531</v>
      </c>
      <c r="J9" s="491" t="s">
        <v>513</v>
      </c>
    </row>
    <row r="10" spans="1:11" x14ac:dyDescent="0.2">
      <c r="A10" s="492">
        <v>2</v>
      </c>
      <c r="B10" s="219" t="s">
        <v>532</v>
      </c>
      <c r="C10" s="326">
        <v>13</v>
      </c>
      <c r="D10" s="325"/>
      <c r="E10" s="326">
        <v>13</v>
      </c>
      <c r="F10" s="327" t="s">
        <v>399</v>
      </c>
      <c r="G10" s="326"/>
      <c r="H10" s="589" t="s">
        <v>533</v>
      </c>
      <c r="J10" s="491" t="s">
        <v>513</v>
      </c>
    </row>
    <row r="11" spans="1:11" x14ac:dyDescent="0.2">
      <c r="A11" s="492">
        <v>3</v>
      </c>
      <c r="B11" s="219" t="s">
        <v>534</v>
      </c>
      <c r="C11" s="326">
        <v>10</v>
      </c>
      <c r="D11" s="495">
        <v>4</v>
      </c>
      <c r="E11" s="325"/>
      <c r="F11" s="327" t="s">
        <v>398</v>
      </c>
      <c r="G11" s="495"/>
      <c r="H11" s="589" t="s">
        <v>535</v>
      </c>
      <c r="J11" s="491" t="s">
        <v>513</v>
      </c>
    </row>
    <row r="13" spans="1:11" x14ac:dyDescent="0.2">
      <c r="A13" s="492" t="s">
        <v>329</v>
      </c>
      <c r="B13" s="492"/>
      <c r="C13" s="287">
        <v>1</v>
      </c>
      <c r="D13" s="287">
        <v>2</v>
      </c>
      <c r="E13" s="287">
        <v>3</v>
      </c>
      <c r="F13" s="287" t="s">
        <v>330</v>
      </c>
      <c r="G13" s="287" t="s">
        <v>222</v>
      </c>
    </row>
    <row r="14" spans="1:11" x14ac:dyDescent="0.2">
      <c r="A14" s="492">
        <v>1</v>
      </c>
      <c r="B14" s="603" t="s">
        <v>530</v>
      </c>
      <c r="C14" s="325"/>
      <c r="D14" s="326">
        <v>13</v>
      </c>
      <c r="E14" s="326">
        <v>7</v>
      </c>
      <c r="F14" s="327" t="s">
        <v>400</v>
      </c>
      <c r="G14" s="326"/>
      <c r="H14" s="589" t="s">
        <v>531</v>
      </c>
    </row>
    <row r="15" spans="1:11" x14ac:dyDescent="0.2">
      <c r="A15" s="492">
        <v>2</v>
      </c>
      <c r="B15" s="219" t="s">
        <v>532</v>
      </c>
      <c r="C15" s="326">
        <v>11</v>
      </c>
      <c r="D15" s="325"/>
      <c r="E15" s="326">
        <v>10</v>
      </c>
      <c r="F15" s="327" t="s">
        <v>398</v>
      </c>
      <c r="G15" s="326"/>
      <c r="H15" s="589" t="s">
        <v>536</v>
      </c>
    </row>
    <row r="16" spans="1:11" x14ac:dyDescent="0.2">
      <c r="A16" s="492">
        <v>3</v>
      </c>
      <c r="B16" s="219" t="s">
        <v>534</v>
      </c>
      <c r="C16" s="326">
        <v>13</v>
      </c>
      <c r="D16" s="495">
        <v>13</v>
      </c>
      <c r="E16" s="325"/>
      <c r="F16" s="327" t="s">
        <v>399</v>
      </c>
      <c r="G16" s="495"/>
      <c r="H16" s="280">
        <v>9</v>
      </c>
    </row>
    <row r="18" spans="1:8" x14ac:dyDescent="0.2">
      <c r="A18" s="497"/>
      <c r="B18" s="328" t="s">
        <v>341</v>
      </c>
      <c r="C18" s="249" t="s">
        <v>345</v>
      </c>
      <c r="F18" s="248"/>
      <c r="G18" s="249"/>
      <c r="H18" s="247"/>
    </row>
    <row r="19" spans="1:8" x14ac:dyDescent="0.2">
      <c r="A19" s="497"/>
      <c r="B19" s="328" t="s">
        <v>344</v>
      </c>
      <c r="C19" s="249" t="s">
        <v>343</v>
      </c>
      <c r="E19" s="249"/>
      <c r="F19" s="248"/>
      <c r="G19" s="249"/>
      <c r="H19" s="247"/>
    </row>
    <row r="20" spans="1:8" x14ac:dyDescent="0.2">
      <c r="A20" s="497"/>
      <c r="B20" s="328" t="s">
        <v>347</v>
      </c>
      <c r="C20" s="249" t="s">
        <v>334</v>
      </c>
      <c r="E20" s="249"/>
      <c r="F20" s="248"/>
      <c r="G20" s="249"/>
      <c r="H20" s="247"/>
    </row>
    <row r="22" spans="1:8" x14ac:dyDescent="0.2">
      <c r="A22" s="240">
        <v>1</v>
      </c>
      <c r="B22" s="240" t="s">
        <v>532</v>
      </c>
      <c r="C22" s="491" t="s">
        <v>513</v>
      </c>
      <c r="E22" s="312" t="s">
        <v>386</v>
      </c>
      <c r="G22" s="605" t="s">
        <v>537</v>
      </c>
    </row>
    <row r="23" spans="1:8" x14ac:dyDescent="0.2">
      <c r="A23" s="240">
        <v>2</v>
      </c>
      <c r="B23" s="219" t="s">
        <v>534</v>
      </c>
      <c r="C23" s="491" t="s">
        <v>513</v>
      </c>
      <c r="E23" s="312" t="s">
        <v>386</v>
      </c>
      <c r="G23" s="605" t="s">
        <v>538</v>
      </c>
    </row>
    <row r="24" spans="1:8" x14ac:dyDescent="0.2">
      <c r="A24" s="240">
        <v>3</v>
      </c>
      <c r="B24" s="603" t="s">
        <v>530</v>
      </c>
      <c r="C24" s="491" t="s">
        <v>513</v>
      </c>
      <c r="E24" s="312" t="s">
        <v>386</v>
      </c>
      <c r="G24" s="605" t="s">
        <v>539</v>
      </c>
    </row>
  </sheetData>
  <conditionalFormatting sqref="C9:E16">
    <cfRule type="cellIs" dxfId="2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4" manualBreakCount="4">
    <brk id="31" max="16383" man="1"/>
    <brk id="69" max="16383" man="1"/>
    <brk id="107" max="16383" man="1"/>
    <brk id="142" max="16383" man="1"/>
  </rowBreaks>
  <ignoredErrors>
    <ignoredError sqref="H9:H16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6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J1" sqref="J1"/>
    </sheetView>
  </sheetViews>
  <sheetFormatPr defaultRowHeight="12.75" x14ac:dyDescent="0.2"/>
  <cols>
    <col min="1" max="1" width="3.28515625" style="381" customWidth="1"/>
    <col min="2" max="2" width="41.42578125" style="381" bestFit="1" customWidth="1"/>
    <col min="3" max="9" width="6.5703125" style="381" customWidth="1"/>
    <col min="10" max="10" width="4.140625" style="381" bestFit="1" customWidth="1"/>
    <col min="11" max="11" width="3.7109375" style="381" customWidth="1"/>
    <col min="12" max="16384" width="9.140625" style="381"/>
  </cols>
  <sheetData>
    <row r="1" spans="1:12" x14ac:dyDescent="0.2">
      <c r="A1" s="491" t="str">
        <f>UPPER((Kalend!E25)&amp;" - "&amp;(Kalend!C25)&amp;" - "&amp;(Kalend!D25))</f>
        <v>V6 - VOKA KARIKAS 6 - TRIO</v>
      </c>
      <c r="F1" s="239" t="str">
        <f>HYPERLINK("#'Kalend'!I1","Kalender")</f>
        <v>Kalender</v>
      </c>
      <c r="G1" s="59"/>
      <c r="H1" s="239" t="str">
        <f>HYPERLINK("#'Reit'!G1","Reiting")</f>
        <v>Reiting</v>
      </c>
      <c r="I1" s="59"/>
      <c r="J1" s="59"/>
    </row>
    <row r="2" spans="1:12" x14ac:dyDescent="0.2">
      <c r="A2" s="59" t="str">
        <f>"Toimumisaeg: "&amp;(Kalend!A25)&amp;" kell "&amp;(Kalend!B25)</f>
        <v>Toimumisaeg: K, 15.07.2015 kell 18:00</v>
      </c>
    </row>
    <row r="3" spans="1:12" x14ac:dyDescent="0.2">
      <c r="A3" s="59" t="str">
        <f>"Toimumiskoht: "&amp;(Kalend!F25)</f>
        <v>Toimumiskoht: Voka staadion</v>
      </c>
    </row>
    <row r="4" spans="1:12" x14ac:dyDescent="0.2">
      <c r="A4" s="59" t="str">
        <f>"Korraldaja: "&amp;(Kalend!G25)</f>
        <v>Korraldaja: Johannes Neiland</v>
      </c>
    </row>
    <row r="5" spans="1:12" x14ac:dyDescent="0.2">
      <c r="A5" s="59"/>
    </row>
    <row r="6" spans="1:12" x14ac:dyDescent="0.2">
      <c r="A6" s="286" t="s">
        <v>349</v>
      </c>
    </row>
    <row r="8" spans="1:12" s="606" customFormat="1" x14ac:dyDescent="0.2">
      <c r="A8" s="585" t="s">
        <v>329</v>
      </c>
      <c r="B8" s="585"/>
      <c r="C8" s="494">
        <v>1</v>
      </c>
      <c r="D8" s="494">
        <v>2</v>
      </c>
      <c r="E8" s="494">
        <v>3</v>
      </c>
      <c r="F8" s="494">
        <v>4</v>
      </c>
      <c r="G8" s="494">
        <v>5</v>
      </c>
      <c r="H8" s="494" t="s">
        <v>330</v>
      </c>
      <c r="I8" s="287" t="s">
        <v>222</v>
      </c>
    </row>
    <row r="9" spans="1:12" s="606" customFormat="1" x14ac:dyDescent="0.2">
      <c r="A9" s="585">
        <v>1</v>
      </c>
      <c r="B9" s="603" t="s">
        <v>540</v>
      </c>
      <c r="C9" s="586"/>
      <c r="D9" s="495">
        <v>9</v>
      </c>
      <c r="E9" s="495">
        <v>7</v>
      </c>
      <c r="F9" s="495">
        <v>13</v>
      </c>
      <c r="G9" s="495">
        <v>13</v>
      </c>
      <c r="H9" s="587" t="s">
        <v>386</v>
      </c>
      <c r="I9" s="495" t="s">
        <v>276</v>
      </c>
      <c r="J9" s="607" t="s">
        <v>541</v>
      </c>
      <c r="L9" s="588" t="s">
        <v>506</v>
      </c>
    </row>
    <row r="10" spans="1:12" s="606" customFormat="1" x14ac:dyDescent="0.2">
      <c r="A10" s="585">
        <v>2</v>
      </c>
      <c r="B10" s="591" t="s">
        <v>542</v>
      </c>
      <c r="C10" s="495">
        <v>13</v>
      </c>
      <c r="D10" s="586"/>
      <c r="E10" s="495">
        <v>13</v>
      </c>
      <c r="F10" s="495">
        <v>6</v>
      </c>
      <c r="G10" s="495">
        <v>12</v>
      </c>
      <c r="H10" s="587" t="s">
        <v>386</v>
      </c>
      <c r="I10" s="495" t="s">
        <v>226</v>
      </c>
      <c r="J10" s="607" t="s">
        <v>543</v>
      </c>
      <c r="L10" s="588" t="s">
        <v>506</v>
      </c>
    </row>
    <row r="11" spans="1:12" s="606" customFormat="1" x14ac:dyDescent="0.2">
      <c r="A11" s="585">
        <v>3</v>
      </c>
      <c r="B11" s="591" t="s">
        <v>544</v>
      </c>
      <c r="C11" s="495">
        <v>13</v>
      </c>
      <c r="D11" s="495">
        <v>4</v>
      </c>
      <c r="E11" s="586"/>
      <c r="F11" s="495">
        <v>13</v>
      </c>
      <c r="G11" s="495">
        <v>7</v>
      </c>
      <c r="H11" s="587" t="s">
        <v>386</v>
      </c>
      <c r="I11" s="495" t="s">
        <v>225</v>
      </c>
      <c r="J11" s="607" t="s">
        <v>471</v>
      </c>
      <c r="L11" s="588" t="s">
        <v>506</v>
      </c>
    </row>
    <row r="12" spans="1:12" s="606" customFormat="1" x14ac:dyDescent="0.2">
      <c r="A12" s="585">
        <v>4</v>
      </c>
      <c r="B12" s="591" t="s">
        <v>545</v>
      </c>
      <c r="C12" s="495">
        <v>3</v>
      </c>
      <c r="D12" s="495">
        <v>13</v>
      </c>
      <c r="E12" s="495">
        <v>8</v>
      </c>
      <c r="F12" s="586"/>
      <c r="G12" s="495">
        <v>10</v>
      </c>
      <c r="H12" s="587" t="s">
        <v>345</v>
      </c>
      <c r="I12" s="495" t="s">
        <v>388</v>
      </c>
      <c r="L12" s="588" t="s">
        <v>504</v>
      </c>
    </row>
    <row r="13" spans="1:12" s="606" customFormat="1" x14ac:dyDescent="0.2">
      <c r="A13" s="585">
        <v>5</v>
      </c>
      <c r="B13" s="591" t="s">
        <v>546</v>
      </c>
      <c r="C13" s="495">
        <v>3</v>
      </c>
      <c r="D13" s="495">
        <v>13</v>
      </c>
      <c r="E13" s="495">
        <v>13</v>
      </c>
      <c r="F13" s="495">
        <v>13</v>
      </c>
      <c r="G13" s="586"/>
      <c r="H13" s="587" t="s">
        <v>387</v>
      </c>
      <c r="I13" s="495" t="s">
        <v>224</v>
      </c>
      <c r="L13" s="588" t="s">
        <v>509</v>
      </c>
    </row>
    <row r="14" spans="1:12" s="606" customFormat="1" x14ac:dyDescent="0.2">
      <c r="A14" s="608"/>
      <c r="B14" s="609"/>
      <c r="C14" s="609"/>
      <c r="D14" s="609"/>
      <c r="E14" s="609"/>
      <c r="F14" s="609"/>
      <c r="G14" s="502"/>
      <c r="H14" s="609"/>
      <c r="I14" s="609"/>
    </row>
    <row r="15" spans="1:12" s="606" customFormat="1" x14ac:dyDescent="0.2">
      <c r="A15" s="608"/>
      <c r="B15" s="610" t="s">
        <v>341</v>
      </c>
      <c r="C15" s="611" t="s">
        <v>391</v>
      </c>
      <c r="D15" s="611" t="s">
        <v>348</v>
      </c>
      <c r="F15" s="609"/>
      <c r="G15" s="502"/>
      <c r="H15" s="609"/>
      <c r="I15" s="609"/>
    </row>
    <row r="16" spans="1:12" s="606" customFormat="1" x14ac:dyDescent="0.2">
      <c r="A16" s="608"/>
      <c r="B16" s="610" t="s">
        <v>344</v>
      </c>
      <c r="C16" s="611" t="s">
        <v>334</v>
      </c>
      <c r="D16" s="611" t="s">
        <v>394</v>
      </c>
      <c r="F16" s="609"/>
      <c r="G16" s="502"/>
      <c r="H16" s="609"/>
      <c r="I16" s="609"/>
    </row>
    <row r="17" spans="1:9" s="606" customFormat="1" x14ac:dyDescent="0.2">
      <c r="A17" s="608"/>
      <c r="B17" s="610" t="s">
        <v>347</v>
      </c>
      <c r="C17" s="611" t="s">
        <v>392</v>
      </c>
      <c r="D17" s="611" t="s">
        <v>346</v>
      </c>
      <c r="F17" s="609"/>
      <c r="G17" s="502"/>
      <c r="H17" s="609"/>
      <c r="I17" s="609"/>
    </row>
    <row r="18" spans="1:9" s="606" customFormat="1" x14ac:dyDescent="0.2">
      <c r="A18" s="608"/>
      <c r="B18" s="610" t="s">
        <v>393</v>
      </c>
      <c r="C18" s="611" t="s">
        <v>345</v>
      </c>
      <c r="D18" s="611" t="s">
        <v>396</v>
      </c>
      <c r="F18" s="609"/>
      <c r="G18" s="502"/>
      <c r="H18" s="609"/>
      <c r="I18" s="609"/>
    </row>
    <row r="19" spans="1:9" s="606" customFormat="1" x14ac:dyDescent="0.2">
      <c r="A19" s="608"/>
      <c r="B19" s="610" t="s">
        <v>395</v>
      </c>
      <c r="C19" s="611" t="s">
        <v>342</v>
      </c>
      <c r="D19" s="611" t="s">
        <v>343</v>
      </c>
      <c r="F19" s="609"/>
      <c r="G19" s="502"/>
      <c r="H19" s="609"/>
      <c r="I19" s="609"/>
    </row>
    <row r="20" spans="1:9" s="606" customFormat="1" x14ac:dyDescent="0.2"/>
    <row r="21" spans="1:9" s="606" customFormat="1" x14ac:dyDescent="0.2">
      <c r="A21" s="590">
        <v>1</v>
      </c>
      <c r="B21" s="585" t="s">
        <v>546</v>
      </c>
      <c r="C21" s="588" t="s">
        <v>509</v>
      </c>
    </row>
    <row r="22" spans="1:9" s="606" customFormat="1" x14ac:dyDescent="0.2">
      <c r="A22" s="590">
        <v>2</v>
      </c>
      <c r="B22" s="591" t="s">
        <v>542</v>
      </c>
      <c r="C22" s="588" t="s">
        <v>506</v>
      </c>
    </row>
    <row r="23" spans="1:9" s="606" customFormat="1" x14ac:dyDescent="0.2">
      <c r="A23" s="590">
        <v>3</v>
      </c>
      <c r="B23" s="591" t="s">
        <v>544</v>
      </c>
      <c r="C23" s="588" t="s">
        <v>506</v>
      </c>
    </row>
    <row r="24" spans="1:9" s="606" customFormat="1" x14ac:dyDescent="0.2">
      <c r="A24" s="590">
        <v>4</v>
      </c>
      <c r="B24" s="603" t="s">
        <v>540</v>
      </c>
      <c r="C24" s="588" t="s">
        <v>506</v>
      </c>
    </row>
    <row r="25" spans="1:9" s="606" customFormat="1" x14ac:dyDescent="0.2">
      <c r="A25" s="590">
        <v>5</v>
      </c>
      <c r="B25" s="591" t="s">
        <v>545</v>
      </c>
      <c r="C25" s="588" t="s">
        <v>504</v>
      </c>
    </row>
    <row r="26" spans="1:9" s="606" customFormat="1" x14ac:dyDescent="0.2"/>
  </sheetData>
  <conditionalFormatting sqref="C9:G13">
    <cfRule type="cellIs" dxfId="1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4" manualBreakCount="4">
    <brk id="26" max="16383" man="1"/>
    <brk id="64" max="16383" man="1"/>
    <brk id="102" max="16383" man="1"/>
    <brk id="137" max="16383" man="1"/>
  </rowBreaks>
  <ignoredErrors>
    <ignoredError sqref="J9:J11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5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K1" sqref="K1"/>
    </sheetView>
  </sheetViews>
  <sheetFormatPr defaultRowHeight="12.75" x14ac:dyDescent="0.2"/>
  <cols>
    <col min="1" max="1" width="3.28515625" style="381" customWidth="1"/>
    <col min="2" max="2" width="30.7109375" style="381" bestFit="1" customWidth="1"/>
    <col min="3" max="9" width="7.7109375" style="381" customWidth="1"/>
    <col min="10" max="10" width="3.140625" style="381" bestFit="1" customWidth="1"/>
    <col min="11" max="11" width="3.28515625" style="381" customWidth="1"/>
    <col min="12" max="16384" width="9.140625" style="381"/>
  </cols>
  <sheetData>
    <row r="1" spans="1:12" x14ac:dyDescent="0.2">
      <c r="A1" s="491" t="str">
        <f>UPPER((Kalend!E29)&amp;" - "&amp;(Kalend!C29)&amp;" - "&amp;(Kalend!D29))</f>
        <v>V7 - VOKA KARIKAS 7 - DUO</v>
      </c>
      <c r="G1" s="239" t="str">
        <f>HYPERLINK("#'Kalend'!I1","Kalender")</f>
        <v>Kalender</v>
      </c>
      <c r="H1" s="59"/>
      <c r="I1" s="239" t="str">
        <f>HYPERLINK("#'Reit'!G1","Reiting")</f>
        <v>Reiting</v>
      </c>
      <c r="J1" s="59"/>
      <c r="K1" s="59"/>
    </row>
    <row r="2" spans="1:12" x14ac:dyDescent="0.2">
      <c r="A2" s="59" t="str">
        <f>"Toimumisaeg: "&amp;(Kalend!A29)&amp;" kell "&amp;(Kalend!B29)</f>
        <v>Toimumisaeg: K, 05.08.2015 kell 18:00</v>
      </c>
    </row>
    <row r="3" spans="1:12" x14ac:dyDescent="0.2">
      <c r="A3" s="59" t="str">
        <f>"Toimumiskoht: "&amp;(Kalend!F29)</f>
        <v>Toimumiskoht: Voka staadion</v>
      </c>
    </row>
    <row r="4" spans="1:12" x14ac:dyDescent="0.2">
      <c r="A4" s="59" t="str">
        <f>"Korraldaja: "&amp;(Kalend!G29)</f>
        <v>Korraldaja: Johannes Neiland</v>
      </c>
    </row>
    <row r="5" spans="1:12" x14ac:dyDescent="0.2">
      <c r="A5" s="59"/>
    </row>
    <row r="6" spans="1:12" x14ac:dyDescent="0.2">
      <c r="A6" s="286" t="s">
        <v>349</v>
      </c>
    </row>
    <row r="8" spans="1:12" s="606" customFormat="1" x14ac:dyDescent="0.2">
      <c r="A8" s="585" t="s">
        <v>329</v>
      </c>
      <c r="B8" s="585"/>
      <c r="C8" s="494">
        <v>1</v>
      </c>
      <c r="D8" s="494">
        <v>2</v>
      </c>
      <c r="E8" s="494">
        <v>3</v>
      </c>
      <c r="F8" s="494">
        <v>4</v>
      </c>
      <c r="G8" s="494">
        <v>5</v>
      </c>
      <c r="H8" s="494" t="s">
        <v>330</v>
      </c>
      <c r="I8" s="287" t="s">
        <v>222</v>
      </c>
    </row>
    <row r="9" spans="1:12" s="606" customFormat="1" x14ac:dyDescent="0.2">
      <c r="A9" s="585">
        <v>1</v>
      </c>
      <c r="B9" s="591" t="s">
        <v>547</v>
      </c>
      <c r="C9" s="586"/>
      <c r="D9" s="495">
        <v>6</v>
      </c>
      <c r="E9" s="495">
        <v>6</v>
      </c>
      <c r="F9" s="495">
        <v>4</v>
      </c>
      <c r="G9" s="495">
        <v>7</v>
      </c>
      <c r="H9" s="587" t="s">
        <v>390</v>
      </c>
      <c r="I9" s="495" t="s">
        <v>388</v>
      </c>
      <c r="L9" s="612" t="s">
        <v>504</v>
      </c>
    </row>
    <row r="10" spans="1:12" s="606" customFormat="1" x14ac:dyDescent="0.2">
      <c r="A10" s="585">
        <v>2</v>
      </c>
      <c r="B10" s="591" t="s">
        <v>548</v>
      </c>
      <c r="C10" s="495">
        <v>13</v>
      </c>
      <c r="D10" s="586"/>
      <c r="E10" s="613">
        <v>13</v>
      </c>
      <c r="F10" s="613">
        <v>13</v>
      </c>
      <c r="G10" s="613">
        <v>9</v>
      </c>
      <c r="H10" s="587" t="s">
        <v>387</v>
      </c>
      <c r="I10" s="495" t="s">
        <v>226</v>
      </c>
      <c r="J10" s="607" t="s">
        <v>458</v>
      </c>
      <c r="L10" s="612" t="s">
        <v>511</v>
      </c>
    </row>
    <row r="11" spans="1:12" s="606" customFormat="1" x14ac:dyDescent="0.2">
      <c r="A11" s="585">
        <v>3</v>
      </c>
      <c r="B11" s="591" t="s">
        <v>508</v>
      </c>
      <c r="C11" s="495">
        <v>13</v>
      </c>
      <c r="D11" s="613">
        <v>8</v>
      </c>
      <c r="E11" s="586"/>
      <c r="F11" s="495">
        <v>13</v>
      </c>
      <c r="G11" s="613">
        <v>13</v>
      </c>
      <c r="H11" s="587" t="s">
        <v>387</v>
      </c>
      <c r="I11" s="495" t="s">
        <v>225</v>
      </c>
      <c r="J11" s="607" t="s">
        <v>471</v>
      </c>
      <c r="L11" s="612" t="s">
        <v>511</v>
      </c>
    </row>
    <row r="12" spans="1:12" s="606" customFormat="1" x14ac:dyDescent="0.2">
      <c r="A12" s="585">
        <v>4</v>
      </c>
      <c r="B12" s="591" t="s">
        <v>549</v>
      </c>
      <c r="C12" s="495">
        <v>13</v>
      </c>
      <c r="D12" s="613">
        <v>5</v>
      </c>
      <c r="E12" s="495">
        <v>7</v>
      </c>
      <c r="F12" s="586"/>
      <c r="G12" s="495">
        <v>5</v>
      </c>
      <c r="H12" s="587" t="s">
        <v>345</v>
      </c>
      <c r="I12" s="495" t="s">
        <v>276</v>
      </c>
      <c r="L12" s="612" t="s">
        <v>513</v>
      </c>
    </row>
    <row r="13" spans="1:12" s="606" customFormat="1" x14ac:dyDescent="0.2">
      <c r="A13" s="585">
        <v>5</v>
      </c>
      <c r="B13" s="591" t="s">
        <v>550</v>
      </c>
      <c r="C13" s="495">
        <v>13</v>
      </c>
      <c r="D13" s="613">
        <v>13</v>
      </c>
      <c r="E13" s="613">
        <v>11</v>
      </c>
      <c r="F13" s="495">
        <v>13</v>
      </c>
      <c r="G13" s="586"/>
      <c r="H13" s="587" t="s">
        <v>387</v>
      </c>
      <c r="I13" s="495" t="s">
        <v>224</v>
      </c>
      <c r="J13" s="607" t="s">
        <v>551</v>
      </c>
      <c r="L13" s="612" t="s">
        <v>511</v>
      </c>
    </row>
    <row r="14" spans="1:12" s="606" customFormat="1" x14ac:dyDescent="0.2">
      <c r="A14" s="608"/>
      <c r="B14" s="609"/>
      <c r="C14" s="609"/>
      <c r="D14" s="609"/>
      <c r="E14" s="609"/>
      <c r="F14" s="609"/>
      <c r="G14" s="502"/>
      <c r="H14" s="609"/>
      <c r="I14" s="609"/>
    </row>
    <row r="15" spans="1:12" s="606" customFormat="1" x14ac:dyDescent="0.2">
      <c r="A15" s="608"/>
      <c r="B15" s="610" t="s">
        <v>341</v>
      </c>
      <c r="C15" s="611" t="s">
        <v>391</v>
      </c>
      <c r="D15" s="611" t="s">
        <v>348</v>
      </c>
      <c r="G15" s="502"/>
      <c r="H15" s="609"/>
      <c r="I15" s="609"/>
    </row>
    <row r="16" spans="1:12" s="606" customFormat="1" x14ac:dyDescent="0.2">
      <c r="A16" s="608"/>
      <c r="B16" s="610" t="s">
        <v>344</v>
      </c>
      <c r="C16" s="611" t="s">
        <v>334</v>
      </c>
      <c r="D16" s="611" t="s">
        <v>394</v>
      </c>
      <c r="G16" s="502"/>
      <c r="H16" s="609"/>
      <c r="I16" s="609"/>
    </row>
    <row r="17" spans="1:9" s="606" customFormat="1" x14ac:dyDescent="0.2">
      <c r="A17" s="608"/>
      <c r="B17" s="610" t="s">
        <v>347</v>
      </c>
      <c r="C17" s="611" t="s">
        <v>392</v>
      </c>
      <c r="D17" s="611" t="s">
        <v>346</v>
      </c>
      <c r="G17" s="502"/>
      <c r="H17" s="609"/>
      <c r="I17" s="609"/>
    </row>
    <row r="18" spans="1:9" s="606" customFormat="1" x14ac:dyDescent="0.2">
      <c r="A18" s="608"/>
      <c r="B18" s="610" t="s">
        <v>393</v>
      </c>
      <c r="C18" s="611" t="s">
        <v>345</v>
      </c>
      <c r="D18" s="611" t="s">
        <v>396</v>
      </c>
      <c r="G18" s="502"/>
      <c r="H18" s="609"/>
      <c r="I18" s="609"/>
    </row>
    <row r="19" spans="1:9" s="606" customFormat="1" x14ac:dyDescent="0.2">
      <c r="A19" s="608"/>
      <c r="B19" s="610" t="s">
        <v>395</v>
      </c>
      <c r="C19" s="611" t="s">
        <v>342</v>
      </c>
      <c r="D19" s="611" t="s">
        <v>343</v>
      </c>
      <c r="G19" s="502"/>
      <c r="H19" s="609"/>
      <c r="I19" s="609"/>
    </row>
    <row r="20" spans="1:9" s="606" customFormat="1" x14ac:dyDescent="0.2"/>
    <row r="21" spans="1:9" s="606" customFormat="1" x14ac:dyDescent="0.2">
      <c r="A21" s="590">
        <v>1</v>
      </c>
      <c r="B21" s="585" t="s">
        <v>550</v>
      </c>
      <c r="C21" s="588" t="s">
        <v>511</v>
      </c>
    </row>
    <row r="22" spans="1:9" s="606" customFormat="1" x14ac:dyDescent="0.2">
      <c r="A22" s="590">
        <v>2</v>
      </c>
      <c r="B22" s="591" t="s">
        <v>548</v>
      </c>
      <c r="C22" s="588" t="s">
        <v>511</v>
      </c>
    </row>
    <row r="23" spans="1:9" s="606" customFormat="1" x14ac:dyDescent="0.2">
      <c r="A23" s="590">
        <v>3</v>
      </c>
      <c r="B23" s="591" t="s">
        <v>508</v>
      </c>
      <c r="C23" s="588" t="s">
        <v>511</v>
      </c>
    </row>
    <row r="24" spans="1:9" s="606" customFormat="1" x14ac:dyDescent="0.2">
      <c r="A24" s="590">
        <v>4</v>
      </c>
      <c r="B24" s="591" t="s">
        <v>549</v>
      </c>
      <c r="C24" s="588" t="s">
        <v>513</v>
      </c>
    </row>
    <row r="25" spans="1:9" s="606" customFormat="1" x14ac:dyDescent="0.2">
      <c r="A25" s="590">
        <v>5</v>
      </c>
      <c r="B25" s="591" t="s">
        <v>547</v>
      </c>
      <c r="C25" s="588" t="s">
        <v>504</v>
      </c>
    </row>
  </sheetData>
  <conditionalFormatting sqref="C9:G13">
    <cfRule type="cellIs" dxfId="0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4" manualBreakCount="4">
    <brk id="24" max="16383" man="1"/>
    <brk id="62" max="16383" man="1"/>
    <brk id="100" max="16383" man="1"/>
    <brk id="135" max="16383" man="1"/>
  </rowBreaks>
  <ignoredErrors>
    <ignoredError sqref="J10:J13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9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J1" sqref="J1"/>
    </sheetView>
  </sheetViews>
  <sheetFormatPr defaultRowHeight="12.75" x14ac:dyDescent="0.2"/>
  <cols>
    <col min="1" max="1" width="3.28515625" style="381" customWidth="1"/>
    <col min="2" max="2" width="40.42578125" style="381" bestFit="1" customWidth="1"/>
    <col min="3" max="8" width="6.7109375" style="381" customWidth="1"/>
    <col min="9" max="9" width="6.42578125" style="381" customWidth="1"/>
    <col min="10" max="10" width="3.140625" style="381" bestFit="1" customWidth="1"/>
    <col min="11" max="16384" width="9.140625" style="381"/>
  </cols>
  <sheetData>
    <row r="1" spans="1:10" x14ac:dyDescent="0.2">
      <c r="A1" s="491" t="str">
        <f>UPPER((Kalend!E32)&amp;" - "&amp;(Kalend!C32)&amp;" - "&amp;(Kalend!D32))</f>
        <v>V8 - VOKA KARIKAS 8 - TRIO</v>
      </c>
      <c r="F1" s="239" t="str">
        <f>HYPERLINK("#'Kalend'!I1","Kalender")</f>
        <v>Kalender</v>
      </c>
      <c r="G1" s="59"/>
      <c r="H1" s="239" t="str">
        <f>HYPERLINK("#'Reit'!G1","Reiting")</f>
        <v>Reiting</v>
      </c>
      <c r="I1" s="59"/>
      <c r="J1" s="59"/>
    </row>
    <row r="2" spans="1:10" x14ac:dyDescent="0.2">
      <c r="A2" s="59" t="str">
        <f>"Toimumisaeg: "&amp;(Kalend!A32)&amp;" kell "&amp;(Kalend!B32)</f>
        <v>Toimumisaeg: K, 19.08.2015 kell 18:00</v>
      </c>
    </row>
    <row r="3" spans="1:10" x14ac:dyDescent="0.2">
      <c r="A3" s="59" t="str">
        <f>"Toimumiskoht: "&amp;(Kalend!F32)</f>
        <v>Toimumiskoht: Voka staadion</v>
      </c>
    </row>
    <row r="4" spans="1:10" x14ac:dyDescent="0.2">
      <c r="A4" s="59" t="str">
        <f>"Korraldaja: "&amp;(Kalend!G32)</f>
        <v>Korraldaja: Johannes Neiland</v>
      </c>
    </row>
    <row r="5" spans="1:10" x14ac:dyDescent="0.2">
      <c r="A5" s="59"/>
    </row>
    <row r="6" spans="1:10" x14ac:dyDescent="0.2">
      <c r="A6" s="286" t="s">
        <v>349</v>
      </c>
    </row>
    <row r="8" spans="1:10" x14ac:dyDescent="0.2">
      <c r="A8" s="590">
        <v>1</v>
      </c>
      <c r="B8" s="585" t="s">
        <v>552</v>
      </c>
      <c r="C8" s="588" t="s">
        <v>513</v>
      </c>
    </row>
    <row r="9" spans="1:10" x14ac:dyDescent="0.2">
      <c r="A9" s="590">
        <v>2</v>
      </c>
      <c r="B9" s="591" t="s">
        <v>553</v>
      </c>
      <c r="C9" s="588" t="s">
        <v>504</v>
      </c>
    </row>
  </sheetData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4" manualBreakCount="4">
    <brk id="22" max="16383" man="1"/>
    <brk id="60" max="16383" man="1"/>
    <brk id="98" max="16383" man="1"/>
    <brk id="133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0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L1" sqref="L1"/>
    </sheetView>
  </sheetViews>
  <sheetFormatPr defaultRowHeight="12.75" x14ac:dyDescent="0.2"/>
  <cols>
    <col min="1" max="1" width="3.28515625" style="381" customWidth="1"/>
    <col min="2" max="2" width="26" style="381" bestFit="1" customWidth="1"/>
    <col min="3" max="9" width="7.140625" style="381" customWidth="1"/>
    <col min="10" max="10" width="3.140625" style="381" bestFit="1" customWidth="1"/>
    <col min="11" max="16384" width="9.140625" style="381"/>
  </cols>
  <sheetData>
    <row r="1" spans="1:12" x14ac:dyDescent="0.2">
      <c r="A1" s="491" t="str">
        <f>UPPER((Kalend!E39)&amp;" - "&amp;(Kalend!C39)&amp;" - "&amp;(Kalend!D39))</f>
        <v>V9 - VOKA KARIKAS 9 - DUO</v>
      </c>
      <c r="H1" s="239" t="str">
        <f>HYPERLINK("#'Kalend'!I1","Kalender")</f>
        <v>Kalender</v>
      </c>
      <c r="I1" s="59"/>
      <c r="J1" s="239" t="str">
        <f>HYPERLINK("#'Reit'!G1","Reiting")</f>
        <v>Reiting</v>
      </c>
      <c r="K1" s="59"/>
      <c r="L1" s="59"/>
    </row>
    <row r="2" spans="1:12" x14ac:dyDescent="0.2">
      <c r="A2" s="59" t="str">
        <f>"Toimumisaeg: "&amp;(Kalend!A39)&amp;" kell "&amp;(Kalend!B39)</f>
        <v>Toimumisaeg: K, 02.09.2015 kell 18:00</v>
      </c>
    </row>
    <row r="3" spans="1:12" x14ac:dyDescent="0.2">
      <c r="A3" s="59" t="str">
        <f>"Toimumiskoht: "&amp;(Kalend!F39)</f>
        <v>Toimumiskoht: Voka staadion</v>
      </c>
    </row>
    <row r="4" spans="1:12" x14ac:dyDescent="0.2">
      <c r="A4" s="59" t="str">
        <f>"Korraldaja: "&amp;(Kalend!G39)</f>
        <v>Korraldaja: Johannes Neiland</v>
      </c>
    </row>
    <row r="5" spans="1:12" x14ac:dyDescent="0.2">
      <c r="A5" s="59"/>
    </row>
    <row r="6" spans="1:12" x14ac:dyDescent="0.2">
      <c r="A6" s="286" t="s">
        <v>349</v>
      </c>
    </row>
    <row r="7" spans="1:12" x14ac:dyDescent="0.2">
      <c r="A7" s="59"/>
    </row>
    <row r="8" spans="1:12" x14ac:dyDescent="0.2">
      <c r="A8" s="590">
        <v>1</v>
      </c>
      <c r="B8" s="585" t="s">
        <v>554</v>
      </c>
      <c r="C8" s="588" t="s">
        <v>506</v>
      </c>
    </row>
    <row r="9" spans="1:12" x14ac:dyDescent="0.2">
      <c r="A9" s="590">
        <v>2</v>
      </c>
      <c r="B9" s="591" t="s">
        <v>555</v>
      </c>
      <c r="C9" s="588" t="s">
        <v>513</v>
      </c>
    </row>
    <row r="10" spans="1:12" x14ac:dyDescent="0.2">
      <c r="A10" s="590">
        <v>3</v>
      </c>
      <c r="B10" s="591" t="s">
        <v>556</v>
      </c>
      <c r="C10" s="588" t="s">
        <v>504</v>
      </c>
    </row>
  </sheetData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4" manualBreakCount="4">
    <brk id="24" max="16383" man="1"/>
    <brk id="62" max="16383" man="1"/>
    <brk id="100" max="16383" man="1"/>
    <brk id="135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"/>
  <sheetViews>
    <sheetView showGridLines="0" showRowColHeaders="0" zoomScaleNormal="100" workbookViewId="0">
      <pane ySplit="2" topLeftCell="A3" activePane="bottomLeft" state="frozen"/>
      <selection activeCell="E5" sqref="E5"/>
      <selection pane="bottomLeft" activeCell="I1" sqref="I1"/>
    </sheetView>
  </sheetViews>
  <sheetFormatPr defaultRowHeight="12.75" x14ac:dyDescent="0.2"/>
  <cols>
    <col min="1" max="1" width="3.28515625" style="381" customWidth="1"/>
    <col min="2" max="2" width="47.7109375" style="381" bestFit="1" customWidth="1"/>
    <col min="3" max="9" width="6.5703125" style="381" customWidth="1"/>
    <col min="10" max="10" width="3.140625" style="381" bestFit="1" customWidth="1"/>
    <col min="11" max="16384" width="9.140625" style="381"/>
  </cols>
  <sheetData>
    <row r="1" spans="1:9" x14ac:dyDescent="0.2">
      <c r="A1" s="491" t="str">
        <f>UPPER((Kalend!E42)&amp;" - "&amp;(Kalend!C42)&amp;" - "&amp;(Kalend!D42))</f>
        <v>V10 - VOKA KARIKAS 10 - TRIO</v>
      </c>
      <c r="E1" s="239" t="str">
        <f>HYPERLINK("#'Kalend'!I1","Kalender")</f>
        <v>Kalender</v>
      </c>
      <c r="F1" s="59"/>
      <c r="G1" s="239" t="str">
        <f>HYPERLINK("#'Reit'!G1","Reiting")</f>
        <v>Reiting</v>
      </c>
      <c r="H1" s="59"/>
      <c r="I1" s="59"/>
    </row>
    <row r="2" spans="1:9" x14ac:dyDescent="0.2">
      <c r="A2" s="59" t="str">
        <f>"Toimumisaeg: "&amp;(Kalend!A42)&amp;" kell "&amp;(Kalend!B42)</f>
        <v>Toimumisaeg: K, 16.09.2015 kell 18:00</v>
      </c>
    </row>
    <row r="3" spans="1:9" x14ac:dyDescent="0.2">
      <c r="A3" s="59" t="str">
        <f>"Toimumiskoht: "&amp;(Kalend!F42)</f>
        <v>Toimumiskoht: Voka staadion</v>
      </c>
    </row>
    <row r="4" spans="1:9" x14ac:dyDescent="0.2">
      <c r="A4" s="59" t="str">
        <f>"Korraldaja: "&amp;(Kalend!G42)</f>
        <v>Korraldaja: Johannes Neiland</v>
      </c>
    </row>
    <row r="5" spans="1:9" x14ac:dyDescent="0.2">
      <c r="A5" s="59"/>
    </row>
    <row r="6" spans="1:9" x14ac:dyDescent="0.2">
      <c r="A6" s="286" t="s">
        <v>349</v>
      </c>
    </row>
    <row r="7" spans="1:9" x14ac:dyDescent="0.2">
      <c r="A7" s="59"/>
    </row>
    <row r="8" spans="1:9" x14ac:dyDescent="0.2">
      <c r="A8" s="590">
        <v>1</v>
      </c>
      <c r="B8" s="585" t="s">
        <v>557</v>
      </c>
      <c r="C8" s="588" t="s">
        <v>513</v>
      </c>
    </row>
    <row r="9" spans="1:9" x14ac:dyDescent="0.2">
      <c r="A9" s="590">
        <v>2</v>
      </c>
      <c r="B9" s="591" t="s">
        <v>558</v>
      </c>
      <c r="C9" s="588" t="s">
        <v>504</v>
      </c>
    </row>
  </sheetData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4" manualBreakCount="4">
    <brk id="23" max="16383" man="1"/>
    <brk id="61" max="16383" man="1"/>
    <brk id="99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48</vt:i4>
      </vt:variant>
    </vt:vector>
  </HeadingPairs>
  <TitlesOfParts>
    <vt:vector size="93" baseType="lpstr">
      <vt:lpstr>Kalend</vt:lpstr>
      <vt:lpstr>Kal E</vt:lpstr>
      <vt:lpstr>Reit</vt:lpstr>
      <vt:lpstr>A</vt:lpstr>
      <vt:lpstr>1</vt:lpstr>
      <vt:lpstr>2</vt:lpstr>
      <vt:lpstr>3</vt:lpstr>
      <vt:lpstr>KJ</vt:lpstr>
      <vt:lpstr>4</vt:lpstr>
      <vt:lpstr>Mu</vt:lpstr>
      <vt:lpstr>5</vt:lpstr>
      <vt:lpstr>6</vt:lpstr>
      <vt:lpstr>7</vt:lpstr>
      <vt:lpstr>8</vt:lpstr>
      <vt:lpstr>9</vt:lpstr>
      <vt:lpstr>10</vt:lpstr>
      <vt:lpstr>11</vt:lpstr>
      <vt:lpstr>12,T6</vt:lpstr>
      <vt:lpstr>13</vt:lpstr>
      <vt:lpstr>L</vt:lpstr>
      <vt:lpstr>Tul</vt:lpstr>
      <vt:lpstr>T1</vt:lpstr>
      <vt:lpstr>T2</vt:lpstr>
      <vt:lpstr>T3</vt:lpstr>
      <vt:lpstr>T4</vt:lpstr>
      <vt:lpstr>T5</vt:lpstr>
      <vt:lpstr>T6</vt:lpstr>
      <vt:lpstr>M</vt:lpstr>
      <vt:lpstr>M1</vt:lpstr>
      <vt:lpstr>M2</vt:lpstr>
      <vt:lpstr>M3</vt:lpstr>
      <vt:lpstr>M4</vt:lpstr>
      <vt:lpstr>M5</vt:lpstr>
      <vt:lpstr>V</vt:lpstr>
      <vt:lpstr>V Fin</vt:lpstr>
      <vt:lpstr>V1</vt:lpstr>
      <vt:lpstr>V2</vt:lpstr>
      <vt:lpstr>V3</vt:lpstr>
      <vt:lpstr>V4</vt:lpstr>
      <vt:lpstr>V5</vt:lpstr>
      <vt:lpstr>V6</vt:lpstr>
      <vt:lpstr>V7</vt:lpstr>
      <vt:lpstr>V8</vt:lpstr>
      <vt:lpstr>V9</vt:lpstr>
      <vt:lpstr>V10</vt:lpstr>
      <vt:lpstr>'12,T6'!Print_Area</vt:lpstr>
      <vt:lpstr>Mu!Print_Area</vt:lpstr>
      <vt:lpstr>Reit!Print_Area</vt:lpstr>
      <vt:lpstr>'V Fin'!Print_Area</vt:lpstr>
      <vt:lpstr>'1'!Print_Titles</vt:lpstr>
      <vt:lpstr>'10'!Print_Titles</vt:lpstr>
      <vt:lpstr>'11'!Print_Titles</vt:lpstr>
      <vt:lpstr>'12,T6'!Print_Titles</vt:lpstr>
      <vt:lpstr>'13'!Print_Titles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A!Print_Titles</vt:lpstr>
      <vt:lpstr>'Kal E'!Print_Titles</vt:lpstr>
      <vt:lpstr>KJ!Print_Titles</vt:lpstr>
      <vt:lpstr>L!Print_Titles</vt:lpstr>
      <vt:lpstr>M!Print_Titles</vt:lpstr>
      <vt:lpstr>'M1'!Print_Titles</vt:lpstr>
      <vt:lpstr>'M2'!Print_Titles</vt:lpstr>
      <vt:lpstr>'M3'!Print_Titles</vt:lpstr>
      <vt:lpstr>'M4'!Print_Titles</vt:lpstr>
      <vt:lpstr>'M5'!Print_Titles</vt:lpstr>
      <vt:lpstr>Mu!Print_Titles</vt:lpstr>
      <vt:lpstr>Reit!Print_Titles</vt:lpstr>
      <vt:lpstr>'T1'!Print_Titles</vt:lpstr>
      <vt:lpstr>'T2'!Print_Titles</vt:lpstr>
      <vt:lpstr>'T3'!Print_Titles</vt:lpstr>
      <vt:lpstr>'T4'!Print_Titles</vt:lpstr>
      <vt:lpstr>'T5'!Print_Titles</vt:lpstr>
      <vt:lpstr>'T6'!Print_Titles</vt:lpstr>
      <vt:lpstr>Tul!Print_Titles</vt:lpstr>
      <vt:lpstr>V!Print_Titles</vt:lpstr>
      <vt:lpstr>'V Fin'!Print_Titles</vt:lpstr>
      <vt:lpstr>'V1'!Print_Titles</vt:lpstr>
      <vt:lpstr>'V10'!Print_Titles</vt:lpstr>
      <vt:lpstr>'V2'!Print_Titles</vt:lpstr>
      <vt:lpstr>'V3'!Print_Titles</vt:lpstr>
      <vt:lpstr>'V4'!Print_Titles</vt:lpstr>
      <vt:lpstr>'V5'!Print_Titles</vt:lpstr>
      <vt:lpstr>'V6'!Print_Titles</vt:lpstr>
      <vt:lpstr>'V7'!Print_Titles</vt:lpstr>
      <vt:lpstr>'V8'!Print_Titles</vt:lpstr>
      <vt:lpstr>'V9'!Print_Titles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2016-04-12T08:01:08Z</dcterms:created>
  <dcterms:modified xsi:type="dcterms:W3CDTF">2022-02-02T17:00:09Z</dcterms:modified>
</cp:coreProperties>
</file>