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45" yWindow="150" windowWidth="14505" windowHeight="8265" tabRatio="852" activeTab="1"/>
  </bookViews>
  <sheets>
    <sheet name="Kalend" sheetId="2" r:id="rId1"/>
    <sheet name="Kal E" sheetId="3" r:id="rId2"/>
    <sheet name="Reit" sheetId="47" r:id="rId3"/>
    <sheet name="Pl-Reit" sheetId="40" r:id="rId4"/>
    <sheet name="MiV" sheetId="41" r:id="rId5"/>
    <sheet name="1" sheetId="6" r:id="rId6"/>
    <sheet name="2" sheetId="8" r:id="rId7"/>
    <sheet name="AV" sheetId="7" r:id="rId8"/>
    <sheet name="3" sheetId="9" r:id="rId9"/>
    <sheet name="Sõ" sheetId="11" r:id="rId10"/>
    <sheet name="4" sheetId="10" r:id="rId11"/>
    <sheet name="5" sheetId="12" r:id="rId12"/>
    <sheet name="6" sheetId="13" r:id="rId13"/>
    <sheet name="As-Eel" sheetId="50" r:id="rId14"/>
    <sheet name="As-Sum" sheetId="39" r:id="rId15"/>
    <sheet name="As-Fin" sheetId="51" r:id="rId16"/>
    <sheet name="Tul-Eel" sheetId="15" r:id="rId17"/>
    <sheet name="Tul-Sum" sheetId="32" r:id="rId18"/>
    <sheet name="Tul-Fin" sheetId="43" r:id="rId19"/>
    <sheet name="Pl1" sheetId="29" r:id="rId20"/>
    <sheet name="Pl2" sheetId="34" r:id="rId21"/>
    <sheet name="Pl3" sheetId="35" r:id="rId22"/>
    <sheet name="Pl4" sheetId="36" r:id="rId23"/>
    <sheet name="Pl5" sheetId="37" r:id="rId24"/>
    <sheet name="Pl6" sheetId="38" r:id="rId25"/>
  </sheets>
  <definedNames>
    <definedName name="_xlnm._FilterDatabase" localSheetId="14" hidden="1">'As-Sum'!#REF!</definedName>
    <definedName name="_xlnm._FilterDatabase" localSheetId="3" hidden="1">'Pl-Reit'!#REF!</definedName>
    <definedName name="Nimed" localSheetId="13">#REF!</definedName>
    <definedName name="Nimed" localSheetId="4">#REF!</definedName>
    <definedName name="Nimed" localSheetId="18">#REF!</definedName>
    <definedName name="Nimed">#REF!</definedName>
    <definedName name="Nimi" localSheetId="4">MiV!$B$9:$B$18</definedName>
    <definedName name="_xlnm.Print_Area" localSheetId="0">Kalend!$A$1:$I$48</definedName>
    <definedName name="_xlnm.Print_Area" localSheetId="4">MiV!$A$1:$AQ$18</definedName>
    <definedName name="_xlnm.Print_Titles" localSheetId="5">'1'!$1:$2</definedName>
    <definedName name="_xlnm.Print_Titles" localSheetId="6">'2'!$1:$2</definedName>
    <definedName name="_xlnm.Print_Titles" localSheetId="8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'As-Eel'!$1:$5</definedName>
    <definedName name="_xlnm.Print_Titles" localSheetId="15">'As-Fin'!$1:$2</definedName>
    <definedName name="_xlnm.Print_Titles" localSheetId="14">'As-Sum'!$1:$2</definedName>
    <definedName name="_xlnm.Print_Titles" localSheetId="7">AV!$1:$2</definedName>
    <definedName name="_xlnm.Print_Titles" localSheetId="1">'Kal E'!$1:$3</definedName>
    <definedName name="_xlnm.Print_Titles" localSheetId="0">Kalend!$1:$2</definedName>
    <definedName name="_xlnm.Print_Titles" localSheetId="4">MiV!$A:$B</definedName>
    <definedName name="_xlnm.Print_Titles" localSheetId="19">'Pl1'!$1:$2</definedName>
    <definedName name="_xlnm.Print_Titles" localSheetId="20">'Pl2'!$1:$2</definedName>
    <definedName name="_xlnm.Print_Titles" localSheetId="21">'Pl3'!$1:$2</definedName>
    <definedName name="_xlnm.Print_Titles" localSheetId="22">'Pl4'!$1:$2</definedName>
    <definedName name="_xlnm.Print_Titles" localSheetId="23">'Pl5'!$1:$2</definedName>
    <definedName name="_xlnm.Print_Titles" localSheetId="24">'Pl6'!$1:$2</definedName>
    <definedName name="_xlnm.Print_Titles" localSheetId="3">'Pl-Reit'!$1:$3</definedName>
    <definedName name="_xlnm.Print_Titles" localSheetId="16">'Tul-Eel'!$1:$1</definedName>
    <definedName name="_xlnm.Print_Titles" localSheetId="18">'Tul-Fin'!$1:$2</definedName>
    <definedName name="_xlnm.Print_Titles" localSheetId="17">'Tul-Sum'!$1:$2</definedName>
  </definedNames>
  <calcPr calcId="145621"/>
</workbook>
</file>

<file path=xl/calcChain.xml><?xml version="1.0" encoding="utf-8"?>
<calcChain xmlns="http://schemas.openxmlformats.org/spreadsheetml/2006/main">
  <c r="M100" i="3" l="1"/>
  <c r="M92" i="3"/>
  <c r="M89" i="3"/>
  <c r="M83" i="3"/>
  <c r="M77" i="3"/>
  <c r="M69" i="3"/>
  <c r="K66" i="3"/>
  <c r="M66" i="3"/>
  <c r="M63" i="3"/>
  <c r="M50" i="3"/>
  <c r="M47" i="3"/>
  <c r="M42" i="3"/>
  <c r="M38" i="3"/>
  <c r="K33" i="3"/>
  <c r="M33" i="3"/>
  <c r="M30" i="3"/>
  <c r="M17" i="3"/>
  <c r="M12" i="3"/>
  <c r="M9" i="3"/>
  <c r="F37" i="2"/>
  <c r="F36" i="2"/>
  <c r="F35" i="2"/>
  <c r="F34" i="2"/>
  <c r="F33" i="2"/>
  <c r="F31" i="2"/>
  <c r="F30" i="2"/>
  <c r="F29" i="2"/>
  <c r="F26" i="2"/>
  <c r="F25" i="2"/>
  <c r="F24" i="2"/>
  <c r="F23" i="2"/>
  <c r="F22" i="2"/>
  <c r="F21" i="2"/>
  <c r="F19" i="2"/>
  <c r="F18" i="2"/>
  <c r="F17" i="2"/>
  <c r="F16" i="2"/>
  <c r="F14" i="2"/>
  <c r="F13" i="2"/>
  <c r="F12" i="2"/>
  <c r="F11" i="2"/>
  <c r="F10" i="2"/>
  <c r="F8" i="2"/>
  <c r="F7" i="2"/>
  <c r="F6" i="2"/>
  <c r="F5" i="2"/>
  <c r="A1" i="8" l="1"/>
  <c r="E67" i="3" l="1"/>
  <c r="D25" i="2"/>
  <c r="F5" i="32" l="1"/>
  <c r="E5" i="32"/>
  <c r="D5" i="32"/>
  <c r="F5" i="39"/>
  <c r="E5" i="39"/>
  <c r="D5" i="39"/>
  <c r="M5" i="47"/>
  <c r="L5" i="47"/>
  <c r="K5" i="47"/>
  <c r="J5" i="47"/>
  <c r="I5" i="47"/>
  <c r="H5" i="47"/>
  <c r="M5" i="40"/>
  <c r="L5" i="40"/>
  <c r="K5" i="40"/>
  <c r="J5" i="40"/>
  <c r="I5" i="40"/>
  <c r="H5" i="40"/>
  <c r="A1" i="38"/>
  <c r="A1" i="37"/>
  <c r="A1" i="36"/>
  <c r="A1" i="35"/>
  <c r="A1" i="34"/>
  <c r="A1" i="29"/>
  <c r="A1" i="43"/>
  <c r="A1" i="51"/>
  <c r="A1" i="13"/>
  <c r="A1" i="12"/>
  <c r="A1" i="10"/>
  <c r="A1" i="11"/>
  <c r="A1" i="9"/>
  <c r="A1" i="7"/>
  <c r="D37" i="2"/>
  <c r="D36" i="2"/>
  <c r="D35" i="2"/>
  <c r="D34" i="2"/>
  <c r="D33" i="2"/>
  <c r="D31" i="2"/>
  <c r="D30" i="2"/>
  <c r="D29" i="2"/>
  <c r="D26" i="2"/>
  <c r="D24" i="2"/>
  <c r="D23" i="2"/>
  <c r="D22" i="2"/>
  <c r="D21" i="2"/>
  <c r="D19" i="2"/>
  <c r="D18" i="2"/>
  <c r="D17" i="2"/>
  <c r="D16" i="2"/>
  <c r="D14" i="2"/>
  <c r="D13" i="2"/>
  <c r="D11" i="2"/>
  <c r="D10" i="2"/>
  <c r="D8" i="2"/>
  <c r="D7" i="2"/>
  <c r="D6" i="2"/>
  <c r="D5" i="2"/>
  <c r="D12" i="2" l="1"/>
  <c r="A1" i="6"/>
  <c r="M93" i="3" l="1"/>
  <c r="M78" i="3"/>
  <c r="K64" i="3"/>
  <c r="K51" i="3"/>
  <c r="G1" i="38" l="1"/>
  <c r="L1" i="37"/>
  <c r="H1" i="36"/>
  <c r="L1" i="35"/>
  <c r="G1" i="34"/>
  <c r="L1" i="29"/>
  <c r="O1" i="43"/>
  <c r="K1" i="32"/>
  <c r="O1" i="15"/>
  <c r="J1" i="51"/>
  <c r="K1" i="39"/>
  <c r="I1" i="50"/>
  <c r="E1" i="13"/>
  <c r="G1" i="12"/>
  <c r="H1" i="10"/>
  <c r="E1" i="11"/>
  <c r="E1" i="9"/>
  <c r="H1" i="7"/>
  <c r="F1" i="8"/>
  <c r="H1" i="6"/>
  <c r="K1" i="41"/>
  <c r="K1" i="40"/>
  <c r="K1" i="47"/>
  <c r="A3" i="13" l="1"/>
  <c r="A3" i="12"/>
  <c r="A3" i="10"/>
  <c r="A3" i="9"/>
  <c r="A3" i="8"/>
  <c r="A3" i="7"/>
  <c r="A3" i="6"/>
  <c r="K98" i="3"/>
  <c r="K87" i="3"/>
  <c r="K96" i="3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V17" i="29"/>
  <c r="W17" i="29"/>
  <c r="E17" i="37"/>
  <c r="C17" i="37" s="1"/>
  <c r="T17" i="37"/>
  <c r="U17" i="37"/>
  <c r="E17" i="35"/>
  <c r="S17" i="35"/>
  <c r="T17" i="35"/>
  <c r="M81" i="3"/>
  <c r="M67" i="3"/>
  <c r="M28" i="3"/>
  <c r="M10" i="3"/>
  <c r="P1" i="41"/>
  <c r="M1" i="39"/>
  <c r="M1" i="51"/>
  <c r="S1" i="15"/>
  <c r="M1" i="32"/>
  <c r="S1" i="43"/>
  <c r="K1" i="38"/>
  <c r="P1" i="37"/>
  <c r="L1" i="36"/>
  <c r="P1" i="35"/>
  <c r="K1" i="34"/>
  <c r="P1" i="29"/>
  <c r="K1" i="50"/>
  <c r="G1" i="13"/>
  <c r="I1" i="12"/>
  <c r="J1" i="10"/>
  <c r="G1" i="9"/>
  <c r="H1" i="8"/>
  <c r="J1" i="7"/>
  <c r="J1" i="6"/>
  <c r="K31" i="3"/>
  <c r="M48" i="3"/>
  <c r="M90" i="3"/>
  <c r="M75" i="3"/>
  <c r="M45" i="3"/>
  <c r="M15" i="3"/>
  <c r="M53" i="3"/>
  <c r="K53" i="3"/>
  <c r="M51" i="3"/>
  <c r="M7" i="3"/>
  <c r="M40" i="3"/>
  <c r="M43" i="3"/>
  <c r="M31" i="3"/>
  <c r="M36" i="3"/>
  <c r="M34" i="3"/>
  <c r="K22" i="3"/>
  <c r="M21" i="3"/>
  <c r="K21" i="3"/>
  <c r="K20" i="3"/>
  <c r="M18" i="3"/>
  <c r="K18" i="3"/>
  <c r="M13" i="3"/>
  <c r="M64" i="3"/>
  <c r="M61" i="3"/>
  <c r="M98" i="3"/>
  <c r="M96" i="3"/>
  <c r="M87" i="3"/>
  <c r="M85" i="3"/>
  <c r="M73" i="3"/>
  <c r="M59" i="3"/>
  <c r="K78" i="3"/>
  <c r="M80" i="3"/>
  <c r="K80" i="3"/>
  <c r="K85" i="3"/>
  <c r="M95" i="3"/>
  <c r="K95" i="3"/>
  <c r="K93" i="3"/>
  <c r="G8" i="3"/>
  <c r="G7" i="3"/>
  <c r="A7" i="3"/>
  <c r="I7" i="32"/>
  <c r="B25" i="40"/>
  <c r="B41" i="47"/>
  <c r="F26" i="47"/>
  <c r="G26" i="47" a="1"/>
  <c r="G26" i="47"/>
  <c r="F32" i="47"/>
  <c r="G32" i="47" a="1"/>
  <c r="G32" i="47" s="1"/>
  <c r="E32" i="47" s="1"/>
  <c r="F39" i="47"/>
  <c r="G39" i="47" a="1"/>
  <c r="G39" i="47"/>
  <c r="F40" i="47"/>
  <c r="G40" i="47" a="1"/>
  <c r="G40" i="47"/>
  <c r="F35" i="47"/>
  <c r="G35" i="47" a="1"/>
  <c r="G35" i="47"/>
  <c r="F36" i="47"/>
  <c r="G36" i="47" a="1"/>
  <c r="G36" i="47"/>
  <c r="F38" i="47"/>
  <c r="G38" i="47" a="1"/>
  <c r="G38" i="47"/>
  <c r="N26" i="47"/>
  <c r="O26" i="47"/>
  <c r="P26" i="47"/>
  <c r="N39" i="47"/>
  <c r="O39" i="47"/>
  <c r="P39" i="47"/>
  <c r="N40" i="47"/>
  <c r="O40" i="47"/>
  <c r="P40" i="47"/>
  <c r="N35" i="47"/>
  <c r="O35" i="47"/>
  <c r="P35" i="47"/>
  <c r="N36" i="47"/>
  <c r="O36" i="47"/>
  <c r="P36" i="47"/>
  <c r="N38" i="47"/>
  <c r="O38" i="47"/>
  <c r="P38" i="47"/>
  <c r="W18" i="43"/>
  <c r="W19" i="43"/>
  <c r="W20" i="43"/>
  <c r="W21" i="43"/>
  <c r="W23" i="43"/>
  <c r="W24" i="43"/>
  <c r="W26" i="43"/>
  <c r="W27" i="43"/>
  <c r="W11" i="43"/>
  <c r="W12" i="43"/>
  <c r="W13" i="43"/>
  <c r="W14" i="43"/>
  <c r="W15" i="43"/>
  <c r="W16" i="43"/>
  <c r="Z15" i="43" s="1"/>
  <c r="W10" i="43"/>
  <c r="W9" i="43"/>
  <c r="A4" i="51"/>
  <c r="A3" i="51"/>
  <c r="O27" i="51"/>
  <c r="O26" i="51"/>
  <c r="O24" i="51"/>
  <c r="O23" i="51"/>
  <c r="A2" i="51"/>
  <c r="O35" i="51"/>
  <c r="O34" i="51"/>
  <c r="O31" i="51"/>
  <c r="O30" i="51"/>
  <c r="O20" i="51"/>
  <c r="O19" i="51"/>
  <c r="O17" i="51"/>
  <c r="O16" i="51"/>
  <c r="Q17" i="51"/>
  <c r="O14" i="51"/>
  <c r="O13" i="51"/>
  <c r="O11" i="51"/>
  <c r="O10" i="51"/>
  <c r="A51" i="50"/>
  <c r="A34" i="50"/>
  <c r="A7" i="50"/>
  <c r="T67" i="50"/>
  <c r="S67" i="50"/>
  <c r="R67" i="50"/>
  <c r="Q67" i="50"/>
  <c r="N67" i="50"/>
  <c r="M67" i="50"/>
  <c r="L67" i="50"/>
  <c r="K67" i="50"/>
  <c r="H67" i="50"/>
  <c r="G67" i="50"/>
  <c r="F67" i="50"/>
  <c r="E67" i="50"/>
  <c r="T66" i="50"/>
  <c r="S66" i="50"/>
  <c r="R66" i="50"/>
  <c r="Q66" i="50"/>
  <c r="N66" i="50"/>
  <c r="M66" i="50"/>
  <c r="L66" i="50"/>
  <c r="K66" i="50"/>
  <c r="H66" i="50"/>
  <c r="G66" i="50"/>
  <c r="F66" i="50"/>
  <c r="E66" i="50"/>
  <c r="U65" i="50"/>
  <c r="O65" i="50"/>
  <c r="I65" i="50"/>
  <c r="D65" i="50" s="1"/>
  <c r="U64" i="50"/>
  <c r="O64" i="50"/>
  <c r="I64" i="50"/>
  <c r="D64" i="50" s="1"/>
  <c r="U63" i="50"/>
  <c r="O63" i="50"/>
  <c r="I63" i="50"/>
  <c r="U62" i="50"/>
  <c r="O62" i="50"/>
  <c r="I62" i="50"/>
  <c r="D62" i="50"/>
  <c r="U61" i="50"/>
  <c r="O61" i="50"/>
  <c r="I61" i="50"/>
  <c r="D61" i="50"/>
  <c r="U60" i="50"/>
  <c r="O60" i="50"/>
  <c r="I60" i="50"/>
  <c r="D60" i="50"/>
  <c r="U59" i="50"/>
  <c r="O59" i="50"/>
  <c r="I59" i="50"/>
  <c r="D59" i="50"/>
  <c r="U58" i="50"/>
  <c r="O58" i="50"/>
  <c r="I58" i="50"/>
  <c r="D58" i="50"/>
  <c r="U57" i="50"/>
  <c r="O57" i="50"/>
  <c r="I57" i="50"/>
  <c r="D57" i="50"/>
  <c r="U56" i="50"/>
  <c r="O56" i="50"/>
  <c r="I56" i="50"/>
  <c r="D56" i="50"/>
  <c r="U55" i="50"/>
  <c r="O55" i="50"/>
  <c r="I55" i="50"/>
  <c r="D55" i="50"/>
  <c r="U54" i="50"/>
  <c r="O54" i="50"/>
  <c r="I54" i="50"/>
  <c r="D54" i="50"/>
  <c r="U53" i="50"/>
  <c r="V61" i="50"/>
  <c r="O53" i="50"/>
  <c r="P65" i="50"/>
  <c r="I53" i="50"/>
  <c r="J53" i="50"/>
  <c r="T49" i="50"/>
  <c r="S49" i="50"/>
  <c r="R49" i="50"/>
  <c r="Q49" i="50"/>
  <c r="N49" i="50"/>
  <c r="M49" i="50"/>
  <c r="L49" i="50"/>
  <c r="K49" i="50"/>
  <c r="H49" i="50"/>
  <c r="G49" i="50"/>
  <c r="F49" i="50"/>
  <c r="E49" i="50"/>
  <c r="T48" i="50"/>
  <c r="S48" i="50"/>
  <c r="R48" i="50"/>
  <c r="Q48" i="50"/>
  <c r="N48" i="50"/>
  <c r="M48" i="50"/>
  <c r="L48" i="50"/>
  <c r="K48" i="50"/>
  <c r="H48" i="50"/>
  <c r="G48" i="50"/>
  <c r="F48" i="50"/>
  <c r="E48" i="50"/>
  <c r="U47" i="50"/>
  <c r="O47" i="50"/>
  <c r="I47" i="50"/>
  <c r="U46" i="50"/>
  <c r="O46" i="50"/>
  <c r="I46" i="50"/>
  <c r="U45" i="50"/>
  <c r="O45" i="50"/>
  <c r="I45" i="50"/>
  <c r="U44" i="50"/>
  <c r="O44" i="50"/>
  <c r="I44" i="50"/>
  <c r="U43" i="50"/>
  <c r="O43" i="50"/>
  <c r="I43" i="50"/>
  <c r="U42" i="50"/>
  <c r="O42" i="50"/>
  <c r="I42" i="50"/>
  <c r="U41" i="50"/>
  <c r="O41" i="50"/>
  <c r="I41" i="50"/>
  <c r="U40" i="50"/>
  <c r="O40" i="50"/>
  <c r="I40" i="50"/>
  <c r="U39" i="50"/>
  <c r="O39" i="50"/>
  <c r="I39" i="50"/>
  <c r="U38" i="50"/>
  <c r="O38" i="50"/>
  <c r="I38" i="50"/>
  <c r="U37" i="50"/>
  <c r="O37" i="50"/>
  <c r="I37" i="50"/>
  <c r="J37" i="50"/>
  <c r="U36" i="50"/>
  <c r="O36" i="50"/>
  <c r="I36" i="50"/>
  <c r="J46" i="50"/>
  <c r="T25" i="50"/>
  <c r="S25" i="50"/>
  <c r="R25" i="50"/>
  <c r="Q25" i="50"/>
  <c r="N25" i="50"/>
  <c r="M25" i="50"/>
  <c r="L25" i="50"/>
  <c r="K25" i="50"/>
  <c r="H25" i="50"/>
  <c r="G25" i="50"/>
  <c r="F25" i="50"/>
  <c r="E25" i="50"/>
  <c r="T24" i="50"/>
  <c r="S24" i="50"/>
  <c r="R24" i="50"/>
  <c r="Q24" i="50"/>
  <c r="N24" i="50"/>
  <c r="M24" i="50"/>
  <c r="L24" i="50"/>
  <c r="K24" i="50"/>
  <c r="H24" i="50"/>
  <c r="G24" i="50"/>
  <c r="F24" i="50"/>
  <c r="E24" i="50"/>
  <c r="U23" i="50"/>
  <c r="O23" i="50"/>
  <c r="I23" i="50"/>
  <c r="U22" i="50"/>
  <c r="O22" i="50"/>
  <c r="I22" i="50"/>
  <c r="D22" i="50" s="1"/>
  <c r="U21" i="50"/>
  <c r="O21" i="50"/>
  <c r="I21" i="50"/>
  <c r="U20" i="50"/>
  <c r="O20" i="50"/>
  <c r="I20" i="50"/>
  <c r="D20" i="50"/>
  <c r="U19" i="50"/>
  <c r="O19" i="50"/>
  <c r="I19" i="50"/>
  <c r="U18" i="50"/>
  <c r="O18" i="50"/>
  <c r="I18" i="50"/>
  <c r="D18" i="50" s="1"/>
  <c r="U17" i="50"/>
  <c r="O17" i="50"/>
  <c r="I17" i="50"/>
  <c r="U16" i="50"/>
  <c r="O16" i="50"/>
  <c r="I16" i="50"/>
  <c r="D16" i="50"/>
  <c r="U15" i="50"/>
  <c r="O15" i="50"/>
  <c r="I15" i="50"/>
  <c r="U14" i="50"/>
  <c r="O14" i="50"/>
  <c r="I14" i="50"/>
  <c r="D14" i="50" s="1"/>
  <c r="U13" i="50"/>
  <c r="O13" i="50"/>
  <c r="I13" i="50"/>
  <c r="U12" i="50"/>
  <c r="O12" i="50"/>
  <c r="I12" i="50"/>
  <c r="D12" i="50"/>
  <c r="U11" i="50"/>
  <c r="O11" i="50"/>
  <c r="I11" i="50"/>
  <c r="U10" i="50"/>
  <c r="V10" i="50" s="1"/>
  <c r="O10" i="50"/>
  <c r="I10" i="50"/>
  <c r="J10" i="50"/>
  <c r="U9" i="50"/>
  <c r="O9" i="50"/>
  <c r="I9" i="50"/>
  <c r="G28" i="47" a="1"/>
  <c r="G28" i="47" s="1"/>
  <c r="E28" i="47" s="1"/>
  <c r="G37" i="47" a="1"/>
  <c r="G37" i="47" s="1"/>
  <c r="G34" i="47" a="1"/>
  <c r="G34" i="47" s="1"/>
  <c r="G33" i="47" a="1"/>
  <c r="G33" i="47" s="1"/>
  <c r="G31" i="47" a="1"/>
  <c r="G31" i="47" s="1"/>
  <c r="G30" i="47" a="1"/>
  <c r="G30" i="47" s="1"/>
  <c r="G29" i="47" a="1"/>
  <c r="G29" i="47" s="1"/>
  <c r="G22" i="47" a="1"/>
  <c r="G22" i="47" s="1"/>
  <c r="G27" i="47" a="1"/>
  <c r="G27" i="47" s="1"/>
  <c r="G25" i="47" a="1"/>
  <c r="G25" i="47" s="1"/>
  <c r="G24" i="47" a="1"/>
  <c r="G24" i="47" s="1"/>
  <c r="G23" i="47" a="1"/>
  <c r="G23" i="47" s="1"/>
  <c r="G17" i="47" a="1"/>
  <c r="G17" i="47" s="1"/>
  <c r="G20" i="47" a="1"/>
  <c r="G20" i="47" s="1"/>
  <c r="G14" i="47" a="1"/>
  <c r="G14" i="47" s="1"/>
  <c r="G16" i="47" a="1"/>
  <c r="G16" i="47" s="1"/>
  <c r="G18" i="47" a="1"/>
  <c r="G18" i="47" s="1"/>
  <c r="G19" i="47" a="1"/>
  <c r="G19" i="47" s="1"/>
  <c r="G15" i="47" a="1"/>
  <c r="G15" i="47" s="1"/>
  <c r="G21" i="47" a="1"/>
  <c r="G21" i="47" s="1"/>
  <c r="G12" i="47" a="1"/>
  <c r="G12" i="47" s="1"/>
  <c r="G11" i="47" a="1"/>
  <c r="G11" i="47" s="1"/>
  <c r="G13" i="47" a="1"/>
  <c r="G13" i="47" s="1"/>
  <c r="G9" i="47" a="1"/>
  <c r="G9" i="47" s="1"/>
  <c r="G10" i="47" a="1"/>
  <c r="G10" i="47" s="1"/>
  <c r="G8" i="47" a="1"/>
  <c r="G8" i="47" s="1"/>
  <c r="G7" i="47" a="1"/>
  <c r="G7" i="47" s="1"/>
  <c r="G24" i="40" a="1"/>
  <c r="G24" i="40" s="1"/>
  <c r="G23" i="40" a="1"/>
  <c r="G23" i="40" s="1"/>
  <c r="G21" i="40" a="1"/>
  <c r="G21" i="40" s="1"/>
  <c r="G22" i="40" a="1"/>
  <c r="G22" i="40" s="1"/>
  <c r="G20" i="40" a="1"/>
  <c r="G20" i="40" s="1"/>
  <c r="G18" i="40" a="1"/>
  <c r="G18" i="40"/>
  <c r="G19" i="40" a="1"/>
  <c r="G19" i="40"/>
  <c r="G14" i="40" a="1"/>
  <c r="G14" i="40"/>
  <c r="G12" i="40" a="1"/>
  <c r="G12" i="40"/>
  <c r="G15" i="40" a="1"/>
  <c r="G15" i="40"/>
  <c r="G11" i="40" a="1"/>
  <c r="G11" i="40"/>
  <c r="G13" i="40" a="1"/>
  <c r="G13" i="40"/>
  <c r="G17" i="40" a="1"/>
  <c r="G17" i="40"/>
  <c r="G16" i="40" a="1"/>
  <c r="G16" i="40"/>
  <c r="G10" i="40" a="1"/>
  <c r="G10" i="40"/>
  <c r="G9" i="40" a="1"/>
  <c r="G9" i="40"/>
  <c r="G8" i="40" a="1"/>
  <c r="G8" i="40"/>
  <c r="G7" i="40" a="1"/>
  <c r="G7" i="40"/>
  <c r="F8" i="40"/>
  <c r="F9" i="40"/>
  <c r="E9" i="40" s="1"/>
  <c r="F10" i="40"/>
  <c r="E10" i="40" s="1"/>
  <c r="F16" i="40"/>
  <c r="E16" i="40" s="1"/>
  <c r="F17" i="40"/>
  <c r="F13" i="40"/>
  <c r="F11" i="40"/>
  <c r="E11" i="40" s="1"/>
  <c r="F15" i="40"/>
  <c r="F12" i="40"/>
  <c r="E12" i="40"/>
  <c r="F14" i="40"/>
  <c r="E14" i="40"/>
  <c r="F19" i="40"/>
  <c r="E19" i="40"/>
  <c r="F18" i="40"/>
  <c r="F20" i="40"/>
  <c r="E20" i="40" s="1"/>
  <c r="F22" i="40"/>
  <c r="F21" i="40"/>
  <c r="F23" i="40"/>
  <c r="F24" i="40"/>
  <c r="F7" i="40"/>
  <c r="F7" i="47"/>
  <c r="F8" i="47"/>
  <c r="F10" i="47"/>
  <c r="F9" i="47"/>
  <c r="F13" i="47"/>
  <c r="F11" i="47"/>
  <c r="F12" i="47"/>
  <c r="F21" i="47"/>
  <c r="F15" i="47"/>
  <c r="F19" i="47"/>
  <c r="F18" i="47"/>
  <c r="F16" i="47"/>
  <c r="F14" i="47"/>
  <c r="F20" i="47"/>
  <c r="F17" i="47"/>
  <c r="F23" i="47"/>
  <c r="F24" i="47"/>
  <c r="F25" i="47"/>
  <c r="F27" i="47"/>
  <c r="F22" i="47"/>
  <c r="F29" i="47"/>
  <c r="F30" i="47"/>
  <c r="F31" i="47"/>
  <c r="E31" i="47" s="1"/>
  <c r="F33" i="47"/>
  <c r="F34" i="47"/>
  <c r="F37" i="47"/>
  <c r="F28" i="47"/>
  <c r="J19" i="32"/>
  <c r="I19" i="32"/>
  <c r="H19" i="32"/>
  <c r="J20" i="32"/>
  <c r="I20" i="32"/>
  <c r="H20" i="32"/>
  <c r="J18" i="32"/>
  <c r="I18" i="32"/>
  <c r="H18" i="32"/>
  <c r="J17" i="32"/>
  <c r="I17" i="32"/>
  <c r="H17" i="32"/>
  <c r="J14" i="32"/>
  <c r="I14" i="32"/>
  <c r="H14" i="32"/>
  <c r="J16" i="32"/>
  <c r="I16" i="32"/>
  <c r="H16" i="32"/>
  <c r="J12" i="32"/>
  <c r="I12" i="32"/>
  <c r="H12" i="32"/>
  <c r="J15" i="32"/>
  <c r="I15" i="32"/>
  <c r="H15" i="32"/>
  <c r="J11" i="32"/>
  <c r="I11" i="32"/>
  <c r="H11" i="32"/>
  <c r="J13" i="32"/>
  <c r="I13" i="32"/>
  <c r="H13" i="32"/>
  <c r="J10" i="32"/>
  <c r="I10" i="32"/>
  <c r="H10" i="32"/>
  <c r="J9" i="32"/>
  <c r="I9" i="32"/>
  <c r="H9" i="32"/>
  <c r="J8" i="32"/>
  <c r="I8" i="32"/>
  <c r="H8" i="32"/>
  <c r="J7" i="32"/>
  <c r="H7" i="32"/>
  <c r="N23" i="40"/>
  <c r="O23" i="40"/>
  <c r="P23" i="40"/>
  <c r="C16" i="32"/>
  <c r="C19" i="32"/>
  <c r="C20" i="32"/>
  <c r="C18" i="32"/>
  <c r="C17" i="32"/>
  <c r="C14" i="32"/>
  <c r="C12" i="32"/>
  <c r="C15" i="32"/>
  <c r="C11" i="32"/>
  <c r="C13" i="32"/>
  <c r="C10" i="32"/>
  <c r="C9" i="32"/>
  <c r="C8" i="32"/>
  <c r="C7" i="32"/>
  <c r="A4" i="11"/>
  <c r="A3" i="11"/>
  <c r="A2" i="11"/>
  <c r="X18" i="43"/>
  <c r="X21" i="43"/>
  <c r="X20" i="43"/>
  <c r="N7" i="47"/>
  <c r="O7" i="47"/>
  <c r="P7" i="47"/>
  <c r="N11" i="47"/>
  <c r="O11" i="47"/>
  <c r="P11" i="47"/>
  <c r="N10" i="47"/>
  <c r="O10" i="47"/>
  <c r="P10" i="47"/>
  <c r="N12" i="47"/>
  <c r="O12" i="47"/>
  <c r="P12" i="47"/>
  <c r="N13" i="47"/>
  <c r="O13" i="47"/>
  <c r="P13" i="47"/>
  <c r="N15" i="47"/>
  <c r="O15" i="47"/>
  <c r="P15" i="47"/>
  <c r="N21" i="47"/>
  <c r="O21" i="47"/>
  <c r="P21" i="47"/>
  <c r="N14" i="47"/>
  <c r="O14" i="47"/>
  <c r="P14" i="47"/>
  <c r="N9" i="47"/>
  <c r="O9" i="47"/>
  <c r="P9" i="47"/>
  <c r="N18" i="47"/>
  <c r="O18" i="47"/>
  <c r="P18" i="47"/>
  <c r="N17" i="47"/>
  <c r="O17" i="47"/>
  <c r="P17" i="47"/>
  <c r="N19" i="47"/>
  <c r="O19" i="47"/>
  <c r="P19" i="47"/>
  <c r="N23" i="47"/>
  <c r="O23" i="47"/>
  <c r="P23" i="47"/>
  <c r="N24" i="47"/>
  <c r="O24" i="47"/>
  <c r="P24" i="47"/>
  <c r="N16" i="47"/>
  <c r="O16" i="47"/>
  <c r="P16" i="47"/>
  <c r="N20" i="47"/>
  <c r="O20" i="47"/>
  <c r="P20" i="47"/>
  <c r="N30" i="47"/>
  <c r="O30" i="47"/>
  <c r="P30" i="47"/>
  <c r="N31" i="47"/>
  <c r="O31" i="47"/>
  <c r="P31" i="47"/>
  <c r="N33" i="47"/>
  <c r="O33" i="47"/>
  <c r="P33" i="47"/>
  <c r="N34" i="47"/>
  <c r="O34" i="47"/>
  <c r="P34" i="47"/>
  <c r="N37" i="47"/>
  <c r="O37" i="47"/>
  <c r="P37" i="47"/>
  <c r="N25" i="47"/>
  <c r="O25" i="47"/>
  <c r="P25" i="47"/>
  <c r="N22" i="47"/>
  <c r="O22" i="47"/>
  <c r="P22" i="47"/>
  <c r="N27" i="47"/>
  <c r="O27" i="47"/>
  <c r="P27" i="47"/>
  <c r="N29" i="47"/>
  <c r="O29" i="47"/>
  <c r="P29" i="47"/>
  <c r="N28" i="47"/>
  <c r="O28" i="47"/>
  <c r="P28" i="47"/>
  <c r="P8" i="47"/>
  <c r="O8" i="47"/>
  <c r="N8" i="47"/>
  <c r="M4" i="47"/>
  <c r="M41" i="47"/>
  <c r="M42" i="47" s="1"/>
  <c r="L4" i="47"/>
  <c r="L41" i="47"/>
  <c r="K4" i="47"/>
  <c r="K41" i="47"/>
  <c r="I26" i="2"/>
  <c r="J4" i="47"/>
  <c r="J41" i="47"/>
  <c r="I19" i="2" s="1"/>
  <c r="I4" i="47"/>
  <c r="I41" i="47"/>
  <c r="I42" i="47"/>
  <c r="H4" i="47"/>
  <c r="H41" i="47"/>
  <c r="I6" i="2" s="1"/>
  <c r="A21" i="15"/>
  <c r="W23" i="15"/>
  <c r="W24" i="15"/>
  <c r="W25" i="15"/>
  <c r="X23" i="15" s="1"/>
  <c r="W26" i="15"/>
  <c r="W27" i="15"/>
  <c r="W28" i="15"/>
  <c r="W29" i="15"/>
  <c r="X27" i="15" s="1"/>
  <c r="W30" i="15"/>
  <c r="W31" i="15"/>
  <c r="W32" i="15"/>
  <c r="W33" i="15"/>
  <c r="X31" i="15" s="1"/>
  <c r="W34" i="15"/>
  <c r="W35" i="15"/>
  <c r="X35" i="15"/>
  <c r="A37" i="15"/>
  <c r="W39" i="15"/>
  <c r="W40" i="15"/>
  <c r="W41" i="15"/>
  <c r="W42" i="15"/>
  <c r="W43" i="15"/>
  <c r="W44" i="15"/>
  <c r="W45" i="15"/>
  <c r="W46" i="15"/>
  <c r="W47" i="15"/>
  <c r="W48" i="15"/>
  <c r="X48" i="15"/>
  <c r="U19" i="41"/>
  <c r="X19" i="41"/>
  <c r="R19" i="41"/>
  <c r="AA18" i="41"/>
  <c r="A4" i="43"/>
  <c r="A3" i="43"/>
  <c r="A2" i="43"/>
  <c r="X19" i="43"/>
  <c r="Z13" i="43"/>
  <c r="A4" i="41"/>
  <c r="A3" i="41"/>
  <c r="N12" i="38"/>
  <c r="M12" i="38"/>
  <c r="E12" i="38"/>
  <c r="N11" i="38"/>
  <c r="M11" i="38"/>
  <c r="E11" i="38"/>
  <c r="N10" i="38"/>
  <c r="M10" i="38"/>
  <c r="E10" i="38"/>
  <c r="N9" i="38"/>
  <c r="M9" i="38"/>
  <c r="E9" i="38"/>
  <c r="N8" i="38"/>
  <c r="M8" i="38"/>
  <c r="E8" i="38"/>
  <c r="N7" i="38"/>
  <c r="M7" i="38"/>
  <c r="E7" i="38"/>
  <c r="U19" i="37"/>
  <c r="T19" i="37"/>
  <c r="E19" i="37"/>
  <c r="U18" i="37"/>
  <c r="T18" i="37"/>
  <c r="E18" i="37"/>
  <c r="U16" i="37"/>
  <c r="T16" i="37"/>
  <c r="E16" i="37"/>
  <c r="U15" i="37"/>
  <c r="T15" i="37"/>
  <c r="E15" i="37"/>
  <c r="U14" i="37"/>
  <c r="T14" i="37"/>
  <c r="E14" i="37"/>
  <c r="U13" i="37"/>
  <c r="T13" i="37"/>
  <c r="E13" i="37"/>
  <c r="U12" i="37"/>
  <c r="T12" i="37"/>
  <c r="E12" i="37"/>
  <c r="U11" i="37"/>
  <c r="T11" i="37"/>
  <c r="E11" i="37"/>
  <c r="U10" i="37"/>
  <c r="T10" i="37"/>
  <c r="E10" i="37"/>
  <c r="U9" i="37"/>
  <c r="T9" i="37"/>
  <c r="E9" i="37"/>
  <c r="U8" i="37"/>
  <c r="T8" i="37"/>
  <c r="E8" i="37"/>
  <c r="U7" i="37"/>
  <c r="T7" i="37"/>
  <c r="E7" i="37"/>
  <c r="C19" i="37" s="1"/>
  <c r="P14" i="36"/>
  <c r="O14" i="36"/>
  <c r="E14" i="36"/>
  <c r="P13" i="36"/>
  <c r="O13" i="36"/>
  <c r="E13" i="36"/>
  <c r="P12" i="36"/>
  <c r="O12" i="36"/>
  <c r="E12" i="36"/>
  <c r="P11" i="36"/>
  <c r="O11" i="36"/>
  <c r="E11" i="36"/>
  <c r="P10" i="36"/>
  <c r="O10" i="36"/>
  <c r="E10" i="36"/>
  <c r="P9" i="36"/>
  <c r="O9" i="36"/>
  <c r="E9" i="36"/>
  <c r="P8" i="36"/>
  <c r="O8" i="36"/>
  <c r="E8" i="36"/>
  <c r="P7" i="36"/>
  <c r="O7" i="36"/>
  <c r="E7" i="36"/>
  <c r="D7" i="36"/>
  <c r="T18" i="35"/>
  <c r="S18" i="35"/>
  <c r="E18" i="35"/>
  <c r="T16" i="35"/>
  <c r="S16" i="35"/>
  <c r="E16" i="35"/>
  <c r="T15" i="35"/>
  <c r="S15" i="35"/>
  <c r="E15" i="35"/>
  <c r="T14" i="35"/>
  <c r="S14" i="35"/>
  <c r="E14" i="35"/>
  <c r="T13" i="35"/>
  <c r="S13" i="35"/>
  <c r="E13" i="35"/>
  <c r="T12" i="35"/>
  <c r="S12" i="35"/>
  <c r="E12" i="35"/>
  <c r="T11" i="35"/>
  <c r="S11" i="35"/>
  <c r="E11" i="35"/>
  <c r="T10" i="35"/>
  <c r="S10" i="35"/>
  <c r="E10" i="35"/>
  <c r="T9" i="35"/>
  <c r="S9" i="35"/>
  <c r="E9" i="35"/>
  <c r="T8" i="35"/>
  <c r="S8" i="35"/>
  <c r="E8" i="35"/>
  <c r="T7" i="35"/>
  <c r="S7" i="35"/>
  <c r="E7" i="35"/>
  <c r="O13" i="34"/>
  <c r="N13" i="34"/>
  <c r="E13" i="34"/>
  <c r="D13" i="34" s="1"/>
  <c r="O12" i="34"/>
  <c r="N12" i="34"/>
  <c r="E12" i="34"/>
  <c r="O11" i="34"/>
  <c r="N11" i="34"/>
  <c r="E11" i="34"/>
  <c r="O10" i="34"/>
  <c r="N10" i="34"/>
  <c r="E10" i="34"/>
  <c r="O9" i="34"/>
  <c r="N9" i="34"/>
  <c r="E9" i="34"/>
  <c r="O8" i="34"/>
  <c r="N8" i="34"/>
  <c r="E8" i="34"/>
  <c r="O7" i="34"/>
  <c r="N7" i="34"/>
  <c r="E7" i="34"/>
  <c r="W9" i="15"/>
  <c r="W10" i="15"/>
  <c r="W11" i="15"/>
  <c r="W12" i="15"/>
  <c r="W13" i="15"/>
  <c r="X11" i="15" s="1"/>
  <c r="W14" i="15"/>
  <c r="W15" i="15"/>
  <c r="W16" i="15"/>
  <c r="W17" i="15"/>
  <c r="W18" i="15"/>
  <c r="W19" i="15"/>
  <c r="W8" i="15"/>
  <c r="X8" i="15" s="1"/>
  <c r="X9" i="15"/>
  <c r="N14" i="41"/>
  <c r="O14" i="41"/>
  <c r="N10" i="41"/>
  <c r="N17" i="41"/>
  <c r="O17" i="41" s="1"/>
  <c r="N15" i="41"/>
  <c r="O15" i="41" s="1"/>
  <c r="N12" i="41"/>
  <c r="O12" i="41" s="1"/>
  <c r="N9" i="41"/>
  <c r="O9" i="41" s="1"/>
  <c r="N13" i="41"/>
  <c r="O13" i="41" s="1"/>
  <c r="N16" i="41"/>
  <c r="O16" i="41" s="1"/>
  <c r="N18" i="41"/>
  <c r="O18" i="41" s="1"/>
  <c r="N11" i="41"/>
  <c r="O11" i="41" s="1"/>
  <c r="P11" i="41" s="1"/>
  <c r="E7" i="29"/>
  <c r="D17" i="29"/>
  <c r="AN11" i="41"/>
  <c r="AA11" i="41"/>
  <c r="AA19" i="41" s="1"/>
  <c r="AN18" i="41"/>
  <c r="AN16" i="41"/>
  <c r="AA16" i="41"/>
  <c r="AN13" i="41"/>
  <c r="AA13" i="41"/>
  <c r="AN9" i="41"/>
  <c r="AA9" i="41"/>
  <c r="AN12" i="41"/>
  <c r="AA12" i="41"/>
  <c r="AN15" i="41"/>
  <c r="AA15" i="41"/>
  <c r="AN17" i="41"/>
  <c r="AA17" i="41"/>
  <c r="AN10" i="41"/>
  <c r="AA10" i="41"/>
  <c r="O10" i="41"/>
  <c r="AN14" i="41"/>
  <c r="AA14" i="41"/>
  <c r="A2" i="41"/>
  <c r="AC1" i="41"/>
  <c r="AC2" i="41"/>
  <c r="AC3" i="41" s="1"/>
  <c r="A1" i="41"/>
  <c r="M4" i="40"/>
  <c r="L4" i="40"/>
  <c r="K4" i="40"/>
  <c r="J4" i="40"/>
  <c r="I4" i="40"/>
  <c r="H4" i="40"/>
  <c r="M25" i="40"/>
  <c r="M26" i="40"/>
  <c r="L25" i="40"/>
  <c r="I30" i="2"/>
  <c r="K25" i="40"/>
  <c r="I22" i="2"/>
  <c r="J25" i="40"/>
  <c r="I18" i="2"/>
  <c r="I25" i="40"/>
  <c r="I14" i="2"/>
  <c r="H25" i="40"/>
  <c r="I8" i="2"/>
  <c r="P24" i="40"/>
  <c r="O24" i="40"/>
  <c r="N24" i="40"/>
  <c r="P21" i="40"/>
  <c r="O21" i="40"/>
  <c r="N21" i="40"/>
  <c r="P22" i="40"/>
  <c r="O22" i="40"/>
  <c r="N22" i="40"/>
  <c r="P20" i="40"/>
  <c r="O20" i="40"/>
  <c r="N20" i="40"/>
  <c r="P18" i="40"/>
  <c r="O18" i="40"/>
  <c r="N18" i="40"/>
  <c r="P11" i="40"/>
  <c r="O11" i="40"/>
  <c r="N11" i="40"/>
  <c r="P13" i="40"/>
  <c r="O13" i="40"/>
  <c r="N13" i="40"/>
  <c r="P16" i="40"/>
  <c r="O16" i="40"/>
  <c r="N16" i="40"/>
  <c r="P19" i="40"/>
  <c r="O19" i="40"/>
  <c r="N19" i="40"/>
  <c r="P17" i="40"/>
  <c r="O17" i="40"/>
  <c r="N17" i="40"/>
  <c r="P15" i="40"/>
  <c r="O15" i="40"/>
  <c r="N15" i="40"/>
  <c r="P14" i="40"/>
  <c r="O14" i="40"/>
  <c r="N14" i="40"/>
  <c r="P12" i="40"/>
  <c r="O12" i="40"/>
  <c r="N12" i="40"/>
  <c r="P10" i="40"/>
  <c r="O10" i="40"/>
  <c r="N10" i="40"/>
  <c r="P9" i="40"/>
  <c r="O9" i="40"/>
  <c r="N9" i="40"/>
  <c r="P7" i="40"/>
  <c r="O7" i="40"/>
  <c r="N7" i="40"/>
  <c r="P8" i="40"/>
  <c r="O8" i="40"/>
  <c r="N8" i="40"/>
  <c r="F4" i="32"/>
  <c r="E4" i="32"/>
  <c r="D4" i="32"/>
  <c r="F4" i="39"/>
  <c r="E4" i="39"/>
  <c r="D4" i="39"/>
  <c r="C10" i="39"/>
  <c r="C8" i="39"/>
  <c r="C13" i="39"/>
  <c r="C11" i="39"/>
  <c r="C16" i="39"/>
  <c r="C17" i="39"/>
  <c r="C9" i="39"/>
  <c r="C18" i="39"/>
  <c r="C14" i="39"/>
  <c r="C12" i="39"/>
  <c r="C15" i="39"/>
  <c r="C21" i="39"/>
  <c r="C19" i="39"/>
  <c r="C24" i="39"/>
  <c r="C20" i="39"/>
  <c r="C22" i="39"/>
  <c r="C23" i="39"/>
  <c r="H10" i="39"/>
  <c r="I10" i="39"/>
  <c r="J10" i="39"/>
  <c r="H8" i="39"/>
  <c r="I8" i="39"/>
  <c r="J8" i="39"/>
  <c r="H13" i="39"/>
  <c r="I13" i="39"/>
  <c r="J13" i="39"/>
  <c r="H11" i="39"/>
  <c r="I11" i="39"/>
  <c r="J11" i="39"/>
  <c r="H16" i="39"/>
  <c r="I16" i="39"/>
  <c r="J16" i="39"/>
  <c r="H17" i="39"/>
  <c r="I17" i="39"/>
  <c r="J17" i="39"/>
  <c r="H9" i="39"/>
  <c r="I9" i="39"/>
  <c r="J9" i="39"/>
  <c r="H18" i="39"/>
  <c r="I18" i="39"/>
  <c r="J18" i="39"/>
  <c r="H14" i="39"/>
  <c r="I14" i="39"/>
  <c r="J14" i="39"/>
  <c r="H12" i="39"/>
  <c r="I12" i="39"/>
  <c r="J12" i="39"/>
  <c r="H15" i="39"/>
  <c r="I15" i="39"/>
  <c r="J15" i="39"/>
  <c r="H21" i="39"/>
  <c r="I21" i="39"/>
  <c r="J21" i="39"/>
  <c r="H19" i="39"/>
  <c r="I19" i="39"/>
  <c r="J19" i="39"/>
  <c r="H24" i="39"/>
  <c r="I24" i="39"/>
  <c r="J24" i="39"/>
  <c r="H20" i="39"/>
  <c r="I20" i="39"/>
  <c r="J20" i="39"/>
  <c r="H22" i="39"/>
  <c r="I22" i="39"/>
  <c r="J22" i="39"/>
  <c r="H23" i="39"/>
  <c r="I23" i="39"/>
  <c r="J23" i="39"/>
  <c r="A25" i="39"/>
  <c r="D25" i="39"/>
  <c r="I7" i="2"/>
  <c r="E25" i="39"/>
  <c r="I17" i="2"/>
  <c r="F25" i="39"/>
  <c r="I29" i="2"/>
  <c r="C7" i="39"/>
  <c r="G15" i="39"/>
  <c r="J7" i="39"/>
  <c r="I7" i="39"/>
  <c r="I25" i="39" s="1"/>
  <c r="H7" i="39"/>
  <c r="A4" i="38"/>
  <c r="A3" i="38"/>
  <c r="A2" i="38"/>
  <c r="A4" i="37"/>
  <c r="A3" i="37"/>
  <c r="A2" i="37"/>
  <c r="A4" i="36"/>
  <c r="A3" i="36"/>
  <c r="A2" i="36"/>
  <c r="A4" i="35"/>
  <c r="A3" i="35"/>
  <c r="A2" i="35"/>
  <c r="A4" i="34"/>
  <c r="A3" i="34"/>
  <c r="A2" i="34"/>
  <c r="F21" i="32"/>
  <c r="I33" i="2"/>
  <c r="E21" i="32"/>
  <c r="I21" i="2"/>
  <c r="D21" i="32"/>
  <c r="I13" i="2"/>
  <c r="A21" i="32"/>
  <c r="A6" i="15"/>
  <c r="A2" i="29"/>
  <c r="A3" i="29"/>
  <c r="V8" i="29"/>
  <c r="W8" i="29"/>
  <c r="V9" i="29"/>
  <c r="W9" i="29"/>
  <c r="V10" i="29"/>
  <c r="W10" i="29"/>
  <c r="V11" i="29"/>
  <c r="W11" i="29"/>
  <c r="V12" i="29"/>
  <c r="W12" i="29"/>
  <c r="V13" i="29"/>
  <c r="W13" i="29"/>
  <c r="V14" i="29"/>
  <c r="W14" i="29"/>
  <c r="V15" i="29"/>
  <c r="W15" i="29"/>
  <c r="V16" i="29"/>
  <c r="W16" i="29"/>
  <c r="V18" i="29"/>
  <c r="W18" i="29"/>
  <c r="V19" i="29"/>
  <c r="W19" i="29"/>
  <c r="V20" i="29"/>
  <c r="W20" i="29"/>
  <c r="V21" i="29"/>
  <c r="W21" i="29"/>
  <c r="W7" i="29"/>
  <c r="V7" i="29"/>
  <c r="A4" i="29"/>
  <c r="A4" i="13"/>
  <c r="A2" i="13"/>
  <c r="A4" i="12"/>
  <c r="A2" i="12"/>
  <c r="E11" i="11"/>
  <c r="E17" i="11"/>
  <c r="E22" i="11" s="1"/>
  <c r="E27" i="11" s="1"/>
  <c r="E37" i="11" s="1"/>
  <c r="D11" i="11"/>
  <c r="D17" i="11" s="1"/>
  <c r="D22" i="11" s="1"/>
  <c r="D27" i="11" s="1"/>
  <c r="D37" i="11" s="1"/>
  <c r="A4" i="10"/>
  <c r="A2" i="10"/>
  <c r="A4" i="9"/>
  <c r="A2" i="9"/>
  <c r="A4" i="8"/>
  <c r="A2" i="8"/>
  <c r="A4" i="7"/>
  <c r="A2" i="7"/>
  <c r="A4" i="6"/>
  <c r="A2" i="6"/>
  <c r="I21" i="32"/>
  <c r="AB10" i="41"/>
  <c r="AB14" i="41"/>
  <c r="AB13" i="41"/>
  <c r="AB18" i="41"/>
  <c r="AB9" i="41"/>
  <c r="AB16" i="41"/>
  <c r="AB11" i="41"/>
  <c r="AB12" i="41"/>
  <c r="AC12" i="41" s="1"/>
  <c r="AD12" i="41" s="1"/>
  <c r="AB17" i="41"/>
  <c r="AB15" i="41"/>
  <c r="X10" i="15"/>
  <c r="D10" i="29"/>
  <c r="D9" i="29"/>
  <c r="D7" i="29"/>
  <c r="D8" i="29"/>
  <c r="J21" i="32"/>
  <c r="AO10" i="41"/>
  <c r="AO9" i="41"/>
  <c r="AP10" i="41" s="1"/>
  <c r="AQ10" i="41" s="1"/>
  <c r="AO11" i="41"/>
  <c r="AO14" i="41"/>
  <c r="AO13" i="41"/>
  <c r="AO15" i="41"/>
  <c r="AO12" i="41"/>
  <c r="AP12" i="41" s="1"/>
  <c r="AO16" i="41"/>
  <c r="AO18" i="41"/>
  <c r="AP18" i="41"/>
  <c r="AO17" i="41"/>
  <c r="AP17" i="41"/>
  <c r="AQ17" i="41" s="1"/>
  <c r="AP9" i="41"/>
  <c r="AQ9" i="41" s="1"/>
  <c r="D21" i="29"/>
  <c r="D20" i="29"/>
  <c r="D18" i="29"/>
  <c r="D19" i="29"/>
  <c r="D16" i="29"/>
  <c r="D15" i="29"/>
  <c r="D14" i="29"/>
  <c r="D13" i="29"/>
  <c r="D12" i="29"/>
  <c r="D11" i="29"/>
  <c r="AC14" i="41"/>
  <c r="AD14" i="41"/>
  <c r="AC13" i="41"/>
  <c r="AD13" i="41"/>
  <c r="X19" i="15"/>
  <c r="C13" i="34"/>
  <c r="D11" i="34"/>
  <c r="D12" i="34"/>
  <c r="C10" i="34"/>
  <c r="C11" i="34"/>
  <c r="D9" i="34"/>
  <c r="D10" i="34"/>
  <c r="C8" i="34"/>
  <c r="C9" i="34"/>
  <c r="D7" i="34"/>
  <c r="D8" i="34"/>
  <c r="C7" i="34"/>
  <c r="X17" i="15"/>
  <c r="X15" i="15"/>
  <c r="X13" i="15"/>
  <c r="D18" i="35"/>
  <c r="C18" i="35"/>
  <c r="D16" i="35"/>
  <c r="D15" i="35"/>
  <c r="C16" i="35"/>
  <c r="D14" i="35"/>
  <c r="C15" i="35"/>
  <c r="D13" i="35"/>
  <c r="C14" i="35"/>
  <c r="D12" i="35"/>
  <c r="C13" i="35"/>
  <c r="D11" i="35"/>
  <c r="C12" i="35"/>
  <c r="D10" i="35"/>
  <c r="C11" i="35"/>
  <c r="D8" i="35"/>
  <c r="C10" i="35"/>
  <c r="C8" i="35"/>
  <c r="C9" i="35"/>
  <c r="D7" i="35"/>
  <c r="D9" i="35"/>
  <c r="J25" i="39"/>
  <c r="X34" i="15"/>
  <c r="X32" i="15"/>
  <c r="X30" i="15"/>
  <c r="X28" i="15"/>
  <c r="X26" i="15"/>
  <c r="X24" i="15"/>
  <c r="C10" i="36"/>
  <c r="C12" i="36"/>
  <c r="C9" i="36"/>
  <c r="C11" i="36"/>
  <c r="C13" i="36"/>
  <c r="C7" i="36"/>
  <c r="C14" i="36"/>
  <c r="D8" i="36"/>
  <c r="D9" i="36"/>
  <c r="D10" i="36"/>
  <c r="D11" i="36"/>
  <c r="D12" i="36"/>
  <c r="D13" i="36"/>
  <c r="D14" i="36"/>
  <c r="D18" i="37"/>
  <c r="D19" i="37"/>
  <c r="C18" i="37"/>
  <c r="D16" i="37"/>
  <c r="C15" i="37"/>
  <c r="C16" i="37"/>
  <c r="D14" i="37"/>
  <c r="D15" i="37"/>
  <c r="C13" i="37"/>
  <c r="D12" i="37"/>
  <c r="D13" i="37"/>
  <c r="C11" i="37"/>
  <c r="D10" i="37"/>
  <c r="D11" i="37"/>
  <c r="C7" i="37"/>
  <c r="C9" i="37"/>
  <c r="C10" i="37"/>
  <c r="D8" i="37"/>
  <c r="D9" i="37"/>
  <c r="C8" i="37"/>
  <c r="D7" i="37"/>
  <c r="G22" i="39"/>
  <c r="G24" i="39"/>
  <c r="G21" i="39"/>
  <c r="G12" i="39"/>
  <c r="G18" i="39"/>
  <c r="G17" i="39"/>
  <c r="G11" i="39"/>
  <c r="G23" i="39"/>
  <c r="G20" i="39"/>
  <c r="G19" i="39"/>
  <c r="G14" i="39"/>
  <c r="G9" i="39"/>
  <c r="G13" i="39"/>
  <c r="G10" i="39"/>
  <c r="Z11" i="43"/>
  <c r="Y12" i="43"/>
  <c r="Y10" i="43"/>
  <c r="AA9" i="43"/>
  <c r="Y16" i="43"/>
  <c r="Y13" i="43"/>
  <c r="O25" i="50"/>
  <c r="O24" i="50"/>
  <c r="J12" i="50"/>
  <c r="P12" i="50"/>
  <c r="V12" i="50"/>
  <c r="J14" i="50"/>
  <c r="P14" i="50"/>
  <c r="V14" i="50"/>
  <c r="J16" i="50"/>
  <c r="P16" i="50"/>
  <c r="V16" i="50"/>
  <c r="J18" i="50"/>
  <c r="P18" i="50"/>
  <c r="V18" i="50"/>
  <c r="J20" i="50"/>
  <c r="P20" i="50"/>
  <c r="V20" i="50"/>
  <c r="J22" i="50"/>
  <c r="P22" i="50"/>
  <c r="V22" i="50"/>
  <c r="I24" i="50"/>
  <c r="I25" i="50" s="1"/>
  <c r="D9" i="50"/>
  <c r="J9" i="50"/>
  <c r="P9" i="50"/>
  <c r="V9" i="50"/>
  <c r="D10" i="50"/>
  <c r="D11" i="50"/>
  <c r="J13" i="50"/>
  <c r="P13" i="50"/>
  <c r="V13" i="50"/>
  <c r="J15" i="50"/>
  <c r="P15" i="50"/>
  <c r="V15" i="50"/>
  <c r="J17" i="50"/>
  <c r="P17" i="50"/>
  <c r="V17" i="50"/>
  <c r="J19" i="50"/>
  <c r="P19" i="50"/>
  <c r="V19" i="50"/>
  <c r="J21" i="50"/>
  <c r="P21" i="50"/>
  <c r="V21" i="50"/>
  <c r="P23" i="50"/>
  <c r="V23" i="50"/>
  <c r="U24" i="50"/>
  <c r="U25" i="50"/>
  <c r="D36" i="50"/>
  <c r="J36" i="50"/>
  <c r="P36" i="50"/>
  <c r="V36" i="50"/>
  <c r="D37" i="50"/>
  <c r="D38" i="50"/>
  <c r="C39" i="50" s="1"/>
  <c r="D39" i="50"/>
  <c r="D40" i="50"/>
  <c r="C40" i="50" s="1"/>
  <c r="D41" i="50"/>
  <c r="D42" i="50"/>
  <c r="D43" i="50"/>
  <c r="D44" i="50"/>
  <c r="D45" i="50"/>
  <c r="D46" i="50"/>
  <c r="D47" i="50"/>
  <c r="I48" i="50"/>
  <c r="I49" i="50" s="1"/>
  <c r="U48" i="50"/>
  <c r="U49" i="50" s="1"/>
  <c r="O66" i="50"/>
  <c r="O67" i="50" s="1"/>
  <c r="O48" i="50"/>
  <c r="O49" i="50" s="1"/>
  <c r="J62" i="50"/>
  <c r="P62" i="50"/>
  <c r="V62" i="50"/>
  <c r="J63" i="50"/>
  <c r="P63" i="50"/>
  <c r="V63" i="50"/>
  <c r="J64" i="50"/>
  <c r="V64" i="50"/>
  <c r="I66" i="50"/>
  <c r="I67" i="50" s="1"/>
  <c r="U66" i="50"/>
  <c r="U67" i="50" s="1"/>
  <c r="C44" i="50"/>
  <c r="C43" i="50"/>
  <c r="D49" i="50"/>
  <c r="Q10" i="51"/>
  <c r="P11" i="51" s="1"/>
  <c r="S10" i="51"/>
  <c r="Q13" i="51"/>
  <c r="S13" i="51"/>
  <c r="Q16" i="51"/>
  <c r="S16" i="51"/>
  <c r="Q19" i="51"/>
  <c r="S19" i="51"/>
  <c r="Q14" i="51"/>
  <c r="Q11" i="51"/>
  <c r="R19" i="51"/>
  <c r="R16" i="51"/>
  <c r="R13" i="51"/>
  <c r="R10" i="51"/>
  <c r="P24" i="51"/>
  <c r="P27" i="51"/>
  <c r="P26" i="51"/>
  <c r="V47" i="50"/>
  <c r="V38" i="50"/>
  <c r="V40" i="50"/>
  <c r="V42" i="50"/>
  <c r="V44" i="50"/>
  <c r="V46" i="50"/>
  <c r="V54" i="50"/>
  <c r="V55" i="50"/>
  <c r="V56" i="50"/>
  <c r="V57" i="50"/>
  <c r="V58" i="50"/>
  <c r="C47" i="50"/>
  <c r="J39" i="50"/>
  <c r="J41" i="50"/>
  <c r="J43" i="50"/>
  <c r="J45" i="50"/>
  <c r="J47" i="50"/>
  <c r="P54" i="50"/>
  <c r="P55" i="50"/>
  <c r="P56" i="50"/>
  <c r="P57" i="50"/>
  <c r="P58" i="50"/>
  <c r="D63" i="50"/>
  <c r="C46" i="50"/>
  <c r="C42" i="50"/>
  <c r="C38" i="50"/>
  <c r="P10" i="50"/>
  <c r="J11" i="50"/>
  <c r="V11" i="50"/>
  <c r="D13" i="50"/>
  <c r="D15" i="50"/>
  <c r="C15" i="50" s="1"/>
  <c r="D17" i="50"/>
  <c r="D19" i="50"/>
  <c r="C19" i="50" s="1"/>
  <c r="D21" i="50"/>
  <c r="D23" i="50"/>
  <c r="C23" i="50" s="1"/>
  <c r="P47" i="50"/>
  <c r="P64" i="50"/>
  <c r="P53" i="50"/>
  <c r="V53" i="50"/>
  <c r="P11" i="50"/>
  <c r="V37" i="50"/>
  <c r="J38" i="50"/>
  <c r="V39" i="50"/>
  <c r="J40" i="50"/>
  <c r="V41" i="50"/>
  <c r="J42" i="50"/>
  <c r="V43" i="50"/>
  <c r="J44" i="50"/>
  <c r="V45" i="50"/>
  <c r="V65" i="50"/>
  <c r="C13" i="50"/>
  <c r="C17" i="50"/>
  <c r="C21" i="50"/>
  <c r="D25" i="50"/>
  <c r="C11" i="50"/>
  <c r="C14" i="50"/>
  <c r="C18" i="50"/>
  <c r="C22" i="50"/>
  <c r="P37" i="50"/>
  <c r="P38" i="50"/>
  <c r="P39" i="50"/>
  <c r="P40" i="50"/>
  <c r="P41" i="50"/>
  <c r="P42" i="50"/>
  <c r="P43" i="50"/>
  <c r="P44" i="50"/>
  <c r="P45" i="50"/>
  <c r="P46" i="50"/>
  <c r="J54" i="50"/>
  <c r="J55" i="50"/>
  <c r="J56" i="50"/>
  <c r="J57" i="50"/>
  <c r="J58" i="50"/>
  <c r="J59" i="50"/>
  <c r="P59" i="50"/>
  <c r="V59" i="50"/>
  <c r="J60" i="50"/>
  <c r="P60" i="50"/>
  <c r="V60" i="50"/>
  <c r="J61" i="50"/>
  <c r="P61" i="50"/>
  <c r="J65" i="50"/>
  <c r="D48" i="50"/>
  <c r="C37" i="50"/>
  <c r="C41" i="50"/>
  <c r="C45" i="50"/>
  <c r="J23" i="50"/>
  <c r="D53" i="50"/>
  <c r="Q20" i="51"/>
  <c r="P19" i="51"/>
  <c r="Y14" i="43"/>
  <c r="Z9" i="43"/>
  <c r="Y11" i="43"/>
  <c r="AA11" i="43"/>
  <c r="AA13" i="43"/>
  <c r="Y9" i="43"/>
  <c r="P17" i="51"/>
  <c r="P14" i="51"/>
  <c r="P16" i="51"/>
  <c r="P13" i="51"/>
  <c r="P10" i="51"/>
  <c r="D24" i="50"/>
  <c r="C10" i="50"/>
  <c r="C53" i="50"/>
  <c r="C65" i="50"/>
  <c r="D67" i="50"/>
  <c r="D66" i="50"/>
  <c r="C63" i="50"/>
  <c r="C61" i="50"/>
  <c r="C59" i="50"/>
  <c r="C57" i="50"/>
  <c r="C55" i="50"/>
  <c r="C62" i="50"/>
  <c r="C60" i="50"/>
  <c r="C58" i="50"/>
  <c r="C56" i="50"/>
  <c r="C54" i="50"/>
  <c r="C64" i="50"/>
  <c r="E26" i="47"/>
  <c r="E39" i="47"/>
  <c r="E38" i="47"/>
  <c r="E35" i="47"/>
  <c r="E40" i="47"/>
  <c r="E36" i="47"/>
  <c r="I31" i="2"/>
  <c r="L42" i="47"/>
  <c r="J42" i="47"/>
  <c r="I10" i="2"/>
  <c r="E22" i="40"/>
  <c r="G7" i="39"/>
  <c r="D12" i="38"/>
  <c r="E23" i="40"/>
  <c r="E17" i="40"/>
  <c r="E24" i="40"/>
  <c r="A24" i="40" s="1"/>
  <c r="E7" i="40"/>
  <c r="E18" i="40"/>
  <c r="E8" i="40"/>
  <c r="E13" i="40"/>
  <c r="A9" i="40" s="1"/>
  <c r="E15" i="40"/>
  <c r="E21" i="40"/>
  <c r="I34" i="2"/>
  <c r="O25" i="40"/>
  <c r="P25" i="40"/>
  <c r="A18" i="40"/>
  <c r="A15" i="40"/>
  <c r="A21" i="40"/>
  <c r="A22" i="40"/>
  <c r="A10" i="40"/>
  <c r="A20" i="40"/>
  <c r="A13" i="40"/>
  <c r="D11" i="38"/>
  <c r="C12" i="38"/>
  <c r="D10" i="38"/>
  <c r="C11" i="38"/>
  <c r="D9" i="38"/>
  <c r="C10" i="38"/>
  <c r="D8" i="38"/>
  <c r="C9" i="38"/>
  <c r="D7" i="38"/>
  <c r="C8" i="38"/>
  <c r="C7" i="38"/>
  <c r="G7" i="32"/>
  <c r="G18" i="32"/>
  <c r="G11" i="32"/>
  <c r="G10" i="32"/>
  <c r="G8" i="32"/>
  <c r="G20" i="32"/>
  <c r="G17" i="32"/>
  <c r="G16" i="32"/>
  <c r="G15" i="32"/>
  <c r="G13" i="32"/>
  <c r="G9" i="32"/>
  <c r="B11" i="43"/>
  <c r="X47" i="15"/>
  <c r="X46" i="15"/>
  <c r="X45" i="15"/>
  <c r="X44" i="15"/>
  <c r="X43" i="15"/>
  <c r="X42" i="15"/>
  <c r="X41" i="15"/>
  <c r="X40" i="15"/>
  <c r="X39" i="15"/>
  <c r="A11" i="40"/>
  <c r="A7" i="40"/>
  <c r="A23" i="40"/>
  <c r="A19" i="40"/>
  <c r="B15" i="43"/>
  <c r="X12" i="15"/>
  <c r="X14" i="15"/>
  <c r="X16" i="15"/>
  <c r="X18" i="15"/>
  <c r="O41" i="47"/>
  <c r="P18" i="41"/>
  <c r="Q18" i="41" s="1"/>
  <c r="P13" i="41"/>
  <c r="Q13" i="41" s="1"/>
  <c r="P12" i="41"/>
  <c r="Q12" i="41" s="1"/>
  <c r="D12" i="41" s="1"/>
  <c r="P17" i="41"/>
  <c r="Q17" i="41" s="1"/>
  <c r="P16" i="41"/>
  <c r="Q16" i="41" s="1"/>
  <c r="P9" i="41"/>
  <c r="Q9" i="41" s="1"/>
  <c r="P10" i="41"/>
  <c r="Q10" i="41" s="1"/>
  <c r="P15" i="41"/>
  <c r="Q15" i="41" s="1"/>
  <c r="P14" i="41"/>
  <c r="Q14" i="41"/>
  <c r="AP11" i="41"/>
  <c r="AQ11" i="41" s="1"/>
  <c r="AC17" i="41"/>
  <c r="AD17" i="41" s="1"/>
  <c r="AC16" i="41"/>
  <c r="AD16" i="41" s="1"/>
  <c r="AC9" i="41"/>
  <c r="AD9" i="41" s="1"/>
  <c r="Q11" i="41"/>
  <c r="AQ18" i="41"/>
  <c r="AQ12" i="41"/>
  <c r="E24" i="47"/>
  <c r="E23" i="47"/>
  <c r="E25" i="47"/>
  <c r="E27" i="47"/>
  <c r="E29" i="47"/>
  <c r="E34" i="47"/>
  <c r="E21" i="47"/>
  <c r="E30" i="47"/>
  <c r="E33" i="47"/>
  <c r="A33" i="47" s="1"/>
  <c r="E37" i="47"/>
  <c r="E10" i="47"/>
  <c r="A10" i="47" s="1"/>
  <c r="E13" i="47"/>
  <c r="E12" i="47"/>
  <c r="E19" i="47"/>
  <c r="E16" i="47"/>
  <c r="A16" i="47" s="1"/>
  <c r="E20" i="47"/>
  <c r="E22" i="47"/>
  <c r="E8" i="47"/>
  <c r="E9" i="47"/>
  <c r="E11" i="47"/>
  <c r="E15" i="47"/>
  <c r="E18" i="47"/>
  <c r="E14" i="47"/>
  <c r="E17" i="47"/>
  <c r="E7" i="47"/>
  <c r="A32" i="47" s="1"/>
  <c r="P41" i="47"/>
  <c r="I35" i="2"/>
  <c r="A9" i="47"/>
  <c r="A17" i="47"/>
  <c r="A31" i="47"/>
  <c r="A29" i="47"/>
  <c r="A25" i="47"/>
  <c r="A11" i="47"/>
  <c r="A14" i="47"/>
  <c r="A22" i="47"/>
  <c r="A21" i="47"/>
  <c r="A38" i="47"/>
  <c r="A36" i="47"/>
  <c r="A12" i="47"/>
  <c r="A20" i="47"/>
  <c r="A27" i="47"/>
  <c r="A26" i="47"/>
  <c r="A15" i="47"/>
  <c r="A24" i="47"/>
  <c r="D17" i="35"/>
  <c r="C17" i="35"/>
  <c r="D17" i="37"/>
  <c r="B16" i="43"/>
  <c r="B12" i="43"/>
  <c r="B9" i="43"/>
  <c r="B14" i="43"/>
  <c r="B10" i="43"/>
  <c r="B13" i="43"/>
  <c r="Y15" i="43"/>
  <c r="AA15" i="43"/>
  <c r="X15" i="43"/>
  <c r="P23" i="51"/>
  <c r="P20" i="51"/>
  <c r="B44" i="51"/>
  <c r="B23" i="51"/>
  <c r="B24" i="51"/>
  <c r="B34" i="51" s="1"/>
  <c r="B42" i="51"/>
  <c r="X11" i="43"/>
  <c r="X13" i="43"/>
  <c r="B30" i="51"/>
  <c r="X12" i="43"/>
  <c r="X14" i="43"/>
  <c r="X9" i="43"/>
  <c r="X16" i="43"/>
  <c r="X10" i="43"/>
  <c r="B35" i="43"/>
  <c r="B36" i="43"/>
  <c r="P31" i="51"/>
  <c r="P30" i="51"/>
  <c r="P35" i="51"/>
  <c r="X23" i="43"/>
  <c r="X26" i="43"/>
  <c r="P34" i="51"/>
  <c r="X27" i="43"/>
  <c r="X24" i="43"/>
  <c r="B33" i="43" l="1"/>
  <c r="B34" i="43"/>
  <c r="D9" i="41"/>
  <c r="D17" i="41"/>
  <c r="B43" i="51"/>
  <c r="B41" i="51"/>
  <c r="B27" i="51"/>
  <c r="B35" i="51" s="1"/>
  <c r="B26" i="51"/>
  <c r="B31" i="51" s="1"/>
  <c r="AP13" i="41"/>
  <c r="AQ13" i="41" s="1"/>
  <c r="D13" i="41" s="1"/>
  <c r="A18" i="47"/>
  <c r="A39" i="47"/>
  <c r="A13" i="47"/>
  <c r="A37" i="47"/>
  <c r="A8" i="47"/>
  <c r="A30" i="47"/>
  <c r="A34" i="47"/>
  <c r="A28" i="47"/>
  <c r="A23" i="47"/>
  <c r="A40" i="47"/>
  <c r="A7" i="47"/>
  <c r="A19" i="47"/>
  <c r="A35" i="47"/>
  <c r="B27" i="43"/>
  <c r="B24" i="43"/>
  <c r="B21" i="43"/>
  <c r="B19" i="43"/>
  <c r="B26" i="43"/>
  <c r="B23" i="43"/>
  <c r="B20" i="43"/>
  <c r="B18" i="43"/>
  <c r="A16" i="40"/>
  <c r="A8" i="40"/>
  <c r="A12" i="40"/>
  <c r="A14" i="40"/>
  <c r="A17" i="40"/>
  <c r="C20" i="50"/>
  <c r="C16" i="50"/>
  <c r="C9" i="50"/>
  <c r="C12" i="50"/>
  <c r="C36" i="50"/>
  <c r="AP16" i="41"/>
  <c r="AQ16" i="41" s="1"/>
  <c r="D16" i="41" s="1"/>
  <c r="AP15" i="41"/>
  <c r="AQ15" i="41" s="1"/>
  <c r="AP14" i="41"/>
  <c r="AQ14" i="41" s="1"/>
  <c r="D14" i="41" s="1"/>
  <c r="AC15" i="41"/>
  <c r="AD15" i="41" s="1"/>
  <c r="D15" i="41" s="1"/>
  <c r="AC11" i="41"/>
  <c r="AD11" i="41" s="1"/>
  <c r="D11" i="41" s="1"/>
  <c r="AC10" i="41"/>
  <c r="AD10" i="41" s="1"/>
  <c r="D10" i="41" s="1"/>
  <c r="X33" i="15"/>
  <c r="X29" i="15"/>
  <c r="X25" i="15"/>
  <c r="AC18" i="41"/>
  <c r="AD18" i="41" s="1"/>
  <c r="D18" i="41" s="1"/>
  <c r="C18" i="41" s="1"/>
  <c r="B38" i="51"/>
  <c r="B39" i="51"/>
  <c r="B37" i="51"/>
  <c r="B40" i="51"/>
  <c r="B29" i="43"/>
  <c r="B32" i="43"/>
  <c r="B30" i="43"/>
  <c r="B31" i="43"/>
  <c r="C10" i="41" l="1"/>
  <c r="C15" i="41"/>
  <c r="C13" i="41"/>
  <c r="C11" i="41"/>
  <c r="C17" i="41"/>
  <c r="C9" i="41"/>
  <c r="C12" i="41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20" authorId="0">
      <text>
        <r>
          <rPr>
            <b/>
            <sz val="8"/>
            <color indexed="81"/>
            <rFont val="Tahoma"/>
            <family val="2"/>
            <charset val="186"/>
          </rPr>
          <t>Haapsalu, Karja 2
Talumehe kõrts</t>
        </r>
      </text>
    </comment>
    <comment ref="K21" authorId="0">
      <text>
        <r>
          <rPr>
            <b/>
            <sz val="8"/>
            <color indexed="81"/>
            <rFont val="Tahoma"/>
            <family val="2"/>
            <charset val="186"/>
          </rPr>
          <t>Haapsalu, Niine 17
Petangihall</t>
        </r>
      </text>
    </comment>
    <comment ref="M21" authorId="0">
      <text>
        <r>
          <rPr>
            <b/>
            <sz val="8"/>
            <color indexed="81"/>
            <rFont val="Tahoma"/>
            <family val="2"/>
            <charset val="186"/>
          </rPr>
          <t>Haapsalu, Niine 17
Petangihall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3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3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4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4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5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53" authorId="0">
      <text>
        <r>
          <rPr>
            <b/>
            <sz val="8"/>
            <color indexed="81"/>
            <rFont val="Tahoma"/>
            <family val="2"/>
            <charset val="186"/>
          </rPr>
          <t>Haapsalu, Niine 17
Petangihall</t>
        </r>
      </text>
    </comment>
    <comment ref="M53" authorId="0">
      <text>
        <r>
          <rPr>
            <b/>
            <sz val="8"/>
            <color indexed="81"/>
            <rFont val="Tahoma"/>
            <family val="2"/>
            <charset val="186"/>
          </rPr>
          <t>Haapsalu, Niine 17
Petangihall</t>
        </r>
      </text>
    </comment>
    <comment ref="M6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6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6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6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7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80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M80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M8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87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M8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9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95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M95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K98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M10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M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Võrdse punktisumma korral annab kõrgema koha võistlejale, kellel on rohkem 40-t, siis rohkem 34-a, 30-t jne.
Valem töötab Microsoft ja WPS Office-ga. 
Vahel ei tööta Libre ja Open Office-ga.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I41" authorId="0">
      <text>
        <r>
          <rPr>
            <b/>
            <sz val="8"/>
            <color indexed="81"/>
            <rFont val="Tahoma"/>
            <family val="2"/>
            <charset val="186"/>
          </rPr>
          <t>Võistkonnas 
Aigi Orro, 
Andres Viisitam, 
Kalle Orro 
oli 1 varumängija</t>
        </r>
      </text>
    </comment>
    <comment ref="L41" authorId="0">
      <text>
        <r>
          <rPr>
            <b/>
            <sz val="8"/>
            <color indexed="81"/>
            <rFont val="Tahoma"/>
            <family val="2"/>
            <charset val="186"/>
          </rPr>
          <t>Võistkonnas 
Klavdia Piik, 
Tõnu Piik, 
Ülo Piik 
oli 1 varumängija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M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Võrdse punktisumma korral annab kõrgema koha võistlejale, kellel on rohkem 40-t, siis rohkem 34-a, 30-t jne.
Valem töötab Microsoft ja WPS Office-ga. 
Vahel ei tööta Libre ja Open Office-ga.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I25" authorId="0">
      <text>
        <r>
          <rPr>
            <b/>
            <sz val="8"/>
            <color indexed="81"/>
            <rFont val="Tahoma"/>
            <family val="2"/>
            <charset val="186"/>
          </rPr>
          <t>Klavdia Piik mängis üksi kuue kuuliga</t>
        </r>
      </text>
    </comment>
    <comment ref="K25" authorId="0">
      <text>
        <r>
          <rPr>
            <b/>
            <sz val="8"/>
            <color indexed="81"/>
            <rFont val="Tahoma"/>
            <family val="2"/>
            <charset val="186"/>
          </rPr>
          <t>Ülo Piik mängis üksi kuue kuuliga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b/>
            <sz val="8"/>
            <color indexed="81"/>
            <rFont val="Tahoma"/>
            <family val="2"/>
            <charset val="186"/>
          </rPr>
          <t>iga 5 punkti eest lisab 0,01 ja iga 3 punkti eest lisab 0,0001</t>
        </r>
      </text>
    </comment>
    <comment ref="P8" authorId="0">
      <text>
        <r>
          <rPr>
            <b/>
            <sz val="8"/>
            <color indexed="81"/>
            <rFont val="Tahoma"/>
            <family val="2"/>
            <charset val="186"/>
          </rPr>
          <t>Kui võistlejatel on võrdne punktisumma, siis loeb valem kokku 5-ed. Kellel on rohkem 5-i, see saab kõrgema koha. 
Kui 5-i on võrdselt, kontrollib valem 3-esid. Kellel on rohkem 3-sid, saab kõrgema koha. 
Kui ka 3-esid on võrdselt märgib koha punaselt.</t>
        </r>
      </text>
    </comment>
    <comment ref="AB8" authorId="0">
      <text>
        <r>
          <rPr>
            <b/>
            <sz val="8"/>
            <color indexed="81"/>
            <rFont val="Tahoma"/>
            <family val="2"/>
            <charset val="186"/>
          </rPr>
          <t>tagurpidi RANK, et ei näitaks esimese mängija korral viimast kohta ja teise korral eelviimast</t>
        </r>
      </text>
    </comment>
    <comment ref="AO8" authorId="0">
      <text>
        <r>
          <rPr>
            <b/>
            <sz val="8"/>
            <color indexed="81"/>
            <rFont val="Tahoma"/>
            <family val="2"/>
            <charset val="186"/>
          </rPr>
          <t>tagurpidi RANK, et ei näitaks esimese mängija korral viimast kohta ja teise korral eelviimast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Q10" authorId="0">
      <text>
        <r>
          <rPr>
            <b/>
            <sz val="8"/>
            <color indexed="81"/>
            <rFont val="Tahoma"/>
            <family val="2"/>
            <charset val="186"/>
          </rPr>
          <t>kahe veerandfinalisti võitja punktidele lisab 100.
paariliste esimesed saavad kohe 100, et mittte edasisaanute RANK algaks 5-st kohast, mitte 2-st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Y9" authorId="0">
      <text>
        <r>
          <rPr>
            <b/>
            <sz val="8"/>
            <color indexed="81"/>
            <rFont val="Tahoma"/>
            <family val="2"/>
            <charset val="186"/>
          </rPr>
          <t>kahe veerandfinalisti võitja punktidele lisab 100.
paariliste esimesed saavad kohe 100, et mittte edasisaanute RANK algaks 5-st kohast, mitte 2-st</t>
        </r>
      </text>
    </comment>
    <comment ref="W23" authorId="0">
      <text>
        <r>
          <rPr>
            <b/>
            <sz val="8"/>
            <color indexed="81"/>
            <rFont val="Tahoma"/>
            <family val="2"/>
            <charset val="186"/>
          </rPr>
          <t>Isiklik rekord
Eelmine rekord oli samuti 31 punkti, kuid siis oli 5-punkti viskeid kaks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D6" authorId="0">
      <text>
        <r>
          <rPr>
            <b/>
            <sz val="8"/>
            <color indexed="81"/>
            <rFont val="Tahoma"/>
            <family val="2"/>
            <charset val="186"/>
          </rPr>
          <t>Valem arvestab koha määramisel võitude arvu, 
kuid võrdse võitude arvu korral ei oska võrrelda omavahelisi mänge (sellised kohad märgib oranžiga)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186"/>
          </rPr>
          <t>Klavdia Piik mängis 6e kuuliga</t>
        </r>
      </text>
    </comment>
  </commentList>
</comments>
</file>

<file path=xl/sharedStrings.xml><?xml version="1.0" encoding="utf-8"?>
<sst xmlns="http://schemas.openxmlformats.org/spreadsheetml/2006/main" count="1795" uniqueCount="453">
  <si>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</si>
  <si>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</si>
  <si>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</si>
  <si>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</si>
  <si>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</si>
  <si>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</si>
  <si>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</si>
  <si>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</si>
  <si>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November 2015</t>
  </si>
  <si>
    <t>P, 08.11.2015</t>
  </si>
  <si>
    <t>P, 15.11.2015</t>
  </si>
  <si>
    <t>11:00</t>
  </si>
  <si>
    <t>Üksik</t>
  </si>
  <si>
    <t>P, 22.11.2015</t>
  </si>
  <si>
    <t>Tulistamine</t>
  </si>
  <si>
    <t>Detsember 2015</t>
  </si>
  <si>
    <t>P, 13.12.2015</t>
  </si>
  <si>
    <t>SHK KV 2. etapp</t>
  </si>
  <si>
    <t>Duo</t>
  </si>
  <si>
    <t>L, 19.12.2015</t>
  </si>
  <si>
    <t>P, 20.12.2015</t>
  </si>
  <si>
    <t>Eesti reiting</t>
  </si>
  <si>
    <t>Trio</t>
  </si>
  <si>
    <t>P, 27.12.2015</t>
  </si>
  <si>
    <t>Jaanuar 2016</t>
  </si>
  <si>
    <t>P, 10.01.2016</t>
  </si>
  <si>
    <t>P, 17.01.2016</t>
  </si>
  <si>
    <t>SHK KV 3. etapp</t>
  </si>
  <si>
    <t>P, 24.01.2016</t>
  </si>
  <si>
    <t>Veebruar 2016</t>
  </si>
  <si>
    <t>P, 14.02.2016</t>
  </si>
  <si>
    <t>L, 20.02.2016</t>
  </si>
  <si>
    <t>P, 21.02.2016</t>
  </si>
  <si>
    <t>10:00</t>
  </si>
  <si>
    <t>P, 28.02.2016</t>
  </si>
  <si>
    <t>SHK KV 4. etapp</t>
  </si>
  <si>
    <t>Märts 2016</t>
  </si>
  <si>
    <t>P, 06.03.2016</t>
  </si>
  <si>
    <t>P, 13.03.2016</t>
  </si>
  <si>
    <t>P, 27.03.2016</t>
  </si>
  <si>
    <t>SHK KV 5. etapp</t>
  </si>
  <si>
    <t>5.</t>
  </si>
  <si>
    <t>Aprill 2016</t>
  </si>
  <si>
    <t>P, 03.04.2016</t>
  </si>
  <si>
    <t>P, 10.04.2016</t>
  </si>
  <si>
    <t>P, 24.04.2016</t>
  </si>
  <si>
    <t>SHK KV 6. etapp</t>
  </si>
  <si>
    <t>Viimased muudatused on punasega</t>
  </si>
  <si>
    <t>Esmaspäev</t>
  </si>
  <si>
    <t>Teisipäev</t>
  </si>
  <si>
    <t>Kolmapäev</t>
  </si>
  <si>
    <t>Neljapäev</t>
  </si>
  <si>
    <t>Reede</t>
  </si>
  <si>
    <t>Laupäev</t>
  </si>
  <si>
    <t>Pühapäev</t>
  </si>
  <si>
    <t>Juunioride MM, TRIO, TUL</t>
  </si>
  <si>
    <t>TRIO, TUL</t>
  </si>
  <si>
    <t>Bangkok (Tai)</t>
  </si>
  <si>
    <t xml:space="preserve"> </t>
  </si>
  <si>
    <t>Bangkok</t>
  </si>
  <si>
    <t>K-Järve</t>
  </si>
  <si>
    <t>EuroCup finaal</t>
  </si>
  <si>
    <t>Belvaux-Metzerlach (Luxembourg)</t>
  </si>
  <si>
    <t>IDA-VIRUMAA PETANGIREITING 2015-2016 SISE</t>
  </si>
  <si>
    <t>Esikolmikus</t>
  </si>
  <si>
    <t>Võite</t>
  </si>
  <si>
    <t>Nimi</t>
  </si>
  <si>
    <t>K</t>
  </si>
  <si>
    <t>**</t>
  </si>
  <si>
    <t>***</t>
  </si>
  <si>
    <t>Osalejaid</t>
  </si>
  <si>
    <t>Võistkondi</t>
  </si>
  <si>
    <t>SHK</t>
  </si>
  <si>
    <t>Mäguviis</t>
  </si>
  <si>
    <t>Osaleja</t>
  </si>
  <si>
    <t>Skoor</t>
  </si>
  <si>
    <t>Punkte</t>
  </si>
  <si>
    <t>TRIO</t>
  </si>
  <si>
    <t>SEGATRIO</t>
  </si>
  <si>
    <t>SEGADUO</t>
  </si>
  <si>
    <t>DUO</t>
  </si>
  <si>
    <t>DUO 2N</t>
  </si>
  <si>
    <t>ÜKSIK</t>
  </si>
  <si>
    <t>LÕPPTULEMUS:</t>
  </si>
  <si>
    <t>Osaleja nimi</t>
  </si>
  <si>
    <t>Koht</t>
  </si>
  <si>
    <t>VEERANDFINAALID</t>
  </si>
  <si>
    <t>POOLFINAALID</t>
  </si>
  <si>
    <t>PRONKSIMÄNG</t>
  </si>
  <si>
    <t>FINAAL</t>
  </si>
  <si>
    <t>Ülo Piik</t>
  </si>
  <si>
    <t>punkti</t>
  </si>
  <si>
    <t>Kolmas koht</t>
  </si>
  <si>
    <t>Teine koht</t>
  </si>
  <si>
    <t>Esimene koht</t>
  </si>
  <si>
    <t>Janek Tarto</t>
  </si>
  <si>
    <t>Rene Kundla</t>
  </si>
  <si>
    <t>Tarmo Müür</t>
  </si>
  <si>
    <t>Jaan Sepp</t>
  </si>
  <si>
    <t>Viktor Svarõgin (Narva)</t>
  </si>
  <si>
    <t>Maksim Maksimov</t>
  </si>
  <si>
    <t>Meelis Luud</t>
  </si>
  <si>
    <t>Hugo Müüdla</t>
  </si>
  <si>
    <t>Andrei Grintšak</t>
  </si>
  <si>
    <t>Oskar Sepp</t>
  </si>
  <si>
    <t>Klavdia Piik</t>
  </si>
  <si>
    <t>Tõnu Piik</t>
  </si>
  <si>
    <t>Argo Sepp</t>
  </si>
  <si>
    <t>Vladimir Ogneštšikov</t>
  </si>
  <si>
    <t>Svetlana Sobolko</t>
  </si>
  <si>
    <t>Daniil Alekankin</t>
  </si>
  <si>
    <t>Karla Purgats</t>
  </si>
  <si>
    <t>Elmo Lageda</t>
  </si>
  <si>
    <t>Ivar Viljaste</t>
  </si>
  <si>
    <t>Aarne Välja</t>
  </si>
  <si>
    <t>Boriss Klubov</t>
  </si>
  <si>
    <t>Andres Veski</t>
  </si>
  <si>
    <t>Pjotr Nikkar</t>
  </si>
  <si>
    <t>Lükkamine</t>
  </si>
  <si>
    <t>5-d ja 3-d</t>
  </si>
  <si>
    <t>PUNKTE</t>
  </si>
  <si>
    <t>KOHT</t>
  </si>
  <si>
    <t>Asetamine</t>
  </si>
  <si>
    <t>Kokku</t>
  </si>
  <si>
    <t>*</t>
  </si>
  <si>
    <t>Aigi Orro</t>
  </si>
  <si>
    <t>Andres Viisitam</t>
  </si>
  <si>
    <t>Emil Murzajev</t>
  </si>
  <si>
    <t>Enno Konsa</t>
  </si>
  <si>
    <t>Jaan Kollo</t>
  </si>
  <si>
    <t>Jaan Rooden</t>
  </si>
  <si>
    <t>Johannes Neiland</t>
  </si>
  <si>
    <t>Jüri Mironjuk</t>
  </si>
  <si>
    <t>Kalle Orro</t>
  </si>
  <si>
    <t>Kristo Viljaste</t>
  </si>
  <si>
    <t>Lemmit Toomra</t>
  </si>
  <si>
    <t>Ljudmila Varendi (Narva)</t>
  </si>
  <si>
    <t>Mait Metsla</t>
  </si>
  <si>
    <t>Martin Rooden</t>
  </si>
  <si>
    <t>Matti Vinni</t>
  </si>
  <si>
    <t>Raivo Ruberg</t>
  </si>
  <si>
    <t>Sirje Viljaste</t>
  </si>
  <si>
    <t>Tõnis Anton</t>
  </si>
  <si>
    <t>Tõnu Kapper</t>
  </si>
  <si>
    <t>Tõnu Kortel</t>
  </si>
  <si>
    <t>Vadim Tihhonjuk</t>
  </si>
  <si>
    <t>SHK KV 1. etapp</t>
  </si>
  <si>
    <t>Pliks-plaks 1</t>
  </si>
  <si>
    <t>Pliks-plaks 3</t>
  </si>
  <si>
    <t>Pliks-plaks 5</t>
  </si>
  <si>
    <t>Viike</t>
  </si>
  <si>
    <t xml:space="preserve">Kui kahel või enamal mängijal on võrdselt punkte, siis saab parema koha see, kellel on rohkem võite. </t>
  </si>
  <si>
    <t xml:space="preserve">Kui ka võitude arv on võrdne, siis vaadatakse nende mängijate omavaheliste mängude suhet. </t>
  </si>
  <si>
    <t>Võit - 2 punkti</t>
  </si>
  <si>
    <t>Viik - 1 punkt</t>
  </si>
  <si>
    <t>Kaotus - 0 punkti</t>
  </si>
  <si>
    <t>Osal</t>
  </si>
  <si>
    <t>K-Järve SHK, Ivar Viljaste</t>
  </si>
  <si>
    <t>Haa</t>
  </si>
  <si>
    <t>Tulistamise eelvoor 3</t>
  </si>
  <si>
    <t>Tulistamise eelvoor 2</t>
  </si>
  <si>
    <t>Tulistamise eelvoor 1</t>
  </si>
  <si>
    <t>Tulistamise vf, pf, finaal</t>
  </si>
  <si>
    <t>TULISTAMINE 2015-2016 SISE</t>
  </si>
  <si>
    <t>ASETAMINE 2015-2016 SISE</t>
  </si>
  <si>
    <r>
      <t>Koht</t>
    </r>
    <r>
      <rPr>
        <sz val="10"/>
        <rFont val="Arial"/>
        <family val="2"/>
        <charset val="186"/>
      </rPr>
      <t>/edasi</t>
    </r>
  </si>
  <si>
    <t>PLIKS-PLAKSI REITING 2015-2016 SISE</t>
  </si>
  <si>
    <t>Pliks-plaks 2</t>
  </si>
  <si>
    <t>Pliks-plaks 4</t>
  </si>
  <si>
    <t>Pliks-plaks 6</t>
  </si>
  <si>
    <t>Mitmevõistlus</t>
  </si>
  <si>
    <t>Duo (loosi)</t>
  </si>
  <si>
    <t>Naiste MM, TRIO, TUL</t>
  </si>
  <si>
    <t xml:space="preserve">Naiste MM, </t>
  </si>
  <si>
    <t>(Luxembourg)</t>
  </si>
  <si>
    <t>Belvaux-Metzerlach</t>
  </si>
  <si>
    <t>Eenok Sepp</t>
  </si>
  <si>
    <t>Koht tagurpidi</t>
  </si>
  <si>
    <t>EESTI JA IDA-VIRUMAA PETANGIKALENDER 2015-2016 SISE</t>
  </si>
  <si>
    <t>IDA-VIRUMAA PETANGIKALENDER 2015-2016 SISE</t>
  </si>
  <si>
    <t>(puulid), TRIO</t>
  </si>
  <si>
    <t>(karikas), TRIO</t>
  </si>
  <si>
    <t>eelvoor 1, TUL</t>
  </si>
  <si>
    <t>DUO (loosi)</t>
  </si>
  <si>
    <t>A-puul</t>
  </si>
  <si>
    <t>1-4, 2-3</t>
  </si>
  <si>
    <t>Võitjad</t>
  </si>
  <si>
    <t>Kaotajad</t>
  </si>
  <si>
    <t>VK-KV</t>
  </si>
  <si>
    <t>B-puul</t>
  </si>
  <si>
    <t>C-puul</t>
  </si>
  <si>
    <t>D-puul</t>
  </si>
  <si>
    <t>1 - 8 koht</t>
  </si>
  <si>
    <t>B1</t>
  </si>
  <si>
    <t>A1</t>
  </si>
  <si>
    <t>I koht</t>
  </si>
  <si>
    <t>D1</t>
  </si>
  <si>
    <t>II koht</t>
  </si>
  <si>
    <t>C1</t>
  </si>
  <si>
    <t>III koht</t>
  </si>
  <si>
    <t>4. koht</t>
  </si>
  <si>
    <t>5. koht</t>
  </si>
  <si>
    <t>6. koht</t>
  </si>
  <si>
    <t>7. koht</t>
  </si>
  <si>
    <t>8. koht</t>
  </si>
  <si>
    <t>B2</t>
  </si>
  <si>
    <t>A2</t>
  </si>
  <si>
    <t>9. koht</t>
  </si>
  <si>
    <t>D2</t>
  </si>
  <si>
    <t>10. koht</t>
  </si>
  <si>
    <t>C2</t>
  </si>
  <si>
    <t>11. koht</t>
  </si>
  <si>
    <t>12. koht</t>
  </si>
  <si>
    <t>13. koht</t>
  </si>
  <si>
    <t>14. koht</t>
  </si>
  <si>
    <t>15. koht</t>
  </si>
  <si>
    <t>16. koht</t>
  </si>
  <si>
    <t>B3</t>
  </si>
  <si>
    <t>A3</t>
  </si>
  <si>
    <t>D3</t>
  </si>
  <si>
    <t>C3</t>
  </si>
  <si>
    <t>-</t>
  </si>
  <si>
    <t>I</t>
  </si>
  <si>
    <t>II</t>
  </si>
  <si>
    <t>III</t>
  </si>
  <si>
    <t>IV</t>
  </si>
  <si>
    <t>A4</t>
  </si>
  <si>
    <t>Vello Vasser</t>
  </si>
  <si>
    <t>+</t>
  </si>
  <si>
    <t>B4</t>
  </si>
  <si>
    <t>D4</t>
  </si>
  <si>
    <t>C4</t>
  </si>
  <si>
    <t>9 - 15 koht</t>
  </si>
  <si>
    <t>eelvoor 2, TUL</t>
  </si>
  <si>
    <t>KOKKU</t>
  </si>
  <si>
    <t xml:space="preserve">Kavas on 3 ala ja igal alal teeb võistleja  3 viset kauguselt 6 m, 7 m ja 8 m: </t>
  </si>
  <si>
    <t xml:space="preserve">14 osaleja korral, saab ala võitja 14 punkti, teine koht 13, kolmas 12 punkti jne. </t>
  </si>
  <si>
    <t>Järgmist ala alustab väikseima punktisummaga võistleja.</t>
  </si>
  <si>
    <t>Kõigi kolme ala punktid liidetakse (võrdsete punktide korral saab parema koha asetamises rohkem punkte saanud võistleja).</t>
  </si>
  <si>
    <t>PS. Kaugust ei mõõdeta ja kirja pannakse 100 cm kuuli kohta kui:</t>
  </si>
  <si>
    <t xml:space="preserve">  - kaugus snadini on üle 100 cm,</t>
  </si>
  <si>
    <t xml:space="preserve">  - kui kuul või snadi läheb väljakult välja,</t>
  </si>
  <si>
    <t xml:space="preserve">  - võistleja jätab kuuli viskamata.</t>
  </si>
  <si>
    <t>Kaugusi mõõdetakse 1 cm täpsusega.</t>
  </si>
  <si>
    <t>Asetamise ja lükkamise korral tohib kuul snadi liigutada – snadi jääb uude kohta.</t>
  </si>
  <si>
    <r>
      <t>1. Tulistamine</t>
    </r>
    <r>
      <rPr>
        <sz val="10"/>
        <color indexed="8"/>
        <rFont val="Arial"/>
        <family val="2"/>
        <charset val="186"/>
      </rPr>
      <t xml:space="preserve"> – väljakule joonistatud ringi pannakse 1 kuul, mille peab välja lööma. Võib teha ka "laadameest" ehk löögikuul võib maanduda ringi ette. Punkte saab nagu tavaliselt (5 p, 3 p, 1 p). </t>
    </r>
  </si>
  <si>
    <r>
      <t>2. Asetamine</t>
    </r>
    <r>
      <rPr>
        <sz val="10"/>
        <color indexed="8"/>
        <rFont val="Arial"/>
        <family val="2"/>
        <charset val="186"/>
      </rPr>
      <t xml:space="preserve"> – kuulid peab viskama väljakule pandud sandile võimalikult lähedale. Kirja läheb kuulide kauguste summa snadist. </t>
    </r>
  </si>
  <si>
    <r>
      <t>3. Lükkamine</t>
    </r>
    <r>
      <rPr>
        <sz val="10"/>
        <color indexed="8"/>
        <rFont val="Arial"/>
        <family val="2"/>
        <charset val="186"/>
      </rPr>
      <t xml:space="preserve"> – 1 meeter snadi ette pannakse  3 kuuli. Võistleja peab  need kuulid lükkama võimalikult snadi lähedale. Kirja läheb lükatud kuulide kauguste summa snadist.</t>
    </r>
  </si>
  <si>
    <t>Asetamine takistuste vahelt</t>
  </si>
  <si>
    <t>Lükkamine (heledate kuulide)</t>
  </si>
  <si>
    <t>Omavaheline mäng</t>
  </si>
  <si>
    <t>Keskmine</t>
  </si>
  <si>
    <t>Parim</t>
  </si>
  <si>
    <t>Jrk</t>
  </si>
  <si>
    <t xml:space="preserve">Teisel alal pandi 1 meeter snadi ette 3 tumedat takistuskuuli. </t>
  </si>
  <si>
    <t xml:space="preserve">Kolmandal alal pandi snadi ja takistuskuulide vahele veel 2 heledat "oma" kuuli, mida võis ka snadile ligemale nügida. </t>
  </si>
  <si>
    <t xml:space="preserve">Võistlus koosnes kolmest alast. </t>
  </si>
  <si>
    <t xml:space="preserve">Ära mõõdeti viskekuuli või kõige lähemale liikunud "oma" kuuli kaugus snadist. </t>
  </si>
  <si>
    <t xml:space="preserve">Kaugusi mõõdeti 1 cm täpsusega. </t>
  </si>
  <si>
    <t>V-K</t>
  </si>
  <si>
    <t>7 - 9 koht</t>
  </si>
  <si>
    <t>1 - 6 koht</t>
  </si>
  <si>
    <t>Tõnu Piik, Ülo Piik</t>
  </si>
  <si>
    <t>Jaan Sepp, Oskar Sepp</t>
  </si>
  <si>
    <t>Johannes Neiland, Meelis Luud</t>
  </si>
  <si>
    <t>Boriss Klubov, Tõnu Kapper</t>
  </si>
  <si>
    <t>Elmo Lageda, Vladimir Ogneštšikov</t>
  </si>
  <si>
    <t>Enn Tokman</t>
  </si>
  <si>
    <t>Enn Tokman, Tarmo Bombe</t>
  </si>
  <si>
    <t>Tarmo Bombe</t>
  </si>
  <si>
    <t>2-0</t>
  </si>
  <si>
    <t>1-1</t>
  </si>
  <si>
    <t>0-2</t>
  </si>
  <si>
    <t>Mait Metsla, Matti Vinni</t>
  </si>
  <si>
    <t>Aarne Välja, Janek Tarto</t>
  </si>
  <si>
    <t>10 - 11 koht</t>
  </si>
  <si>
    <t>Aigar Lusbo, Harry Lusbo</t>
  </si>
  <si>
    <t>Ivar Viljaste, Klavdia Piik</t>
  </si>
  <si>
    <t>Aigi Orro, Andres Viisitam, Kalle Orro</t>
  </si>
  <si>
    <t>Aigar Lusbo</t>
  </si>
  <si>
    <t>Harry Lusbo</t>
  </si>
  <si>
    <t xml:space="preserve">  </t>
  </si>
  <si>
    <t>finaal, TUL</t>
  </si>
  <si>
    <t>eelvoor 3, TUL</t>
  </si>
  <si>
    <t>Asetamise vf, pf, finaal</t>
  </si>
  <si>
    <t>finaal, ÜKSIK</t>
  </si>
  <si>
    <t>Boriss Klubov, Ülo Piik</t>
  </si>
  <si>
    <t>Ivar Viljaste, Oskar Sepp</t>
  </si>
  <si>
    <t>Aigi Orro, Janek Tarto</t>
  </si>
  <si>
    <t>Jaan Sepp, Tõnu Kapper</t>
  </si>
  <si>
    <t>Karla Purgats, Vladimir Ogneštšikov</t>
  </si>
  <si>
    <t>Elmo Lageda, Tõnu Piik</t>
  </si>
  <si>
    <t>Aastavahetuse turniir</t>
  </si>
  <si>
    <t>P, 03.01.2016</t>
  </si>
  <si>
    <t>turniir, DUO</t>
  </si>
  <si>
    <t>A</t>
  </si>
  <si>
    <t>Aigi Orro, Klavdia Piik</t>
  </si>
  <si>
    <t>Andres Viisitam, Kalle Orro</t>
  </si>
  <si>
    <t>Boriss Klubov, Elmo Lageda</t>
  </si>
  <si>
    <t>1. voor</t>
  </si>
  <si>
    <t>1-6</t>
  </si>
  <si>
    <t>2-5</t>
  </si>
  <si>
    <t>3-4</t>
  </si>
  <si>
    <t>2. voor</t>
  </si>
  <si>
    <t>1-5</t>
  </si>
  <si>
    <t>2-4</t>
  </si>
  <si>
    <t>3-6</t>
  </si>
  <si>
    <t>3. voor</t>
  </si>
  <si>
    <t>1-4</t>
  </si>
  <si>
    <t>2-3</t>
  </si>
  <si>
    <t>5-6</t>
  </si>
  <si>
    <t>4. voor</t>
  </si>
  <si>
    <t>1-3</t>
  </si>
  <si>
    <t>2-6</t>
  </si>
  <si>
    <t>4-5</t>
  </si>
  <si>
    <t>5. voor</t>
  </si>
  <si>
    <t>1-2</t>
  </si>
  <si>
    <t>3-5</t>
  </si>
  <si>
    <t>4-6</t>
  </si>
  <si>
    <t>4-1</t>
  </si>
  <si>
    <t>3-2</t>
  </si>
  <si>
    <t>V</t>
  </si>
  <si>
    <t>VI</t>
  </si>
  <si>
    <t>Aarne Välja, Jaan Sepp, Oskar Sepp</t>
  </si>
  <si>
    <t>Elmo Lageda, Tõnu Kapper, Vladimir Ogneštšikov</t>
  </si>
  <si>
    <t>Aigar Lusbo, Harry Lusbo, Merike Lusbo</t>
  </si>
  <si>
    <t>Klavdia Piik, Tõnu Piik, Ülo Piik</t>
  </si>
  <si>
    <t>Ivar Viljaste, Janek Tarto, Sirje Viljaste</t>
  </si>
  <si>
    <t>Boriss Klubov, Mait Metsla, Matti Vinni</t>
  </si>
  <si>
    <t>Merike Lusbo</t>
  </si>
  <si>
    <t>Eesti reitingusarja võistlused on kollase taustaga</t>
  </si>
  <si>
    <t>2. eelvoor, ÜKSIK</t>
  </si>
  <si>
    <t>1. eelvoor, ÜKSIK</t>
  </si>
  <si>
    <t>Asetamise 3. eelvoor</t>
  </si>
  <si>
    <t>Asetamise 2. eelvoor</t>
  </si>
  <si>
    <t>Asetamise 1. eelvoor</t>
  </si>
  <si>
    <t>sõpruskohtumine</t>
  </si>
  <si>
    <t>Erinevad</t>
  </si>
  <si>
    <t>TRIO võit - 3 punkti</t>
  </si>
  <si>
    <t>DUO võit - 2 punkti</t>
  </si>
  <si>
    <t>kaotus - 0 punkti</t>
  </si>
  <si>
    <t>ÜKSIKU võit - 1 punkt</t>
  </si>
  <si>
    <t>Oskar Sepp, Tõnu Kapper</t>
  </si>
  <si>
    <t>Jaan Sepp, Sirje Viljaste</t>
  </si>
  <si>
    <t>Ivar Viljaste, Janek Tarto</t>
  </si>
  <si>
    <t>Aarne Välja, Boriss Klubov</t>
  </si>
  <si>
    <t>3. eelvoor, ÜKSIK</t>
  </si>
  <si>
    <t>ÜKSIK N</t>
  </si>
  <si>
    <t>TRIO 2N+M</t>
  </si>
  <si>
    <t>J. Sepp, J. Tarto, O. Sepp</t>
  </si>
  <si>
    <t>A. Orro, S. Viljaste</t>
  </si>
  <si>
    <t>I. Viljaste, J. Tarto</t>
  </si>
  <si>
    <t>J. Sepp, O. Sepp</t>
  </si>
  <si>
    <t>A. Välja, Ü. Piik</t>
  </si>
  <si>
    <t>I. Viljaste, J. Tarto, O. Sepp</t>
  </si>
  <si>
    <t>A. Välja, J. Tarto</t>
  </si>
  <si>
    <t>A. Rämmon, A. Palla, I. Veimen</t>
  </si>
  <si>
    <t>K. Arunurm, L. Meinberg</t>
  </si>
  <si>
    <t>A. Rämmon, M. Neemelaik</t>
  </si>
  <si>
    <t>A. Palla, I. Veimen</t>
  </si>
  <si>
    <t>Ly Meinberg</t>
  </si>
  <si>
    <t>Kadri Arunurm</t>
  </si>
  <si>
    <t>Riina Hein</t>
  </si>
  <si>
    <t>Marko Neemelaik</t>
  </si>
  <si>
    <t>Andrus Rämmon</t>
  </si>
  <si>
    <t>Ivo Veimen</t>
  </si>
  <si>
    <t>Arvi Palla</t>
  </si>
  <si>
    <t>Kalju Olmre</t>
  </si>
  <si>
    <t>MAESTRO</t>
  </si>
  <si>
    <t>valem1</t>
  </si>
  <si>
    <t>valem2</t>
  </si>
  <si>
    <t>val</t>
  </si>
  <si>
    <t>edasi 2</t>
  </si>
  <si>
    <t>Kuld</t>
  </si>
  <si>
    <t>Hõbe</t>
  </si>
  <si>
    <t>Pronks</t>
  </si>
  <si>
    <t>PUNKTE PÄRAST 1. VOORU:</t>
  </si>
  <si>
    <t>PUNKTE PÄRAST 2. VOORU:</t>
  </si>
  <si>
    <t>PUNKTE PÄRAST 3. VOORU:</t>
  </si>
  <si>
    <t>PUNKTE PÄRAST 4. VOORU:</t>
  </si>
  <si>
    <t>max</t>
  </si>
  <si>
    <t>min</t>
  </si>
  <si>
    <t>Seisuga 21.03.2016</t>
  </si>
  <si>
    <t xml:space="preserve">Esimesel alal pidi võistleja viskama ühe kuuli 6,5; 7,5; 8,5 ja 9,5 meetri </t>
  </si>
  <si>
    <t xml:space="preserve">kauguselt snadi juurde. </t>
  </si>
  <si>
    <t xml:space="preserve">Kolmandal alal pandi snadi ja takistuskuulide vahele veel 2 heledat </t>
  </si>
  <si>
    <t xml:space="preserve">"oma" kuuli, mida võis ka snadile ligemale nügida. </t>
  </si>
  <si>
    <t>2016, TRIO</t>
  </si>
  <si>
    <t>Kaugusi mõõdeti 1 cm täpsusega. Kui kaugus oli üle 200 cm, läks kirja 200 cm.</t>
  </si>
  <si>
    <t>7 - 10 koht</t>
  </si>
  <si>
    <t>Ivar Viljaste, Kristo Viljaste</t>
  </si>
  <si>
    <t>Karla Purgats, Lemmit Toomra</t>
  </si>
  <si>
    <t>Argo Sepp, Vladimir Ogneštšikov</t>
  </si>
  <si>
    <t>Viktor Švarõgin (Narva)</t>
  </si>
  <si>
    <t>Marta Bernat (Narva)</t>
  </si>
  <si>
    <t>Nikolai  (Narva)</t>
  </si>
  <si>
    <t>Ljudmila Varendi, Viktor Švarõgin</t>
  </si>
  <si>
    <t>Elmo Lageda, Tõnu Kapper</t>
  </si>
  <si>
    <t>Marta Bernat, Nikolai</t>
  </si>
  <si>
    <t>edasi 6</t>
  </si>
  <si>
    <t>edasi 8</t>
  </si>
  <si>
    <t>Osalusi</t>
  </si>
  <si>
    <t>Janek Tarto, Vladimir Ogneštšikov</t>
  </si>
  <si>
    <t>Oskar Sepp, Tõnu Piik</t>
  </si>
  <si>
    <t>Elmo Lageda, Klavdia Piik</t>
  </si>
  <si>
    <t>Aarne Välja, Ülo Piik</t>
  </si>
  <si>
    <t>Ivar Viljaste, Jaan Sepp</t>
  </si>
  <si>
    <t>Boriss Klubov, Sirje Viljaste</t>
  </si>
  <si>
    <t>Klavdia Piik (6 kuuliga)</t>
  </si>
  <si>
    <t>Võistlused toimuvad Kohtla-Järve Vanalinna sisehallis aadressil Kohtla-Järve, Spordi 2</t>
  </si>
  <si>
    <t>Tulistamises liidetakse 3e eelvooru punktid ja 8 paremat saavad finaalturniirile</t>
  </si>
  <si>
    <t>Asetamises liidetakse 3e eelvooru punktid ja 8 paremat saavad finaalturniirile</t>
  </si>
  <si>
    <r>
      <t xml:space="preserve">Esimesel alal pidi võistleja viskama ühe kuuli 6,5; 7,5; 8,5 ja 9,5 meetri kauguselt snadi juurde. </t>
    </r>
    <r>
      <rPr>
        <sz val="10"/>
        <color indexed="30"/>
        <rFont val="Arial"/>
        <family val="2"/>
        <charset val="186"/>
      </rPr>
      <t>Kolmandas eelvoorus olid kaugused 6, 7, 8 ja 9 m.</t>
    </r>
  </si>
  <si>
    <r>
      <t xml:space="preserve">Teisel alal pandi 1 meeter snadi ette 3 tumedat takistuskuuli. </t>
    </r>
    <r>
      <rPr>
        <sz val="10"/>
        <color indexed="30"/>
        <rFont val="Arial"/>
        <family val="2"/>
        <charset val="186"/>
      </rPr>
      <t>Kolmandas eelvoorus olid tumedate takistuskuulide asemel heledad "oma" kuulid.</t>
    </r>
  </si>
  <si>
    <r>
      <t>Koht</t>
    </r>
    <r>
      <rPr>
        <sz val="10"/>
        <color indexed="8"/>
        <rFont val="Arial"/>
        <family val="2"/>
        <charset val="186"/>
      </rPr>
      <t>/edasi</t>
    </r>
  </si>
  <si>
    <t>6.</t>
  </si>
  <si>
    <t>7.</t>
  </si>
  <si>
    <r>
      <t xml:space="preserve">Ülo Piik </t>
    </r>
    <r>
      <rPr>
        <sz val="10"/>
        <color indexed="55"/>
        <rFont val="Arial"/>
        <family val="2"/>
        <charset val="186"/>
      </rPr>
      <t>(6 kuuliga)</t>
    </r>
  </si>
  <si>
    <r>
      <t xml:space="preserve">Ülo Piik </t>
    </r>
    <r>
      <rPr>
        <b/>
        <sz val="10"/>
        <color indexed="55"/>
        <rFont val="Arial"/>
        <family val="2"/>
        <charset val="186"/>
      </rPr>
      <t>(6 kuuliga)</t>
    </r>
  </si>
  <si>
    <t>8.</t>
  </si>
  <si>
    <t>Janek Tarto, Mait Metsla, Matti Vinni</t>
  </si>
  <si>
    <t>Aigi Orro, Ivar Viljaste, Kalle Orro</t>
  </si>
  <si>
    <t>0-4</t>
  </si>
  <si>
    <t>2-2</t>
  </si>
  <si>
    <t>4-0</t>
  </si>
  <si>
    <t>3-1</t>
  </si>
  <si>
    <t>Kui omavahel mängiti viiki, saavad mängijad sama koha ja võrdsed punktid</t>
  </si>
  <si>
    <t>(3. koht 30 punkti, 4. koht 26 punkti)</t>
  </si>
  <si>
    <t>Kui omavahel mängiti viiki, saavad mängijad sama koha ja võrdsed punktid.</t>
  </si>
  <si>
    <t>Aarne Välja ja Jaan Sepa mäng jäi viiki. Mõlemad jagavad 3.-4. kohta ja saavad 28 punkti.</t>
  </si>
  <si>
    <t>TUL</t>
  </si>
  <si>
    <t>Liidetakse 3e eelvooru punktid ja 8 paremat pääsevad finaalturniirile</t>
  </si>
  <si>
    <t>Paarismängupäevadel loositi osalejad paaridesse</t>
  </si>
  <si>
    <t>tutvustus-koolitus</t>
  </si>
  <si>
    <r>
      <t>Koht</t>
    </r>
    <r>
      <rPr>
        <sz val="10"/>
        <color indexed="8"/>
        <rFont val="Arial"/>
        <family val="2"/>
        <charset val="186"/>
      </rPr>
      <t>/edasi</t>
    </r>
  </si>
  <si>
    <t xml:space="preserve">Punktid </t>
  </si>
  <si>
    <t>Rahvusvahelised võistlused on sinisega ja kaldkirjas</t>
  </si>
  <si>
    <t>Arvesse läheb 5 võistlust 6st</t>
  </si>
  <si>
    <t>Pliks-plaksi võistlused on punase taustaga. Arvesse läheb 5 võistlust 6st</t>
  </si>
  <si>
    <t>Ida-Viru reitinguvõistlused on rasvases trükis. Arvesse läheb 5 võistlust 6st</t>
  </si>
  <si>
    <t>Pliks-plaksis läheb arvesse 5 võistlust 6st</t>
  </si>
  <si>
    <t>Ida-Viru reitinguvõistlused on rasvases trükis ja sinise taustaga. Arvesse läheb 5 võistlust 6st</t>
  </si>
  <si>
    <t>Eesti sise-MV</t>
  </si>
  <si>
    <t>Eesti reitingus läheb arvesse 8 võistlust 11st (5 reitinguvõistlust 7st + 3 Eesti sise-MV-d 4st)</t>
  </si>
  <si>
    <r>
      <t xml:space="preserve">I. Viljaste, </t>
    </r>
    <r>
      <rPr>
        <sz val="10"/>
        <color rgb="FFFF0000"/>
        <rFont val="Arial"/>
        <family val="2"/>
        <charset val="186"/>
      </rPr>
      <t>S. Viljaste</t>
    </r>
  </si>
  <si>
    <r>
      <rPr>
        <sz val="10"/>
        <color rgb="FFFF0000"/>
        <rFont val="Arial"/>
        <family val="2"/>
        <charset val="186"/>
      </rPr>
      <t>K. Arunurm, L. Meinberg,</t>
    </r>
    <r>
      <rPr>
        <sz val="10"/>
        <color theme="1"/>
        <rFont val="Arial"/>
        <family val="2"/>
        <charset val="186"/>
      </rPr>
      <t xml:space="preserve"> M. Neemelaik</t>
    </r>
  </si>
  <si>
    <r>
      <t xml:space="preserve">A.Välja, </t>
    </r>
    <r>
      <rPr>
        <sz val="10"/>
        <color rgb="FFFF0000"/>
        <rFont val="Arial"/>
        <family val="2"/>
        <charset val="186"/>
      </rPr>
      <t>A. Orro,</t>
    </r>
    <r>
      <rPr>
        <sz val="10"/>
        <color theme="1"/>
        <rFont val="Arial"/>
        <family val="2"/>
        <charset val="186"/>
      </rPr>
      <t xml:space="preserve"> Ü. Piik</t>
    </r>
  </si>
  <si>
    <r>
      <t xml:space="preserve">K. Olmre, </t>
    </r>
    <r>
      <rPr>
        <sz val="10"/>
        <color rgb="FFFF0000"/>
        <rFont val="Arial"/>
        <family val="2"/>
        <charset val="186"/>
      </rPr>
      <t>R. Hein</t>
    </r>
  </si>
  <si>
    <r>
      <rPr>
        <sz val="10"/>
        <color rgb="FFFF0000"/>
        <rFont val="Arial"/>
        <family val="2"/>
        <charset val="186"/>
      </rPr>
      <t>A. Orro, S. Viljaste,</t>
    </r>
    <r>
      <rPr>
        <sz val="10"/>
        <color theme="1"/>
        <rFont val="Arial"/>
        <family val="2"/>
        <charset val="186"/>
      </rPr>
      <t xml:space="preserve"> Ü. Piik</t>
    </r>
  </si>
  <si>
    <r>
      <t xml:space="preserve">I. Viljaste, J. Tarto, </t>
    </r>
    <r>
      <rPr>
        <sz val="10"/>
        <color rgb="FFFF0000"/>
        <rFont val="Arial"/>
        <family val="2"/>
        <charset val="186"/>
      </rPr>
      <t>S. Viljaste</t>
    </r>
  </si>
  <si>
    <r>
      <t xml:space="preserve">A. Rämmon, </t>
    </r>
    <r>
      <rPr>
        <sz val="10"/>
        <color rgb="FFFF0000"/>
        <rFont val="Arial"/>
        <family val="2"/>
        <charset val="186"/>
      </rPr>
      <t>K. Arunurm,</t>
    </r>
    <r>
      <rPr>
        <sz val="10"/>
        <color theme="1"/>
        <rFont val="Arial"/>
        <family val="2"/>
        <charset val="186"/>
      </rPr>
      <t xml:space="preserve"> M. Neemelaik</t>
    </r>
  </si>
  <si>
    <r>
      <t xml:space="preserve">A. Palla, I. Veimen, </t>
    </r>
    <r>
      <rPr>
        <sz val="10"/>
        <color rgb="FFFF0000"/>
        <rFont val="Arial"/>
        <family val="2"/>
        <charset val="186"/>
      </rPr>
      <t>L. Meinberg</t>
    </r>
  </si>
  <si>
    <t>8. SHK-Maestro sõpruskohtumine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</si>
</sst>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d&quot;, &quot;dd/mm/yyyy"/>
    <numFmt numFmtId="165" formatCode="#&quot; €&quot;"/>
    <numFmt numFmtId="166" formatCode="mmm\ yyyy"/>
    <numFmt numFmtId="167" formatCode="0;\-0;;@"/>
    <numFmt numFmtId="168" formatCode="0.0000"/>
    <numFmt numFmtId="169" formatCode="#,##0\ &quot;€&quot;"/>
    <numFmt numFmtId="170" formatCode="dd/mm"/>
    <numFmt numFmtId="171" formatCode="#&quot; cm&quot;"/>
    <numFmt numFmtId="172" formatCode="0.0000000000000000_ ;\-0.0000000000000000\ "/>
  </numFmts>
  <fonts count="51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color indexed="23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"/>
      <name val="Arial Narrow"/>
      <family val="2"/>
      <charset val="186"/>
    </font>
    <font>
      <u/>
      <sz val="10"/>
      <name val="Arial"/>
      <family val="2"/>
      <charset val="186"/>
    </font>
    <font>
      <b/>
      <sz val="10"/>
      <color indexed="55"/>
      <name val="Arial"/>
      <family val="2"/>
      <charset val="186"/>
    </font>
    <font>
      <sz val="10"/>
      <color indexed="30"/>
      <name val="Arial"/>
      <family val="2"/>
      <charset val="186"/>
    </font>
    <font>
      <sz val="10"/>
      <color indexed="55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sz val="10"/>
      <color theme="9" tint="0.3999755851924192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sz val="10"/>
      <color rgb="FF0070C0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i/>
      <sz val="10"/>
      <color rgb="FFCC0000"/>
      <name val="Arial"/>
      <family val="2"/>
      <charset val="186"/>
    </font>
    <font>
      <u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u/>
      <sz val="10"/>
      <color rgb="FF0000FF"/>
      <name val="Arial"/>
      <family val="2"/>
      <charset val="186"/>
    </font>
    <font>
      <sz val="10"/>
      <color rgb="FF0000FF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0.499984740745262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i/>
      <u/>
      <sz val="10"/>
      <color rgb="FF0070C0"/>
      <name val="Arial"/>
      <family val="2"/>
      <charset val="186"/>
    </font>
    <font>
      <i/>
      <sz val="10"/>
      <color rgb="FF0070C0"/>
      <name val="Arial"/>
      <family val="2"/>
      <charset val="186"/>
    </font>
    <font>
      <b/>
      <u/>
      <sz val="10"/>
      <color rgb="FFCC9900"/>
      <name val="Arial"/>
      <family val="2"/>
      <charset val="186"/>
    </font>
    <font>
      <b/>
      <sz val="10"/>
      <color rgb="FFCC9900"/>
      <name val="Arial"/>
      <family val="2"/>
      <charset val="186"/>
    </font>
    <font>
      <strike/>
      <sz val="10"/>
      <color rgb="FF00B0F0"/>
      <name val="Arial"/>
      <family val="2"/>
      <charset val="186"/>
    </font>
    <font>
      <b/>
      <u/>
      <sz val="10"/>
      <color theme="10"/>
      <name val="Arial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rgb="FF0000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rgb="FF000000"/>
      </top>
      <bottom style="thin">
        <color theme="0" tint="-0.24994659260841701"/>
      </bottom>
      <diagonal/>
    </border>
  </borders>
  <cellStyleXfs count="21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8" fillId="0" borderId="0"/>
    <xf numFmtId="0" fontId="21" fillId="0" borderId="0"/>
    <xf numFmtId="0" fontId="8" fillId="0" borderId="0"/>
    <xf numFmtId="0" fontId="3" fillId="0" borderId="0"/>
    <xf numFmtId="0" fontId="5" fillId="0" borderId="0"/>
    <xf numFmtId="0" fontId="7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7" fillId="0" borderId="0"/>
    <xf numFmtId="0" fontId="22" fillId="0" borderId="0"/>
    <xf numFmtId="0" fontId="16" fillId="0" borderId="0"/>
    <xf numFmtId="49" fontId="11" fillId="2" borderId="0" applyBorder="0" applyProtection="0">
      <alignment horizontal="left" vertical="top" wrapText="1"/>
    </xf>
  </cellStyleXfs>
  <cellXfs count="920">
    <xf numFmtId="0" fontId="0" fillId="0" borderId="0" xfId="0"/>
    <xf numFmtId="0" fontId="1" fillId="0" borderId="0" xfId="13" applyFont="1"/>
    <xf numFmtId="0" fontId="1" fillId="0" borderId="0" xfId="13" applyFont="1" applyAlignment="1"/>
    <xf numFmtId="0" fontId="1" fillId="0" borderId="0" xfId="13" applyFont="1" applyAlignment="1">
      <alignment horizontal="center"/>
    </xf>
    <xf numFmtId="165" fontId="1" fillId="0" borderId="0" xfId="13" applyNumberFormat="1" applyFont="1" applyAlignment="1">
      <alignment horizontal="right"/>
    </xf>
    <xf numFmtId="0" fontId="1" fillId="0" borderId="0" xfId="13" applyFont="1" applyAlignment="1">
      <alignment vertical="center"/>
    </xf>
    <xf numFmtId="0" fontId="1" fillId="0" borderId="0" xfId="13" applyFont="1" applyFill="1"/>
    <xf numFmtId="0" fontId="23" fillId="0" borderId="0" xfId="14" applyFont="1" applyAlignment="1">
      <alignment vertical="top"/>
    </xf>
    <xf numFmtId="0" fontId="16" fillId="0" borderId="0" xfId="14" applyFont="1" applyAlignment="1">
      <alignment vertical="top"/>
    </xf>
    <xf numFmtId="20" fontId="2" fillId="0" borderId="0" xfId="13" applyNumberFormat="1" applyFont="1" applyAlignment="1">
      <alignment horizontal="left"/>
    </xf>
    <xf numFmtId="164" fontId="2" fillId="0" borderId="0" xfId="13" applyNumberFormat="1" applyFont="1" applyAlignment="1">
      <alignment horizontal="left"/>
    </xf>
    <xf numFmtId="0" fontId="25" fillId="0" borderId="0" xfId="14" applyFont="1" applyAlignment="1">
      <alignment vertical="top"/>
    </xf>
    <xf numFmtId="0" fontId="16" fillId="0" borderId="0" xfId="14" applyFont="1" applyAlignment="1">
      <alignment vertical="top" wrapText="1"/>
    </xf>
    <xf numFmtId="0" fontId="23" fillId="0" borderId="0" xfId="14" applyFont="1" applyAlignment="1">
      <alignment vertical="top" wrapText="1"/>
    </xf>
    <xf numFmtId="0" fontId="16" fillId="0" borderId="0" xfId="14" applyFont="1" applyBorder="1" applyAlignment="1">
      <alignment wrapText="1"/>
    </xf>
    <xf numFmtId="0" fontId="23" fillId="0" borderId="0" xfId="14" applyFont="1" applyBorder="1" applyAlignment="1">
      <alignment wrapText="1"/>
    </xf>
    <xf numFmtId="0" fontId="16" fillId="0" borderId="0" xfId="14" applyFont="1" applyAlignment="1">
      <alignment wrapText="1"/>
    </xf>
    <xf numFmtId="0" fontId="16" fillId="0" borderId="0" xfId="14" applyFont="1" applyAlignment="1"/>
    <xf numFmtId="0" fontId="16" fillId="0" borderId="0" xfId="14" applyFont="1" applyFill="1" applyBorder="1" applyAlignment="1">
      <alignment vertical="top" wrapText="1"/>
    </xf>
    <xf numFmtId="0" fontId="23" fillId="0" borderId="0" xfId="14" applyFont="1" applyFill="1" applyBorder="1" applyAlignment="1">
      <alignment vertical="top" wrapText="1"/>
    </xf>
    <xf numFmtId="0" fontId="7" fillId="0" borderId="46" xfId="14" applyFont="1" applyFill="1" applyBorder="1" applyAlignment="1">
      <alignment vertical="top" wrapText="1"/>
    </xf>
    <xf numFmtId="0" fontId="16" fillId="0" borderId="47" xfId="14" applyFont="1" applyFill="1" applyBorder="1" applyAlignment="1">
      <alignment vertical="top" wrapText="1"/>
    </xf>
    <xf numFmtId="0" fontId="23" fillId="0" borderId="47" xfId="14" applyFont="1" applyFill="1" applyBorder="1" applyAlignment="1">
      <alignment vertical="top" wrapText="1"/>
    </xf>
    <xf numFmtId="0" fontId="23" fillId="0" borderId="48" xfId="0" applyFont="1" applyFill="1" applyBorder="1" applyAlignment="1">
      <alignment vertical="top" wrapText="1"/>
    </xf>
    <xf numFmtId="0" fontId="16" fillId="0" borderId="49" xfId="14" applyFont="1" applyFill="1" applyBorder="1" applyAlignment="1">
      <alignment vertical="top" wrapText="1"/>
    </xf>
    <xf numFmtId="0" fontId="23" fillId="0" borderId="48" xfId="14" applyFont="1" applyFill="1" applyBorder="1" applyAlignment="1">
      <alignment vertical="top" wrapText="1"/>
    </xf>
    <xf numFmtId="0" fontId="23" fillId="0" borderId="48" xfId="14" applyFont="1" applyBorder="1" applyAlignment="1">
      <alignment vertical="top" wrapText="1"/>
    </xf>
    <xf numFmtId="0" fontId="23" fillId="0" borderId="49" xfId="14" applyFont="1" applyBorder="1" applyAlignment="1">
      <alignment vertical="top" wrapText="1"/>
    </xf>
    <xf numFmtId="0" fontId="16" fillId="0" borderId="46" xfId="14" applyFont="1" applyFill="1" applyBorder="1" applyAlignment="1">
      <alignment vertical="top" wrapText="1"/>
    </xf>
    <xf numFmtId="0" fontId="16" fillId="0" borderId="50" xfId="14" applyFont="1" applyFill="1" applyBorder="1" applyAlignment="1">
      <alignment vertical="top" wrapText="1"/>
    </xf>
    <xf numFmtId="0" fontId="16" fillId="0" borderId="46" xfId="14" applyFont="1" applyBorder="1" applyAlignment="1">
      <alignment vertical="top" wrapText="1"/>
    </xf>
    <xf numFmtId="0" fontId="23" fillId="0" borderId="46" xfId="14" applyFont="1" applyBorder="1" applyAlignment="1">
      <alignment vertical="top" wrapText="1"/>
    </xf>
    <xf numFmtId="0" fontId="16" fillId="0" borderId="49" xfId="14" applyFont="1" applyBorder="1" applyAlignment="1">
      <alignment vertical="top" wrapText="1"/>
    </xf>
    <xf numFmtId="0" fontId="23" fillId="0" borderId="46" xfId="14" applyFont="1" applyFill="1" applyBorder="1" applyAlignment="1">
      <alignment vertical="top" wrapText="1"/>
    </xf>
    <xf numFmtId="0" fontId="16" fillId="0" borderId="51" xfId="14" applyFont="1" applyFill="1" applyBorder="1" applyAlignment="1">
      <alignment vertical="top" wrapText="1"/>
    </xf>
    <xf numFmtId="0" fontId="23" fillId="0" borderId="52" xfId="14" applyFont="1" applyFill="1" applyBorder="1" applyAlignment="1">
      <alignment vertical="top" wrapText="1"/>
    </xf>
    <xf numFmtId="0" fontId="16" fillId="0" borderId="51" xfId="14" applyFont="1" applyBorder="1" applyAlignment="1">
      <alignment vertical="top" wrapText="1"/>
    </xf>
    <xf numFmtId="0" fontId="23" fillId="0" borderId="52" xfId="14" applyFont="1" applyBorder="1" applyAlignment="1">
      <alignment vertical="top" wrapText="1"/>
    </xf>
    <xf numFmtId="0" fontId="23" fillId="0" borderId="51" xfId="14" applyFont="1" applyBorder="1" applyAlignment="1">
      <alignment vertical="top" wrapText="1"/>
    </xf>
    <xf numFmtId="0" fontId="16" fillId="0" borderId="0" xfId="14" applyFont="1" applyBorder="1" applyAlignment="1">
      <alignment vertical="top" wrapText="1"/>
    </xf>
    <xf numFmtId="0" fontId="23" fillId="0" borderId="0" xfId="14" applyFont="1" applyBorder="1" applyAlignment="1">
      <alignment vertical="top" wrapText="1"/>
    </xf>
    <xf numFmtId="0" fontId="23" fillId="3" borderId="53" xfId="14" applyFont="1" applyFill="1" applyBorder="1" applyAlignment="1">
      <alignment vertical="top" wrapText="1"/>
    </xf>
    <xf numFmtId="0" fontId="16" fillId="0" borderId="0" xfId="14" applyFont="1" applyFill="1" applyAlignment="1">
      <alignment vertical="top" wrapText="1"/>
    </xf>
    <xf numFmtId="0" fontId="16" fillId="0" borderId="54" xfId="14" applyFont="1" applyFill="1" applyBorder="1" applyAlignment="1">
      <alignment vertical="top" wrapText="1"/>
    </xf>
    <xf numFmtId="0" fontId="23" fillId="0" borderId="50" xfId="14" applyFont="1" applyBorder="1" applyAlignment="1">
      <alignment vertical="top" wrapText="1"/>
    </xf>
    <xf numFmtId="0" fontId="23" fillId="0" borderId="47" xfId="14" applyFont="1" applyBorder="1" applyAlignment="1">
      <alignment vertical="top" wrapText="1"/>
    </xf>
    <xf numFmtId="0" fontId="23" fillId="3" borderId="1" xfId="14" applyFont="1" applyFill="1" applyBorder="1" applyAlignment="1">
      <alignment vertical="top" wrapText="1"/>
    </xf>
    <xf numFmtId="0" fontId="23" fillId="0" borderId="55" xfId="14" applyFont="1" applyFill="1" applyBorder="1" applyAlignment="1">
      <alignment vertical="top" wrapText="1"/>
    </xf>
    <xf numFmtId="0" fontId="16" fillId="0" borderId="2" xfId="14" applyFont="1" applyFill="1" applyBorder="1" applyAlignment="1">
      <alignment vertical="top" wrapText="1"/>
    </xf>
    <xf numFmtId="0" fontId="23" fillId="0" borderId="56" xfId="14" applyFont="1" applyBorder="1" applyAlignment="1">
      <alignment vertical="top" wrapText="1"/>
    </xf>
    <xf numFmtId="0" fontId="23" fillId="0" borderId="55" xfId="14" applyFont="1" applyBorder="1" applyAlignment="1">
      <alignment vertical="top" wrapText="1"/>
    </xf>
    <xf numFmtId="0" fontId="23" fillId="0" borderId="2" xfId="14" applyFont="1" applyBorder="1" applyAlignment="1">
      <alignment vertical="top" wrapText="1"/>
    </xf>
    <xf numFmtId="0" fontId="23" fillId="3" borderId="52" xfId="14" applyFont="1" applyFill="1" applyBorder="1" applyAlignment="1">
      <alignment vertical="top" wrapText="1"/>
    </xf>
    <xf numFmtId="0" fontId="23" fillId="3" borderId="48" xfId="14" applyFont="1" applyFill="1" applyBorder="1" applyAlignment="1">
      <alignment vertical="top" wrapText="1"/>
    </xf>
    <xf numFmtId="0" fontId="23" fillId="0" borderId="49" xfId="14" applyFont="1" applyFill="1" applyBorder="1" applyAlignment="1">
      <alignment vertical="top" wrapText="1"/>
    </xf>
    <xf numFmtId="0" fontId="23" fillId="0" borderId="50" xfId="14" applyFont="1" applyFill="1" applyBorder="1" applyAlignment="1">
      <alignment vertical="top" wrapText="1"/>
    </xf>
    <xf numFmtId="0" fontId="23" fillId="0" borderId="51" xfId="14" applyFont="1" applyFill="1" applyBorder="1" applyAlignment="1">
      <alignment vertical="top" wrapText="1"/>
    </xf>
    <xf numFmtId="0" fontId="23" fillId="0" borderId="0" xfId="14" applyFont="1" applyFill="1" applyBorder="1" applyAlignment="1">
      <alignment wrapText="1"/>
    </xf>
    <xf numFmtId="0" fontId="16" fillId="0" borderId="0" xfId="14" applyFont="1" applyFill="1" applyBorder="1" applyAlignment="1">
      <alignment wrapText="1"/>
    </xf>
    <xf numFmtId="0" fontId="25" fillId="0" borderId="0" xfId="7" applyFont="1" applyFill="1" applyBorder="1" applyAlignment="1"/>
    <xf numFmtId="0" fontId="7" fillId="0" borderId="0" xfId="7" applyFont="1" applyFill="1" applyAlignment="1"/>
    <xf numFmtId="0" fontId="4" fillId="0" borderId="0" xfId="7" applyFont="1" applyFill="1" applyBorder="1" applyAlignment="1">
      <alignment horizontal="center"/>
    </xf>
    <xf numFmtId="0" fontId="7" fillId="0" borderId="0" xfId="7" applyFont="1" applyFill="1" applyAlignment="1">
      <alignment horizontal="center"/>
    </xf>
    <xf numFmtId="0" fontId="9" fillId="0" borderId="0" xfId="7" applyFont="1" applyFill="1" applyBorder="1" applyAlignment="1"/>
    <xf numFmtId="0" fontId="7" fillId="0" borderId="0" xfId="7" applyFont="1" applyFill="1" applyBorder="1" applyAlignment="1">
      <alignment horizontal="center"/>
    </xf>
    <xf numFmtId="0" fontId="7" fillId="0" borderId="0" xfId="7" applyFont="1" applyFill="1" applyAlignment="1">
      <alignment textRotation="90"/>
    </xf>
    <xf numFmtId="0" fontId="4" fillId="0" borderId="0" xfId="7" applyFont="1" applyFill="1" applyAlignment="1">
      <alignment horizontal="center"/>
    </xf>
    <xf numFmtId="0" fontId="4" fillId="0" borderId="3" xfId="7" applyFont="1" applyFill="1" applyBorder="1" applyAlignment="1"/>
    <xf numFmtId="0" fontId="7" fillId="0" borderId="3" xfId="7" applyFont="1" applyFill="1" applyBorder="1" applyAlignment="1"/>
    <xf numFmtId="0" fontId="7" fillId="0" borderId="3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167" fontId="4" fillId="0" borderId="3" xfId="7" applyNumberFormat="1" applyFont="1" applyFill="1" applyBorder="1" applyAlignment="1">
      <alignment horizontal="center"/>
    </xf>
    <xf numFmtId="0" fontId="7" fillId="0" borderId="3" xfId="15" applyFont="1" applyFill="1" applyBorder="1" applyAlignment="1">
      <alignment horizontal="center"/>
    </xf>
    <xf numFmtId="167" fontId="7" fillId="0" borderId="0" xfId="7" applyNumberFormat="1" applyFont="1" applyFill="1" applyAlignment="1">
      <alignment horizontal="center"/>
    </xf>
    <xf numFmtId="0" fontId="9" fillId="0" borderId="3" xfId="7" applyFont="1" applyFill="1" applyBorder="1" applyAlignment="1"/>
    <xf numFmtId="0" fontId="4" fillId="3" borderId="0" xfId="7" applyFont="1" applyFill="1" applyAlignment="1"/>
    <xf numFmtId="0" fontId="7" fillId="3" borderId="0" xfId="7" applyFont="1" applyFill="1" applyAlignment="1">
      <alignment horizontal="right"/>
    </xf>
    <xf numFmtId="0" fontId="4" fillId="3" borderId="0" xfId="7" applyFont="1" applyFill="1" applyAlignment="1">
      <alignment horizontal="center"/>
    </xf>
    <xf numFmtId="167" fontId="7" fillId="3" borderId="0" xfId="7" applyNumberFormat="1" applyFont="1" applyFill="1" applyAlignment="1">
      <alignment horizontal="center"/>
    </xf>
    <xf numFmtId="0" fontId="7" fillId="3" borderId="0" xfId="7" applyFont="1" applyFill="1" applyAlignment="1"/>
    <xf numFmtId="167" fontId="4" fillId="3" borderId="0" xfId="7" applyNumberFormat="1" applyFont="1" applyFill="1" applyAlignment="1"/>
    <xf numFmtId="0" fontId="25" fillId="0" borderId="0" xfId="14" applyFont="1" applyFill="1" applyBorder="1"/>
    <xf numFmtId="0" fontId="25" fillId="0" borderId="0" xfId="14" applyFont="1"/>
    <xf numFmtId="0" fontId="4" fillId="0" borderId="0" xfId="14" applyFont="1"/>
    <xf numFmtId="0" fontId="7" fillId="0" borderId="0" xfId="14" applyFont="1"/>
    <xf numFmtId="0" fontId="16" fillId="0" borderId="0" xfId="6" applyFont="1"/>
    <xf numFmtId="0" fontId="0" fillId="0" borderId="3" xfId="0" applyBorder="1" applyProtection="1"/>
    <xf numFmtId="0" fontId="26" fillId="0" borderId="0" xfId="7" applyFont="1" applyFill="1" applyBorder="1" applyAlignment="1">
      <alignment horizontal="right"/>
    </xf>
    <xf numFmtId="0" fontId="23" fillId="3" borderId="57" xfId="14" applyFont="1" applyFill="1" applyBorder="1" applyAlignment="1">
      <alignment vertical="top"/>
    </xf>
    <xf numFmtId="0" fontId="23" fillId="3" borderId="58" xfId="14" applyFont="1" applyFill="1" applyBorder="1" applyAlignment="1">
      <alignment vertical="top" wrapText="1"/>
    </xf>
    <xf numFmtId="164" fontId="2" fillId="3" borderId="4" xfId="13" applyNumberFormat="1" applyFont="1" applyFill="1" applyBorder="1" applyAlignment="1">
      <alignment horizontal="left" wrapText="1"/>
    </xf>
    <xf numFmtId="20" fontId="2" fillId="3" borderId="4" xfId="13" applyNumberFormat="1" applyFont="1" applyFill="1" applyBorder="1" applyAlignment="1">
      <alignment horizontal="left"/>
    </xf>
    <xf numFmtId="0" fontId="2" fillId="3" borderId="4" xfId="13" applyFont="1" applyFill="1" applyBorder="1"/>
    <xf numFmtId="0" fontId="2" fillId="3" borderId="4" xfId="13" applyFont="1" applyFill="1" applyBorder="1" applyAlignment="1"/>
    <xf numFmtId="0" fontId="2" fillId="3" borderId="4" xfId="13" applyFont="1" applyFill="1" applyBorder="1" applyAlignment="1">
      <alignment horizontal="left"/>
    </xf>
    <xf numFmtId="165" fontId="2" fillId="3" borderId="4" xfId="13" applyNumberFormat="1" applyFont="1" applyFill="1" applyBorder="1" applyAlignment="1"/>
    <xf numFmtId="0" fontId="0" fillId="0" borderId="0" xfId="0" applyProtection="1"/>
    <xf numFmtId="0" fontId="0" fillId="0" borderId="0" xfId="0" applyAlignment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right"/>
    </xf>
    <xf numFmtId="0" fontId="23" fillId="0" borderId="0" xfId="0" applyNumberFormat="1" applyFont="1" applyFill="1" applyAlignment="1" applyProtection="1">
      <alignment horizontal="center"/>
    </xf>
    <xf numFmtId="167" fontId="7" fillId="5" borderId="3" xfId="0" applyNumberFormat="1" applyFont="1" applyFill="1" applyBorder="1" applyAlignment="1" applyProtection="1">
      <alignment horizontal="center"/>
    </xf>
    <xf numFmtId="167" fontId="27" fillId="5" borderId="3" xfId="0" applyNumberFormat="1" applyFont="1" applyFill="1" applyBorder="1" applyAlignment="1" applyProtection="1">
      <alignment horizontal="center"/>
    </xf>
    <xf numFmtId="167" fontId="0" fillId="5" borderId="3" xfId="0" applyNumberFormat="1" applyFill="1" applyBorder="1" applyAlignment="1" applyProtection="1">
      <alignment horizontal="center"/>
    </xf>
    <xf numFmtId="168" fontId="28" fillId="0" borderId="3" xfId="0" applyNumberFormat="1" applyFont="1" applyBorder="1" applyAlignment="1" applyProtection="1"/>
    <xf numFmtId="0" fontId="23" fillId="0" borderId="3" xfId="0" applyNumberFormat="1" applyFont="1" applyBorder="1" applyAlignment="1" applyProtection="1">
      <alignment horizontal="center"/>
    </xf>
    <xf numFmtId="0" fontId="0" fillId="0" borderId="3" xfId="0" applyNumberFormat="1" applyFont="1" applyFill="1" applyBorder="1" applyAlignment="1" applyProtection="1">
      <alignment horizontal="center"/>
      <protection locked="0"/>
    </xf>
    <xf numFmtId="0" fontId="23" fillId="6" borderId="5" xfId="0" applyFont="1" applyFill="1" applyBorder="1" applyAlignment="1" applyProtection="1">
      <alignment horizontal="center"/>
    </xf>
    <xf numFmtId="167" fontId="23" fillId="0" borderId="3" xfId="0" applyNumberFormat="1" applyFont="1" applyFill="1" applyBorder="1" applyAlignment="1" applyProtection="1">
      <alignment horizontal="center"/>
    </xf>
    <xf numFmtId="0" fontId="23" fillId="5" borderId="3" xfId="0" applyFont="1" applyFill="1" applyBorder="1" applyProtection="1"/>
    <xf numFmtId="0" fontId="4" fillId="5" borderId="3" xfId="0" applyFont="1" applyFill="1" applyBorder="1" applyProtection="1"/>
    <xf numFmtId="0" fontId="23" fillId="6" borderId="5" xfId="0" applyFont="1" applyFill="1" applyBorder="1" applyProtection="1"/>
    <xf numFmtId="0" fontId="7" fillId="0" borderId="6" xfId="7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3" xfId="0" applyFont="1" applyBorder="1"/>
    <xf numFmtId="0" fontId="24" fillId="0" borderId="0" xfId="0" applyFont="1"/>
    <xf numFmtId="0" fontId="23" fillId="3" borderId="59" xfId="14" applyFont="1" applyFill="1" applyBorder="1" applyAlignment="1">
      <alignment vertical="top" wrapText="1"/>
    </xf>
    <xf numFmtId="0" fontId="16" fillId="0" borderId="56" xfId="14" applyFont="1" applyBorder="1" applyAlignment="1">
      <alignment vertical="top" wrapText="1"/>
    </xf>
    <xf numFmtId="170" fontId="7" fillId="0" borderId="3" xfId="14" applyNumberFormat="1" applyFont="1" applyFill="1" applyBorder="1" applyAlignment="1"/>
    <xf numFmtId="170" fontId="4" fillId="0" borderId="3" xfId="14" applyNumberFormat="1" applyFont="1" applyFill="1" applyBorder="1" applyAlignment="1">
      <alignment horizontal="center"/>
    </xf>
    <xf numFmtId="0" fontId="16" fillId="0" borderId="3" xfId="14" applyFont="1" applyBorder="1"/>
    <xf numFmtId="0" fontId="16" fillId="3" borderId="0" xfId="14" applyFont="1" applyFill="1"/>
    <xf numFmtId="0" fontId="16" fillId="0" borderId="0" xfId="14" applyFont="1" applyFill="1"/>
    <xf numFmtId="0" fontId="0" fillId="0" borderId="0" xfId="0"/>
    <xf numFmtId="0" fontId="23" fillId="3" borderId="3" xfId="0" applyFont="1" applyFill="1" applyBorder="1" applyProtection="1"/>
    <xf numFmtId="0" fontId="23" fillId="3" borderId="3" xfId="0" applyFont="1" applyFill="1" applyBorder="1" applyAlignment="1" applyProtection="1">
      <alignment horizontal="center"/>
    </xf>
    <xf numFmtId="0" fontId="23" fillId="7" borderId="3" xfId="0" applyFont="1" applyFill="1" applyBorder="1" applyProtection="1"/>
    <xf numFmtId="0" fontId="23" fillId="7" borderId="3" xfId="0" applyFont="1" applyFill="1" applyBorder="1" applyAlignment="1" applyProtection="1">
      <alignment horizontal="center"/>
    </xf>
    <xf numFmtId="0" fontId="29" fillId="0" borderId="0" xfId="14" applyFont="1" applyBorder="1"/>
    <xf numFmtId="0" fontId="0" fillId="0" borderId="0" xfId="0"/>
    <xf numFmtId="0" fontId="23" fillId="0" borderId="55" xfId="0" applyFont="1" applyFill="1" applyBorder="1" applyAlignment="1">
      <alignment vertical="top" wrapText="1"/>
    </xf>
    <xf numFmtId="0" fontId="16" fillId="0" borderId="7" xfId="14" applyFont="1" applyFill="1" applyBorder="1" applyAlignment="1">
      <alignment vertical="top" wrapText="1"/>
    </xf>
    <xf numFmtId="0" fontId="16" fillId="0" borderId="60" xfId="14" applyFont="1" applyFill="1" applyBorder="1" applyAlignment="1">
      <alignment vertical="top" wrapText="1"/>
    </xf>
    <xf numFmtId="0" fontId="23" fillId="0" borderId="60" xfId="14" applyFont="1" applyBorder="1" applyAlignment="1">
      <alignment vertical="top" wrapText="1"/>
    </xf>
    <xf numFmtId="0" fontId="18" fillId="0" borderId="0" xfId="1"/>
    <xf numFmtId="0" fontId="30" fillId="3" borderId="3" xfId="0" applyFont="1" applyFill="1" applyBorder="1" applyProtection="1"/>
    <xf numFmtId="0" fontId="23" fillId="0" borderId="3" xfId="0" applyFont="1" applyFill="1" applyBorder="1" applyAlignment="1" applyProtection="1">
      <alignment horizontal="center"/>
    </xf>
    <xf numFmtId="0" fontId="23" fillId="7" borderId="8" xfId="0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23" fillId="3" borderId="8" xfId="0" applyFont="1" applyFill="1" applyBorder="1" applyAlignment="1" applyProtection="1">
      <alignment horizontal="center"/>
    </xf>
    <xf numFmtId="0" fontId="0" fillId="0" borderId="0" xfId="0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23" fillId="3" borderId="9" xfId="0" applyFont="1" applyFill="1" applyBorder="1" applyAlignment="1" applyProtection="1">
      <alignment horizontal="center"/>
    </xf>
    <xf numFmtId="167" fontId="0" fillId="8" borderId="10" xfId="0" applyNumberFormat="1" applyFont="1" applyFill="1" applyBorder="1" applyAlignment="1" applyProtection="1">
      <alignment horizontal="center"/>
    </xf>
    <xf numFmtId="0" fontId="23" fillId="9" borderId="5" xfId="0" applyFont="1" applyFill="1" applyBorder="1" applyProtection="1"/>
    <xf numFmtId="167" fontId="23" fillId="9" borderId="5" xfId="0" applyNumberFormat="1" applyFont="1" applyFill="1" applyBorder="1" applyAlignment="1" applyProtection="1">
      <alignment horizontal="center"/>
    </xf>
    <xf numFmtId="0" fontId="23" fillId="7" borderId="9" xfId="0" applyFont="1" applyFill="1" applyBorder="1" applyAlignment="1" applyProtection="1">
      <alignment horizontal="center"/>
    </xf>
    <xf numFmtId="0" fontId="23" fillId="8" borderId="10" xfId="0" applyFont="1" applyFill="1" applyBorder="1" applyProtection="1"/>
    <xf numFmtId="0" fontId="0" fillId="0" borderId="9" xfId="0" applyNumberFormat="1" applyFont="1" applyFill="1" applyBorder="1" applyAlignment="1" applyProtection="1">
      <alignment horizontal="center"/>
      <protection locked="0"/>
    </xf>
    <xf numFmtId="0" fontId="23" fillId="0" borderId="3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23" fillId="0" borderId="3" xfId="14" applyFont="1" applyBorder="1" applyAlignment="1"/>
    <xf numFmtId="0" fontId="23" fillId="0" borderId="3" xfId="14" applyFont="1" applyBorder="1" applyAlignment="1">
      <alignment horizontal="center"/>
    </xf>
    <xf numFmtId="0" fontId="23" fillId="0" borderId="0" xfId="14" applyFont="1" applyBorder="1" applyAlignment="1"/>
    <xf numFmtId="0" fontId="16" fillId="0" borderId="0" xfId="14" applyFont="1" applyFill="1" applyBorder="1" applyAlignment="1">
      <alignment horizontal="center"/>
    </xf>
    <xf numFmtId="0" fontId="16" fillId="0" borderId="3" xfId="6" applyFont="1" applyBorder="1"/>
    <xf numFmtId="0" fontId="23" fillId="0" borderId="1" xfId="14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31" fillId="0" borderId="3" xfId="6" applyFont="1" applyBorder="1"/>
    <xf numFmtId="0" fontId="31" fillId="1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3" xfId="7" applyFont="1" applyFill="1" applyBorder="1" applyAlignment="1"/>
    <xf numFmtId="0" fontId="16" fillId="0" borderId="3" xfId="6" applyFont="1" applyFill="1" applyBorder="1"/>
    <xf numFmtId="20" fontId="32" fillId="0" borderId="0" xfId="0" applyNumberFormat="1" applyFont="1" applyFill="1" applyProtection="1"/>
    <xf numFmtId="20" fontId="32" fillId="0" borderId="0" xfId="0" applyNumberFormat="1" applyFont="1" applyFill="1" applyBorder="1" applyProtection="1"/>
    <xf numFmtId="20" fontId="32" fillId="0" borderId="0" xfId="0" applyNumberFormat="1" applyFont="1" applyFill="1" applyBorder="1" applyAlignment="1" applyProtection="1">
      <alignment horizontal="right"/>
    </xf>
    <xf numFmtId="1" fontId="32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NumberFormat="1" applyFont="1" applyProtection="1"/>
    <xf numFmtId="0" fontId="0" fillId="3" borderId="5" xfId="0" applyNumberFormat="1" applyFont="1" applyFill="1" applyBorder="1" applyProtection="1"/>
    <xf numFmtId="0" fontId="0" fillId="3" borderId="8" xfId="0" applyNumberFormat="1" applyFont="1" applyFill="1" applyBorder="1" applyAlignment="1" applyProtection="1">
      <alignment horizontal="right"/>
    </xf>
    <xf numFmtId="0" fontId="23" fillId="0" borderId="3" xfId="0" applyNumberFormat="1" applyFont="1" applyBorder="1" applyProtection="1"/>
    <xf numFmtId="0" fontId="23" fillId="7" borderId="11" xfId="0" applyNumberFormat="1" applyFont="1" applyFill="1" applyBorder="1" applyProtection="1"/>
    <xf numFmtId="0" fontId="23" fillId="7" borderId="12" xfId="0" applyNumberFormat="1" applyFont="1" applyFill="1" applyBorder="1" applyProtection="1"/>
    <xf numFmtId="0" fontId="0" fillId="7" borderId="12" xfId="0" applyNumberFormat="1" applyFont="1" applyFill="1" applyBorder="1" applyProtection="1">
      <protection locked="0"/>
    </xf>
    <xf numFmtId="0" fontId="0" fillId="7" borderId="13" xfId="0" applyNumberFormat="1" applyFont="1" applyFill="1" applyBorder="1" applyProtection="1">
      <protection locked="0"/>
    </xf>
    <xf numFmtId="0" fontId="23" fillId="3" borderId="12" xfId="0" applyNumberFormat="1" applyFont="1" applyFill="1" applyBorder="1" applyProtection="1"/>
    <xf numFmtId="0" fontId="0" fillId="3" borderId="12" xfId="0" applyNumberFormat="1" applyFont="1" applyFill="1" applyBorder="1" applyProtection="1">
      <protection locked="0"/>
    </xf>
    <xf numFmtId="167" fontId="0" fillId="3" borderId="3" xfId="0" applyNumberFormat="1" applyFont="1" applyFill="1" applyBorder="1" applyAlignment="1" applyProtection="1">
      <alignment horizontal="center"/>
    </xf>
    <xf numFmtId="0" fontId="23" fillId="0" borderId="3" xfId="14" applyFont="1" applyBorder="1"/>
    <xf numFmtId="0" fontId="16" fillId="10" borderId="3" xfId="14" applyFont="1" applyFill="1" applyBorder="1" applyAlignment="1">
      <alignment horizontal="center"/>
    </xf>
    <xf numFmtId="0" fontId="7" fillId="0" borderId="3" xfId="14" applyFont="1" applyBorder="1" applyAlignment="1">
      <alignment horizontal="center"/>
    </xf>
    <xf numFmtId="0" fontId="23" fillId="0" borderId="0" xfId="14" applyFont="1" applyBorder="1"/>
    <xf numFmtId="0" fontId="23" fillId="0" borderId="3" xfId="14" applyFont="1" applyFill="1" applyBorder="1" applyAlignment="1">
      <alignment horizontal="center"/>
    </xf>
    <xf numFmtId="49" fontId="16" fillId="0" borderId="3" xfId="14" applyNumberFormat="1" applyFont="1" applyBorder="1" applyAlignment="1">
      <alignment horizontal="center"/>
    </xf>
    <xf numFmtId="0" fontId="16" fillId="0" borderId="0" xfId="14" applyFont="1" applyBorder="1" applyAlignment="1">
      <alignment horizontal="center"/>
    </xf>
    <xf numFmtId="49" fontId="16" fillId="0" borderId="0" xfId="14" applyNumberFormat="1" applyFont="1" applyBorder="1" applyAlignment="1">
      <alignment horizontal="center"/>
    </xf>
    <xf numFmtId="0" fontId="23" fillId="0" borderId="0" xfId="14" applyFont="1" applyFill="1" applyBorder="1" applyAlignment="1">
      <alignment horizontal="right"/>
    </xf>
    <xf numFmtId="0" fontId="7" fillId="0" borderId="0" xfId="14" applyFont="1" applyBorder="1"/>
    <xf numFmtId="49" fontId="16" fillId="0" borderId="3" xfId="6" applyNumberFormat="1" applyFont="1" applyFill="1" applyBorder="1"/>
    <xf numFmtId="0" fontId="1" fillId="0" borderId="0" xfId="13" applyFont="1" applyFill="1" applyAlignment="1">
      <alignment vertical="center"/>
    </xf>
    <xf numFmtId="164" fontId="2" fillId="0" borderId="0" xfId="13" applyNumberFormat="1" applyFont="1" applyFill="1" applyAlignment="1">
      <alignment horizontal="left"/>
    </xf>
    <xf numFmtId="20" fontId="2" fillId="0" borderId="0" xfId="13" applyNumberFormat="1" applyFont="1" applyFill="1" applyAlignment="1">
      <alignment horizontal="left"/>
    </xf>
    <xf numFmtId="0" fontId="1" fillId="0" borderId="0" xfId="13" applyFont="1" applyFill="1" applyAlignment="1"/>
    <xf numFmtId="0" fontId="1" fillId="0" borderId="0" xfId="13" applyFont="1" applyFill="1" applyAlignment="1">
      <alignment horizontal="center"/>
    </xf>
    <xf numFmtId="165" fontId="1" fillId="0" borderId="0" xfId="13" applyNumberFormat="1" applyFont="1" applyFill="1" applyAlignment="1">
      <alignment horizontal="right"/>
    </xf>
    <xf numFmtId="0" fontId="0" fillId="0" borderId="0" xfId="0" applyFill="1"/>
    <xf numFmtId="0" fontId="23" fillId="0" borderId="0" xfId="0" applyFont="1" applyFill="1"/>
    <xf numFmtId="0" fontId="0" fillId="0" borderId="0" xfId="0" applyFont="1" applyFill="1"/>
    <xf numFmtId="165" fontId="1" fillId="0" borderId="0" xfId="13" applyNumberFormat="1" applyFont="1" applyFill="1" applyAlignment="1">
      <alignment horizontal="right" vertical="center"/>
    </xf>
    <xf numFmtId="0" fontId="2" fillId="0" borderId="0" xfId="13" applyFont="1" applyFill="1" applyAlignment="1">
      <alignment vertical="center"/>
    </xf>
    <xf numFmtId="164" fontId="25" fillId="0" borderId="0" xfId="6" applyNumberFormat="1" applyFont="1" applyFill="1" applyBorder="1" applyAlignment="1">
      <alignment horizontal="left"/>
    </xf>
    <xf numFmtId="20" fontId="4" fillId="0" borderId="0" xfId="6" applyNumberFormat="1" applyFont="1" applyFill="1" applyBorder="1" applyAlignment="1">
      <alignment horizontal="left"/>
    </xf>
    <xf numFmtId="0" fontId="2" fillId="0" borderId="0" xfId="13" applyFont="1" applyFill="1"/>
    <xf numFmtId="0" fontId="0" fillId="0" borderId="0" xfId="0"/>
    <xf numFmtId="0" fontId="23" fillId="3" borderId="61" xfId="14" applyFont="1" applyFill="1" applyBorder="1" applyAlignment="1">
      <alignment vertical="top" wrapText="1"/>
    </xf>
    <xf numFmtId="0" fontId="33" fillId="0" borderId="3" xfId="0" applyFont="1" applyBorder="1"/>
    <xf numFmtId="0" fontId="33" fillId="3" borderId="14" xfId="9" applyFont="1" applyFill="1" applyBorder="1"/>
    <xf numFmtId="0" fontId="33" fillId="0" borderId="14" xfId="9" applyFont="1" applyBorder="1"/>
    <xf numFmtId="165" fontId="7" fillId="0" borderId="0" xfId="13" applyNumberFormat="1" applyFont="1" applyAlignment="1">
      <alignment horizontal="right"/>
    </xf>
    <xf numFmtId="0" fontId="16" fillId="0" borderId="0" xfId="14" applyFont="1" applyBorder="1" applyAlignment="1">
      <alignment horizontal="right"/>
    </xf>
    <xf numFmtId="16" fontId="16" fillId="0" borderId="0" xfId="14" applyNumberFormat="1" applyFont="1" applyBorder="1" applyAlignment="1">
      <alignment horizontal="center"/>
    </xf>
    <xf numFmtId="0" fontId="16" fillId="11" borderId="5" xfId="6" applyFont="1" applyFill="1" applyBorder="1"/>
    <xf numFmtId="0" fontId="16" fillId="11" borderId="12" xfId="6" applyFont="1" applyFill="1" applyBorder="1"/>
    <xf numFmtId="0" fontId="16" fillId="11" borderId="8" xfId="6" applyFont="1" applyFill="1" applyBorder="1"/>
    <xf numFmtId="0" fontId="16" fillId="0" borderId="0" xfId="14" applyFont="1" applyAlignment="1">
      <alignment horizontal="left"/>
    </xf>
    <xf numFmtId="0" fontId="23" fillId="0" borderId="0" xfId="14" applyFont="1" applyAlignment="1">
      <alignment horizontal="right"/>
    </xf>
    <xf numFmtId="0" fontId="16" fillId="0" borderId="15" xfId="14" applyFont="1" applyBorder="1"/>
    <xf numFmtId="0" fontId="16" fillId="0" borderId="16" xfId="14" applyFont="1" applyBorder="1"/>
    <xf numFmtId="0" fontId="16" fillId="0" borderId="17" xfId="14" applyFont="1" applyBorder="1" applyAlignment="1">
      <alignment horizontal="left"/>
    </xf>
    <xf numFmtId="0" fontId="16" fillId="0" borderId="18" xfId="14" applyFont="1" applyBorder="1"/>
    <xf numFmtId="0" fontId="16" fillId="0" borderId="19" xfId="14" applyFont="1" applyBorder="1"/>
    <xf numFmtId="0" fontId="16" fillId="0" borderId="0" xfId="14" applyFont="1" applyBorder="1" applyAlignment="1">
      <alignment horizontal="left"/>
    </xf>
    <xf numFmtId="0" fontId="16" fillId="0" borderId="20" xfId="14" applyFont="1" applyBorder="1"/>
    <xf numFmtId="0" fontId="23" fillId="0" borderId="7" xfId="14" applyFont="1" applyBorder="1"/>
    <xf numFmtId="0" fontId="16" fillId="0" borderId="7" xfId="14" applyFont="1" applyBorder="1"/>
    <xf numFmtId="0" fontId="16" fillId="0" borderId="17" xfId="14" applyFont="1" applyBorder="1"/>
    <xf numFmtId="0" fontId="16" fillId="0" borderId="21" xfId="14" applyFont="1" applyBorder="1"/>
    <xf numFmtId="0" fontId="16" fillId="0" borderId="22" xfId="14" applyFont="1" applyBorder="1" applyAlignment="1">
      <alignment horizontal="left"/>
    </xf>
    <xf numFmtId="0" fontId="23" fillId="0" borderId="0" xfId="14" applyFont="1"/>
    <xf numFmtId="0" fontId="16" fillId="0" borderId="6" xfId="14" applyFont="1" applyBorder="1"/>
    <xf numFmtId="0" fontId="29" fillId="0" borderId="3" xfId="14" applyFont="1" applyBorder="1" applyAlignment="1"/>
    <xf numFmtId="0" fontId="16" fillId="0" borderId="0" xfId="14" applyFont="1"/>
    <xf numFmtId="0" fontId="16" fillId="0" borderId="0" xfId="14" applyFont="1" applyBorder="1"/>
    <xf numFmtId="0" fontId="16" fillId="0" borderId="2" xfId="14" applyFont="1" applyBorder="1"/>
    <xf numFmtId="172" fontId="33" fillId="0" borderId="3" xfId="7" applyNumberFormat="1" applyFont="1" applyFill="1" applyBorder="1" applyAlignment="1">
      <alignment horizontal="center"/>
    </xf>
    <xf numFmtId="1" fontId="7" fillId="3" borderId="0" xfId="7" applyNumberFormat="1" applyFont="1" applyFill="1" applyAlignment="1">
      <alignment horizontal="center"/>
    </xf>
    <xf numFmtId="0" fontId="7" fillId="0" borderId="0" xfId="7" applyFont="1" applyFill="1" applyBorder="1" applyAlignment="1"/>
    <xf numFmtId="0" fontId="0" fillId="0" borderId="0" xfId="0" applyBorder="1"/>
    <xf numFmtId="0" fontId="24" fillId="0" borderId="0" xfId="7" applyFont="1" applyFill="1" applyBorder="1" applyAlignment="1">
      <alignment horizontal="center"/>
    </xf>
    <xf numFmtId="0" fontId="4" fillId="3" borderId="0" xfId="7" applyFont="1" applyFill="1" applyBorder="1" applyAlignment="1"/>
    <xf numFmtId="0" fontId="7" fillId="3" borderId="0" xfId="7" applyFont="1" applyFill="1" applyBorder="1" applyAlignment="1">
      <alignment horizontal="right"/>
    </xf>
    <xf numFmtId="0" fontId="4" fillId="3" borderId="0" xfId="7" applyFont="1" applyFill="1" applyBorder="1" applyAlignment="1">
      <alignment horizontal="center"/>
    </xf>
    <xf numFmtId="167" fontId="7" fillId="3" borderId="0" xfId="7" applyNumberFormat="1" applyFont="1" applyFill="1" applyBorder="1" applyAlignment="1">
      <alignment horizontal="center"/>
    </xf>
    <xf numFmtId="0" fontId="33" fillId="0" borderId="3" xfId="11" applyFont="1" applyFill="1" applyBorder="1" applyAlignment="1">
      <alignment horizontal="center"/>
    </xf>
    <xf numFmtId="167" fontId="33" fillId="0" borderId="3" xfId="7" applyNumberFormat="1" applyFont="1" applyFill="1" applyBorder="1" applyAlignment="1">
      <alignment horizontal="center"/>
    </xf>
    <xf numFmtId="0" fontId="16" fillId="0" borderId="3" xfId="14" applyFont="1" applyBorder="1" applyAlignment="1"/>
    <xf numFmtId="0" fontId="16" fillId="0" borderId="0" xfId="14" applyFont="1" applyBorder="1" applyAlignment="1"/>
    <xf numFmtId="0" fontId="25" fillId="0" borderId="15" xfId="17" applyFont="1" applyBorder="1"/>
    <xf numFmtId="0" fontId="31" fillId="0" borderId="0" xfId="14" applyFont="1"/>
    <xf numFmtId="0" fontId="31" fillId="10" borderId="3" xfId="14" applyFont="1" applyFill="1" applyBorder="1" applyAlignment="1">
      <alignment horizontal="center"/>
    </xf>
    <xf numFmtId="0" fontId="31" fillId="0" borderId="3" xfId="14" applyFont="1" applyBorder="1" applyAlignment="1">
      <alignment horizontal="center"/>
    </xf>
    <xf numFmtId="0" fontId="31" fillId="0" borderId="0" xfId="14" applyFont="1" applyAlignment="1">
      <alignment horizontal="center"/>
    </xf>
    <xf numFmtId="0" fontId="33" fillId="0" borderId="3" xfId="7" applyFont="1" applyBorder="1" applyAlignment="1"/>
    <xf numFmtId="0" fontId="16" fillId="0" borderId="3" xfId="6" applyFont="1" applyFill="1" applyBorder="1"/>
    <xf numFmtId="0" fontId="4" fillId="5" borderId="0" xfId="7" applyFont="1" applyFill="1" applyAlignment="1"/>
    <xf numFmtId="0" fontId="7" fillId="12" borderId="0" xfId="7" applyFont="1" applyFill="1" applyAlignment="1"/>
    <xf numFmtId="0" fontId="33" fillId="0" borderId="0" xfId="14" applyFont="1"/>
    <xf numFmtId="0" fontId="30" fillId="0" borderId="3" xfId="0" applyNumberFormat="1" applyFont="1" applyFill="1" applyBorder="1" applyAlignment="1">
      <alignment horizontal="center"/>
    </xf>
    <xf numFmtId="0" fontId="33" fillId="0" borderId="3" xfId="7" applyFont="1" applyFill="1" applyBorder="1" applyAlignment="1">
      <alignment horizontal="center"/>
    </xf>
    <xf numFmtId="0" fontId="33" fillId="0" borderId="3" xfId="7" applyFont="1" applyFill="1" applyBorder="1" applyAlignment="1"/>
    <xf numFmtId="167" fontId="34" fillId="0" borderId="3" xfId="7" applyNumberFormat="1" applyFont="1" applyFill="1" applyBorder="1" applyAlignment="1">
      <alignment horizontal="center"/>
    </xf>
    <xf numFmtId="0" fontId="0" fillId="3" borderId="3" xfId="0" applyFont="1" applyFill="1" applyBorder="1" applyProtection="1"/>
    <xf numFmtId="0" fontId="0" fillId="12" borderId="3" xfId="0" applyFont="1" applyFill="1" applyBorder="1" applyProtection="1"/>
    <xf numFmtId="0" fontId="0" fillId="0" borderId="3" xfId="0" applyFont="1" applyBorder="1" applyProtection="1"/>
    <xf numFmtId="0" fontId="23" fillId="0" borderId="0" xfId="14" applyFont="1" applyAlignment="1">
      <alignment horizontal="left"/>
    </xf>
    <xf numFmtId="0" fontId="23" fillId="0" borderId="22" xfId="14" applyFont="1" applyBorder="1" applyAlignment="1">
      <alignment horizontal="left"/>
    </xf>
    <xf numFmtId="0" fontId="23" fillId="0" borderId="0" xfId="14" applyFont="1" applyBorder="1" applyAlignment="1">
      <alignment horizontal="left"/>
    </xf>
    <xf numFmtId="0" fontId="16" fillId="0" borderId="0" xfId="14" applyFont="1" applyFill="1" applyBorder="1" applyAlignment="1">
      <alignment horizontal="right"/>
    </xf>
    <xf numFmtId="0" fontId="26" fillId="0" borderId="3" xfId="7" applyFont="1" applyFill="1" applyBorder="1" applyAlignment="1"/>
    <xf numFmtId="0" fontId="16" fillId="0" borderId="3" xfId="14" applyFont="1" applyFill="1" applyBorder="1" applyAlignment="1"/>
    <xf numFmtId="49" fontId="16" fillId="0" borderId="3" xfId="14" applyNumberFormat="1" applyFont="1" applyFill="1" applyBorder="1" applyAlignment="1">
      <alignment horizontal="center"/>
    </xf>
    <xf numFmtId="0" fontId="35" fillId="0" borderId="3" xfId="7" applyFont="1" applyFill="1" applyBorder="1" applyAlignment="1"/>
    <xf numFmtId="0" fontId="26" fillId="0" borderId="3" xfId="12" applyFont="1" applyFill="1" applyBorder="1"/>
    <xf numFmtId="0" fontId="26" fillId="0" borderId="3" xfId="14" applyFont="1" applyBorder="1"/>
    <xf numFmtId="0" fontId="0" fillId="0" borderId="0" xfId="0"/>
    <xf numFmtId="0" fontId="7" fillId="0" borderId="0" xfId="0" applyFont="1"/>
    <xf numFmtId="0" fontId="23" fillId="0" borderId="3" xfId="6" applyFont="1" applyFill="1" applyBorder="1"/>
    <xf numFmtId="0" fontId="23" fillId="0" borderId="3" xfId="0" applyFont="1" applyBorder="1"/>
    <xf numFmtId="0" fontId="16" fillId="0" borderId="3" xfId="14" applyFont="1" applyFill="1" applyBorder="1" applyAlignment="1">
      <alignment horizontal="center"/>
    </xf>
    <xf numFmtId="0" fontId="23" fillId="3" borderId="62" xfId="14" applyFont="1" applyFill="1" applyBorder="1" applyAlignment="1">
      <alignment vertical="top"/>
    </xf>
    <xf numFmtId="0" fontId="23" fillId="3" borderId="58" xfId="14" applyFont="1" applyFill="1" applyBorder="1" applyAlignment="1">
      <alignment vertical="top"/>
    </xf>
    <xf numFmtId="0" fontId="0" fillId="0" borderId="0" xfId="0"/>
    <xf numFmtId="165" fontId="16" fillId="0" borderId="0" xfId="13" applyNumberFormat="1" applyFont="1" applyAlignment="1">
      <alignment horizontal="right"/>
    </xf>
    <xf numFmtId="0" fontId="0" fillId="0" borderId="0" xfId="0" applyFont="1" applyAlignment="1">
      <alignment vertical="top" wrapText="1"/>
    </xf>
    <xf numFmtId="0" fontId="0" fillId="0" borderId="56" xfId="0" applyFont="1" applyFill="1" applyBorder="1" applyAlignment="1">
      <alignment vertical="top"/>
    </xf>
    <xf numFmtId="0" fontId="23" fillId="0" borderId="7" xfId="14" applyFont="1" applyBorder="1" applyAlignment="1">
      <alignment vertical="top" wrapText="1"/>
    </xf>
    <xf numFmtId="0" fontId="16" fillId="0" borderId="0" xfId="14" applyNumberFormat="1" applyFont="1" applyFill="1" applyBorder="1" applyAlignment="1">
      <alignment vertical="top" wrapText="1"/>
    </xf>
    <xf numFmtId="0" fontId="16" fillId="3" borderId="49" xfId="14" applyFont="1" applyFill="1" applyBorder="1" applyAlignment="1">
      <alignment vertical="top" wrapText="1"/>
    </xf>
    <xf numFmtId="0" fontId="0" fillId="0" borderId="46" xfId="0" applyFont="1" applyBorder="1"/>
    <xf numFmtId="49" fontId="0" fillId="0" borderId="49" xfId="0" applyNumberFormat="1" applyFont="1" applyFill="1" applyBorder="1" applyAlignment="1"/>
    <xf numFmtId="0" fontId="23" fillId="0" borderId="63" xfId="14" applyFont="1" applyFill="1" applyBorder="1" applyAlignment="1">
      <alignment vertical="top" wrapText="1"/>
    </xf>
    <xf numFmtId="0" fontId="0" fillId="0" borderId="0" xfId="0" applyFont="1"/>
    <xf numFmtId="0" fontId="16" fillId="0" borderId="64" xfId="14" applyFont="1" applyFill="1" applyBorder="1" applyAlignment="1">
      <alignment vertical="top" wrapText="1"/>
    </xf>
    <xf numFmtId="0" fontId="16" fillId="0" borderId="52" xfId="14" applyFont="1" applyBorder="1" applyAlignment="1">
      <alignment vertical="top" wrapText="1"/>
    </xf>
    <xf numFmtId="0" fontId="16" fillId="0" borderId="52" xfId="14" applyFont="1" applyFill="1" applyBorder="1" applyAlignment="1">
      <alignment vertical="top" wrapText="1"/>
    </xf>
    <xf numFmtId="0" fontId="0" fillId="0" borderId="52" xfId="0" applyFont="1" applyBorder="1"/>
    <xf numFmtId="0" fontId="16" fillId="3" borderId="64" xfId="14" applyFont="1" applyFill="1" applyBorder="1" applyAlignment="1">
      <alignment vertical="top" wrapText="1"/>
    </xf>
    <xf numFmtId="0" fontId="16" fillId="0" borderId="0" xfId="13" applyFont="1"/>
    <xf numFmtId="0" fontId="16" fillId="0" borderId="0" xfId="13" applyFont="1" applyAlignment="1"/>
    <xf numFmtId="0" fontId="0" fillId="0" borderId="0" xfId="0" applyFont="1" applyAlignment="1"/>
    <xf numFmtId="0" fontId="36" fillId="3" borderId="50" xfId="1" applyFont="1" applyFill="1" applyBorder="1"/>
    <xf numFmtId="0" fontId="36" fillId="3" borderId="0" xfId="1" applyFont="1" applyFill="1"/>
    <xf numFmtId="0" fontId="37" fillId="0" borderId="46" xfId="1" applyFont="1" applyBorder="1"/>
    <xf numFmtId="0" fontId="0" fillId="0" borderId="0" xfId="0" applyFont="1" applyAlignment="1">
      <alignment vertical="top"/>
    </xf>
    <xf numFmtId="0" fontId="17" fillId="0" borderId="55" xfId="14" applyFont="1" applyFill="1" applyBorder="1" applyAlignment="1">
      <alignment vertical="top" wrapText="1"/>
    </xf>
    <xf numFmtId="0" fontId="23" fillId="3" borderId="63" xfId="14" applyFont="1" applyFill="1" applyBorder="1" applyAlignment="1">
      <alignment vertical="top" wrapText="1"/>
    </xf>
    <xf numFmtId="0" fontId="16" fillId="0" borderId="48" xfId="2" applyFont="1" applyFill="1" applyBorder="1" applyAlignment="1">
      <alignment vertical="top"/>
    </xf>
    <xf numFmtId="0" fontId="23" fillId="0" borderId="64" xfId="14" applyFont="1" applyBorder="1" applyAlignment="1">
      <alignment vertical="top" wrapText="1"/>
    </xf>
    <xf numFmtId="0" fontId="23" fillId="0" borderId="63" xfId="14" applyFont="1" applyBorder="1" applyAlignment="1">
      <alignment vertical="top" wrapText="1"/>
    </xf>
    <xf numFmtId="0" fontId="23" fillId="0" borderId="66" xfId="14" applyFont="1" applyBorder="1" applyAlignment="1">
      <alignment vertical="top" wrapText="1"/>
    </xf>
    <xf numFmtId="0" fontId="23" fillId="0" borderId="49" xfId="14" applyFont="1" applyFill="1" applyBorder="1" applyAlignment="1">
      <alignment vertical="top" wrapText="1"/>
    </xf>
    <xf numFmtId="0" fontId="23" fillId="0" borderId="48" xfId="14" applyFont="1" applyFill="1" applyBorder="1" applyAlignment="1">
      <alignment vertical="top" wrapText="1"/>
    </xf>
    <xf numFmtId="0" fontId="16" fillId="0" borderId="56" xfId="14" applyFont="1" applyFill="1" applyBorder="1" applyAlignment="1">
      <alignment vertical="top" wrapText="1"/>
    </xf>
    <xf numFmtId="0" fontId="23" fillId="3" borderId="48" xfId="0" applyFont="1" applyFill="1" applyBorder="1" applyAlignment="1">
      <alignment vertical="top" wrapText="1"/>
    </xf>
    <xf numFmtId="0" fontId="23" fillId="3" borderId="55" xfId="0" applyFont="1" applyFill="1" applyBorder="1" applyAlignment="1">
      <alignment vertical="top" wrapText="1"/>
    </xf>
    <xf numFmtId="0" fontId="23" fillId="0" borderId="66" xfId="14" applyFont="1" applyFill="1" applyBorder="1" applyAlignment="1">
      <alignment vertical="top" wrapText="1"/>
    </xf>
    <xf numFmtId="0" fontId="36" fillId="3" borderId="46" xfId="1" applyFont="1" applyFill="1" applyBorder="1"/>
    <xf numFmtId="0" fontId="16" fillId="3" borderId="49" xfId="1" applyFont="1" applyFill="1" applyBorder="1" applyAlignment="1">
      <alignment vertical="top" wrapText="1"/>
    </xf>
    <xf numFmtId="0" fontId="36" fillId="3" borderId="49" xfId="1" applyFont="1" applyFill="1" applyBorder="1"/>
    <xf numFmtId="0" fontId="37" fillId="0" borderId="49" xfId="1" applyFont="1" applyBorder="1"/>
    <xf numFmtId="0" fontId="23" fillId="0" borderId="49" xfId="14" applyFont="1" applyFill="1" applyBorder="1" applyAlignment="1">
      <alignment vertical="top"/>
    </xf>
    <xf numFmtId="0" fontId="37" fillId="0" borderId="64" xfId="1" applyFont="1" applyBorder="1"/>
    <xf numFmtId="0" fontId="36" fillId="0" borderId="49" xfId="1" applyFont="1" applyBorder="1"/>
    <xf numFmtId="0" fontId="37" fillId="0" borderId="0" xfId="1" applyFont="1"/>
    <xf numFmtId="0" fontId="16" fillId="3" borderId="64" xfId="1" applyFont="1" applyFill="1" applyBorder="1" applyAlignment="1">
      <alignment vertical="top" wrapText="1"/>
    </xf>
    <xf numFmtId="49" fontId="23" fillId="6" borderId="0" xfId="6" applyNumberFormat="1" applyFont="1" applyFill="1"/>
    <xf numFmtId="166" fontId="23" fillId="6" borderId="0" xfId="14" applyNumberFormat="1" applyFont="1" applyFill="1" applyBorder="1" applyAlignment="1">
      <alignment horizontal="left" wrapText="1"/>
    </xf>
    <xf numFmtId="0" fontId="23" fillId="6" borderId="0" xfId="14" applyFont="1" applyFill="1" applyBorder="1" applyAlignment="1">
      <alignment vertical="top" wrapText="1"/>
    </xf>
    <xf numFmtId="0" fontId="23" fillId="6" borderId="0" xfId="14" applyFont="1" applyFill="1" applyBorder="1" applyAlignment="1">
      <alignment wrapText="1"/>
    </xf>
    <xf numFmtId="0" fontId="0" fillId="13" borderId="66" xfId="0" applyFill="1" applyBorder="1"/>
    <xf numFmtId="0" fontId="23" fillId="13" borderId="52" xfId="14" applyFont="1" applyFill="1" applyBorder="1" applyAlignment="1">
      <alignment vertical="top" wrapText="1"/>
    </xf>
    <xf numFmtId="0" fontId="36" fillId="13" borderId="0" xfId="1" applyFont="1" applyFill="1"/>
    <xf numFmtId="0" fontId="16" fillId="13" borderId="48" xfId="1" applyFont="1" applyFill="1" applyBorder="1" applyAlignment="1">
      <alignment vertical="top" wrapText="1"/>
    </xf>
    <xf numFmtId="0" fontId="16" fillId="13" borderId="49" xfId="1" applyFont="1" applyFill="1" applyBorder="1" applyAlignment="1">
      <alignment vertical="top" wrapText="1"/>
    </xf>
    <xf numFmtId="0" fontId="16" fillId="13" borderId="66" xfId="1" applyFont="1" applyFill="1" applyBorder="1" applyAlignment="1">
      <alignment vertical="top" wrapText="1"/>
    </xf>
    <xf numFmtId="0" fontId="23" fillId="13" borderId="59" xfId="14" applyFont="1" applyFill="1" applyBorder="1" applyAlignment="1">
      <alignment vertical="top" wrapText="1"/>
    </xf>
    <xf numFmtId="0" fontId="23" fillId="13" borderId="1" xfId="14" applyFont="1" applyFill="1" applyBorder="1" applyAlignment="1">
      <alignment vertical="top" wrapText="1"/>
    </xf>
    <xf numFmtId="0" fontId="23" fillId="13" borderId="53" xfId="14" applyFont="1" applyFill="1" applyBorder="1" applyAlignment="1">
      <alignment vertical="top" wrapText="1"/>
    </xf>
    <xf numFmtId="0" fontId="37" fillId="14" borderId="60" xfId="1" applyFont="1" applyFill="1" applyBorder="1"/>
    <xf numFmtId="0" fontId="23" fillId="14" borderId="49" xfId="14" applyFont="1" applyFill="1" applyBorder="1" applyAlignment="1">
      <alignment vertical="top" wrapText="1"/>
    </xf>
    <xf numFmtId="0" fontId="23" fillId="14" borderId="48" xfId="14" applyFont="1" applyFill="1" applyBorder="1" applyAlignment="1">
      <alignment vertical="top" wrapText="1"/>
    </xf>
    <xf numFmtId="0" fontId="37" fillId="14" borderId="46" xfId="1" applyFont="1" applyFill="1" applyBorder="1"/>
    <xf numFmtId="0" fontId="23" fillId="14" borderId="52" xfId="14" applyFont="1" applyFill="1" applyBorder="1" applyAlignment="1">
      <alignment vertical="top" wrapText="1"/>
    </xf>
    <xf numFmtId="0" fontId="37" fillId="14" borderId="0" xfId="1" applyFont="1" applyFill="1"/>
    <xf numFmtId="0" fontId="16" fillId="14" borderId="52" xfId="14" applyFont="1" applyFill="1" applyBorder="1" applyAlignment="1">
      <alignment vertical="top" wrapText="1"/>
    </xf>
    <xf numFmtId="0" fontId="23" fillId="14" borderId="1" xfId="14" applyFont="1" applyFill="1" applyBorder="1" applyAlignment="1">
      <alignment vertical="top" wrapText="1"/>
    </xf>
    <xf numFmtId="0" fontId="23" fillId="14" borderId="53" xfId="14" applyFont="1" applyFill="1" applyBorder="1" applyAlignment="1">
      <alignment vertical="top" wrapText="1"/>
    </xf>
    <xf numFmtId="0" fontId="0" fillId="13" borderId="48" xfId="0" applyFill="1" applyBorder="1"/>
    <xf numFmtId="0" fontId="12" fillId="13" borderId="65" xfId="1" applyFont="1" applyFill="1" applyBorder="1"/>
    <xf numFmtId="0" fontId="16" fillId="13" borderId="49" xfId="1" applyFont="1" applyFill="1" applyBorder="1"/>
    <xf numFmtId="0" fontId="7" fillId="13" borderId="49" xfId="1" applyFont="1" applyFill="1" applyBorder="1"/>
    <xf numFmtId="0" fontId="18" fillId="0" borderId="4" xfId="1" applyFill="1" applyBorder="1"/>
    <xf numFmtId="0" fontId="18" fillId="0" borderId="3" xfId="1" applyFill="1" applyBorder="1"/>
    <xf numFmtId="164" fontId="2" fillId="0" borderId="0" xfId="13" applyNumberFormat="1" applyFont="1" applyFill="1" applyBorder="1" applyAlignment="1">
      <alignment horizontal="left"/>
    </xf>
    <xf numFmtId="0" fontId="18" fillId="0" borderId="0" xfId="1"/>
    <xf numFmtId="0" fontId="7" fillId="0" borderId="0" xfId="7" applyFont="1" applyFill="1" applyBorder="1" applyAlignment="1">
      <alignment textRotation="90"/>
    </xf>
    <xf numFmtId="0" fontId="16" fillId="0" borderId="3" xfId="14" applyFont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0" borderId="3" xfId="6" applyFont="1" applyBorder="1"/>
    <xf numFmtId="0" fontId="16" fillId="0" borderId="3" xfId="6" applyFont="1" applyBorder="1"/>
    <xf numFmtId="0" fontId="16" fillId="3" borderId="3" xfId="6" applyFont="1" applyFill="1" applyBorder="1"/>
    <xf numFmtId="0" fontId="16" fillId="12" borderId="3" xfId="6" applyFont="1" applyFill="1" applyBorder="1"/>
    <xf numFmtId="0" fontId="34" fillId="0" borderId="3" xfId="0" applyFont="1" applyBorder="1" applyAlignment="1" applyProtection="1"/>
    <xf numFmtId="0" fontId="34" fillId="0" borderId="3" xfId="0" applyFont="1" applyBorder="1" applyProtection="1"/>
    <xf numFmtId="0" fontId="0" fillId="7" borderId="8" xfId="0" applyNumberFormat="1" applyFont="1" applyFill="1" applyBorder="1" applyProtection="1">
      <protection locked="0"/>
    </xf>
    <xf numFmtId="167" fontId="0" fillId="8" borderId="3" xfId="0" applyNumberFormat="1" applyFont="1" applyFill="1" applyBorder="1" applyAlignment="1" applyProtection="1">
      <alignment horizontal="center"/>
    </xf>
    <xf numFmtId="0" fontId="16" fillId="0" borderId="10" xfId="6" applyFont="1" applyBorder="1"/>
    <xf numFmtId="0" fontId="16" fillId="11" borderId="11" xfId="6" applyFont="1" applyFill="1" applyBorder="1"/>
    <xf numFmtId="0" fontId="0" fillId="3" borderId="13" xfId="0" applyNumberFormat="1" applyFont="1" applyFill="1" applyBorder="1" applyProtection="1">
      <protection locked="0"/>
    </xf>
    <xf numFmtId="0" fontId="16" fillId="0" borderId="5" xfId="6" applyFont="1" applyBorder="1"/>
    <xf numFmtId="0" fontId="16" fillId="0" borderId="0" xfId="1" applyFont="1"/>
    <xf numFmtId="0" fontId="0" fillId="5" borderId="0" xfId="0" applyFill="1"/>
    <xf numFmtId="0" fontId="23" fillId="14" borderId="0" xfId="0" applyFont="1" applyFill="1"/>
    <xf numFmtId="0" fontId="0" fillId="14" borderId="0" xfId="0" applyFont="1" applyFill="1"/>
    <xf numFmtId="0" fontId="0" fillId="13" borderId="0" xfId="0" applyFont="1" applyFill="1"/>
    <xf numFmtId="0" fontId="0" fillId="0" borderId="0" xfId="0"/>
    <xf numFmtId="0" fontId="38" fillId="0" borderId="4" xfId="1" applyFont="1" applyFill="1" applyBorder="1"/>
    <xf numFmtId="0" fontId="39" fillId="0" borderId="0" xfId="13" applyFont="1" applyFill="1" applyAlignment="1">
      <alignment vertical="center"/>
    </xf>
    <xf numFmtId="0" fontId="38" fillId="5" borderId="4" xfId="1" applyFont="1" applyFill="1" applyBorder="1"/>
    <xf numFmtId="0" fontId="38" fillId="15" borderId="3" xfId="1" applyFont="1" applyFill="1" applyBorder="1"/>
    <xf numFmtId="0" fontId="38" fillId="0" borderId="3" xfId="1" applyFont="1" applyFill="1" applyBorder="1"/>
    <xf numFmtId="0" fontId="38" fillId="5" borderId="3" xfId="1" applyFont="1" applyFill="1" applyBorder="1"/>
    <xf numFmtId="0" fontId="39" fillId="0" borderId="23" xfId="13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18" fillId="14" borderId="3" xfId="1" applyFill="1" applyBorder="1" applyAlignment="1">
      <alignment horizontal="center"/>
    </xf>
    <xf numFmtId="0" fontId="23" fillId="0" borderId="0" xfId="7" applyFont="1" applyFill="1" applyBorder="1" applyAlignment="1"/>
    <xf numFmtId="0" fontId="16" fillId="0" borderId="0" xfId="7" applyFont="1" applyFill="1" applyAlignment="1"/>
    <xf numFmtId="0" fontId="23" fillId="0" borderId="0" xfId="7" applyFont="1" applyFill="1" applyBorder="1" applyAlignment="1">
      <alignment horizontal="center"/>
    </xf>
    <xf numFmtId="0" fontId="16" fillId="0" borderId="0" xfId="7" applyFont="1" applyFill="1" applyAlignment="1">
      <alignment horizontal="center"/>
    </xf>
    <xf numFmtId="0" fontId="23" fillId="5" borderId="0" xfId="7" applyFont="1" applyFill="1" applyAlignment="1"/>
    <xf numFmtId="0" fontId="29" fillId="0" borderId="0" xfId="7" applyFont="1" applyFill="1" applyBorder="1" applyAlignment="1"/>
    <xf numFmtId="0" fontId="16" fillId="0" borderId="0" xfId="7" applyFont="1" applyFill="1" applyBorder="1" applyAlignment="1">
      <alignment horizontal="center"/>
    </xf>
    <xf numFmtId="0" fontId="16" fillId="3" borderId="0" xfId="7" applyFont="1" applyFill="1" applyAlignment="1"/>
    <xf numFmtId="0" fontId="23" fillId="0" borderId="0" xfId="7" applyFont="1" applyFill="1" applyAlignment="1">
      <alignment horizontal="center"/>
    </xf>
    <xf numFmtId="0" fontId="16" fillId="0" borderId="6" xfId="7" applyFont="1" applyFill="1" applyBorder="1" applyAlignment="1">
      <alignment horizontal="center"/>
    </xf>
    <xf numFmtId="0" fontId="16" fillId="0" borderId="0" xfId="7" applyFont="1" applyFill="1" applyBorder="1" applyAlignment="1">
      <alignment textRotation="90"/>
    </xf>
    <xf numFmtId="0" fontId="16" fillId="12" borderId="0" xfId="7" applyFont="1" applyFill="1" applyAlignment="1"/>
    <xf numFmtId="0" fontId="23" fillId="0" borderId="3" xfId="7" applyFont="1" applyFill="1" applyBorder="1" applyAlignment="1"/>
    <xf numFmtId="0" fontId="16" fillId="0" borderId="3" xfId="7" applyFont="1" applyFill="1" applyBorder="1" applyAlignment="1"/>
    <xf numFmtId="0" fontId="16" fillId="0" borderId="3" xfId="7" applyFont="1" applyFill="1" applyBorder="1" applyAlignment="1">
      <alignment horizontal="center"/>
    </xf>
    <xf numFmtId="0" fontId="23" fillId="0" borderId="3" xfId="7" applyFont="1" applyFill="1" applyBorder="1" applyAlignment="1">
      <alignment horizontal="center"/>
    </xf>
    <xf numFmtId="0" fontId="0" fillId="0" borderId="0" xfId="0" applyFont="1"/>
    <xf numFmtId="0" fontId="16" fillId="0" borderId="3" xfId="15" applyFont="1" applyFill="1" applyBorder="1" applyAlignment="1">
      <alignment horizontal="center"/>
    </xf>
    <xf numFmtId="167" fontId="16" fillId="0" borderId="0" xfId="7" applyNumberFormat="1" applyFont="1" applyFill="1" applyAlignment="1">
      <alignment horizontal="center"/>
    </xf>
    <xf numFmtId="0" fontId="0" fillId="0" borderId="3" xfId="0" applyFont="1" applyBorder="1"/>
    <xf numFmtId="0" fontId="23" fillId="3" borderId="0" xfId="7" applyFont="1" applyFill="1" applyAlignment="1"/>
    <xf numFmtId="0" fontId="16" fillId="3" borderId="0" xfId="7" applyFont="1" applyFill="1" applyAlignment="1">
      <alignment horizontal="right"/>
    </xf>
    <xf numFmtId="0" fontId="23" fillId="3" borderId="0" xfId="7" applyFont="1" applyFill="1" applyAlignment="1">
      <alignment horizontal="center"/>
    </xf>
    <xf numFmtId="167" fontId="16" fillId="3" borderId="0" xfId="7" applyNumberFormat="1" applyFont="1" applyFill="1" applyAlignment="1">
      <alignment horizontal="center"/>
    </xf>
    <xf numFmtId="167" fontId="23" fillId="3" borderId="0" xfId="7" applyNumberFormat="1" applyFont="1" applyFill="1" applyAlignment="1"/>
    <xf numFmtId="1" fontId="16" fillId="3" borderId="0" xfId="7" applyNumberFormat="1" applyFont="1" applyFill="1" applyAlignment="1">
      <alignment horizontal="center"/>
    </xf>
    <xf numFmtId="0" fontId="0" fillId="13" borderId="3" xfId="0" applyFont="1" applyFill="1" applyBorder="1" applyAlignment="1">
      <alignment vertical="center"/>
    </xf>
    <xf numFmtId="0" fontId="18" fillId="13" borderId="3" xfId="1" applyFill="1" applyBorder="1" applyAlignment="1">
      <alignment horizontal="center"/>
    </xf>
    <xf numFmtId="0" fontId="37" fillId="0" borderId="0" xfId="7" applyFont="1" applyAlignment="1"/>
    <xf numFmtId="0" fontId="16" fillId="0" borderId="0" xfId="7" applyFont="1" applyAlignment="1"/>
    <xf numFmtId="0" fontId="23" fillId="0" borderId="0" xfId="7" applyFont="1" applyAlignment="1">
      <alignment horizontal="right"/>
    </xf>
    <xf numFmtId="0" fontId="23" fillId="0" borderId="0" xfId="7" applyFont="1" applyAlignment="1">
      <alignment horizontal="left"/>
    </xf>
    <xf numFmtId="0" fontId="16" fillId="0" borderId="0" xfId="7" applyFont="1" applyAlignment="1">
      <alignment horizontal="right"/>
    </xf>
    <xf numFmtId="0" fontId="16" fillId="0" borderId="15" xfId="7" applyFont="1" applyBorder="1" applyAlignment="1"/>
    <xf numFmtId="0" fontId="16" fillId="0" borderId="16" xfId="7" applyFont="1" applyBorder="1" applyAlignment="1"/>
    <xf numFmtId="0" fontId="16" fillId="0" borderId="6" xfId="7" applyFont="1" applyBorder="1" applyAlignment="1"/>
    <xf numFmtId="0" fontId="16" fillId="0" borderId="21" xfId="9" applyFont="1" applyFill="1" applyBorder="1" applyAlignment="1"/>
    <xf numFmtId="0" fontId="16" fillId="0" borderId="17" xfId="7" applyFont="1" applyBorder="1" applyAlignment="1">
      <alignment horizontal="left"/>
    </xf>
    <xf numFmtId="0" fontId="16" fillId="0" borderId="18" xfId="7" applyFont="1" applyBorder="1" applyAlignment="1"/>
    <xf numFmtId="0" fontId="16" fillId="0" borderId="0" xfId="7" applyFont="1" applyBorder="1" applyAlignment="1"/>
    <xf numFmtId="0" fontId="16" fillId="0" borderId="19" xfId="7" applyFont="1" applyBorder="1" applyAlignment="1"/>
    <xf numFmtId="0" fontId="16" fillId="0" borderId="6" xfId="9" applyFont="1" applyFill="1" applyBorder="1" applyAlignment="1"/>
    <xf numFmtId="0" fontId="23" fillId="0" borderId="0" xfId="7" applyFont="1" applyBorder="1" applyAlignment="1">
      <alignment horizontal="left"/>
    </xf>
    <xf numFmtId="0" fontId="16" fillId="0" borderId="17" xfId="7" applyFont="1" applyBorder="1" applyAlignment="1"/>
    <xf numFmtId="0" fontId="16" fillId="0" borderId="21" xfId="7" applyFont="1" applyBorder="1" applyAlignment="1"/>
    <xf numFmtId="0" fontId="16" fillId="0" borderId="0" xfId="7" applyFont="1" applyBorder="1" applyAlignment="1">
      <alignment horizontal="left"/>
    </xf>
    <xf numFmtId="0" fontId="16" fillId="0" borderId="22" xfId="7" applyFont="1" applyBorder="1" applyAlignment="1">
      <alignment horizontal="left"/>
    </xf>
    <xf numFmtId="0" fontId="16" fillId="0" borderId="0" xfId="7" applyFont="1" applyAlignment="1">
      <alignment horizontal="left"/>
    </xf>
    <xf numFmtId="0" fontId="16" fillId="0" borderId="20" xfId="7" applyFont="1" applyBorder="1" applyAlignment="1"/>
    <xf numFmtId="0" fontId="23" fillId="0" borderId="7" xfId="7" applyFont="1" applyBorder="1" applyAlignment="1"/>
    <xf numFmtId="0" fontId="16" fillId="0" borderId="7" xfId="7" applyFont="1" applyBorder="1" applyAlignment="1"/>
    <xf numFmtId="0" fontId="23" fillId="0" borderId="17" xfId="7" applyFont="1" applyBorder="1" applyAlignment="1">
      <alignment horizontal="left"/>
    </xf>
    <xf numFmtId="0" fontId="16" fillId="0" borderId="2" xfId="7" applyFont="1" applyBorder="1" applyAlignment="1"/>
    <xf numFmtId="0" fontId="23" fillId="0" borderId="22" xfId="7" applyFont="1" applyBorder="1" applyAlignment="1">
      <alignment horizontal="left"/>
    </xf>
    <xf numFmtId="0" fontId="23" fillId="0" borderId="0" xfId="7" applyFont="1" applyBorder="1" applyAlignment="1"/>
    <xf numFmtId="0" fontId="23" fillId="0" borderId="0" xfId="7" applyFont="1" applyAlignment="1"/>
    <xf numFmtId="0" fontId="23" fillId="0" borderId="0" xfId="14" applyFont="1" applyAlignment="1"/>
    <xf numFmtId="0" fontId="16" fillId="0" borderId="0" xfId="14" applyFont="1" applyAlignment="1">
      <alignment horizontal="center"/>
    </xf>
    <xf numFmtId="49" fontId="16" fillId="0" borderId="0" xfId="14" applyNumberFormat="1" applyFont="1" applyAlignment="1">
      <alignment horizontal="center"/>
    </xf>
    <xf numFmtId="0" fontId="16" fillId="0" borderId="23" xfId="14" applyFont="1" applyBorder="1" applyAlignment="1"/>
    <xf numFmtId="0" fontId="16" fillId="0" borderId="0" xfId="17" applyFont="1"/>
    <xf numFmtId="0" fontId="40" fillId="0" borderId="0" xfId="6" applyFont="1"/>
    <xf numFmtId="0" fontId="16" fillId="0" borderId="0" xfId="17" applyFont="1" applyAlignment="1">
      <alignment horizontal="right"/>
    </xf>
    <xf numFmtId="0" fontId="16" fillId="0" borderId="5" xfId="17" applyFont="1" applyFill="1" applyBorder="1"/>
    <xf numFmtId="0" fontId="23" fillId="0" borderId="10" xfId="17" applyFont="1" applyBorder="1" applyAlignment="1">
      <alignment horizontal="center"/>
    </xf>
    <xf numFmtId="0" fontId="23" fillId="15" borderId="9" xfId="17" applyFont="1" applyFill="1" applyBorder="1" applyAlignment="1">
      <alignment horizontal="center"/>
    </xf>
    <xf numFmtId="0" fontId="23" fillId="15" borderId="3" xfId="17" applyFont="1" applyFill="1" applyBorder="1" applyAlignment="1">
      <alignment horizontal="center"/>
    </xf>
    <xf numFmtId="0" fontId="23" fillId="3" borderId="10" xfId="17" applyFont="1" applyFill="1" applyBorder="1" applyAlignment="1">
      <alignment horizontal="center"/>
    </xf>
    <xf numFmtId="0" fontId="23" fillId="3" borderId="9" xfId="17" applyFont="1" applyFill="1" applyBorder="1" applyAlignment="1">
      <alignment horizontal="center"/>
    </xf>
    <xf numFmtId="0" fontId="23" fillId="16" borderId="3" xfId="17" applyFont="1" applyFill="1" applyBorder="1" applyAlignment="1">
      <alignment horizontal="center"/>
    </xf>
    <xf numFmtId="0" fontId="23" fillId="0" borderId="0" xfId="17" applyFont="1" applyAlignment="1">
      <alignment horizontal="center"/>
    </xf>
    <xf numFmtId="0" fontId="16" fillId="0" borderId="24" xfId="17" applyFont="1" applyBorder="1" applyAlignment="1">
      <alignment horizontal="center"/>
    </xf>
    <xf numFmtId="0" fontId="16" fillId="15" borderId="25" xfId="17" applyFont="1" applyFill="1" applyBorder="1" applyAlignment="1"/>
    <xf numFmtId="0" fontId="16" fillId="15" borderId="26" xfId="17" applyFont="1" applyFill="1" applyBorder="1" applyAlignment="1">
      <alignment horizontal="center"/>
    </xf>
    <xf numFmtId="0" fontId="16" fillId="3" borderId="24" xfId="17" applyFont="1" applyFill="1" applyBorder="1" applyAlignment="1">
      <alignment horizontal="center"/>
    </xf>
    <xf numFmtId="0" fontId="16" fillId="3" borderId="25" xfId="17" applyFont="1" applyFill="1" applyBorder="1" applyAlignment="1">
      <alignment horizontal="center"/>
    </xf>
    <xf numFmtId="0" fontId="23" fillId="16" borderId="26" xfId="17" applyFont="1" applyFill="1" applyBorder="1" applyAlignment="1">
      <alignment horizontal="center"/>
    </xf>
    <xf numFmtId="0" fontId="16" fillId="16" borderId="26" xfId="17" applyFont="1" applyFill="1" applyBorder="1" applyAlignment="1"/>
    <xf numFmtId="0" fontId="16" fillId="0" borderId="0" xfId="17" applyFont="1" applyAlignment="1"/>
    <xf numFmtId="0" fontId="16" fillId="0" borderId="10" xfId="17" applyFont="1" applyBorder="1" applyAlignment="1">
      <alignment horizontal="center"/>
    </xf>
    <xf numFmtId="0" fontId="16" fillId="15" borderId="9" xfId="17" applyFont="1" applyFill="1" applyBorder="1" applyAlignment="1"/>
    <xf numFmtId="0" fontId="16" fillId="3" borderId="10" xfId="17" applyFont="1" applyFill="1" applyBorder="1" applyAlignment="1">
      <alignment horizontal="center"/>
    </xf>
    <xf numFmtId="0" fontId="16" fillId="3" borderId="9" xfId="17" applyFont="1" applyFill="1" applyBorder="1" applyAlignment="1">
      <alignment horizontal="center"/>
    </xf>
    <xf numFmtId="0" fontId="16" fillId="16" borderId="3" xfId="17" applyFont="1" applyFill="1" applyBorder="1" applyAlignment="1">
      <alignment horizontal="center"/>
    </xf>
    <xf numFmtId="0" fontId="16" fillId="16" borderId="3" xfId="17" applyFont="1" applyFill="1" applyBorder="1" applyAlignment="1"/>
    <xf numFmtId="0" fontId="16" fillId="0" borderId="15" xfId="17" applyFont="1" applyBorder="1" applyAlignment="1"/>
    <xf numFmtId="0" fontId="16" fillId="0" borderId="15" xfId="17" applyFont="1" applyBorder="1" applyAlignment="1">
      <alignment horizontal="center"/>
    </xf>
    <xf numFmtId="0" fontId="16" fillId="0" borderId="6" xfId="17" applyFont="1" applyBorder="1" applyAlignment="1"/>
    <xf numFmtId="0" fontId="16" fillId="0" borderId="6" xfId="17" applyFont="1" applyBorder="1" applyAlignment="1">
      <alignment horizontal="center"/>
    </xf>
    <xf numFmtId="0" fontId="23" fillId="0" borderId="6" xfId="17" applyFont="1" applyFill="1" applyBorder="1" applyAlignment="1">
      <alignment horizontal="center"/>
    </xf>
    <xf numFmtId="0" fontId="16" fillId="15" borderId="3" xfId="17" applyFont="1" applyFill="1" applyBorder="1" applyAlignment="1">
      <alignment horizontal="center"/>
    </xf>
    <xf numFmtId="0" fontId="23" fillId="0" borderId="15" xfId="17" applyFont="1" applyBorder="1" applyAlignment="1">
      <alignment horizontal="center"/>
    </xf>
    <xf numFmtId="0" fontId="23" fillId="0" borderId="15" xfId="17" applyFont="1" applyBorder="1" applyAlignment="1"/>
    <xf numFmtId="0" fontId="23" fillId="0" borderId="6" xfId="17" applyFont="1" applyBorder="1" applyAlignment="1">
      <alignment horizontal="center"/>
    </xf>
    <xf numFmtId="0" fontId="23" fillId="0" borderId="6" xfId="17" applyFont="1" applyBorder="1" applyAlignment="1"/>
    <xf numFmtId="0" fontId="31" fillId="0" borderId="15" xfId="17" applyFont="1" applyBorder="1" applyAlignment="1"/>
    <xf numFmtId="0" fontId="31" fillId="0" borderId="15" xfId="17" applyFont="1" applyBorder="1" applyAlignment="1">
      <alignment horizontal="center"/>
    </xf>
    <xf numFmtId="0" fontId="25" fillId="3" borderId="10" xfId="17" applyFont="1" applyFill="1" applyBorder="1" applyAlignment="1">
      <alignment horizontal="center"/>
    </xf>
    <xf numFmtId="0" fontId="25" fillId="3" borderId="9" xfId="17" applyFont="1" applyFill="1" applyBorder="1" applyAlignment="1">
      <alignment horizontal="center"/>
    </xf>
    <xf numFmtId="0" fontId="16" fillId="0" borderId="21" xfId="7" applyFont="1" applyFill="1" applyBorder="1" applyAlignment="1"/>
    <xf numFmtId="0" fontId="36" fillId="0" borderId="0" xfId="1" applyFont="1" applyAlignment="1"/>
    <xf numFmtId="0" fontId="16" fillId="0" borderId="14" xfId="12" applyFont="1" applyBorder="1"/>
    <xf numFmtId="0" fontId="23" fillId="0" borderId="14" xfId="12" applyFont="1" applyBorder="1" applyAlignment="1">
      <alignment horizontal="center" vertical="center"/>
    </xf>
    <xf numFmtId="0" fontId="16" fillId="0" borderId="14" xfId="12" applyFont="1" applyFill="1" applyBorder="1"/>
    <xf numFmtId="0" fontId="16" fillId="0" borderId="12" xfId="12" applyFont="1" applyBorder="1"/>
    <xf numFmtId="0" fontId="16" fillId="0" borderId="3" xfId="12" applyFont="1" applyBorder="1"/>
    <xf numFmtId="0" fontId="16" fillId="0" borderId="10" xfId="12" applyFont="1" applyBorder="1"/>
    <xf numFmtId="0" fontId="16" fillId="0" borderId="11" xfId="12" applyFont="1" applyBorder="1"/>
    <xf numFmtId="0" fontId="16" fillId="0" borderId="0" xfId="12" applyFont="1"/>
    <xf numFmtId="0" fontId="23" fillId="0" borderId="14" xfId="12" applyFont="1" applyBorder="1"/>
    <xf numFmtId="0" fontId="23" fillId="0" borderId="11" xfId="12" applyFont="1" applyBorder="1" applyAlignment="1">
      <alignment horizontal="center" vertical="center"/>
    </xf>
    <xf numFmtId="0" fontId="23" fillId="7" borderId="12" xfId="12" applyFont="1" applyFill="1" applyBorder="1"/>
    <xf numFmtId="0" fontId="23" fillId="7" borderId="13" xfId="12" applyFont="1" applyFill="1" applyBorder="1"/>
    <xf numFmtId="0" fontId="23" fillId="7" borderId="3" xfId="12" applyFont="1" applyFill="1" applyBorder="1"/>
    <xf numFmtId="0" fontId="23" fillId="7" borderId="10" xfId="12" applyFont="1" applyFill="1" applyBorder="1"/>
    <xf numFmtId="0" fontId="16" fillId="0" borderId="14" xfId="9" applyFont="1" applyBorder="1" applyAlignment="1">
      <alignment vertical="center"/>
    </xf>
    <xf numFmtId="0" fontId="23" fillId="0" borderId="11" xfId="9" applyFont="1" applyBorder="1" applyAlignment="1">
      <alignment horizontal="center"/>
    </xf>
    <xf numFmtId="0" fontId="23" fillId="7" borderId="9" xfId="9" applyFont="1" applyFill="1" applyBorder="1" applyAlignment="1">
      <alignment horizontal="center"/>
    </xf>
    <xf numFmtId="0" fontId="23" fillId="7" borderId="3" xfId="9" applyFont="1" applyFill="1" applyBorder="1" applyAlignment="1">
      <alignment horizontal="center"/>
    </xf>
    <xf numFmtId="0" fontId="23" fillId="7" borderId="10" xfId="9" applyFont="1" applyFill="1" applyBorder="1" applyAlignment="1">
      <alignment horizontal="center"/>
    </xf>
    <xf numFmtId="0" fontId="23" fillId="0" borderId="0" xfId="9" applyFont="1" applyAlignment="1">
      <alignment vertical="center"/>
    </xf>
    <xf numFmtId="0" fontId="16" fillId="0" borderId="15" xfId="9" applyFont="1" applyFill="1" applyBorder="1" applyAlignment="1">
      <alignment vertical="center"/>
    </xf>
    <xf numFmtId="0" fontId="23" fillId="0" borderId="15" xfId="9" applyFont="1" applyFill="1" applyBorder="1" applyAlignment="1">
      <alignment horizontal="center"/>
    </xf>
    <xf numFmtId="0" fontId="23" fillId="0" borderId="0" xfId="9" applyFont="1" applyFill="1" applyBorder="1" applyAlignment="1">
      <alignment vertical="center"/>
    </xf>
    <xf numFmtId="0" fontId="23" fillId="0" borderId="0" xfId="9" applyFont="1" applyFill="1" applyBorder="1" applyAlignment="1">
      <alignment horizontal="center"/>
    </xf>
    <xf numFmtId="0" fontId="16" fillId="0" borderId="6" xfId="9" applyFont="1" applyFill="1" applyBorder="1" applyAlignment="1">
      <alignment vertical="center"/>
    </xf>
    <xf numFmtId="0" fontId="23" fillId="0" borderId="6" xfId="9" applyFont="1" applyFill="1" applyBorder="1" applyAlignment="1">
      <alignment horizontal="center"/>
    </xf>
    <xf numFmtId="0" fontId="23" fillId="0" borderId="9" xfId="9" applyFont="1" applyFill="1" applyBorder="1" applyAlignment="1"/>
    <xf numFmtId="0" fontId="23" fillId="0" borderId="14" xfId="9" applyFont="1" applyFill="1" applyBorder="1" applyAlignment="1">
      <alignment horizontal="center"/>
    </xf>
    <xf numFmtId="0" fontId="23" fillId="6" borderId="14" xfId="12" applyFont="1" applyFill="1" applyBorder="1" applyAlignment="1">
      <alignment horizontal="center"/>
    </xf>
    <xf numFmtId="0" fontId="16" fillId="0" borderId="9" xfId="9" applyFont="1" applyBorder="1" applyAlignment="1">
      <alignment horizontal="center"/>
    </xf>
    <xf numFmtId="0" fontId="16" fillId="0" borderId="3" xfId="9" applyFont="1" applyBorder="1" applyAlignment="1">
      <alignment horizontal="center"/>
    </xf>
    <xf numFmtId="0" fontId="23" fillId="5" borderId="3" xfId="9" applyFont="1" applyFill="1" applyBorder="1" applyAlignment="1">
      <alignment horizontal="center"/>
    </xf>
    <xf numFmtId="0" fontId="16" fillId="0" borderId="10" xfId="9" applyFont="1" applyFill="1" applyBorder="1" applyAlignment="1">
      <alignment horizontal="center"/>
    </xf>
    <xf numFmtId="0" fontId="16" fillId="0" borderId="9" xfId="12" applyFont="1" applyBorder="1" applyAlignment="1">
      <alignment horizontal="left"/>
    </xf>
    <xf numFmtId="0" fontId="16" fillId="0" borderId="3" xfId="9" applyFont="1" applyFill="1" applyBorder="1" applyAlignment="1">
      <alignment horizontal="center"/>
    </xf>
    <xf numFmtId="0" fontId="16" fillId="0" borderId="9" xfId="9" applyFont="1" applyFill="1" applyBorder="1" applyAlignment="1">
      <alignment horizontal="left"/>
    </xf>
    <xf numFmtId="0" fontId="16" fillId="0" borderId="3" xfId="12" applyFont="1" applyBorder="1" applyAlignment="1">
      <alignment horizontal="left"/>
    </xf>
    <xf numFmtId="0" fontId="16" fillId="0" borderId="9" xfId="9" applyFont="1" applyBorder="1"/>
    <xf numFmtId="0" fontId="16" fillId="0" borderId="9" xfId="9" applyFont="1" applyFill="1" applyBorder="1" applyAlignment="1"/>
    <xf numFmtId="0" fontId="16" fillId="3" borderId="0" xfId="12" applyFont="1" applyFill="1" applyAlignment="1">
      <alignment horizontal="right"/>
    </xf>
    <xf numFmtId="0" fontId="16" fillId="3" borderId="0" xfId="12" applyFont="1" applyFill="1"/>
    <xf numFmtId="0" fontId="16" fillId="3" borderId="0" xfId="12" applyFont="1" applyFill="1" applyAlignment="1">
      <alignment horizontal="center"/>
    </xf>
    <xf numFmtId="0" fontId="16" fillId="0" borderId="0" xfId="12" applyFont="1" applyFill="1" applyBorder="1"/>
    <xf numFmtId="0" fontId="16" fillId="3" borderId="0" xfId="9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1" fontId="16" fillId="3" borderId="0" xfId="12" applyNumberFormat="1" applyFont="1" applyFill="1" applyBorder="1" applyAlignment="1">
      <alignment horizontal="center"/>
    </xf>
    <xf numFmtId="1" fontId="16" fillId="3" borderId="0" xfId="12" applyNumberFormat="1" applyFont="1" applyFill="1" applyAlignment="1">
      <alignment horizontal="center"/>
    </xf>
    <xf numFmtId="0" fontId="16" fillId="0" borderId="0" xfId="12" applyFont="1" applyFill="1"/>
    <xf numFmtId="0" fontId="16" fillId="0" borderId="0" xfId="9" applyFont="1" applyFill="1" applyBorder="1" applyAlignment="1">
      <alignment horizontal="right"/>
    </xf>
    <xf numFmtId="0" fontId="16" fillId="0" borderId="0" xfId="9" applyFont="1" applyFill="1" applyBorder="1" applyAlignment="1">
      <alignment horizontal="center"/>
    </xf>
    <xf numFmtId="1" fontId="16" fillId="0" borderId="0" xfId="12" applyNumberFormat="1" applyFont="1" applyFill="1" applyBorder="1" applyAlignment="1">
      <alignment horizontal="center"/>
    </xf>
    <xf numFmtId="1" fontId="16" fillId="0" borderId="0" xfId="12" applyNumberFormat="1" applyFont="1" applyFill="1" applyAlignment="1">
      <alignment horizontal="center"/>
    </xf>
    <xf numFmtId="0" fontId="23" fillId="0" borderId="9" xfId="9" applyFont="1" applyFill="1" applyBorder="1" applyAlignment="1">
      <alignment horizontal="left"/>
    </xf>
    <xf numFmtId="0" fontId="16" fillId="0" borderId="3" xfId="9" applyFont="1" applyFill="1" applyBorder="1" applyAlignment="1">
      <alignment horizontal="left"/>
    </xf>
    <xf numFmtId="0" fontId="16" fillId="0" borderId="0" xfId="12" applyFont="1"/>
    <xf numFmtId="0" fontId="9" fillId="0" borderId="0" xfId="14" applyFont="1" applyBorder="1"/>
    <xf numFmtId="0" fontId="7" fillId="0" borderId="0" xfId="14" applyFont="1" applyFill="1"/>
    <xf numFmtId="0" fontId="23" fillId="7" borderId="11" xfId="12" applyFont="1" applyFill="1" applyBorder="1"/>
    <xf numFmtId="0" fontId="23" fillId="0" borderId="25" xfId="9" applyFont="1" applyBorder="1"/>
    <xf numFmtId="0" fontId="16" fillId="0" borderId="14" xfId="9" applyFont="1" applyFill="1" applyBorder="1" applyAlignment="1">
      <alignment horizontal="center"/>
    </xf>
    <xf numFmtId="0" fontId="16" fillId="0" borderId="67" xfId="12" applyFont="1" applyBorder="1"/>
    <xf numFmtId="0" fontId="16" fillId="0" borderId="68" xfId="12" applyFont="1" applyBorder="1"/>
    <xf numFmtId="0" fontId="16" fillId="0" borderId="14" xfId="12" applyFont="1" applyFill="1" applyBorder="1" applyAlignment="1">
      <alignment horizontal="center"/>
    </xf>
    <xf numFmtId="0" fontId="16" fillId="0" borderId="67" xfId="12" applyFont="1" applyFill="1" applyBorder="1" applyAlignment="1">
      <alignment horizontal="center"/>
    </xf>
    <xf numFmtId="0" fontId="16" fillId="0" borderId="68" xfId="12" applyFont="1" applyBorder="1" applyAlignment="1">
      <alignment horizontal="center"/>
    </xf>
    <xf numFmtId="0" fontId="16" fillId="0" borderId="67" xfId="9" applyFont="1" applyFill="1" applyBorder="1" applyAlignment="1">
      <alignment horizontal="center"/>
    </xf>
    <xf numFmtId="0" fontId="16" fillId="0" borderId="3" xfId="9" applyFont="1" applyFill="1" applyBorder="1" applyAlignment="1"/>
    <xf numFmtId="0" fontId="23" fillId="0" borderId="9" xfId="9" applyFont="1" applyBorder="1"/>
    <xf numFmtId="0" fontId="16" fillId="0" borderId="11" xfId="9" applyFont="1" applyBorder="1" applyAlignment="1">
      <alignment vertical="center"/>
    </xf>
    <xf numFmtId="0" fontId="23" fillId="0" borderId="11" xfId="9" applyFont="1" applyBorder="1" applyAlignment="1">
      <alignment vertical="center"/>
    </xf>
    <xf numFmtId="0" fontId="16" fillId="0" borderId="11" xfId="9" applyFont="1" applyBorder="1"/>
    <xf numFmtId="0" fontId="16" fillId="0" borderId="27" xfId="12" applyFont="1" applyBorder="1"/>
    <xf numFmtId="0" fontId="16" fillId="0" borderId="28" xfId="9" applyFont="1" applyFill="1" applyBorder="1" applyAlignment="1">
      <alignment horizontal="left"/>
    </xf>
    <xf numFmtId="0" fontId="16" fillId="0" borderId="28" xfId="9" applyFont="1" applyBorder="1" applyAlignment="1">
      <alignment horizontal="center"/>
    </xf>
    <xf numFmtId="0" fontId="16" fillId="0" borderId="29" xfId="9" applyFont="1" applyBorder="1" applyAlignment="1">
      <alignment horizontal="center"/>
    </xf>
    <xf numFmtId="0" fontId="16" fillId="0" borderId="27" xfId="12" applyFont="1" applyFill="1" applyBorder="1" applyAlignment="1">
      <alignment horizontal="center"/>
    </xf>
    <xf numFmtId="0" fontId="23" fillId="0" borderId="27" xfId="9" applyFont="1" applyFill="1" applyBorder="1" applyAlignment="1">
      <alignment horizontal="center"/>
    </xf>
    <xf numFmtId="0" fontId="23" fillId="0" borderId="3" xfId="12" applyFont="1" applyBorder="1"/>
    <xf numFmtId="0" fontId="23" fillId="5" borderId="3" xfId="12" applyFont="1" applyFill="1" applyBorder="1" applyAlignment="1">
      <alignment horizontal="left"/>
    </xf>
    <xf numFmtId="0" fontId="16" fillId="3" borderId="3" xfId="12" applyFont="1" applyFill="1" applyBorder="1" applyAlignment="1">
      <alignment horizontal="left"/>
    </xf>
    <xf numFmtId="0" fontId="16" fillId="0" borderId="0" xfId="12" applyFont="1" applyBorder="1"/>
    <xf numFmtId="0" fontId="16" fillId="12" borderId="3" xfId="12" applyFont="1" applyFill="1" applyBorder="1" applyAlignment="1">
      <alignment horizontal="left"/>
    </xf>
    <xf numFmtId="0" fontId="23" fillId="0" borderId="0" xfId="12" applyFont="1" applyBorder="1"/>
    <xf numFmtId="0" fontId="33" fillId="0" borderId="14" xfId="9" applyFont="1" applyBorder="1" applyAlignment="1">
      <alignment vertical="center"/>
    </xf>
    <xf numFmtId="0" fontId="33" fillId="0" borderId="14" xfId="12" applyFont="1" applyBorder="1"/>
    <xf numFmtId="0" fontId="16" fillId="0" borderId="30" xfId="12" applyFont="1" applyBorder="1"/>
    <xf numFmtId="0" fontId="23" fillId="0" borderId="30" xfId="12" applyFont="1" applyBorder="1" applyAlignment="1">
      <alignment horizontal="center" vertical="center"/>
    </xf>
    <xf numFmtId="0" fontId="16" fillId="0" borderId="31" xfId="12" applyFont="1" applyBorder="1"/>
    <xf numFmtId="0" fontId="16" fillId="0" borderId="32" xfId="12" applyFont="1" applyBorder="1"/>
    <xf numFmtId="0" fontId="16" fillId="0" borderId="33" xfId="12" applyFont="1" applyBorder="1"/>
    <xf numFmtId="0" fontId="16" fillId="0" borderId="30" xfId="12" applyFont="1" applyFill="1" applyBorder="1"/>
    <xf numFmtId="0" fontId="16" fillId="0" borderId="0" xfId="9" applyFont="1" applyBorder="1" applyAlignment="1">
      <alignment vertical="center"/>
    </xf>
    <xf numFmtId="0" fontId="23" fillId="0" borderId="0" xfId="9" applyFont="1" applyBorder="1" applyAlignment="1">
      <alignment horizontal="center"/>
    </xf>
    <xf numFmtId="0" fontId="16" fillId="3" borderId="9" xfId="9" applyFont="1" applyFill="1" applyBorder="1"/>
    <xf numFmtId="0" fontId="16" fillId="3" borderId="9" xfId="12" applyFont="1" applyFill="1" applyBorder="1" applyAlignment="1">
      <alignment horizontal="center"/>
    </xf>
    <xf numFmtId="0" fontId="16" fillId="3" borderId="3" xfId="12" applyFont="1" applyFill="1" applyBorder="1" applyAlignment="1">
      <alignment horizontal="center"/>
    </xf>
    <xf numFmtId="0" fontId="16" fillId="3" borderId="5" xfId="12" applyFont="1" applyFill="1" applyBorder="1" applyAlignment="1">
      <alignment horizontal="center"/>
    </xf>
    <xf numFmtId="0" fontId="16" fillId="3" borderId="14" xfId="12" applyFont="1" applyFill="1" applyBorder="1" applyAlignment="1">
      <alignment horizontal="center"/>
    </xf>
    <xf numFmtId="0" fontId="0" fillId="3" borderId="14" xfId="0" applyNumberFormat="1" applyFont="1" applyFill="1" applyBorder="1" applyAlignment="1">
      <alignment horizontal="center"/>
    </xf>
    <xf numFmtId="0" fontId="16" fillId="0" borderId="0" xfId="9" applyFont="1"/>
    <xf numFmtId="0" fontId="16" fillId="3" borderId="9" xfId="12" applyFont="1" applyFill="1" applyBorder="1"/>
    <xf numFmtId="0" fontId="16" fillId="0" borderId="9" xfId="12" applyFont="1" applyFill="1" applyBorder="1" applyAlignment="1">
      <alignment horizontal="center"/>
    </xf>
    <xf numFmtId="0" fontId="16" fillId="0" borderId="3" xfId="12" applyFont="1" applyFill="1" applyBorder="1" applyAlignment="1">
      <alignment horizontal="center"/>
    </xf>
    <xf numFmtId="0" fontId="16" fillId="0" borderId="5" xfId="12" applyFont="1" applyFill="1" applyBorder="1" applyAlignment="1">
      <alignment horizontal="center"/>
    </xf>
    <xf numFmtId="0" fontId="0" fillId="0" borderId="14" xfId="0" applyNumberFormat="1" applyFont="1" applyFill="1" applyBorder="1" applyAlignment="1">
      <alignment horizontal="center"/>
    </xf>
    <xf numFmtId="0" fontId="16" fillId="0" borderId="5" xfId="9" applyFont="1" applyBorder="1" applyAlignment="1">
      <alignment horizontal="center"/>
    </xf>
    <xf numFmtId="0" fontId="23" fillId="0" borderId="3" xfId="9" applyFont="1" applyFill="1" applyBorder="1" applyAlignment="1"/>
    <xf numFmtId="0" fontId="16" fillId="0" borderId="0" xfId="2" applyFont="1"/>
    <xf numFmtId="0" fontId="16" fillId="0" borderId="0" xfId="7" applyFont="1" applyFill="1" applyAlignment="1">
      <alignment textRotation="90"/>
    </xf>
    <xf numFmtId="170" fontId="16" fillId="0" borderId="3" xfId="14" applyNumberFormat="1" applyFont="1" applyFill="1" applyBorder="1" applyAlignment="1"/>
    <xf numFmtId="170" fontId="23" fillId="0" borderId="3" xfId="14" applyNumberFormat="1" applyFont="1" applyFill="1" applyBorder="1" applyAlignment="1">
      <alignment horizontal="center"/>
    </xf>
    <xf numFmtId="0" fontId="16" fillId="0" borderId="3" xfId="12" applyFont="1" applyFill="1" applyBorder="1"/>
    <xf numFmtId="167" fontId="23" fillId="3" borderId="0" xfId="7" applyNumberFormat="1" applyFont="1" applyFill="1" applyAlignment="1">
      <alignment horizontal="center"/>
    </xf>
    <xf numFmtId="0" fontId="16" fillId="0" borderId="0" xfId="7" applyFont="1" applyFill="1" applyAlignment="1">
      <alignment horizontal="right"/>
    </xf>
    <xf numFmtId="0" fontId="16" fillId="0" borderId="34" xfId="9" applyFont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33" fillId="0" borderId="3" xfId="9" applyFont="1" applyBorder="1" applyAlignment="1">
      <alignment vertical="center"/>
    </xf>
    <xf numFmtId="0" fontId="0" fillId="0" borderId="0" xfId="0" applyFont="1" applyBorder="1"/>
    <xf numFmtId="0" fontId="38" fillId="3" borderId="3" xfId="1" applyFont="1" applyFill="1" applyBorder="1" applyAlignment="1">
      <alignment horizontal="center"/>
    </xf>
    <xf numFmtId="0" fontId="23" fillId="0" borderId="49" xfId="14" applyFont="1" applyFill="1" applyBorder="1" applyAlignment="1">
      <alignment vertical="top" wrapText="1"/>
    </xf>
    <xf numFmtId="0" fontId="16" fillId="0" borderId="3" xfId="14" applyFont="1" applyBorder="1" applyAlignment="1"/>
    <xf numFmtId="0" fontId="16" fillId="0" borderId="3" xfId="7" applyFont="1" applyFill="1" applyBorder="1" applyAlignment="1"/>
    <xf numFmtId="49" fontId="16" fillId="0" borderId="3" xfId="14" applyNumberFormat="1" applyFont="1" applyBorder="1" applyAlignment="1">
      <alignment horizontal="center"/>
    </xf>
    <xf numFmtId="0" fontId="16" fillId="0" borderId="3" xfId="14" applyFont="1" applyBorder="1" applyAlignment="1">
      <alignment horizontal="center"/>
    </xf>
    <xf numFmtId="0" fontId="36" fillId="13" borderId="65" xfId="1" applyFont="1" applyFill="1" applyBorder="1"/>
    <xf numFmtId="0" fontId="36" fillId="0" borderId="35" xfId="1" applyFont="1" applyBorder="1"/>
    <xf numFmtId="0" fontId="16" fillId="0" borderId="49" xfId="14" applyFont="1" applyFill="1" applyBorder="1" applyAlignment="1">
      <alignment vertical="top"/>
    </xf>
    <xf numFmtId="0" fontId="7" fillId="3" borderId="3" xfId="7" applyFont="1" applyFill="1" applyBorder="1" applyAlignment="1"/>
    <xf numFmtId="0" fontId="7" fillId="12" borderId="3" xfId="7" applyFont="1" applyFill="1" applyBorder="1" applyAlignment="1"/>
    <xf numFmtId="0" fontId="0" fillId="0" borderId="0" xfId="0" applyFont="1"/>
    <xf numFmtId="0" fontId="0" fillId="3" borderId="0" xfId="0" applyFont="1" applyFill="1"/>
    <xf numFmtId="0" fontId="0" fillId="0" borderId="0" xfId="0" applyFont="1"/>
    <xf numFmtId="0" fontId="23" fillId="3" borderId="3" xfId="9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3" xfId="9" applyFont="1" applyFill="1" applyBorder="1" applyAlignment="1">
      <alignment vertical="center"/>
    </xf>
    <xf numFmtId="0" fontId="23" fillId="0" borderId="8" xfId="0" applyFont="1" applyFill="1" applyBorder="1" applyAlignment="1">
      <alignment horizontal="center"/>
    </xf>
    <xf numFmtId="0" fontId="25" fillId="0" borderId="0" xfId="0" applyFont="1" applyBorder="1"/>
    <xf numFmtId="0" fontId="31" fillId="0" borderId="0" xfId="7" applyFont="1" applyFill="1" applyBorder="1" applyAlignment="1"/>
    <xf numFmtId="0" fontId="31" fillId="0" borderId="0" xfId="0" applyFont="1" applyFill="1" applyBorder="1" applyAlignment="1">
      <alignment horizontal="center"/>
    </xf>
    <xf numFmtId="0" fontId="23" fillId="0" borderId="0" xfId="14" applyFont="1" applyAlignment="1">
      <alignment horizontal="center"/>
    </xf>
    <xf numFmtId="0" fontId="16" fillId="0" borderId="0" xfId="7" applyFont="1" applyFill="1" applyAlignment="1">
      <alignment textRotation="90"/>
    </xf>
    <xf numFmtId="0" fontId="16" fillId="0" borderId="0" xfId="7" applyFont="1" applyFill="1" applyBorder="1" applyAlignment="1">
      <alignment textRotation="90"/>
    </xf>
    <xf numFmtId="0" fontId="42" fillId="0" borderId="3" xfId="7" applyFont="1" applyFill="1" applyBorder="1" applyAlignment="1">
      <alignment horizontal="center"/>
    </xf>
    <xf numFmtId="0" fontId="16" fillId="0" borderId="0" xfId="7" applyFont="1" applyFill="1" applyAlignment="1">
      <alignment textRotation="90"/>
    </xf>
    <xf numFmtId="0" fontId="23" fillId="5" borderId="3" xfId="7" applyFont="1" applyFill="1" applyBorder="1" applyAlignment="1"/>
    <xf numFmtId="0" fontId="23" fillId="5" borderId="3" xfId="6" applyFont="1" applyFill="1" applyBorder="1"/>
    <xf numFmtId="0" fontId="16" fillId="15" borderId="3" xfId="6" applyFont="1" applyFill="1" applyBorder="1"/>
    <xf numFmtId="0" fontId="16" fillId="15" borderId="3" xfId="7" applyFont="1" applyFill="1" applyBorder="1" applyAlignment="1"/>
    <xf numFmtId="0" fontId="43" fillId="0" borderId="48" xfId="14" applyFont="1" applyFill="1" applyBorder="1" applyAlignment="1">
      <alignment vertical="top" wrapText="1"/>
    </xf>
    <xf numFmtId="0" fontId="44" fillId="0" borderId="52" xfId="0" applyFont="1" applyBorder="1"/>
    <xf numFmtId="20" fontId="16" fillId="0" borderId="0" xfId="14" applyNumberFormat="1" applyFont="1" applyFill="1" applyBorder="1" applyAlignment="1">
      <alignment horizontal="left" vertical="top" wrapText="1"/>
    </xf>
    <xf numFmtId="0" fontId="37" fillId="0" borderId="51" xfId="1" applyFont="1" applyBorder="1"/>
    <xf numFmtId="0" fontId="36" fillId="0" borderId="50" xfId="1" applyFont="1" applyBorder="1"/>
    <xf numFmtId="0" fontId="16" fillId="0" borderId="49" xfId="14" applyFont="1" applyFill="1" applyBorder="1" applyAlignment="1">
      <alignment horizontal="left" vertical="top" wrapText="1"/>
    </xf>
    <xf numFmtId="0" fontId="36" fillId="13" borderId="0" xfId="1" applyFont="1" applyFill="1" applyBorder="1"/>
    <xf numFmtId="0" fontId="16" fillId="13" borderId="49" xfId="14" applyFont="1" applyFill="1" applyBorder="1" applyAlignment="1">
      <alignment vertical="top" wrapText="1"/>
    </xf>
    <xf numFmtId="0" fontId="16" fillId="0" borderId="4" xfId="13" applyFont="1" applyFill="1" applyBorder="1" applyAlignment="1"/>
    <xf numFmtId="0" fontId="16" fillId="0" borderId="4" xfId="7" applyFont="1" applyFill="1" applyBorder="1" applyAlignment="1">
      <alignment horizontal="left" vertical="top"/>
    </xf>
    <xf numFmtId="169" fontId="16" fillId="0" borderId="4" xfId="13" applyNumberFormat="1" applyFont="1" applyFill="1" applyBorder="1" applyAlignment="1">
      <alignment horizontal="center"/>
    </xf>
    <xf numFmtId="167" fontId="16" fillId="0" borderId="4" xfId="13" applyNumberFormat="1" applyFont="1" applyFill="1" applyBorder="1" applyAlignment="1">
      <alignment horizontal="center" vertical="center"/>
    </xf>
    <xf numFmtId="0" fontId="23" fillId="0" borderId="4" xfId="13" applyFont="1" applyFill="1" applyBorder="1" applyAlignment="1"/>
    <xf numFmtId="0" fontId="23" fillId="0" borderId="4" xfId="7" applyFont="1" applyFill="1" applyBorder="1" applyAlignment="1">
      <alignment horizontal="left" vertical="top"/>
    </xf>
    <xf numFmtId="165" fontId="23" fillId="0" borderId="4" xfId="13" applyNumberFormat="1" applyFont="1" applyFill="1" applyBorder="1" applyAlignment="1">
      <alignment horizontal="center"/>
    </xf>
    <xf numFmtId="167" fontId="23" fillId="0" borderId="4" xfId="13" applyNumberFormat="1" applyFont="1" applyFill="1" applyBorder="1" applyAlignment="1">
      <alignment horizontal="center" vertical="center"/>
    </xf>
    <xf numFmtId="0" fontId="16" fillId="0" borderId="0" xfId="13" applyFont="1" applyFill="1" applyAlignment="1">
      <alignment vertical="center"/>
    </xf>
    <xf numFmtId="165" fontId="16" fillId="0" borderId="0" xfId="13" applyNumberFormat="1" applyFont="1" applyFill="1" applyAlignment="1">
      <alignment horizontal="center" vertical="center"/>
    </xf>
    <xf numFmtId="167" fontId="16" fillId="0" borderId="0" xfId="13" applyNumberFormat="1" applyFont="1" applyFill="1" applyAlignment="1">
      <alignment horizontal="center" vertical="center"/>
    </xf>
    <xf numFmtId="167" fontId="16" fillId="0" borderId="4" xfId="13" applyNumberFormat="1" applyFont="1" applyFill="1" applyBorder="1" applyAlignment="1">
      <alignment horizontal="center"/>
    </xf>
    <xf numFmtId="0" fontId="16" fillId="15" borderId="3" xfId="13" applyFont="1" applyFill="1" applyBorder="1" applyAlignment="1"/>
    <xf numFmtId="0" fontId="16" fillId="15" borderId="3" xfId="7" applyFont="1" applyFill="1" applyBorder="1" applyAlignment="1">
      <alignment horizontal="left" vertical="top"/>
    </xf>
    <xf numFmtId="165" fontId="16" fillId="15" borderId="3" xfId="13" applyNumberFormat="1" applyFont="1" applyFill="1" applyBorder="1" applyAlignment="1">
      <alignment horizontal="center"/>
    </xf>
    <xf numFmtId="167" fontId="16" fillId="15" borderId="3" xfId="13" applyNumberFormat="1" applyFont="1" applyFill="1" applyBorder="1" applyAlignment="1">
      <alignment horizontal="center"/>
    </xf>
    <xf numFmtId="0" fontId="16" fillId="0" borderId="3" xfId="13" applyFont="1" applyFill="1" applyBorder="1" applyAlignment="1"/>
    <xf numFmtId="0" fontId="16" fillId="0" borderId="3" xfId="7" applyFont="1" applyFill="1" applyBorder="1" applyAlignment="1">
      <alignment horizontal="left" vertical="top"/>
    </xf>
    <xf numFmtId="167" fontId="16" fillId="0" borderId="3" xfId="13" applyNumberFormat="1" applyFont="1" applyFill="1" applyBorder="1" applyAlignment="1">
      <alignment horizontal="center" vertical="center"/>
    </xf>
    <xf numFmtId="0" fontId="23" fillId="0" borderId="3" xfId="13" applyFont="1" applyFill="1" applyBorder="1" applyAlignment="1"/>
    <xf numFmtId="0" fontId="23" fillId="0" borderId="3" xfId="7" applyFont="1" applyFill="1" applyBorder="1" applyAlignment="1">
      <alignment horizontal="left" vertical="top"/>
    </xf>
    <xf numFmtId="165" fontId="23" fillId="0" borderId="3" xfId="13" applyNumberFormat="1" applyFont="1" applyFill="1" applyBorder="1" applyAlignment="1">
      <alignment horizontal="center"/>
    </xf>
    <xf numFmtId="167" fontId="23" fillId="0" borderId="3" xfId="13" applyNumberFormat="1" applyFont="1" applyFill="1" applyBorder="1" applyAlignment="1">
      <alignment horizontal="center"/>
    </xf>
    <xf numFmtId="167" fontId="16" fillId="0" borderId="3" xfId="13" applyNumberFormat="1" applyFont="1" applyFill="1" applyBorder="1" applyAlignment="1">
      <alignment horizontal="center"/>
    </xf>
    <xf numFmtId="0" fontId="16" fillId="14" borderId="3" xfId="13" applyFont="1" applyFill="1" applyBorder="1" applyAlignment="1"/>
    <xf numFmtId="0" fontId="16" fillId="14" borderId="3" xfId="7" applyFont="1" applyFill="1" applyBorder="1" applyAlignment="1">
      <alignment horizontal="left" vertical="top"/>
    </xf>
    <xf numFmtId="165" fontId="16" fillId="14" borderId="3" xfId="13" applyNumberFormat="1" applyFont="1" applyFill="1" applyBorder="1" applyAlignment="1">
      <alignment horizontal="center"/>
    </xf>
    <xf numFmtId="167" fontId="16" fillId="14" borderId="3" xfId="13" applyNumberFormat="1" applyFont="1" applyFill="1" applyBorder="1" applyAlignment="1">
      <alignment horizontal="center"/>
    </xf>
    <xf numFmtId="0" fontId="16" fillId="0" borderId="23" xfId="13" applyFont="1" applyFill="1" applyBorder="1" applyAlignment="1">
      <alignment vertical="center"/>
    </xf>
    <xf numFmtId="165" fontId="16" fillId="0" borderId="23" xfId="13" applyNumberFormat="1" applyFont="1" applyFill="1" applyBorder="1" applyAlignment="1">
      <alignment horizontal="center" vertical="center"/>
    </xf>
    <xf numFmtId="167" fontId="16" fillId="0" borderId="23" xfId="13" applyNumberFormat="1" applyFont="1" applyFill="1" applyBorder="1" applyAlignment="1">
      <alignment horizontal="center" vertical="center"/>
    </xf>
    <xf numFmtId="165" fontId="16" fillId="0" borderId="3" xfId="13" applyNumberFormat="1" applyFont="1" applyFill="1" applyBorder="1" applyAlignment="1">
      <alignment horizontal="center" vertical="center"/>
    </xf>
    <xf numFmtId="14" fontId="16" fillId="0" borderId="4" xfId="13" applyNumberFormat="1" applyFont="1" applyFill="1" applyBorder="1" applyAlignment="1">
      <alignment horizontal="left"/>
    </xf>
    <xf numFmtId="49" fontId="16" fillId="0" borderId="4" xfId="6" applyNumberFormat="1" applyFont="1" applyFill="1" applyBorder="1"/>
    <xf numFmtId="0" fontId="16" fillId="0" borderId="4" xfId="13" applyFont="1" applyFill="1" applyBorder="1"/>
    <xf numFmtId="14" fontId="23" fillId="0" borderId="4" xfId="13" applyNumberFormat="1" applyFont="1" applyFill="1" applyBorder="1" applyAlignment="1">
      <alignment horizontal="left"/>
    </xf>
    <xf numFmtId="49" fontId="23" fillId="0" borderId="4" xfId="6" applyNumberFormat="1" applyFont="1" applyFill="1" applyBorder="1"/>
    <xf numFmtId="0" fontId="23" fillId="0" borderId="4" xfId="13" applyFont="1" applyFill="1" applyBorder="1"/>
    <xf numFmtId="14" fontId="0" fillId="15" borderId="3" xfId="0" applyNumberFormat="1" applyFont="1" applyFill="1" applyBorder="1"/>
    <xf numFmtId="49" fontId="16" fillId="15" borderId="3" xfId="6" applyNumberFormat="1" applyFont="1" applyFill="1" applyBorder="1"/>
    <xf numFmtId="0" fontId="16" fillId="15" borderId="3" xfId="13" applyFont="1" applyFill="1" applyBorder="1"/>
    <xf numFmtId="0" fontId="16" fillId="0" borderId="3" xfId="13" applyFont="1" applyFill="1" applyBorder="1"/>
    <xf numFmtId="14" fontId="23" fillId="0" borderId="3" xfId="13" applyNumberFormat="1" applyFont="1" applyFill="1" applyBorder="1" applyAlignment="1">
      <alignment horizontal="left"/>
    </xf>
    <xf numFmtId="49" fontId="23" fillId="0" borderId="3" xfId="6" applyNumberFormat="1" applyFont="1" applyFill="1" applyBorder="1"/>
    <xf numFmtId="0" fontId="23" fillId="0" borderId="3" xfId="13" applyFont="1" applyFill="1" applyBorder="1"/>
    <xf numFmtId="14" fontId="16" fillId="14" borderId="3" xfId="13" applyNumberFormat="1" applyFont="1" applyFill="1" applyBorder="1" applyAlignment="1">
      <alignment horizontal="left"/>
    </xf>
    <xf numFmtId="49" fontId="16" fillId="14" borderId="3" xfId="6" applyNumberFormat="1" applyFont="1" applyFill="1" applyBorder="1"/>
    <xf numFmtId="0" fontId="16" fillId="0" borderId="23" xfId="13" quotePrefix="1" applyNumberFormat="1" applyFont="1" applyFill="1" applyBorder="1" applyAlignment="1">
      <alignment horizontal="left" vertical="center"/>
    </xf>
    <xf numFmtId="20" fontId="16" fillId="0" borderId="23" xfId="13" applyNumberFormat="1" applyFont="1" applyFill="1" applyBorder="1" applyAlignment="1">
      <alignment horizontal="left" vertical="center"/>
    </xf>
    <xf numFmtId="0" fontId="16" fillId="0" borderId="3" xfId="13" applyFont="1" applyFill="1" applyBorder="1" applyAlignment="1">
      <alignment vertical="center"/>
    </xf>
    <xf numFmtId="0" fontId="16" fillId="16" borderId="14" xfId="12" applyFont="1" applyFill="1" applyBorder="1" applyAlignment="1">
      <alignment horizontal="center"/>
    </xf>
    <xf numFmtId="0" fontId="16" fillId="0" borderId="9" xfId="9" applyFont="1" applyBorder="1" applyAlignment="1">
      <alignment horizontal="center"/>
    </xf>
    <xf numFmtId="0" fontId="16" fillId="0" borderId="3" xfId="9" applyFont="1" applyBorder="1" applyAlignment="1">
      <alignment horizontal="center"/>
    </xf>
    <xf numFmtId="0" fontId="16" fillId="0" borderId="5" xfId="9" applyFont="1" applyBorder="1" applyAlignment="1">
      <alignment horizontal="center"/>
    </xf>
    <xf numFmtId="0" fontId="16" fillId="0" borderId="28" xfId="9" applyFont="1" applyFill="1" applyBorder="1" applyAlignment="1"/>
    <xf numFmtId="0" fontId="23" fillId="19" borderId="11" xfId="12" applyFont="1" applyFill="1" applyBorder="1"/>
    <xf numFmtId="0" fontId="23" fillId="19" borderId="12" xfId="12" applyFont="1" applyFill="1" applyBorder="1"/>
    <xf numFmtId="0" fontId="23" fillId="19" borderId="3" xfId="12" applyFont="1" applyFill="1" applyBorder="1"/>
    <xf numFmtId="0" fontId="23" fillId="19" borderId="10" xfId="12" applyFont="1" applyFill="1" applyBorder="1"/>
    <xf numFmtId="0" fontId="23" fillId="19" borderId="9" xfId="9" applyFont="1" applyFill="1" applyBorder="1" applyAlignment="1">
      <alignment horizontal="center"/>
    </xf>
    <xf numFmtId="0" fontId="23" fillId="19" borderId="3" xfId="9" applyFont="1" applyFill="1" applyBorder="1" applyAlignment="1">
      <alignment horizontal="center"/>
    </xf>
    <xf numFmtId="0" fontId="23" fillId="19" borderId="10" xfId="9" applyFont="1" applyFill="1" applyBorder="1" applyAlignment="1">
      <alignment horizontal="center"/>
    </xf>
    <xf numFmtId="0" fontId="23" fillId="19" borderId="14" xfId="12" applyFont="1" applyFill="1" applyBorder="1"/>
    <xf numFmtId="0" fontId="23" fillId="19" borderId="14" xfId="9" applyFont="1" applyFill="1" applyBorder="1" applyAlignment="1">
      <alignment horizontal="center"/>
    </xf>
    <xf numFmtId="0" fontId="23" fillId="19" borderId="13" xfId="12" applyFont="1" applyFill="1" applyBorder="1"/>
    <xf numFmtId="0" fontId="23" fillId="19" borderId="14" xfId="14" applyNumberFormat="1" applyFont="1" applyFill="1" applyBorder="1" applyAlignment="1">
      <alignment horizontal="center"/>
    </xf>
    <xf numFmtId="0" fontId="16" fillId="20" borderId="14" xfId="12" applyFont="1" applyFill="1" applyBorder="1" applyAlignment="1">
      <alignment horizontal="center"/>
    </xf>
    <xf numFmtId="0" fontId="23" fillId="20" borderId="0" xfId="13" quotePrefix="1" applyNumberFormat="1" applyFont="1" applyFill="1" applyAlignment="1">
      <alignment horizontal="left" vertical="center"/>
    </xf>
    <xf numFmtId="20" fontId="6" fillId="20" borderId="0" xfId="13" applyNumberFormat="1" applyFont="1" applyFill="1" applyAlignment="1">
      <alignment horizontal="left" vertical="center"/>
    </xf>
    <xf numFmtId="20" fontId="16" fillId="20" borderId="0" xfId="13" applyNumberFormat="1" applyFont="1" applyFill="1" applyAlignment="1">
      <alignment horizontal="left" vertical="center"/>
    </xf>
    <xf numFmtId="0" fontId="16" fillId="0" borderId="0" xfId="7" applyFont="1" applyFill="1" applyAlignment="1"/>
    <xf numFmtId="0" fontId="16" fillId="0" borderId="49" xfId="14" applyFont="1" applyFill="1" applyBorder="1" applyAlignment="1">
      <alignment vertical="top"/>
    </xf>
    <xf numFmtId="0" fontId="16" fillId="0" borderId="51" xfId="14" applyFont="1" applyFill="1" applyBorder="1" applyAlignment="1">
      <alignment vertical="top"/>
    </xf>
    <xf numFmtId="0" fontId="36" fillId="0" borderId="46" xfId="1" applyFont="1" applyFill="1" applyBorder="1" applyAlignment="1">
      <alignment vertical="top"/>
    </xf>
    <xf numFmtId="0" fontId="16" fillId="0" borderId="0" xfId="7" applyFont="1" applyAlignment="1">
      <alignment horizontal="left"/>
    </xf>
    <xf numFmtId="0" fontId="16" fillId="0" borderId="27" xfId="9" applyFont="1" applyFill="1" applyBorder="1" applyAlignment="1">
      <alignment horizontal="center"/>
    </xf>
    <xf numFmtId="0" fontId="23" fillId="0" borderId="32" xfId="9" applyFont="1" applyBorder="1" applyAlignment="1">
      <alignment vertical="center"/>
    </xf>
    <xf numFmtId="0" fontId="16" fillId="0" borderId="36" xfId="9" applyFont="1" applyBorder="1" applyAlignment="1">
      <alignment horizontal="center"/>
    </xf>
    <xf numFmtId="0" fontId="16" fillId="0" borderId="37" xfId="9" applyFont="1" applyBorder="1" applyAlignment="1">
      <alignment horizontal="center"/>
    </xf>
    <xf numFmtId="0" fontId="16" fillId="0" borderId="38" xfId="9" applyFont="1" applyBorder="1" applyAlignment="1">
      <alignment horizontal="center"/>
    </xf>
    <xf numFmtId="0" fontId="16" fillId="0" borderId="30" xfId="12" applyFont="1" applyFill="1" applyBorder="1" applyAlignment="1">
      <alignment horizontal="center"/>
    </xf>
    <xf numFmtId="0" fontId="16" fillId="0" borderId="30" xfId="9" applyFont="1" applyFill="1" applyBorder="1" applyAlignment="1">
      <alignment horizontal="center"/>
    </xf>
    <xf numFmtId="0" fontId="23" fillId="0" borderId="36" xfId="9" applyFont="1" applyBorder="1"/>
    <xf numFmtId="0" fontId="16" fillId="0" borderId="39" xfId="12" applyFont="1" applyBorder="1"/>
    <xf numFmtId="0" fontId="23" fillId="0" borderId="39" xfId="12" applyFont="1" applyBorder="1" applyAlignment="1">
      <alignment horizontal="center" vertical="center"/>
    </xf>
    <xf numFmtId="0" fontId="16" fillId="0" borderId="40" xfId="12" applyFont="1" applyBorder="1"/>
    <xf numFmtId="0" fontId="16" fillId="0" borderId="41" xfId="12" applyFont="1" applyBorder="1"/>
    <xf numFmtId="0" fontId="16" fillId="0" borderId="42" xfId="12" applyFont="1" applyBorder="1"/>
    <xf numFmtId="0" fontId="16" fillId="0" borderId="39" xfId="12" applyFont="1" applyFill="1" applyBorder="1"/>
    <xf numFmtId="0" fontId="23" fillId="0" borderId="39" xfId="9" applyFont="1" applyBorder="1" applyAlignment="1">
      <alignment vertical="center"/>
    </xf>
    <xf numFmtId="0" fontId="23" fillId="0" borderId="41" xfId="9" applyFont="1" applyBorder="1" applyAlignment="1">
      <alignment horizontal="center"/>
    </xf>
    <xf numFmtId="0" fontId="23" fillId="0" borderId="43" xfId="9" applyFont="1" applyBorder="1" applyAlignment="1">
      <alignment horizontal="center"/>
    </xf>
    <xf numFmtId="0" fontId="23" fillId="0" borderId="44" xfId="9" applyFont="1" applyBorder="1" applyAlignment="1">
      <alignment horizontal="center"/>
    </xf>
    <xf numFmtId="0" fontId="23" fillId="0" borderId="45" xfId="9" applyFont="1" applyBorder="1" applyAlignment="1">
      <alignment horizontal="center"/>
    </xf>
    <xf numFmtId="0" fontId="23" fillId="0" borderId="41" xfId="9" applyFont="1" applyFill="1" applyBorder="1" applyAlignment="1">
      <alignment horizontal="center"/>
    </xf>
    <xf numFmtId="0" fontId="23" fillId="0" borderId="39" xfId="14" applyNumberFormat="1" applyFont="1" applyFill="1" applyBorder="1" applyAlignment="1">
      <alignment horizontal="center"/>
    </xf>
    <xf numFmtId="0" fontId="33" fillId="3" borderId="30" xfId="9" applyFont="1" applyFill="1" applyBorder="1"/>
    <xf numFmtId="0" fontId="16" fillId="3" borderId="36" xfId="9" applyFont="1" applyFill="1" applyBorder="1"/>
    <xf numFmtId="0" fontId="16" fillId="3" borderId="36" xfId="12" applyFont="1" applyFill="1" applyBorder="1" applyAlignment="1">
      <alignment horizontal="center"/>
    </xf>
    <xf numFmtId="0" fontId="16" fillId="3" borderId="37" xfId="12" applyFont="1" applyFill="1" applyBorder="1" applyAlignment="1">
      <alignment horizontal="center"/>
    </xf>
    <xf numFmtId="0" fontId="16" fillId="3" borderId="38" xfId="12" applyFont="1" applyFill="1" applyBorder="1" applyAlignment="1">
      <alignment horizontal="center"/>
    </xf>
    <xf numFmtId="0" fontId="16" fillId="3" borderId="30" xfId="12" applyFont="1" applyFill="1" applyBorder="1" applyAlignment="1">
      <alignment horizontal="center"/>
    </xf>
    <xf numFmtId="0" fontId="0" fillId="3" borderId="30" xfId="0" applyNumberFormat="1" applyFont="1" applyFill="1" applyBorder="1" applyAlignment="1">
      <alignment horizontal="center"/>
    </xf>
    <xf numFmtId="0" fontId="33" fillId="0" borderId="27" xfId="9" applyFont="1" applyBorder="1"/>
    <xf numFmtId="0" fontId="23" fillId="0" borderId="29" xfId="9" applyFont="1" applyFill="1" applyBorder="1" applyAlignment="1"/>
    <xf numFmtId="0" fontId="16" fillId="0" borderId="28" xfId="12" applyFont="1" applyFill="1" applyBorder="1" applyAlignment="1">
      <alignment horizontal="center"/>
    </xf>
    <xf numFmtId="0" fontId="16" fillId="0" borderId="29" xfId="12" applyFont="1" applyFill="1" applyBorder="1" applyAlignment="1">
      <alignment horizontal="center"/>
    </xf>
    <xf numFmtId="0" fontId="16" fillId="0" borderId="34" xfId="12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16" fillId="3" borderId="36" xfId="12" applyFont="1" applyFill="1" applyBorder="1"/>
    <xf numFmtId="0" fontId="33" fillId="3" borderId="27" xfId="9" applyFont="1" applyFill="1" applyBorder="1"/>
    <xf numFmtId="0" fontId="16" fillId="3" borderId="28" xfId="12" applyFont="1" applyFill="1" applyBorder="1"/>
    <xf numFmtId="0" fontId="16" fillId="3" borderId="28" xfId="12" applyFont="1" applyFill="1" applyBorder="1" applyAlignment="1">
      <alignment horizontal="center"/>
    </xf>
    <xf numFmtId="0" fontId="16" fillId="3" borderId="29" xfId="12" applyFont="1" applyFill="1" applyBorder="1" applyAlignment="1">
      <alignment horizontal="center"/>
    </xf>
    <xf numFmtId="0" fontId="16" fillId="3" borderId="34" xfId="12" applyFont="1" applyFill="1" applyBorder="1" applyAlignment="1">
      <alignment horizontal="center"/>
    </xf>
    <xf numFmtId="0" fontId="16" fillId="3" borderId="27" xfId="12" applyFont="1" applyFill="1" applyBorder="1" applyAlignment="1">
      <alignment horizontal="center"/>
    </xf>
    <xf numFmtId="0" fontId="0" fillId="3" borderId="27" xfId="0" applyNumberFormat="1" applyFont="1" applyFill="1" applyBorder="1" applyAlignment="1">
      <alignment horizontal="center"/>
    </xf>
    <xf numFmtId="0" fontId="23" fillId="0" borderId="39" xfId="9" applyFont="1" applyFill="1" applyBorder="1" applyAlignment="1">
      <alignment horizontal="center"/>
    </xf>
    <xf numFmtId="0" fontId="16" fillId="3" borderId="14" xfId="12" applyFont="1" applyFill="1" applyBorder="1"/>
    <xf numFmtId="0" fontId="16" fillId="3" borderId="9" xfId="9" applyFont="1" applyFill="1" applyBorder="1" applyAlignment="1"/>
    <xf numFmtId="0" fontId="16" fillId="3" borderId="9" xfId="9" applyFont="1" applyFill="1" applyBorder="1" applyAlignment="1">
      <alignment horizontal="center"/>
    </xf>
    <xf numFmtId="0" fontId="16" fillId="3" borderId="3" xfId="9" applyFont="1" applyFill="1" applyBorder="1" applyAlignment="1">
      <alignment horizontal="center"/>
    </xf>
    <xf numFmtId="0" fontId="16" fillId="3" borderId="5" xfId="9" applyFont="1" applyFill="1" applyBorder="1" applyAlignment="1">
      <alignment horizontal="center"/>
    </xf>
    <xf numFmtId="0" fontId="16" fillId="3" borderId="14" xfId="9" applyFont="1" applyFill="1" applyBorder="1" applyAlignment="1">
      <alignment horizontal="center"/>
    </xf>
    <xf numFmtId="0" fontId="16" fillId="0" borderId="5" xfId="9" applyFont="1" applyFill="1" applyBorder="1" applyAlignment="1"/>
    <xf numFmtId="0" fontId="16" fillId="0" borderId="8" xfId="12" applyFont="1" applyBorder="1"/>
    <xf numFmtId="0" fontId="16" fillId="0" borderId="5" xfId="14" applyFont="1" applyBorder="1"/>
    <xf numFmtId="0" fontId="16" fillId="0" borderId="5" xfId="12" applyFont="1" applyFill="1" applyBorder="1"/>
    <xf numFmtId="0" fontId="33" fillId="0" borderId="39" xfId="9" applyFont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18" fillId="3" borderId="3" xfId="1" applyFill="1" applyBorder="1" applyAlignment="1">
      <alignment horizontal="center"/>
    </xf>
    <xf numFmtId="0" fontId="45" fillId="0" borderId="46" xfId="1" applyFont="1" applyBorder="1"/>
    <xf numFmtId="0" fontId="46" fillId="0" borderId="49" xfId="14" applyFont="1" applyFill="1" applyBorder="1" applyAlignment="1">
      <alignment vertical="top"/>
    </xf>
    <xf numFmtId="0" fontId="46" fillId="0" borderId="56" xfId="0" applyFont="1" applyFill="1" applyBorder="1" applyAlignment="1">
      <alignment vertical="top"/>
    </xf>
    <xf numFmtId="0" fontId="46" fillId="0" borderId="46" xfId="14" applyFont="1" applyFill="1" applyBorder="1" applyAlignment="1">
      <alignment vertical="top"/>
    </xf>
    <xf numFmtId="0" fontId="46" fillId="0" borderId="56" xfId="0" applyFont="1" applyBorder="1"/>
    <xf numFmtId="0" fontId="45" fillId="0" borderId="50" xfId="1" applyFont="1" applyBorder="1"/>
    <xf numFmtId="0" fontId="45" fillId="0" borderId="0" xfId="1" applyFont="1" applyBorder="1"/>
    <xf numFmtId="0" fontId="46" fillId="0" borderId="49" xfId="1" applyFont="1" applyFill="1" applyBorder="1" applyAlignment="1">
      <alignment vertical="top"/>
    </xf>
    <xf numFmtId="0" fontId="46" fillId="0" borderId="50" xfId="0" applyFont="1" applyBorder="1"/>
    <xf numFmtId="0" fontId="46" fillId="0" borderId="49" xfId="1" applyFont="1" applyFill="1" applyBorder="1" applyAlignment="1">
      <alignment vertical="top" wrapText="1"/>
    </xf>
    <xf numFmtId="0" fontId="46" fillId="0" borderId="65" xfId="0" applyFont="1" applyBorder="1"/>
    <xf numFmtId="0" fontId="46" fillId="0" borderId="49" xfId="2" applyFont="1" applyFill="1" applyBorder="1" applyAlignment="1">
      <alignment vertical="top"/>
    </xf>
    <xf numFmtId="0" fontId="46" fillId="0" borderId="56" xfId="14" applyFont="1" applyFill="1" applyBorder="1" applyAlignment="1">
      <alignment vertical="top"/>
    </xf>
    <xf numFmtId="0" fontId="46" fillId="0" borderId="56" xfId="14" applyFont="1" applyFill="1" applyBorder="1" applyAlignment="1">
      <alignment vertical="top" wrapText="1"/>
    </xf>
    <xf numFmtId="0" fontId="46" fillId="0" borderId="0" xfId="0" applyFont="1"/>
    <xf numFmtId="0" fontId="47" fillId="0" borderId="50" xfId="1" applyFont="1" applyBorder="1"/>
    <xf numFmtId="0" fontId="48" fillId="0" borderId="49" xfId="14" applyFont="1" applyFill="1" applyBorder="1" applyAlignment="1">
      <alignment vertical="top" wrapText="1"/>
    </xf>
    <xf numFmtId="0" fontId="47" fillId="0" borderId="47" xfId="1" applyFont="1" applyBorder="1"/>
    <xf numFmtId="0" fontId="47" fillId="0" borderId="0" xfId="1" applyFont="1"/>
    <xf numFmtId="0" fontId="47" fillId="0" borderId="51" xfId="1" applyFont="1" applyBorder="1"/>
    <xf numFmtId="0" fontId="47" fillId="0" borderId="64" xfId="1" applyFont="1" applyBorder="1"/>
    <xf numFmtId="0" fontId="23" fillId="19" borderId="70" xfId="14" applyFont="1" applyFill="1" applyBorder="1" applyAlignment="1">
      <alignment vertical="top" wrapText="1"/>
    </xf>
    <xf numFmtId="0" fontId="4" fillId="19" borderId="70" xfId="0" applyFont="1" applyFill="1" applyBorder="1" applyAlignment="1">
      <alignment vertical="top" wrapText="1"/>
    </xf>
    <xf numFmtId="0" fontId="23" fillId="19" borderId="70" xfId="0" applyFont="1" applyFill="1" applyBorder="1" applyAlignment="1">
      <alignment vertical="top" wrapText="1"/>
    </xf>
    <xf numFmtId="0" fontId="23" fillId="19" borderId="71" xfId="14" applyFont="1" applyFill="1" applyBorder="1" applyAlignment="1">
      <alignment vertical="top" wrapText="1"/>
    </xf>
    <xf numFmtId="0" fontId="23" fillId="19" borderId="69" xfId="14" applyFont="1" applyFill="1" applyBorder="1" applyAlignment="1">
      <alignment vertical="top" wrapText="1"/>
    </xf>
    <xf numFmtId="0" fontId="17" fillId="4" borderId="70" xfId="14" applyFont="1" applyFill="1" applyBorder="1" applyAlignment="1">
      <alignment vertical="top" wrapText="1"/>
    </xf>
    <xf numFmtId="0" fontId="23" fillId="19" borderId="72" xfId="14" applyFont="1" applyFill="1" applyBorder="1" applyAlignment="1">
      <alignment vertical="top" wrapText="1"/>
    </xf>
    <xf numFmtId="0" fontId="23" fillId="19" borderId="74" xfId="14" applyFont="1" applyFill="1" applyBorder="1" applyAlignment="1">
      <alignment vertical="top" wrapText="1"/>
    </xf>
    <xf numFmtId="0" fontId="23" fillId="19" borderId="73" xfId="14" applyFont="1" applyFill="1" applyBorder="1" applyAlignment="1">
      <alignment vertical="top" wrapText="1"/>
    </xf>
    <xf numFmtId="0" fontId="23" fillId="0" borderId="0" xfId="6" applyFont="1" applyFill="1" applyAlignment="1"/>
    <xf numFmtId="49" fontId="16" fillId="13" borderId="4" xfId="6" applyNumberFormat="1" applyFont="1" applyFill="1" applyBorder="1"/>
    <xf numFmtId="0" fontId="16" fillId="13" borderId="4" xfId="13" applyFont="1" applyFill="1" applyBorder="1"/>
    <xf numFmtId="0" fontId="38" fillId="13" borderId="4" xfId="1" applyFont="1" applyFill="1" applyBorder="1"/>
    <xf numFmtId="0" fontId="16" fillId="13" borderId="4" xfId="13" applyFont="1" applyFill="1" applyBorder="1" applyAlignment="1"/>
    <xf numFmtId="0" fontId="16" fillId="13" borderId="4" xfId="7" applyFont="1" applyFill="1" applyBorder="1" applyAlignment="1">
      <alignment horizontal="left" vertical="top"/>
    </xf>
    <xf numFmtId="167" fontId="16" fillId="13" borderId="4" xfId="13" applyNumberFormat="1" applyFont="1" applyFill="1" applyBorder="1" applyAlignment="1">
      <alignment horizontal="center" vertical="center"/>
    </xf>
    <xf numFmtId="49" fontId="16" fillId="13" borderId="3" xfId="6" applyNumberFormat="1" applyFont="1" applyFill="1" applyBorder="1"/>
    <xf numFmtId="0" fontId="16" fillId="13" borderId="3" xfId="13" applyFont="1" applyFill="1" applyBorder="1"/>
    <xf numFmtId="0" fontId="38" fillId="13" borderId="3" xfId="1" applyFont="1" applyFill="1" applyBorder="1"/>
    <xf numFmtId="0" fontId="16" fillId="13" borderId="3" xfId="13" applyFont="1" applyFill="1" applyBorder="1" applyAlignment="1"/>
    <xf numFmtId="0" fontId="16" fillId="13" borderId="3" xfId="7" applyFont="1" applyFill="1" applyBorder="1" applyAlignment="1">
      <alignment horizontal="left" vertical="top"/>
    </xf>
    <xf numFmtId="167" fontId="16" fillId="13" borderId="3" xfId="13" applyNumberFormat="1" applyFont="1" applyFill="1" applyBorder="1" applyAlignment="1">
      <alignment horizontal="center" vertical="center"/>
    </xf>
    <xf numFmtId="0" fontId="0" fillId="13" borderId="0" xfId="0" applyFill="1"/>
    <xf numFmtId="0" fontId="16" fillId="17" borderId="3" xfId="13" applyNumberFormat="1" applyFont="1" applyFill="1" applyBorder="1" applyAlignment="1">
      <alignment horizontal="left"/>
    </xf>
    <xf numFmtId="49" fontId="16" fillId="5" borderId="3" xfId="6" applyNumberFormat="1" applyFont="1" applyFill="1" applyBorder="1"/>
    <xf numFmtId="0" fontId="16" fillId="17" borderId="3" xfId="13" applyFont="1" applyFill="1" applyBorder="1" applyAlignment="1"/>
    <xf numFmtId="0" fontId="16" fillId="18" borderId="3" xfId="7" applyFont="1" applyFill="1" applyBorder="1" applyAlignment="1">
      <alignment horizontal="left" vertical="top"/>
    </xf>
    <xf numFmtId="165" fontId="16" fillId="5" borderId="3" xfId="13" applyNumberFormat="1" applyFont="1" applyFill="1" applyBorder="1" applyAlignment="1">
      <alignment horizontal="center"/>
    </xf>
    <xf numFmtId="167" fontId="16" fillId="5" borderId="3" xfId="13" applyNumberFormat="1" applyFont="1" applyFill="1" applyBorder="1" applyAlignment="1">
      <alignment horizontal="center"/>
    </xf>
    <xf numFmtId="0" fontId="16" fillId="5" borderId="3" xfId="13" applyFont="1" applyFill="1" applyBorder="1"/>
    <xf numFmtId="0" fontId="0" fillId="5" borderId="0" xfId="0" applyFont="1" applyFill="1"/>
    <xf numFmtId="0" fontId="16" fillId="17" borderId="4" xfId="13" applyNumberFormat="1" applyFont="1" applyFill="1" applyBorder="1" applyAlignment="1">
      <alignment horizontal="left"/>
    </xf>
    <xf numFmtId="49" fontId="16" fillId="5" borderId="4" xfId="6" applyNumberFormat="1" applyFont="1" applyFill="1" applyBorder="1"/>
    <xf numFmtId="0" fontId="16" fillId="5" borderId="4" xfId="13" applyFont="1" applyFill="1" applyBorder="1"/>
    <xf numFmtId="0" fontId="16" fillId="17" borderId="4" xfId="13" applyFont="1" applyFill="1" applyBorder="1" applyAlignment="1"/>
    <xf numFmtId="0" fontId="16" fillId="18" borderId="4" xfId="7" applyFont="1" applyFill="1" applyBorder="1" applyAlignment="1">
      <alignment horizontal="left" vertical="top"/>
    </xf>
    <xf numFmtId="165" fontId="16" fillId="5" borderId="4" xfId="13" applyNumberFormat="1" applyFont="1" applyFill="1" applyBorder="1" applyAlignment="1">
      <alignment horizontal="center"/>
    </xf>
    <xf numFmtId="167" fontId="16" fillId="5" borderId="4" xfId="13" applyNumberFormat="1" applyFont="1" applyFill="1" applyBorder="1" applyAlignment="1">
      <alignment horizontal="center"/>
    </xf>
    <xf numFmtId="0" fontId="0" fillId="17" borderId="3" xfId="13" applyFont="1" applyFill="1" applyBorder="1"/>
    <xf numFmtId="0" fontId="4" fillId="0" borderId="3" xfId="7" applyFont="1" applyBorder="1" applyAlignment="1"/>
    <xf numFmtId="0" fontId="0" fillId="15" borderId="9" xfId="17" applyFont="1" applyFill="1" applyBorder="1" applyAlignment="1"/>
    <xf numFmtId="0" fontId="0" fillId="16" borderId="3" xfId="17" applyFont="1" applyFill="1" applyBorder="1" applyAlignment="1"/>
    <xf numFmtId="0" fontId="24" fillId="16" borderId="3" xfId="17" applyFont="1" applyFill="1" applyBorder="1" applyAlignment="1"/>
    <xf numFmtId="0" fontId="24" fillId="15" borderId="9" xfId="17" applyFont="1" applyFill="1" applyBorder="1" applyAlignment="1"/>
    <xf numFmtId="0" fontId="18" fillId="14" borderId="3" xfId="1" applyFill="1" applyBorder="1"/>
    <xf numFmtId="0" fontId="7" fillId="0" borderId="3" xfId="0" applyFont="1" applyFill="1" applyBorder="1" applyAlignment="1">
      <alignment horizontal="center" vertical="center"/>
    </xf>
    <xf numFmtId="0" fontId="38" fillId="0" borderId="3" xfId="1" applyFont="1" applyFill="1" applyBorder="1" applyAlignment="1">
      <alignment horizontal="center"/>
    </xf>
    <xf numFmtId="0" fontId="0" fillId="0" borderId="0" xfId="17" applyFont="1" applyAlignment="1"/>
    <xf numFmtId="0" fontId="0" fillId="0" borderId="0" xfId="17" applyFont="1"/>
    <xf numFmtId="0" fontId="0" fillId="14" borderId="3" xfId="13" applyFont="1" applyFill="1" applyBorder="1" applyAlignment="1"/>
    <xf numFmtId="0" fontId="49" fillId="0" borderId="3" xfId="7" applyFont="1" applyFill="1" applyBorder="1" applyAlignment="1">
      <alignment horizontal="center"/>
    </xf>
    <xf numFmtId="0" fontId="49" fillId="0" borderId="3" xfId="15" applyFont="1" applyFill="1" applyBorder="1" applyAlignment="1">
      <alignment horizontal="center"/>
    </xf>
    <xf numFmtId="0" fontId="42" fillId="14" borderId="3" xfId="7" quotePrefix="1" applyFont="1" applyFill="1" applyBorder="1" applyAlignment="1">
      <alignment horizontal="center"/>
    </xf>
    <xf numFmtId="0" fontId="42" fillId="14" borderId="3" xfId="7" applyFont="1" applyFill="1" applyBorder="1" applyAlignment="1">
      <alignment horizontal="center"/>
    </xf>
    <xf numFmtId="0" fontId="41" fillId="13" borderId="3" xfId="7" quotePrefix="1" applyFont="1" applyFill="1" applyBorder="1" applyAlignment="1">
      <alignment horizontal="center"/>
    </xf>
    <xf numFmtId="0" fontId="41" fillId="13" borderId="3" xfId="7" applyFont="1" applyFill="1" applyBorder="1" applyAlignment="1">
      <alignment horizontal="center"/>
    </xf>
    <xf numFmtId="0" fontId="41" fillId="3" borderId="3" xfId="2" applyFont="1" applyFill="1" applyBorder="1" applyAlignment="1">
      <alignment horizontal="center"/>
    </xf>
    <xf numFmtId="0" fontId="0" fillId="0" borderId="0" xfId="0" applyFont="1"/>
    <xf numFmtId="0" fontId="4" fillId="3" borderId="5" xfId="7" applyFont="1" applyFill="1" applyBorder="1" applyAlignment="1"/>
    <xf numFmtId="0" fontId="4" fillId="3" borderId="8" xfId="7" applyFont="1" applyFill="1" applyBorder="1" applyAlignment="1"/>
    <xf numFmtId="0" fontId="7" fillId="3" borderId="8" xfId="7" applyFont="1" applyFill="1" applyBorder="1" applyAlignment="1">
      <alignment horizontal="center"/>
    </xf>
    <xf numFmtId="0" fontId="4" fillId="3" borderId="3" xfId="7" applyFont="1" applyFill="1" applyBorder="1" applyAlignment="1"/>
    <xf numFmtId="0" fontId="4" fillId="3" borderId="3" xfId="7" applyFont="1" applyFill="1" applyBorder="1" applyAlignment="1">
      <alignment horizontal="center"/>
    </xf>
    <xf numFmtId="167" fontId="4" fillId="3" borderId="3" xfId="7" applyNumberFormat="1" applyFont="1" applyFill="1" applyBorder="1" applyAlignment="1">
      <alignment horizontal="center"/>
    </xf>
    <xf numFmtId="0" fontId="23" fillId="3" borderId="3" xfId="7" applyFont="1" applyFill="1" applyBorder="1" applyAlignment="1"/>
    <xf numFmtId="0" fontId="23" fillId="3" borderId="3" xfId="7" applyFont="1" applyFill="1" applyBorder="1" applyAlignment="1">
      <alignment horizontal="center"/>
    </xf>
    <xf numFmtId="167" fontId="23" fillId="3" borderId="3" xfId="7" applyNumberFormat="1" applyFont="1" applyFill="1" applyBorder="1" applyAlignment="1">
      <alignment horizontal="center"/>
    </xf>
    <xf numFmtId="0" fontId="36" fillId="0" borderId="4" xfId="13" applyFont="1" applyFill="1" applyBorder="1" applyAlignment="1"/>
    <xf numFmtId="0" fontId="37" fillId="0" borderId="4" xfId="13" applyFont="1" applyFill="1" applyBorder="1" applyAlignment="1"/>
    <xf numFmtId="0" fontId="36" fillId="13" borderId="4" xfId="13" applyFont="1" applyFill="1" applyBorder="1" applyAlignment="1"/>
    <xf numFmtId="0" fontId="36" fillId="17" borderId="4" xfId="13" applyFont="1" applyFill="1" applyBorder="1" applyAlignment="1"/>
    <xf numFmtId="0" fontId="36" fillId="0" borderId="4" xfId="0" applyFont="1" applyFill="1" applyBorder="1"/>
    <xf numFmtId="0" fontId="36" fillId="15" borderId="3" xfId="13" applyFont="1" applyFill="1" applyBorder="1" applyAlignment="1"/>
    <xf numFmtId="0" fontId="36" fillId="0" borderId="3" xfId="13" applyFont="1" applyFill="1" applyBorder="1" applyAlignment="1"/>
    <xf numFmtId="0" fontId="36" fillId="13" borderId="3" xfId="13" applyFont="1" applyFill="1" applyBorder="1" applyAlignment="1"/>
    <xf numFmtId="0" fontId="37" fillId="0" borderId="3" xfId="13" applyFont="1" applyFill="1" applyBorder="1" applyAlignment="1"/>
    <xf numFmtId="0" fontId="36" fillId="0" borderId="3" xfId="0" applyFont="1" applyFill="1" applyBorder="1"/>
    <xf numFmtId="0" fontId="36" fillId="17" borderId="3" xfId="13" applyFont="1" applyFill="1" applyBorder="1" applyAlignment="1"/>
    <xf numFmtId="0" fontId="36" fillId="14" borderId="3" xfId="13" applyFont="1" applyFill="1" applyBorder="1" applyAlignment="1"/>
    <xf numFmtId="0" fontId="36" fillId="3" borderId="56" xfId="14" applyFont="1" applyFill="1" applyBorder="1" applyAlignment="1">
      <alignment vertical="top" wrapText="1"/>
    </xf>
    <xf numFmtId="0" fontId="37" fillId="14" borderId="51" xfId="14" applyFont="1" applyFill="1" applyBorder="1" applyAlignment="1">
      <alignment vertical="top" wrapText="1"/>
    </xf>
    <xf numFmtId="0" fontId="36" fillId="13" borderId="51" xfId="14" applyFont="1" applyFill="1" applyBorder="1" applyAlignment="1">
      <alignment vertical="top" wrapText="1"/>
    </xf>
    <xf numFmtId="0" fontId="37" fillId="3" borderId="49" xfId="14" applyFont="1" applyFill="1" applyBorder="1" applyAlignment="1">
      <alignment vertical="top" wrapText="1"/>
    </xf>
    <xf numFmtId="0" fontId="37" fillId="14" borderId="51" xfId="1" applyFont="1" applyFill="1" applyBorder="1" applyAlignment="1">
      <alignment vertical="top" wrapText="1"/>
    </xf>
    <xf numFmtId="0" fontId="37" fillId="3" borderId="49" xfId="1" applyFont="1" applyFill="1" applyBorder="1" applyAlignment="1">
      <alignment vertical="top" wrapText="1"/>
    </xf>
    <xf numFmtId="0" fontId="36" fillId="3" borderId="51" xfId="14" applyFont="1" applyFill="1" applyBorder="1" applyAlignment="1">
      <alignment vertical="top" wrapText="1"/>
    </xf>
    <xf numFmtId="0" fontId="37" fillId="3" borderId="51" xfId="14" applyFont="1" applyFill="1" applyBorder="1" applyAlignment="1">
      <alignment vertical="top" wrapText="1"/>
    </xf>
    <xf numFmtId="0" fontId="50" fillId="3" borderId="49" xfId="1" applyFont="1" applyFill="1" applyBorder="1" applyAlignment="1">
      <alignment vertical="top" wrapText="1"/>
    </xf>
    <xf numFmtId="14" fontId="16" fillId="0" borderId="3" xfId="13" applyNumberFormat="1" applyFont="1" applyFill="1" applyBorder="1" applyAlignment="1">
      <alignment vertical="center"/>
    </xf>
    <xf numFmtId="0" fontId="16" fillId="0" borderId="3" xfId="13" quotePrefix="1" applyNumberFormat="1" applyFont="1" applyFill="1" applyBorder="1" applyAlignment="1">
      <alignment horizontal="left" vertical="center"/>
    </xf>
    <xf numFmtId="165" fontId="16" fillId="0" borderId="3" xfId="13" applyNumberFormat="1" applyFont="1" applyFill="1" applyBorder="1" applyAlignment="1">
      <alignment horizontal="center" vertical="center"/>
    </xf>
    <xf numFmtId="165" fontId="16" fillId="0" borderId="4" xfId="13" applyNumberFormat="1" applyFont="1" applyFill="1" applyBorder="1" applyAlignment="1">
      <alignment horizontal="center" vertical="center"/>
    </xf>
    <xf numFmtId="14" fontId="16" fillId="0" borderId="4" xfId="13" applyNumberFormat="1" applyFont="1" applyFill="1" applyBorder="1" applyAlignment="1">
      <alignment vertical="center"/>
    </xf>
    <xf numFmtId="0" fontId="23" fillId="3" borderId="62" xfId="14" applyFont="1" applyFill="1" applyBorder="1" applyAlignment="1">
      <alignment vertical="top"/>
    </xf>
    <xf numFmtId="0" fontId="23" fillId="3" borderId="58" xfId="14" applyFont="1" applyFill="1" applyBorder="1" applyAlignment="1">
      <alignment vertical="top"/>
    </xf>
    <xf numFmtId="0" fontId="7" fillId="0" borderId="0" xfId="7" applyFont="1" applyFill="1" applyBorder="1" applyAlignment="1">
      <alignment textRotation="90"/>
    </xf>
    <xf numFmtId="0" fontId="7" fillId="0" borderId="0" xfId="7" applyFont="1" applyFill="1" applyAlignment="1">
      <alignment textRotation="90"/>
    </xf>
    <xf numFmtId="0" fontId="16" fillId="0" borderId="17" xfId="7" applyFont="1" applyFill="1" applyBorder="1" applyAlignment="1">
      <alignment textRotation="90"/>
    </xf>
    <xf numFmtId="0" fontId="16" fillId="0" borderId="0" xfId="7" applyFont="1" applyFill="1" applyAlignment="1">
      <alignment textRotation="90"/>
    </xf>
    <xf numFmtId="171" fontId="0" fillId="3" borderId="5" xfId="0" applyNumberFormat="1" applyFont="1" applyFill="1" applyBorder="1" applyAlignment="1" applyProtection="1">
      <alignment horizontal="center"/>
    </xf>
    <xf numFmtId="171" fontId="0" fillId="3" borderId="12" xfId="0" applyNumberFormat="1" applyFont="1" applyFill="1" applyBorder="1" applyAlignment="1" applyProtection="1">
      <alignment horizontal="center"/>
    </xf>
    <xf numFmtId="171" fontId="0" fillId="3" borderId="8" xfId="0" applyNumberFormat="1" applyFont="1" applyFill="1" applyBorder="1" applyAlignment="1" applyProtection="1">
      <alignment horizontal="center"/>
    </xf>
    <xf numFmtId="0" fontId="23" fillId="3" borderId="5" xfId="0" applyNumberFormat="1" applyFont="1" applyFill="1" applyBorder="1" applyAlignment="1" applyProtection="1">
      <alignment horizontal="center"/>
    </xf>
    <xf numFmtId="0" fontId="23" fillId="3" borderId="12" xfId="0" applyNumberFormat="1" applyFont="1" applyFill="1" applyBorder="1" applyAlignment="1" applyProtection="1">
      <alignment horizontal="center"/>
    </xf>
    <xf numFmtId="0" fontId="23" fillId="15" borderId="11" xfId="17" applyFont="1" applyFill="1" applyBorder="1" applyAlignment="1">
      <alignment horizontal="center"/>
    </xf>
    <xf numFmtId="0" fontId="23" fillId="15" borderId="12" xfId="17" applyFont="1" applyFill="1" applyBorder="1" applyAlignment="1">
      <alignment horizontal="center"/>
    </xf>
    <xf numFmtId="0" fontId="23" fillId="15" borderId="13" xfId="17" applyFont="1" applyFill="1" applyBorder="1" applyAlignment="1">
      <alignment horizontal="center"/>
    </xf>
    <xf numFmtId="0" fontId="23" fillId="16" borderId="11" xfId="17" applyFont="1" applyFill="1" applyBorder="1" applyAlignment="1">
      <alignment horizontal="center"/>
    </xf>
    <xf numFmtId="0" fontId="23" fillId="16" borderId="12" xfId="17" applyFont="1" applyFill="1" applyBorder="1" applyAlignment="1">
      <alignment horizontal="center"/>
    </xf>
    <xf numFmtId="0" fontId="23" fillId="16" borderId="8" xfId="17" applyFont="1" applyFill="1" applyBorder="1" applyAlignment="1">
      <alignment horizontal="center"/>
    </xf>
    <xf numFmtId="0" fontId="7" fillId="0" borderId="17" xfId="7" applyFont="1" applyFill="1" applyBorder="1" applyAlignment="1">
      <alignment textRotation="90"/>
    </xf>
    <xf numFmtId="0" fontId="0" fillId="0" borderId="0" xfId="0" applyFont="1"/>
  </cellXfs>
  <cellStyles count="21">
    <cellStyle name="Hyperlink" xfId="1" builtinId="8"/>
    <cellStyle name="Hyperlink 2" xfId="2"/>
    <cellStyle name="Hyperlink 2 2" xfId="3"/>
    <cellStyle name="Hyperlink 3" xfId="4"/>
    <cellStyle name="Hyperlink 3 2" xfId="5"/>
    <cellStyle name="Normal" xfId="0" builtinId="0"/>
    <cellStyle name="Normal 2" xfId="6"/>
    <cellStyle name="Normal 2 2" xfId="7"/>
    <cellStyle name="Normal 2 2 2" xfId="8"/>
    <cellStyle name="Normal 2 2 2 2" xfId="9"/>
    <cellStyle name="Normal 2 3" xfId="10"/>
    <cellStyle name="Normal 3" xfId="11"/>
    <cellStyle name="Normal 3 2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WinCalendar_BlankCells_35" xfId="20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 tint="-4.9989318521683403E-2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66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66FF66"/>
        </patternFill>
      </fill>
    </dxf>
    <dxf>
      <fill>
        <patternFill>
          <bgColor rgb="FFFF9999"/>
        </patternFill>
      </fill>
    </dxf>
    <dxf>
      <fill>
        <patternFill>
          <bgColor rgb="FF66FF66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CCECFF"/>
      <color rgb="FFCCFF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5</xdr:row>
      <xdr:rowOff>28575</xdr:rowOff>
    </xdr:from>
    <xdr:to>
      <xdr:col>32</xdr:col>
      <xdr:colOff>180975</xdr:colOff>
      <xdr:row>5</xdr:row>
      <xdr:rowOff>771525</xdr:rowOff>
    </xdr:to>
    <xdr:grpSp>
      <xdr:nvGrpSpPr>
        <xdr:cNvPr id="141480" name="Group 8"/>
        <xdr:cNvGrpSpPr>
          <a:grpSpLocks/>
        </xdr:cNvGrpSpPr>
      </xdr:nvGrpSpPr>
      <xdr:grpSpPr bwMode="auto">
        <a:xfrm>
          <a:off x="9010650" y="838200"/>
          <a:ext cx="619125" cy="742950"/>
          <a:chOff x="8321565" y="842705"/>
          <a:chExt cx="627001" cy="748500"/>
        </a:xfrm>
      </xdr:grpSpPr>
      <xdr:sp macro="" textlink="">
        <xdr:nvSpPr>
          <xdr:cNvPr id="141503" name="Oval 71"/>
          <xdr:cNvSpPr>
            <a:spLocks noChangeArrowheads="1"/>
          </xdr:cNvSpPr>
        </xdr:nvSpPr>
        <xdr:spPr bwMode="auto">
          <a:xfrm>
            <a:off x="8616842" y="842705"/>
            <a:ext cx="38100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4" name="Oval 70"/>
          <xdr:cNvSpPr>
            <a:spLocks noChangeArrowheads="1"/>
          </xdr:cNvSpPr>
        </xdr:nvSpPr>
        <xdr:spPr bwMode="auto">
          <a:xfrm>
            <a:off x="8588266" y="1490405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5" name="Oval 70"/>
          <xdr:cNvSpPr>
            <a:spLocks noChangeArrowheads="1"/>
          </xdr:cNvSpPr>
        </xdr:nvSpPr>
        <xdr:spPr bwMode="auto">
          <a:xfrm>
            <a:off x="8854966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6" name="Oval 70"/>
          <xdr:cNvSpPr>
            <a:spLocks noChangeArrowheads="1"/>
          </xdr:cNvSpPr>
        </xdr:nvSpPr>
        <xdr:spPr bwMode="auto">
          <a:xfrm>
            <a:off x="8321565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114300</xdr:colOff>
      <xdr:row>5</xdr:row>
      <xdr:rowOff>28575</xdr:rowOff>
    </xdr:from>
    <xdr:to>
      <xdr:col>18</xdr:col>
      <xdr:colOff>152400</xdr:colOff>
      <xdr:row>5</xdr:row>
      <xdr:rowOff>76200</xdr:rowOff>
    </xdr:to>
    <xdr:sp macro="" textlink="">
      <xdr:nvSpPr>
        <xdr:cNvPr id="141481" name="Oval 71"/>
        <xdr:cNvSpPr>
          <a:spLocks noChangeArrowheads="1"/>
        </xdr:cNvSpPr>
      </xdr:nvSpPr>
      <xdr:spPr bwMode="auto">
        <a:xfrm>
          <a:off x="5800725" y="838200"/>
          <a:ext cx="38100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114300</xdr:colOff>
      <xdr:row>5</xdr:row>
      <xdr:rowOff>28575</xdr:rowOff>
    </xdr:from>
    <xdr:to>
      <xdr:col>21</xdr:col>
      <xdr:colOff>152400</xdr:colOff>
      <xdr:row>5</xdr:row>
      <xdr:rowOff>76200</xdr:rowOff>
    </xdr:to>
    <xdr:sp macro="" textlink="">
      <xdr:nvSpPr>
        <xdr:cNvPr id="141482" name="Oval 71"/>
        <xdr:cNvSpPr>
          <a:spLocks noChangeArrowheads="1"/>
        </xdr:cNvSpPr>
      </xdr:nvSpPr>
      <xdr:spPr bwMode="auto">
        <a:xfrm>
          <a:off x="6600825" y="838200"/>
          <a:ext cx="38100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114300</xdr:colOff>
      <xdr:row>5</xdr:row>
      <xdr:rowOff>19050</xdr:rowOff>
    </xdr:from>
    <xdr:to>
      <xdr:col>24</xdr:col>
      <xdr:colOff>152400</xdr:colOff>
      <xdr:row>5</xdr:row>
      <xdr:rowOff>66675</xdr:rowOff>
    </xdr:to>
    <xdr:sp macro="" textlink="">
      <xdr:nvSpPr>
        <xdr:cNvPr id="141483" name="Oval 71"/>
        <xdr:cNvSpPr>
          <a:spLocks noChangeArrowheads="1"/>
        </xdr:cNvSpPr>
      </xdr:nvSpPr>
      <xdr:spPr bwMode="auto">
        <a:xfrm>
          <a:off x="7400925" y="828675"/>
          <a:ext cx="38100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5</xdr:row>
      <xdr:rowOff>28575</xdr:rowOff>
    </xdr:from>
    <xdr:to>
      <xdr:col>35</xdr:col>
      <xdr:colOff>180975</xdr:colOff>
      <xdr:row>5</xdr:row>
      <xdr:rowOff>781050</xdr:rowOff>
    </xdr:to>
    <xdr:grpSp>
      <xdr:nvGrpSpPr>
        <xdr:cNvPr id="141484" name="Group 9"/>
        <xdr:cNvGrpSpPr>
          <a:grpSpLocks/>
        </xdr:cNvGrpSpPr>
      </xdr:nvGrpSpPr>
      <xdr:grpSpPr bwMode="auto">
        <a:xfrm>
          <a:off x="9801225" y="838200"/>
          <a:ext cx="628650" cy="752475"/>
          <a:chOff x="8321565" y="842705"/>
          <a:chExt cx="627001" cy="748500"/>
        </a:xfrm>
      </xdr:grpSpPr>
      <xdr:sp macro="" textlink="">
        <xdr:nvSpPr>
          <xdr:cNvPr id="141499" name="Oval 71"/>
          <xdr:cNvSpPr>
            <a:spLocks noChangeArrowheads="1"/>
          </xdr:cNvSpPr>
        </xdr:nvSpPr>
        <xdr:spPr bwMode="auto">
          <a:xfrm>
            <a:off x="8616842" y="842705"/>
            <a:ext cx="38100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0" name="Oval 70"/>
          <xdr:cNvSpPr>
            <a:spLocks noChangeArrowheads="1"/>
          </xdr:cNvSpPr>
        </xdr:nvSpPr>
        <xdr:spPr bwMode="auto">
          <a:xfrm>
            <a:off x="8588266" y="1490405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1" name="Oval 70"/>
          <xdr:cNvSpPr>
            <a:spLocks noChangeArrowheads="1"/>
          </xdr:cNvSpPr>
        </xdr:nvSpPr>
        <xdr:spPr bwMode="auto">
          <a:xfrm>
            <a:off x="8854966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02" name="Oval 70"/>
          <xdr:cNvSpPr>
            <a:spLocks noChangeArrowheads="1"/>
          </xdr:cNvSpPr>
        </xdr:nvSpPr>
        <xdr:spPr bwMode="auto">
          <a:xfrm>
            <a:off x="8321565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36</xdr:col>
      <xdr:colOff>95250</xdr:colOff>
      <xdr:row>5</xdr:row>
      <xdr:rowOff>28575</xdr:rowOff>
    </xdr:from>
    <xdr:to>
      <xdr:col>38</xdr:col>
      <xdr:colOff>180975</xdr:colOff>
      <xdr:row>5</xdr:row>
      <xdr:rowOff>781050</xdr:rowOff>
    </xdr:to>
    <xdr:grpSp>
      <xdr:nvGrpSpPr>
        <xdr:cNvPr id="141485" name="Group 14"/>
        <xdr:cNvGrpSpPr>
          <a:grpSpLocks/>
        </xdr:cNvGrpSpPr>
      </xdr:nvGrpSpPr>
      <xdr:grpSpPr bwMode="auto">
        <a:xfrm>
          <a:off x="10610850" y="838200"/>
          <a:ext cx="619125" cy="752475"/>
          <a:chOff x="8321565" y="842705"/>
          <a:chExt cx="627001" cy="748500"/>
        </a:xfrm>
      </xdr:grpSpPr>
      <xdr:sp macro="" textlink="">
        <xdr:nvSpPr>
          <xdr:cNvPr id="141495" name="Oval 71"/>
          <xdr:cNvSpPr>
            <a:spLocks noChangeArrowheads="1"/>
          </xdr:cNvSpPr>
        </xdr:nvSpPr>
        <xdr:spPr bwMode="auto">
          <a:xfrm>
            <a:off x="8616842" y="842705"/>
            <a:ext cx="38100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6" name="Oval 70"/>
          <xdr:cNvSpPr>
            <a:spLocks noChangeArrowheads="1"/>
          </xdr:cNvSpPr>
        </xdr:nvSpPr>
        <xdr:spPr bwMode="auto">
          <a:xfrm>
            <a:off x="8588266" y="1490405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7" name="Oval 70"/>
          <xdr:cNvSpPr>
            <a:spLocks noChangeArrowheads="1"/>
          </xdr:cNvSpPr>
        </xdr:nvSpPr>
        <xdr:spPr bwMode="auto">
          <a:xfrm>
            <a:off x="8854966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8" name="Oval 70"/>
          <xdr:cNvSpPr>
            <a:spLocks noChangeArrowheads="1"/>
          </xdr:cNvSpPr>
        </xdr:nvSpPr>
        <xdr:spPr bwMode="auto">
          <a:xfrm>
            <a:off x="8321565" y="1480880"/>
            <a:ext cx="93600" cy="1008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47625</xdr:colOff>
      <xdr:row>5</xdr:row>
      <xdr:rowOff>114300</xdr:rowOff>
    </xdr:from>
    <xdr:to>
      <xdr:col>6</xdr:col>
      <xdr:colOff>161925</xdr:colOff>
      <xdr:row>5</xdr:row>
      <xdr:rowOff>676275</xdr:rowOff>
    </xdr:to>
    <xdr:grpSp>
      <xdr:nvGrpSpPr>
        <xdr:cNvPr id="141486" name="Group 39"/>
        <xdr:cNvGrpSpPr>
          <a:grpSpLocks noChangeAspect="1"/>
        </xdr:cNvGrpSpPr>
      </xdr:nvGrpSpPr>
      <xdr:grpSpPr bwMode="auto">
        <a:xfrm>
          <a:off x="2638425" y="923925"/>
          <a:ext cx="514350" cy="561975"/>
          <a:chOff x="1571625" y="533400"/>
          <a:chExt cx="847725" cy="923925"/>
        </a:xfrm>
      </xdr:grpSpPr>
      <xdr:sp macro="" textlink="">
        <xdr:nvSpPr>
          <xdr:cNvPr id="141493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4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47625</xdr:colOff>
      <xdr:row>5</xdr:row>
      <xdr:rowOff>123825</xdr:rowOff>
    </xdr:from>
    <xdr:to>
      <xdr:col>9</xdr:col>
      <xdr:colOff>161925</xdr:colOff>
      <xdr:row>5</xdr:row>
      <xdr:rowOff>676275</xdr:rowOff>
    </xdr:to>
    <xdr:grpSp>
      <xdr:nvGrpSpPr>
        <xdr:cNvPr id="141487" name="Group 39"/>
        <xdr:cNvGrpSpPr>
          <a:grpSpLocks noChangeAspect="1"/>
        </xdr:cNvGrpSpPr>
      </xdr:nvGrpSpPr>
      <xdr:grpSpPr bwMode="auto">
        <a:xfrm>
          <a:off x="3238500" y="933450"/>
          <a:ext cx="514350" cy="552450"/>
          <a:chOff x="1571625" y="533400"/>
          <a:chExt cx="847725" cy="923925"/>
        </a:xfrm>
      </xdr:grpSpPr>
      <xdr:sp macro="" textlink="">
        <xdr:nvSpPr>
          <xdr:cNvPr id="141491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2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47625</xdr:colOff>
      <xdr:row>5</xdr:row>
      <xdr:rowOff>123825</xdr:rowOff>
    </xdr:from>
    <xdr:to>
      <xdr:col>12</xdr:col>
      <xdr:colOff>161925</xdr:colOff>
      <xdr:row>5</xdr:row>
      <xdr:rowOff>676275</xdr:rowOff>
    </xdr:to>
    <xdr:grpSp>
      <xdr:nvGrpSpPr>
        <xdr:cNvPr id="141488" name="Group 39"/>
        <xdr:cNvGrpSpPr>
          <a:grpSpLocks noChangeAspect="1"/>
        </xdr:cNvGrpSpPr>
      </xdr:nvGrpSpPr>
      <xdr:grpSpPr bwMode="auto">
        <a:xfrm>
          <a:off x="3838575" y="933450"/>
          <a:ext cx="514350" cy="552450"/>
          <a:chOff x="1571625" y="533400"/>
          <a:chExt cx="847725" cy="923925"/>
        </a:xfrm>
      </xdr:grpSpPr>
      <xdr:sp macro="" textlink="">
        <xdr:nvSpPr>
          <xdr:cNvPr id="141489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0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38100</xdr:rowOff>
    </xdr:from>
    <xdr:to>
      <xdr:col>6</xdr:col>
      <xdr:colOff>0</xdr:colOff>
      <xdr:row>2</xdr:row>
      <xdr:rowOff>85725</xdr:rowOff>
    </xdr:to>
    <xdr:sp macro="" textlink="">
      <xdr:nvSpPr>
        <xdr:cNvPr id="138123" name="Oval 71"/>
        <xdr:cNvSpPr>
          <a:spLocks noChangeArrowheads="1"/>
        </xdr:cNvSpPr>
      </xdr:nvSpPr>
      <xdr:spPr bwMode="auto">
        <a:xfrm>
          <a:off x="2981325" y="361950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219075</xdr:colOff>
      <xdr:row>2</xdr:row>
      <xdr:rowOff>28575</xdr:rowOff>
    </xdr:from>
    <xdr:to>
      <xdr:col>13</xdr:col>
      <xdr:colOff>47625</xdr:colOff>
      <xdr:row>2</xdr:row>
      <xdr:rowOff>781050</xdr:rowOff>
    </xdr:to>
    <xdr:grpSp>
      <xdr:nvGrpSpPr>
        <xdr:cNvPr id="138124" name="Group 1"/>
        <xdr:cNvGrpSpPr>
          <a:grpSpLocks/>
        </xdr:cNvGrpSpPr>
      </xdr:nvGrpSpPr>
      <xdr:grpSpPr bwMode="auto">
        <a:xfrm>
          <a:off x="4600575" y="352425"/>
          <a:ext cx="685800" cy="752475"/>
          <a:chOff x="4507351" y="839213"/>
          <a:chExt cx="633033" cy="747831"/>
        </a:xfrm>
      </xdr:grpSpPr>
      <xdr:sp macro="" textlink="">
        <xdr:nvSpPr>
          <xdr:cNvPr id="138136" name="Oval 71"/>
          <xdr:cNvSpPr>
            <a:spLocks noChangeArrowheads="1"/>
          </xdr:cNvSpPr>
        </xdr:nvSpPr>
        <xdr:spPr bwMode="auto">
          <a:xfrm>
            <a:off x="4803437" y="839213"/>
            <a:ext cx="47611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7" name="Oval 70"/>
          <xdr:cNvSpPr>
            <a:spLocks noChangeArrowheads="1"/>
          </xdr:cNvSpPr>
        </xdr:nvSpPr>
        <xdr:spPr bwMode="auto">
          <a:xfrm>
            <a:off x="4774861" y="1489844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8" name="Oval 70"/>
          <xdr:cNvSpPr>
            <a:spLocks noChangeArrowheads="1"/>
          </xdr:cNvSpPr>
        </xdr:nvSpPr>
        <xdr:spPr bwMode="auto">
          <a:xfrm>
            <a:off x="5042373" y="1489112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9" name="Oval 70"/>
          <xdr:cNvSpPr>
            <a:spLocks noChangeArrowheads="1"/>
          </xdr:cNvSpPr>
        </xdr:nvSpPr>
        <xdr:spPr bwMode="auto">
          <a:xfrm>
            <a:off x="4507351" y="1489111"/>
            <a:ext cx="98010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219075</xdr:colOff>
      <xdr:row>2</xdr:row>
      <xdr:rowOff>38100</xdr:rowOff>
    </xdr:from>
    <xdr:to>
      <xdr:col>19</xdr:col>
      <xdr:colOff>47625</xdr:colOff>
      <xdr:row>2</xdr:row>
      <xdr:rowOff>771525</xdr:rowOff>
    </xdr:to>
    <xdr:grpSp>
      <xdr:nvGrpSpPr>
        <xdr:cNvPr id="138125" name="Group 2"/>
        <xdr:cNvGrpSpPr>
          <a:grpSpLocks/>
        </xdr:cNvGrpSpPr>
      </xdr:nvGrpSpPr>
      <xdr:grpSpPr bwMode="auto">
        <a:xfrm>
          <a:off x="6524625" y="361950"/>
          <a:ext cx="685800" cy="733425"/>
          <a:chOff x="6359660" y="848738"/>
          <a:chExt cx="633032" cy="735375"/>
        </a:xfrm>
      </xdr:grpSpPr>
      <xdr:sp macro="" textlink="">
        <xdr:nvSpPr>
          <xdr:cNvPr id="138130" name="Oval 71"/>
          <xdr:cNvSpPr>
            <a:spLocks noChangeArrowheads="1"/>
          </xdr:cNvSpPr>
        </xdr:nvSpPr>
        <xdr:spPr bwMode="auto">
          <a:xfrm>
            <a:off x="6655746" y="848738"/>
            <a:ext cx="47610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1" name="Oval 70"/>
          <xdr:cNvSpPr>
            <a:spLocks noChangeArrowheads="1"/>
          </xdr:cNvSpPr>
        </xdr:nvSpPr>
        <xdr:spPr bwMode="auto">
          <a:xfrm>
            <a:off x="6627171" y="1486913"/>
            <a:ext cx="98010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2" name="Oval 70"/>
          <xdr:cNvSpPr>
            <a:spLocks noChangeArrowheads="1"/>
          </xdr:cNvSpPr>
        </xdr:nvSpPr>
        <xdr:spPr bwMode="auto">
          <a:xfrm>
            <a:off x="6894681" y="1486913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3" name="Oval 70"/>
          <xdr:cNvSpPr>
            <a:spLocks noChangeArrowheads="1"/>
          </xdr:cNvSpPr>
        </xdr:nvSpPr>
        <xdr:spPr bwMode="auto">
          <a:xfrm>
            <a:off x="6359660" y="1486913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4" name="Oval 66"/>
          <xdr:cNvSpPr>
            <a:spLocks noChangeArrowheads="1"/>
          </xdr:cNvSpPr>
        </xdr:nvSpPr>
        <xdr:spPr bwMode="auto">
          <a:xfrm>
            <a:off x="6493820" y="1144013"/>
            <a:ext cx="97200" cy="972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5" name="Oval 66"/>
          <xdr:cNvSpPr>
            <a:spLocks noChangeArrowheads="1"/>
          </xdr:cNvSpPr>
        </xdr:nvSpPr>
        <xdr:spPr bwMode="auto">
          <a:xfrm>
            <a:off x="6770856" y="1144013"/>
            <a:ext cx="97200" cy="972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219075</xdr:colOff>
      <xdr:row>51</xdr:row>
      <xdr:rowOff>28575</xdr:rowOff>
    </xdr:from>
    <xdr:to>
      <xdr:col>13</xdr:col>
      <xdr:colOff>57150</xdr:colOff>
      <xdr:row>51</xdr:row>
      <xdr:rowOff>123825</xdr:rowOff>
    </xdr:to>
    <xdr:grpSp>
      <xdr:nvGrpSpPr>
        <xdr:cNvPr id="138126" name="Group 1"/>
        <xdr:cNvGrpSpPr>
          <a:grpSpLocks/>
        </xdr:cNvGrpSpPr>
      </xdr:nvGrpSpPr>
      <xdr:grpSpPr bwMode="auto">
        <a:xfrm>
          <a:off x="4600575" y="8934450"/>
          <a:ext cx="695325" cy="95250"/>
          <a:chOff x="4245428" y="6227536"/>
          <a:chExt cx="639990" cy="98541"/>
        </a:xfrm>
      </xdr:grpSpPr>
      <xdr:sp macro="" textlink="">
        <xdr:nvSpPr>
          <xdr:cNvPr id="138127" name="Oval 70"/>
          <xdr:cNvSpPr>
            <a:spLocks noChangeArrowheads="1"/>
          </xdr:cNvSpPr>
        </xdr:nvSpPr>
        <xdr:spPr bwMode="auto">
          <a:xfrm>
            <a:off x="4516020" y="6228273"/>
            <a:ext cx="98807" cy="9780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28" name="Oval 70"/>
          <xdr:cNvSpPr>
            <a:spLocks noChangeArrowheads="1"/>
          </xdr:cNvSpPr>
        </xdr:nvSpPr>
        <xdr:spPr bwMode="auto">
          <a:xfrm>
            <a:off x="4786611" y="6227537"/>
            <a:ext cx="98807" cy="9780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29" name="Oval 70"/>
          <xdr:cNvSpPr>
            <a:spLocks noChangeArrowheads="1"/>
          </xdr:cNvSpPr>
        </xdr:nvSpPr>
        <xdr:spPr bwMode="auto">
          <a:xfrm>
            <a:off x="4245428" y="6227536"/>
            <a:ext cx="98806" cy="9780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38100</xdr:rowOff>
    </xdr:from>
    <xdr:to>
      <xdr:col>4</xdr:col>
      <xdr:colOff>0</xdr:colOff>
      <xdr:row>5</xdr:row>
      <xdr:rowOff>85725</xdr:rowOff>
    </xdr:to>
    <xdr:sp macro="" textlink="">
      <xdr:nvSpPr>
        <xdr:cNvPr id="137058" name="Oval 71"/>
        <xdr:cNvSpPr>
          <a:spLocks noChangeArrowheads="1"/>
        </xdr:cNvSpPr>
      </xdr:nvSpPr>
      <xdr:spPr bwMode="auto">
        <a:xfrm>
          <a:off x="2085975" y="857250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5</xdr:row>
      <xdr:rowOff>28575</xdr:rowOff>
    </xdr:from>
    <xdr:to>
      <xdr:col>9</xdr:col>
      <xdr:colOff>38100</xdr:colOff>
      <xdr:row>5</xdr:row>
      <xdr:rowOff>781050</xdr:rowOff>
    </xdr:to>
    <xdr:grpSp>
      <xdr:nvGrpSpPr>
        <xdr:cNvPr id="137059" name="Group 1"/>
        <xdr:cNvGrpSpPr>
          <a:grpSpLocks/>
        </xdr:cNvGrpSpPr>
      </xdr:nvGrpSpPr>
      <xdr:grpSpPr bwMode="auto">
        <a:xfrm>
          <a:off x="2914650" y="847725"/>
          <a:ext cx="685800" cy="752475"/>
          <a:chOff x="4507351" y="839206"/>
          <a:chExt cx="633018" cy="747832"/>
        </a:xfrm>
      </xdr:grpSpPr>
      <xdr:sp macro="" textlink="">
        <xdr:nvSpPr>
          <xdr:cNvPr id="137067" name="Oval 71"/>
          <xdr:cNvSpPr>
            <a:spLocks noChangeArrowheads="1"/>
          </xdr:cNvSpPr>
        </xdr:nvSpPr>
        <xdr:spPr bwMode="auto">
          <a:xfrm>
            <a:off x="4803420" y="839206"/>
            <a:ext cx="47611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8" name="Oval 70"/>
          <xdr:cNvSpPr>
            <a:spLocks noChangeArrowheads="1"/>
          </xdr:cNvSpPr>
        </xdr:nvSpPr>
        <xdr:spPr bwMode="auto">
          <a:xfrm>
            <a:off x="4774845" y="1489838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9" name="Oval 70"/>
          <xdr:cNvSpPr>
            <a:spLocks noChangeArrowheads="1"/>
          </xdr:cNvSpPr>
        </xdr:nvSpPr>
        <xdr:spPr bwMode="auto">
          <a:xfrm>
            <a:off x="5042358" y="1489106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70" name="Oval 70"/>
          <xdr:cNvSpPr>
            <a:spLocks noChangeArrowheads="1"/>
          </xdr:cNvSpPr>
        </xdr:nvSpPr>
        <xdr:spPr bwMode="auto">
          <a:xfrm>
            <a:off x="4507351" y="1489111"/>
            <a:ext cx="98010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219075</xdr:colOff>
      <xdr:row>5</xdr:row>
      <xdr:rowOff>38100</xdr:rowOff>
    </xdr:from>
    <xdr:to>
      <xdr:col>13</xdr:col>
      <xdr:colOff>47625</xdr:colOff>
      <xdr:row>5</xdr:row>
      <xdr:rowOff>771525</xdr:rowOff>
    </xdr:to>
    <xdr:grpSp>
      <xdr:nvGrpSpPr>
        <xdr:cNvPr id="137060" name="Group 2"/>
        <xdr:cNvGrpSpPr>
          <a:grpSpLocks/>
        </xdr:cNvGrpSpPr>
      </xdr:nvGrpSpPr>
      <xdr:grpSpPr bwMode="auto">
        <a:xfrm>
          <a:off x="4067175" y="857250"/>
          <a:ext cx="685800" cy="733425"/>
          <a:chOff x="6359685" y="848740"/>
          <a:chExt cx="633038" cy="735377"/>
        </a:xfrm>
      </xdr:grpSpPr>
      <xdr:sp macro="" textlink="">
        <xdr:nvSpPr>
          <xdr:cNvPr id="137061" name="Oval 71"/>
          <xdr:cNvSpPr>
            <a:spLocks noChangeArrowheads="1"/>
          </xdr:cNvSpPr>
        </xdr:nvSpPr>
        <xdr:spPr bwMode="auto">
          <a:xfrm>
            <a:off x="6655779" y="848740"/>
            <a:ext cx="47611" cy="47625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2" name="Oval 70"/>
          <xdr:cNvSpPr>
            <a:spLocks noChangeArrowheads="1"/>
          </xdr:cNvSpPr>
        </xdr:nvSpPr>
        <xdr:spPr bwMode="auto">
          <a:xfrm>
            <a:off x="6627204" y="1486917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3" name="Oval 70"/>
          <xdr:cNvSpPr>
            <a:spLocks noChangeArrowheads="1"/>
          </xdr:cNvSpPr>
        </xdr:nvSpPr>
        <xdr:spPr bwMode="auto">
          <a:xfrm>
            <a:off x="6894712" y="1486917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4" name="Oval 70"/>
          <xdr:cNvSpPr>
            <a:spLocks noChangeArrowheads="1"/>
          </xdr:cNvSpPr>
        </xdr:nvSpPr>
        <xdr:spPr bwMode="auto">
          <a:xfrm>
            <a:off x="6359685" y="1486917"/>
            <a:ext cx="98011" cy="9720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5" name="Oval 66"/>
          <xdr:cNvSpPr>
            <a:spLocks noChangeArrowheads="1"/>
          </xdr:cNvSpPr>
        </xdr:nvSpPr>
        <xdr:spPr bwMode="auto">
          <a:xfrm>
            <a:off x="6493841" y="1144016"/>
            <a:ext cx="97200" cy="972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66" name="Oval 66"/>
          <xdr:cNvSpPr>
            <a:spLocks noChangeArrowheads="1"/>
          </xdr:cNvSpPr>
        </xdr:nvSpPr>
        <xdr:spPr bwMode="auto">
          <a:xfrm>
            <a:off x="6770856" y="1144013"/>
            <a:ext cx="97200" cy="972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85725</xdr:rowOff>
    </xdr:from>
    <xdr:to>
      <xdr:col>5</xdr:col>
      <xdr:colOff>104775</xdr:colOff>
      <xdr:row>2</xdr:row>
      <xdr:rowOff>733425</xdr:rowOff>
    </xdr:to>
    <xdr:grpSp>
      <xdr:nvGrpSpPr>
        <xdr:cNvPr id="139246" name="Group 39"/>
        <xdr:cNvGrpSpPr>
          <a:grpSpLocks noChangeAspect="1"/>
        </xdr:cNvGrpSpPr>
      </xdr:nvGrpSpPr>
      <xdr:grpSpPr bwMode="auto">
        <a:xfrm>
          <a:off x="1552575" y="419100"/>
          <a:ext cx="590550" cy="647700"/>
          <a:chOff x="1571625" y="533400"/>
          <a:chExt cx="847725" cy="923925"/>
        </a:xfrm>
      </xdr:grpSpPr>
      <xdr:sp macro="" textlink="">
        <xdr:nvSpPr>
          <xdr:cNvPr id="139263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36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2</xdr:row>
      <xdr:rowOff>85725</xdr:rowOff>
    </xdr:from>
    <xdr:to>
      <xdr:col>13</xdr:col>
      <xdr:colOff>104775</xdr:colOff>
      <xdr:row>2</xdr:row>
      <xdr:rowOff>733425</xdr:rowOff>
    </xdr:to>
    <xdr:grpSp>
      <xdr:nvGrpSpPr>
        <xdr:cNvPr id="139247" name="Group 42"/>
        <xdr:cNvGrpSpPr>
          <a:grpSpLocks noChangeAspect="1"/>
        </xdr:cNvGrpSpPr>
      </xdr:nvGrpSpPr>
      <xdr:grpSpPr bwMode="auto">
        <a:xfrm>
          <a:off x="3076575" y="419100"/>
          <a:ext cx="590550" cy="647700"/>
          <a:chOff x="4391033" y="533399"/>
          <a:chExt cx="847726" cy="923921"/>
        </a:xfrm>
      </xdr:grpSpPr>
      <xdr:sp macro="" textlink="">
        <xdr:nvSpPr>
          <xdr:cNvPr id="139259" name="Oval 62"/>
          <xdr:cNvSpPr>
            <a:spLocks noChangeArrowheads="1"/>
          </xdr:cNvSpPr>
        </xdr:nvSpPr>
        <xdr:spPr bwMode="auto">
          <a:xfrm>
            <a:off x="4391033" y="533399"/>
            <a:ext cx="847726" cy="923921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60" name="Oval 67"/>
          <xdr:cNvSpPr>
            <a:spLocks noChangeArrowheads="1"/>
          </xdr:cNvSpPr>
        </xdr:nvSpPr>
        <xdr:spPr bwMode="auto">
          <a:xfrm>
            <a:off x="4752983" y="923921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61" name="Oval 68"/>
          <xdr:cNvSpPr>
            <a:spLocks noChangeArrowheads="1"/>
          </xdr:cNvSpPr>
        </xdr:nvSpPr>
        <xdr:spPr bwMode="auto">
          <a:xfrm>
            <a:off x="4572010" y="923924"/>
            <a:ext cx="133351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62" name="Oval 69"/>
          <xdr:cNvSpPr>
            <a:spLocks noChangeArrowheads="1"/>
          </xdr:cNvSpPr>
        </xdr:nvSpPr>
        <xdr:spPr bwMode="auto">
          <a:xfrm>
            <a:off x="4943475" y="923925"/>
            <a:ext cx="133351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2</xdr:row>
      <xdr:rowOff>85725</xdr:rowOff>
    </xdr:from>
    <xdr:to>
      <xdr:col>17</xdr:col>
      <xdr:colOff>104775</xdr:colOff>
      <xdr:row>2</xdr:row>
      <xdr:rowOff>733425</xdr:rowOff>
    </xdr:to>
    <xdr:grpSp>
      <xdr:nvGrpSpPr>
        <xdr:cNvPr id="139248" name="Group 47"/>
        <xdr:cNvGrpSpPr>
          <a:grpSpLocks noChangeAspect="1"/>
        </xdr:cNvGrpSpPr>
      </xdr:nvGrpSpPr>
      <xdr:grpSpPr bwMode="auto">
        <a:xfrm>
          <a:off x="3838575" y="419100"/>
          <a:ext cx="590550" cy="647700"/>
          <a:chOff x="5810267" y="523873"/>
          <a:chExt cx="847727" cy="923922"/>
        </a:xfrm>
      </xdr:grpSpPr>
      <xdr:sp macro="" textlink="">
        <xdr:nvSpPr>
          <xdr:cNvPr id="139256" name="Oval 63"/>
          <xdr:cNvSpPr>
            <a:spLocks noChangeArrowheads="1"/>
          </xdr:cNvSpPr>
        </xdr:nvSpPr>
        <xdr:spPr bwMode="auto">
          <a:xfrm>
            <a:off x="5810267" y="523873"/>
            <a:ext cx="847727" cy="923922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7" name="Oval 66"/>
          <xdr:cNvSpPr>
            <a:spLocks noChangeArrowheads="1"/>
          </xdr:cNvSpPr>
        </xdr:nvSpPr>
        <xdr:spPr bwMode="auto">
          <a:xfrm>
            <a:off x="6162689" y="914398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8" name="Oval 70"/>
          <xdr:cNvSpPr>
            <a:spLocks noChangeArrowheads="1"/>
          </xdr:cNvSpPr>
        </xdr:nvSpPr>
        <xdr:spPr bwMode="auto">
          <a:xfrm>
            <a:off x="6162676" y="1123950"/>
            <a:ext cx="133351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2</xdr:row>
      <xdr:rowOff>85725</xdr:rowOff>
    </xdr:from>
    <xdr:to>
      <xdr:col>21</xdr:col>
      <xdr:colOff>114300</xdr:colOff>
      <xdr:row>2</xdr:row>
      <xdr:rowOff>733425</xdr:rowOff>
    </xdr:to>
    <xdr:grpSp>
      <xdr:nvGrpSpPr>
        <xdr:cNvPr id="139249" name="Group 51"/>
        <xdr:cNvGrpSpPr>
          <a:grpSpLocks noChangeAspect="1"/>
        </xdr:cNvGrpSpPr>
      </xdr:nvGrpSpPr>
      <xdr:grpSpPr bwMode="auto">
        <a:xfrm>
          <a:off x="4600575" y="419100"/>
          <a:ext cx="600075" cy="647700"/>
          <a:chOff x="7219913" y="533402"/>
          <a:chExt cx="847721" cy="923930"/>
        </a:xfrm>
      </xdr:grpSpPr>
      <xdr:sp macro="" textlink="">
        <xdr:nvSpPr>
          <xdr:cNvPr id="139254" name="Oval 64"/>
          <xdr:cNvSpPr>
            <a:spLocks noChangeArrowheads="1"/>
          </xdr:cNvSpPr>
        </xdr:nvSpPr>
        <xdr:spPr bwMode="auto">
          <a:xfrm>
            <a:off x="7219913" y="533402"/>
            <a:ext cx="847721" cy="923930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5" name="Oval 71"/>
          <xdr:cNvSpPr>
            <a:spLocks noChangeArrowheads="1"/>
          </xdr:cNvSpPr>
        </xdr:nvSpPr>
        <xdr:spPr bwMode="auto">
          <a:xfrm>
            <a:off x="7610475" y="1219200"/>
            <a:ext cx="57149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2</xdr:row>
      <xdr:rowOff>85725</xdr:rowOff>
    </xdr:from>
    <xdr:to>
      <xdr:col>9</xdr:col>
      <xdr:colOff>114300</xdr:colOff>
      <xdr:row>2</xdr:row>
      <xdr:rowOff>733425</xdr:rowOff>
    </xdr:to>
    <xdr:grpSp>
      <xdr:nvGrpSpPr>
        <xdr:cNvPr id="139250" name="Group 58"/>
        <xdr:cNvGrpSpPr>
          <a:grpSpLocks noChangeAspect="1"/>
        </xdr:cNvGrpSpPr>
      </xdr:nvGrpSpPr>
      <xdr:grpSpPr bwMode="auto">
        <a:xfrm>
          <a:off x="2314575" y="419100"/>
          <a:ext cx="600075" cy="647700"/>
          <a:chOff x="2990850" y="533400"/>
          <a:chExt cx="847725" cy="923925"/>
        </a:xfrm>
      </xdr:grpSpPr>
      <xdr:sp macro="" textlink="">
        <xdr:nvSpPr>
          <xdr:cNvPr id="139251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2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3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140692" name="Group 39"/>
        <xdr:cNvGrpSpPr>
          <a:grpSpLocks noChangeAspect="1"/>
        </xdr:cNvGrpSpPr>
      </xdr:nvGrpSpPr>
      <xdr:grpSpPr bwMode="auto">
        <a:xfrm>
          <a:off x="1600200" y="904875"/>
          <a:ext cx="590550" cy="647700"/>
          <a:chOff x="1571625" y="533400"/>
          <a:chExt cx="847725" cy="923925"/>
        </a:xfrm>
      </xdr:grpSpPr>
      <xdr:sp macro="" textlink="">
        <xdr:nvSpPr>
          <xdr:cNvPr id="140709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10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140693" name="Group 42"/>
        <xdr:cNvGrpSpPr>
          <a:grpSpLocks noChangeAspect="1"/>
        </xdr:cNvGrpSpPr>
      </xdr:nvGrpSpPr>
      <xdr:grpSpPr bwMode="auto">
        <a:xfrm>
          <a:off x="3124200" y="904875"/>
          <a:ext cx="590550" cy="647700"/>
          <a:chOff x="4391025" y="533400"/>
          <a:chExt cx="847725" cy="923925"/>
        </a:xfrm>
      </xdr:grpSpPr>
      <xdr:sp macro="" textlink="">
        <xdr:nvSpPr>
          <xdr:cNvPr id="140705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6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7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8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140694" name="Group 47"/>
        <xdr:cNvGrpSpPr>
          <a:grpSpLocks noChangeAspect="1"/>
        </xdr:cNvGrpSpPr>
      </xdr:nvGrpSpPr>
      <xdr:grpSpPr bwMode="auto">
        <a:xfrm>
          <a:off x="3886200" y="904875"/>
          <a:ext cx="590550" cy="647700"/>
          <a:chOff x="5810250" y="523875"/>
          <a:chExt cx="847725" cy="923925"/>
        </a:xfrm>
      </xdr:grpSpPr>
      <xdr:sp macro="" textlink="">
        <xdr:nvSpPr>
          <xdr:cNvPr id="140702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3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4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140695" name="Group 51"/>
        <xdr:cNvGrpSpPr>
          <a:grpSpLocks noChangeAspect="1"/>
        </xdr:cNvGrpSpPr>
      </xdr:nvGrpSpPr>
      <xdr:grpSpPr bwMode="auto">
        <a:xfrm>
          <a:off x="4648200" y="904875"/>
          <a:ext cx="600075" cy="647700"/>
          <a:chOff x="7219950" y="533400"/>
          <a:chExt cx="847725" cy="923925"/>
        </a:xfrm>
      </xdr:grpSpPr>
      <xdr:sp macro="" textlink="">
        <xdr:nvSpPr>
          <xdr:cNvPr id="140700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01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140696" name="Group 58"/>
        <xdr:cNvGrpSpPr>
          <a:grpSpLocks noChangeAspect="1"/>
        </xdr:cNvGrpSpPr>
      </xdr:nvGrpSpPr>
      <xdr:grpSpPr bwMode="auto">
        <a:xfrm>
          <a:off x="2362200" y="904875"/>
          <a:ext cx="600075" cy="647700"/>
          <a:chOff x="2990850" y="533400"/>
          <a:chExt cx="847725" cy="923925"/>
        </a:xfrm>
      </xdr:grpSpPr>
      <xdr:sp macro="" textlink="">
        <xdr:nvSpPr>
          <xdr:cNvPr id="140697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98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99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5"/>
  <sheetViews>
    <sheetView showGridLines="0" showRowColHeaders="0" zoomScaleNormal="100" workbookViewId="0">
      <pane ySplit="3" topLeftCell="A4" activePane="bottomLeft" state="frozen"/>
      <selection activeCell="D8" sqref="D8"/>
      <selection pane="bottomLeft" activeCell="I1" sqref="I1"/>
    </sheetView>
  </sheetViews>
  <sheetFormatPr defaultRowHeight="12.75" x14ac:dyDescent="0.2"/>
  <cols>
    <col min="1" max="1" width="12.85546875" style="10" customWidth="1"/>
    <col min="2" max="2" width="5.5703125" style="9" customWidth="1"/>
    <col min="3" max="3" width="24.42578125" style="1" customWidth="1"/>
    <col min="4" max="4" width="5" style="2" bestFit="1" customWidth="1"/>
    <col min="5" max="5" width="10.42578125" style="3" bestFit="1" customWidth="1"/>
    <col min="6" max="6" width="15.42578125" style="3" customWidth="1"/>
    <col min="7" max="7" width="11" style="1" customWidth="1"/>
    <col min="8" max="8" width="4.5703125" style="4" customWidth="1"/>
    <col min="9" max="9" width="4.5703125" style="1" customWidth="1"/>
    <col min="10" max="16384" width="9.140625" style="1"/>
  </cols>
  <sheetData>
    <row r="1" spans="1:15" x14ac:dyDescent="0.2">
      <c r="A1" s="207" t="s">
        <v>179</v>
      </c>
      <c r="B1" s="208"/>
      <c r="C1" s="6"/>
      <c r="D1" s="199"/>
      <c r="E1" s="200"/>
      <c r="G1" s="215"/>
      <c r="H1" s="289" t="s">
        <v>382</v>
      </c>
      <c r="I1" s="209"/>
      <c r="J1" s="6"/>
      <c r="K1" s="6"/>
    </row>
    <row r="2" spans="1:15" x14ac:dyDescent="0.2">
      <c r="A2" s="197"/>
      <c r="B2" s="198"/>
      <c r="C2" s="6"/>
      <c r="D2" s="199"/>
      <c r="E2" s="200"/>
      <c r="F2" s="200"/>
      <c r="G2" s="6"/>
      <c r="H2" s="201"/>
      <c r="I2" s="6"/>
      <c r="J2" s="6"/>
      <c r="K2" s="6"/>
    </row>
    <row r="3" spans="1:15" x14ac:dyDescent="0.2">
      <c r="A3" s="90" t="s">
        <v>0</v>
      </c>
      <c r="B3" s="91" t="s">
        <v>1</v>
      </c>
      <c r="C3" s="92" t="s">
        <v>2</v>
      </c>
      <c r="D3" s="93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2" t="s">
        <v>156</v>
      </c>
    </row>
    <row r="4" spans="1:15" s="5" customFormat="1" x14ac:dyDescent="0.2">
      <c r="A4" s="723" t="s">
        <v>8</v>
      </c>
      <c r="B4" s="724"/>
      <c r="C4" s="196"/>
      <c r="D4" s="196"/>
      <c r="E4" s="196"/>
      <c r="F4" s="196"/>
      <c r="G4" s="196"/>
      <c r="H4" s="205"/>
      <c r="I4" s="206"/>
      <c r="J4" s="196"/>
      <c r="K4" s="196"/>
    </row>
    <row r="5" spans="1:15" s="5" customFormat="1" x14ac:dyDescent="0.2">
      <c r="A5" s="688" t="s">
        <v>9</v>
      </c>
      <c r="B5" s="689" t="s">
        <v>11</v>
      </c>
      <c r="C5" s="690" t="s">
        <v>170</v>
      </c>
      <c r="D5" s="358" t="str">
        <f>HYPERLINK("#'MiV'!G1","MiV")</f>
        <v>MiV</v>
      </c>
      <c r="E5" s="656" t="s">
        <v>12</v>
      </c>
      <c r="F5" s="875" t="str">
        <f>HYPERLINK("http://kaart.delfi.ee/?bookmark=225e5f274dc79e88e106035de3e50b2d","K-Järve petangihall")</f>
        <v>K-Järve petangihall</v>
      </c>
      <c r="G5" s="657" t="s">
        <v>90</v>
      </c>
      <c r="H5" s="658">
        <v>0</v>
      </c>
      <c r="I5" s="659">
        <v>10</v>
      </c>
      <c r="J5" s="196"/>
      <c r="K5" s="196"/>
    </row>
    <row r="6" spans="1:15" s="5" customFormat="1" x14ac:dyDescent="0.2">
      <c r="A6" s="691" t="s">
        <v>10</v>
      </c>
      <c r="B6" s="692" t="s">
        <v>11</v>
      </c>
      <c r="C6" s="693" t="s">
        <v>146</v>
      </c>
      <c r="D6" s="358" t="str">
        <f>HYPERLINK("#'1'!L1","1")</f>
        <v>1</v>
      </c>
      <c r="E6" s="660" t="s">
        <v>12</v>
      </c>
      <c r="F6" s="876" t="str">
        <f>HYPERLINK("http://kaart.delfi.ee/?bookmark=225e5f274dc79e88e106035de3e50b2d","K-Järve petangihall")</f>
        <v>K-Järve petangihall</v>
      </c>
      <c r="G6" s="661" t="s">
        <v>157</v>
      </c>
      <c r="H6" s="662">
        <v>1</v>
      </c>
      <c r="I6" s="663">
        <f>Reit!H41</f>
        <v>15</v>
      </c>
      <c r="J6" s="196"/>
      <c r="K6" s="196"/>
    </row>
    <row r="7" spans="1:15" s="5" customFormat="1" x14ac:dyDescent="0.2">
      <c r="A7" s="900" t="s">
        <v>13</v>
      </c>
      <c r="B7" s="689" t="s">
        <v>11</v>
      </c>
      <c r="C7" s="690" t="s">
        <v>335</v>
      </c>
      <c r="D7" s="383" t="str">
        <f>HYPERLINK("#'As-Eel'!O1","As1")</f>
        <v>As1</v>
      </c>
      <c r="E7" s="656" t="s">
        <v>12</v>
      </c>
      <c r="F7" s="875" t="str">
        <f>HYPERLINK("http://kaart.delfi.ee/?bookmark=225e5f274dc79e88e106035de3e50b2d","K-Järve petangihall")</f>
        <v>K-Järve petangihall</v>
      </c>
      <c r="G7" s="657" t="s">
        <v>157</v>
      </c>
      <c r="H7" s="899">
        <v>1</v>
      </c>
      <c r="I7" s="659">
        <f>'As-Sum'!D25</f>
        <v>15</v>
      </c>
      <c r="J7" s="196"/>
      <c r="K7" s="196"/>
    </row>
    <row r="8" spans="1:15" s="5" customFormat="1" x14ac:dyDescent="0.2">
      <c r="A8" s="900"/>
      <c r="B8" s="818"/>
      <c r="C8" s="819" t="s">
        <v>147</v>
      </c>
      <c r="D8" s="820" t="str">
        <f>HYPERLINK("#'Pl1'!E1","Pl1")</f>
        <v>Pl1</v>
      </c>
      <c r="E8" s="821" t="s">
        <v>12</v>
      </c>
      <c r="F8" s="877" t="str">
        <f>HYPERLINK("http://kaart.delfi.ee/?bookmark=225e5f274dc79e88e106035de3e50b2d","K-Järve petangihall")</f>
        <v>K-Järve petangihall</v>
      </c>
      <c r="G8" s="822" t="s">
        <v>157</v>
      </c>
      <c r="H8" s="899"/>
      <c r="I8" s="823">
        <f>'Pl-Reit'!H25</f>
        <v>15</v>
      </c>
      <c r="J8" s="196"/>
      <c r="K8" s="196"/>
    </row>
    <row r="9" spans="1:15" s="5" customFormat="1" x14ac:dyDescent="0.2">
      <c r="A9" s="723" t="s">
        <v>15</v>
      </c>
      <c r="B9" s="725"/>
      <c r="C9" s="664"/>
      <c r="D9" s="384"/>
      <c r="E9" s="664"/>
      <c r="F9" s="664"/>
      <c r="G9" s="664"/>
      <c r="H9" s="665"/>
      <c r="I9" s="666"/>
      <c r="J9" s="196"/>
      <c r="K9" s="196"/>
    </row>
    <row r="10" spans="1:15" x14ac:dyDescent="0.2">
      <c r="A10" s="691" t="s">
        <v>16</v>
      </c>
      <c r="B10" s="692" t="s">
        <v>11</v>
      </c>
      <c r="C10" s="693" t="s">
        <v>17</v>
      </c>
      <c r="D10" s="358" t="str">
        <f>HYPERLINK("#'2'!J1","2")</f>
        <v>2</v>
      </c>
      <c r="E10" s="660" t="s">
        <v>18</v>
      </c>
      <c r="F10" s="876" t="str">
        <f>HYPERLINK("http://kaart.delfi.ee/?bookmark=225e5f274dc79e88e106035de3e50b2d","K-Järve petangihall")</f>
        <v>K-Järve petangihall</v>
      </c>
      <c r="G10" s="661" t="s">
        <v>157</v>
      </c>
      <c r="H10" s="662">
        <v>1</v>
      </c>
      <c r="I10" s="667">
        <f>Reit!I41</f>
        <v>23</v>
      </c>
      <c r="J10" s="6"/>
      <c r="K10" s="6"/>
    </row>
    <row r="11" spans="1:15" x14ac:dyDescent="0.2">
      <c r="A11" s="839" t="s">
        <v>19</v>
      </c>
      <c r="B11" s="840" t="s">
        <v>11</v>
      </c>
      <c r="C11" s="841" t="s">
        <v>21</v>
      </c>
      <c r="D11" s="385" t="str">
        <f>HYPERLINK("http://www.petanque.ee/index.php?id=103589&amp;cid=405","e2")</f>
        <v>e2</v>
      </c>
      <c r="E11" s="842" t="s">
        <v>18</v>
      </c>
      <c r="F11" s="878" t="str">
        <f>HYPERLINK("http://kaart.delfi.ee/?bookmark=225e5f274dc79e88e106035de3e50b2d","K-Järve petangihall")</f>
        <v>K-Järve petangihall</v>
      </c>
      <c r="G11" s="843" t="s">
        <v>157</v>
      </c>
      <c r="H11" s="844">
        <v>6</v>
      </c>
      <c r="I11" s="845">
        <v>22</v>
      </c>
      <c r="O11" s="6"/>
    </row>
    <row r="12" spans="1:15" x14ac:dyDescent="0.2">
      <c r="A12" s="839" t="s">
        <v>20</v>
      </c>
      <c r="B12" s="840" t="s">
        <v>33</v>
      </c>
      <c r="C12" s="841" t="s">
        <v>21</v>
      </c>
      <c r="D12" s="385" t="str">
        <f>HYPERLINK("http://www.petanque.ee/index.php?id=103589&amp;cid=406","e3")</f>
        <v>e3</v>
      </c>
      <c r="E12" s="842" t="s">
        <v>22</v>
      </c>
      <c r="F12" s="878" t="str">
        <f>HYPERLINK("http://kaart.delfi.ee/?bookmark=225e5f274dc79e88e106035de3e50b2d","K-Järve petangihall")</f>
        <v>K-Järve petangihall</v>
      </c>
      <c r="G12" s="843" t="s">
        <v>157</v>
      </c>
      <c r="H12" s="844">
        <v>6</v>
      </c>
      <c r="I12" s="845">
        <v>27</v>
      </c>
    </row>
    <row r="13" spans="1:15" x14ac:dyDescent="0.2">
      <c r="A13" s="900" t="s">
        <v>23</v>
      </c>
      <c r="B13" s="689" t="s">
        <v>11</v>
      </c>
      <c r="C13" s="690" t="s">
        <v>161</v>
      </c>
      <c r="D13" s="383" t="str">
        <f>HYPERLINK("#'Tul-Eel'!W1","Tul1")</f>
        <v>Tul1</v>
      </c>
      <c r="E13" s="656" t="s">
        <v>14</v>
      </c>
      <c r="F13" s="879" t="str">
        <f>HYPERLINK("http://kaart.delfi.ee/?bookmark=225e5f274dc79e88e106035de3e50b2d","K-Järve petangihall")</f>
        <v>K-Järve petangihall</v>
      </c>
      <c r="G13" s="657" t="s">
        <v>157</v>
      </c>
      <c r="H13" s="899">
        <v>1</v>
      </c>
      <c r="I13" s="667">
        <f>'Tul-Sum'!D21</f>
        <v>12</v>
      </c>
      <c r="J13" s="6"/>
      <c r="K13" s="6"/>
    </row>
    <row r="14" spans="1:15" s="5" customFormat="1" x14ac:dyDescent="0.2">
      <c r="A14" s="900"/>
      <c r="B14" s="818"/>
      <c r="C14" s="819" t="s">
        <v>167</v>
      </c>
      <c r="D14" s="820" t="str">
        <f>HYPERLINK("#'Pl2'!E1","Pl2")</f>
        <v>Pl2</v>
      </c>
      <c r="E14" s="821" t="s">
        <v>171</v>
      </c>
      <c r="F14" s="877" t="str">
        <f>HYPERLINK("http://kaart.delfi.ee/?bookmark=225e5f274dc79e88e106035de3e50b2d","K-Järve petangihall")</f>
        <v>K-Järve petangihall</v>
      </c>
      <c r="G14" s="822" t="s">
        <v>157</v>
      </c>
      <c r="H14" s="899"/>
      <c r="I14" s="823">
        <f>'Pl-Reit'!I25</f>
        <v>13</v>
      </c>
      <c r="J14" s="196"/>
      <c r="K14" s="196"/>
    </row>
    <row r="15" spans="1:15" s="5" customFormat="1" x14ac:dyDescent="0.2">
      <c r="A15" s="723" t="s">
        <v>24</v>
      </c>
      <c r="B15" s="725"/>
      <c r="C15" s="664"/>
      <c r="D15" s="384"/>
      <c r="E15" s="664"/>
      <c r="F15" s="664"/>
      <c r="G15" s="664"/>
      <c r="H15" s="665"/>
      <c r="I15" s="666"/>
      <c r="J15" s="196"/>
      <c r="K15" s="196"/>
    </row>
    <row r="16" spans="1:15" x14ac:dyDescent="0.2">
      <c r="A16" s="694" t="s">
        <v>293</v>
      </c>
      <c r="B16" s="695" t="s">
        <v>11</v>
      </c>
      <c r="C16" s="696" t="s">
        <v>292</v>
      </c>
      <c r="D16" s="386" t="str">
        <f>HYPERLINK("#'AV'!L1","AV")</f>
        <v>AV</v>
      </c>
      <c r="E16" s="668" t="s">
        <v>18</v>
      </c>
      <c r="F16" s="880" t="str">
        <f>HYPERLINK("http://kaart.delfi.ee/?bookmark=225e5f274dc79e88e106035de3e50b2d","K-Järve petangihall")</f>
        <v>K-Järve petangihall</v>
      </c>
      <c r="G16" s="669" t="s">
        <v>157</v>
      </c>
      <c r="H16" s="670">
        <v>2</v>
      </c>
      <c r="I16" s="671">
        <v>12</v>
      </c>
    </row>
    <row r="17" spans="1:11" s="5" customFormat="1" x14ac:dyDescent="0.2">
      <c r="A17" s="896" t="s">
        <v>25</v>
      </c>
      <c r="B17" s="195" t="s">
        <v>11</v>
      </c>
      <c r="C17" s="697" t="s">
        <v>334</v>
      </c>
      <c r="D17" s="387" t="str">
        <f>HYPERLINK("#'As-Eel'!O50","As2")</f>
        <v>As2</v>
      </c>
      <c r="E17" s="672" t="s">
        <v>12</v>
      </c>
      <c r="F17" s="881" t="str">
        <f>HYPERLINK("http://kaart.delfi.ee/?bookmark=225e5f274dc79e88e106035de3e50b2d","K-Järve petangihall")</f>
        <v>K-Järve petangihall</v>
      </c>
      <c r="G17" s="673" t="s">
        <v>157</v>
      </c>
      <c r="H17" s="898">
        <v>1</v>
      </c>
      <c r="I17" s="674">
        <f>'As-Sum'!E25</f>
        <v>12</v>
      </c>
      <c r="J17" s="196"/>
      <c r="K17" s="196"/>
    </row>
    <row r="18" spans="1:11" s="5" customFormat="1" x14ac:dyDescent="0.2">
      <c r="A18" s="896"/>
      <c r="B18" s="824"/>
      <c r="C18" s="825" t="s">
        <v>148</v>
      </c>
      <c r="D18" s="826" t="str">
        <f>HYPERLINK("#'PL3'!E1","Pl3")</f>
        <v>Pl3</v>
      </c>
      <c r="E18" s="827" t="s">
        <v>12</v>
      </c>
      <c r="F18" s="882" t="str">
        <f>HYPERLINK("http://kaart.delfi.ee/?bookmark=225e5f274dc79e88e106035de3e50b2d","K-Järve petangihall")</f>
        <v>K-Järve petangihall</v>
      </c>
      <c r="G18" s="828" t="s">
        <v>157</v>
      </c>
      <c r="H18" s="898"/>
      <c r="I18" s="829">
        <f>'Pl-Reit'!J25</f>
        <v>12</v>
      </c>
      <c r="J18" s="196"/>
      <c r="K18" s="196"/>
    </row>
    <row r="19" spans="1:11" x14ac:dyDescent="0.2">
      <c r="A19" s="698" t="s">
        <v>26</v>
      </c>
      <c r="B19" s="699" t="s">
        <v>11</v>
      </c>
      <c r="C19" s="700" t="s">
        <v>27</v>
      </c>
      <c r="D19" s="387" t="str">
        <f>HYPERLINK("#'3'!J1","3")</f>
        <v>3</v>
      </c>
      <c r="E19" s="675" t="s">
        <v>22</v>
      </c>
      <c r="F19" s="883" t="str">
        <f>HYPERLINK("http://kaart.delfi.ee/?bookmark=225e5f274dc79e88e106035de3e50b2d","K-Järve petangihall")</f>
        <v>K-Järve petangihall</v>
      </c>
      <c r="G19" s="676" t="s">
        <v>157</v>
      </c>
      <c r="H19" s="677">
        <v>1</v>
      </c>
      <c r="I19" s="678">
        <f>Reit!J41</f>
        <v>21</v>
      </c>
      <c r="J19" s="6"/>
      <c r="K19" s="6"/>
    </row>
    <row r="20" spans="1:11" s="5" customFormat="1" x14ac:dyDescent="0.2">
      <c r="A20" s="723" t="s">
        <v>29</v>
      </c>
      <c r="B20" s="725"/>
      <c r="C20" s="664"/>
      <c r="D20" s="384"/>
      <c r="E20" s="664"/>
      <c r="F20" s="664"/>
      <c r="G20" s="664"/>
      <c r="H20" s="665"/>
      <c r="I20" s="666"/>
      <c r="J20" s="196"/>
      <c r="K20" s="196"/>
    </row>
    <row r="21" spans="1:11" x14ac:dyDescent="0.2">
      <c r="A21" s="896" t="s">
        <v>30</v>
      </c>
      <c r="B21" s="195" t="s">
        <v>11</v>
      </c>
      <c r="C21" s="697" t="s">
        <v>160</v>
      </c>
      <c r="D21" s="387" t="str">
        <f>HYPERLINK("#'Tul-Eel'!W36","Tul2")</f>
        <v>Tul2</v>
      </c>
      <c r="E21" s="672" t="s">
        <v>14</v>
      </c>
      <c r="F21" s="884" t="str">
        <f t="shared" ref="F21:F26" si="0">HYPERLINK("http://kaart.delfi.ee/?bookmark=225e5f274dc79e88e106035de3e50b2d","K-Järve petangihall")</f>
        <v>K-Järve petangihall</v>
      </c>
      <c r="G21" s="673" t="s">
        <v>157</v>
      </c>
      <c r="H21" s="898">
        <v>1</v>
      </c>
      <c r="I21" s="679">
        <f>'Tul-Sum'!E21</f>
        <v>13</v>
      </c>
      <c r="J21" s="6"/>
    </row>
    <row r="22" spans="1:11" s="5" customFormat="1" x14ac:dyDescent="0.2">
      <c r="A22" s="896"/>
      <c r="B22" s="824"/>
      <c r="C22" s="825" t="s">
        <v>168</v>
      </c>
      <c r="D22" s="826" t="str">
        <f>HYPERLINK("#'Pl4'!E1","Pl4")</f>
        <v>Pl4</v>
      </c>
      <c r="E22" s="827" t="s">
        <v>171</v>
      </c>
      <c r="F22" s="882" t="str">
        <f t="shared" si="0"/>
        <v>K-Järve petangihall</v>
      </c>
      <c r="G22" s="828" t="s">
        <v>157</v>
      </c>
      <c r="H22" s="898"/>
      <c r="I22" s="829">
        <f>'Pl-Reit'!K25</f>
        <v>15</v>
      </c>
      <c r="J22" s="196"/>
    </row>
    <row r="23" spans="1:11" x14ac:dyDescent="0.2">
      <c r="A23" s="831" t="s">
        <v>31</v>
      </c>
      <c r="B23" s="832" t="s">
        <v>11</v>
      </c>
      <c r="C23" s="846" t="s">
        <v>442</v>
      </c>
      <c r="D23" s="388" t="str">
        <f>HYPERLINK("http://www.petanque.ee/index.php?id=103589&amp;cid=409","e6")</f>
        <v>e6</v>
      </c>
      <c r="E23" s="833" t="s">
        <v>18</v>
      </c>
      <c r="F23" s="885" t="str">
        <f t="shared" si="0"/>
        <v>K-Järve petangihall</v>
      </c>
      <c r="G23" s="834" t="s">
        <v>157</v>
      </c>
      <c r="H23" s="835">
        <v>6</v>
      </c>
      <c r="I23" s="836">
        <v>37</v>
      </c>
    </row>
    <row r="24" spans="1:11" x14ac:dyDescent="0.2">
      <c r="A24" s="831" t="s">
        <v>32</v>
      </c>
      <c r="B24" s="832" t="s">
        <v>33</v>
      </c>
      <c r="C24" s="837" t="s">
        <v>21</v>
      </c>
      <c r="D24" s="388" t="str">
        <f>HYPERLINK("http://www.petanque.ee/index.php?id=103589&amp;cid=410","e7")</f>
        <v>e7</v>
      </c>
      <c r="E24" s="833" t="s">
        <v>22</v>
      </c>
      <c r="F24" s="885" t="str">
        <f t="shared" si="0"/>
        <v>K-Järve petangihall</v>
      </c>
      <c r="G24" s="834" t="s">
        <v>157</v>
      </c>
      <c r="H24" s="835">
        <v>6</v>
      </c>
      <c r="I24" s="836">
        <v>30</v>
      </c>
    </row>
    <row r="25" spans="1:11" x14ac:dyDescent="0.2">
      <c r="A25" s="701" t="s">
        <v>28</v>
      </c>
      <c r="B25" s="702" t="s">
        <v>11</v>
      </c>
      <c r="C25" s="857" t="s">
        <v>452</v>
      </c>
      <c r="D25" s="852" t="str">
        <f>HYPERLINK("#Sõ!H1","Sõ")</f>
        <v>Sõ</v>
      </c>
      <c r="E25" s="680" t="s">
        <v>337</v>
      </c>
      <c r="F25" s="886" t="str">
        <f t="shared" si="0"/>
        <v>K-Järve petangihall</v>
      </c>
      <c r="G25" s="681" t="s">
        <v>157</v>
      </c>
      <c r="H25" s="682" t="s">
        <v>58</v>
      </c>
      <c r="I25" s="683"/>
    </row>
    <row r="26" spans="1:11" x14ac:dyDescent="0.2">
      <c r="A26" s="698" t="s">
        <v>34</v>
      </c>
      <c r="B26" s="699" t="s">
        <v>11</v>
      </c>
      <c r="C26" s="700" t="s">
        <v>35</v>
      </c>
      <c r="D26" s="359" t="str">
        <f>HYPERLINK("#'4'!L1","4")</f>
        <v>4</v>
      </c>
      <c r="E26" s="675" t="s">
        <v>12</v>
      </c>
      <c r="F26" s="883" t="str">
        <f t="shared" si="0"/>
        <v>K-Järve petangihall</v>
      </c>
      <c r="G26" s="676" t="s">
        <v>157</v>
      </c>
      <c r="H26" s="677">
        <v>1</v>
      </c>
      <c r="I26" s="678">
        <f>Reit!K41</f>
        <v>15</v>
      </c>
      <c r="J26" s="6"/>
    </row>
    <row r="27" spans="1:11" s="5" customFormat="1" x14ac:dyDescent="0.2">
      <c r="A27" s="723" t="s">
        <v>36</v>
      </c>
      <c r="B27" s="725"/>
      <c r="C27" s="664"/>
      <c r="D27" s="384"/>
      <c r="E27" s="664"/>
      <c r="F27" s="664"/>
      <c r="G27" s="664"/>
      <c r="H27" s="665"/>
      <c r="I27" s="666"/>
      <c r="J27" s="196"/>
    </row>
    <row r="28" spans="1:11" s="5" customFormat="1" hidden="1" x14ac:dyDescent="0.2">
      <c r="A28" s="703" t="s">
        <v>37</v>
      </c>
      <c r="B28" s="704"/>
      <c r="C28" s="684" t="s">
        <v>158</v>
      </c>
      <c r="D28" s="389"/>
      <c r="E28" s="684"/>
      <c r="F28" s="684"/>
      <c r="G28" s="684"/>
      <c r="H28" s="685"/>
      <c r="I28" s="686"/>
      <c r="J28" s="196"/>
    </row>
    <row r="29" spans="1:11" x14ac:dyDescent="0.2">
      <c r="A29" s="896" t="s">
        <v>38</v>
      </c>
      <c r="B29" s="195" t="s">
        <v>11</v>
      </c>
      <c r="C29" s="697" t="s">
        <v>333</v>
      </c>
      <c r="D29" s="387" t="str">
        <f>HYPERLINK("#'As-Eel'!O68","As3")</f>
        <v>As3</v>
      </c>
      <c r="E29" s="672" t="s">
        <v>12</v>
      </c>
      <c r="F29" s="881" t="str">
        <f>HYPERLINK("http://kaart.delfi.ee/?bookmark=225e5f274dc79e88e106035de3e50b2d","K-Järve petangihall")</f>
        <v>K-Järve petangihall</v>
      </c>
      <c r="G29" s="673" t="s">
        <v>157</v>
      </c>
      <c r="H29" s="898">
        <v>1</v>
      </c>
      <c r="I29" s="679">
        <f>'As-Sum'!F25</f>
        <v>13</v>
      </c>
      <c r="J29" s="6"/>
    </row>
    <row r="30" spans="1:11" s="5" customFormat="1" x14ac:dyDescent="0.2">
      <c r="A30" s="896"/>
      <c r="B30" s="824"/>
      <c r="C30" s="825" t="s">
        <v>149</v>
      </c>
      <c r="D30" s="826" t="str">
        <f>HYPERLINK("#'Pl5'!E1","Pl5")</f>
        <v>Pl5</v>
      </c>
      <c r="E30" s="827" t="s">
        <v>12</v>
      </c>
      <c r="F30" s="882" t="str">
        <f>HYPERLINK("http://kaart.delfi.ee/?bookmark=225e5f274dc79e88e106035de3e50b2d","K-Järve petangihall")</f>
        <v>K-Järve petangihall</v>
      </c>
      <c r="G30" s="828" t="s">
        <v>157</v>
      </c>
      <c r="H30" s="898"/>
      <c r="I30" s="829">
        <f>'Pl-Reit'!L25</f>
        <v>13</v>
      </c>
      <c r="J30" s="196"/>
    </row>
    <row r="31" spans="1:11" s="6" customFormat="1" x14ac:dyDescent="0.2">
      <c r="A31" s="698" t="s">
        <v>39</v>
      </c>
      <c r="B31" s="699" t="s">
        <v>11</v>
      </c>
      <c r="C31" s="700" t="s">
        <v>40</v>
      </c>
      <c r="D31" s="359" t="str">
        <f>HYPERLINK("#'5'!K1","5")</f>
        <v>5</v>
      </c>
      <c r="E31" s="675" t="s">
        <v>18</v>
      </c>
      <c r="F31" s="883" t="str">
        <f>HYPERLINK("http://kaart.delfi.ee/?bookmark=225e5f274dc79e88e106035de3e50b2d","K-Järve petangihall")</f>
        <v>K-Järve petangihall</v>
      </c>
      <c r="G31" s="676" t="s">
        <v>157</v>
      </c>
      <c r="H31" s="677">
        <v>1</v>
      </c>
      <c r="I31" s="678">
        <f>Reit!L41</f>
        <v>21</v>
      </c>
    </row>
    <row r="32" spans="1:11" s="5" customFormat="1" x14ac:dyDescent="0.2">
      <c r="A32" s="723" t="s">
        <v>42</v>
      </c>
      <c r="B32" s="725"/>
      <c r="C32" s="664"/>
      <c r="D32" s="384"/>
      <c r="E32" s="664"/>
      <c r="F32" s="664"/>
      <c r="G32" s="664"/>
      <c r="H32" s="665"/>
      <c r="I32" s="666"/>
      <c r="J32" s="196"/>
    </row>
    <row r="33" spans="1:14" x14ac:dyDescent="0.2">
      <c r="A33" s="896" t="s">
        <v>43</v>
      </c>
      <c r="B33" s="195" t="s">
        <v>11</v>
      </c>
      <c r="C33" s="697" t="s">
        <v>159</v>
      </c>
      <c r="D33" s="387" t="str">
        <f>HYPERLINK("#'Tul-Eel'!W55","Tul3")</f>
        <v>Tul3</v>
      </c>
      <c r="E33" s="672" t="s">
        <v>14</v>
      </c>
      <c r="F33" s="881" t="str">
        <f>HYPERLINK("http://kaart.delfi.ee/?bookmark=225e5f274dc79e88e106035de3e50b2d","K-Järve petangihall")</f>
        <v>K-Järve petangihall</v>
      </c>
      <c r="G33" s="673" t="s">
        <v>157</v>
      </c>
      <c r="H33" s="898">
        <v>1</v>
      </c>
      <c r="I33" s="679">
        <f>'Tul-Sum'!F21</f>
        <v>10</v>
      </c>
      <c r="J33" s="6"/>
    </row>
    <row r="34" spans="1:14" s="5" customFormat="1" x14ac:dyDescent="0.2">
      <c r="A34" s="896"/>
      <c r="B34" s="824"/>
      <c r="C34" s="825" t="s">
        <v>169</v>
      </c>
      <c r="D34" s="826" t="str">
        <f>HYPERLINK("#'Pl6'!E1","Pl6")</f>
        <v>Pl6</v>
      </c>
      <c r="E34" s="827" t="s">
        <v>171</v>
      </c>
      <c r="F34" s="882" t="str">
        <f>HYPERLINK("http://kaart.delfi.ee/?bookmark=225e5f274dc79e88e106035de3e50b2d","K-Järve petangihall")</f>
        <v>K-Järve petangihall</v>
      </c>
      <c r="G34" s="828" t="s">
        <v>157</v>
      </c>
      <c r="H34" s="898"/>
      <c r="I34" s="829">
        <f>'Pl-Reit'!M25</f>
        <v>12</v>
      </c>
      <c r="J34" s="196"/>
    </row>
    <row r="35" spans="1:14" ht="12.75" customHeight="1" x14ac:dyDescent="0.2">
      <c r="A35" s="698" t="s">
        <v>44</v>
      </c>
      <c r="B35" s="699" t="s">
        <v>11</v>
      </c>
      <c r="C35" s="700" t="s">
        <v>46</v>
      </c>
      <c r="D35" s="387" t="str">
        <f>HYPERLINK("#'6'!I1","6")</f>
        <v>6</v>
      </c>
      <c r="E35" s="675" t="s">
        <v>22</v>
      </c>
      <c r="F35" s="883" t="str">
        <f>HYPERLINK("http://kaart.delfi.ee/?bookmark=225e5f274dc79e88e106035de3e50b2d","K-Järve petangihall")</f>
        <v>K-Järve petangihall</v>
      </c>
      <c r="G35" s="676" t="s">
        <v>157</v>
      </c>
      <c r="H35" s="677">
        <v>1</v>
      </c>
      <c r="I35" s="678">
        <f>Reit!M41</f>
        <v>15</v>
      </c>
      <c r="J35" s="6"/>
    </row>
    <row r="36" spans="1:14" s="5" customFormat="1" x14ac:dyDescent="0.2">
      <c r="A36" s="897" t="s">
        <v>45</v>
      </c>
      <c r="B36" s="195" t="s">
        <v>11</v>
      </c>
      <c r="C36" s="705" t="s">
        <v>162</v>
      </c>
      <c r="D36" s="387" t="str">
        <f>HYPERLINK("#'Tul-Fin'!W1","Tul-F")</f>
        <v>Tul-F</v>
      </c>
      <c r="E36" s="672" t="s">
        <v>14</v>
      </c>
      <c r="F36" s="881" t="str">
        <f>HYPERLINK("http://kaart.delfi.ee/?bookmark=225e5f274dc79e88e106035de3e50b2d","K-Järve petangihall")</f>
        <v>K-Järve petangihall</v>
      </c>
      <c r="G36" s="673" t="s">
        <v>157</v>
      </c>
      <c r="H36" s="687" t="s">
        <v>58</v>
      </c>
      <c r="I36" s="674">
        <v>7</v>
      </c>
      <c r="J36" s="196"/>
      <c r="K36" s="196"/>
      <c r="L36" s="196"/>
      <c r="M36" s="196"/>
      <c r="N36" s="196"/>
    </row>
    <row r="37" spans="1:14" s="5" customFormat="1" x14ac:dyDescent="0.2">
      <c r="A37" s="897"/>
      <c r="B37" s="195"/>
      <c r="C37" s="705" t="s">
        <v>284</v>
      </c>
      <c r="D37" s="387" t="str">
        <f>HYPERLINK("#'As-Fin'!O1","As-F")</f>
        <v>As-F</v>
      </c>
      <c r="E37" s="672" t="s">
        <v>12</v>
      </c>
      <c r="F37" s="881" t="str">
        <f>HYPERLINK("http://kaart.delfi.ee/?bookmark=225e5f274dc79e88e106035de3e50b2d","K-Järve petangihall")</f>
        <v>K-Järve petangihall</v>
      </c>
      <c r="G37" s="673" t="s">
        <v>157</v>
      </c>
      <c r="H37" s="687" t="s">
        <v>58</v>
      </c>
      <c r="I37" s="674">
        <v>8</v>
      </c>
      <c r="J37" s="196"/>
      <c r="K37" s="196"/>
      <c r="L37" s="196"/>
      <c r="M37" s="196"/>
      <c r="N37" s="196"/>
    </row>
    <row r="38" spans="1:14" x14ac:dyDescent="0.2">
      <c r="A38" s="360"/>
      <c r="B38" s="198"/>
      <c r="C38" s="6"/>
      <c r="D38" s="199"/>
      <c r="E38" s="200"/>
      <c r="F38" s="200"/>
      <c r="G38" s="6"/>
      <c r="H38" s="201"/>
      <c r="I38" s="6"/>
      <c r="J38" s="6"/>
      <c r="K38" s="6"/>
      <c r="L38" s="6"/>
      <c r="M38" s="6"/>
      <c r="N38" s="6"/>
    </row>
    <row r="39" spans="1:14" s="123" customFormat="1" x14ac:dyDescent="0.2">
      <c r="A39" s="382" t="s">
        <v>409</v>
      </c>
      <c r="B39" s="382"/>
      <c r="C39" s="382"/>
      <c r="D39" s="382"/>
      <c r="E39" s="298"/>
      <c r="F39" s="298"/>
      <c r="G39" s="1"/>
      <c r="H39" s="1"/>
      <c r="I39" s="1"/>
      <c r="K39" s="298"/>
    </row>
    <row r="40" spans="1:14" customFormat="1" x14ac:dyDescent="0.2">
      <c r="A40" s="203" t="s">
        <v>439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customFormat="1" x14ac:dyDescent="0.2">
      <c r="A41" s="381" t="s">
        <v>440</v>
      </c>
      <c r="B41" s="830"/>
      <c r="C41" s="830"/>
      <c r="D41" s="830"/>
      <c r="E41" s="830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customFormat="1" x14ac:dyDescent="0.2">
      <c r="A42" s="204" t="s">
        <v>410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s="210" customFormat="1" x14ac:dyDescent="0.2">
      <c r="A43" s="282" t="s">
        <v>411</v>
      </c>
    </row>
    <row r="44" spans="1:14" customFormat="1" x14ac:dyDescent="0.2">
      <c r="A44" s="838" t="s">
        <v>330</v>
      </c>
      <c r="B44" s="378"/>
      <c r="C44" s="378"/>
      <c r="D44" s="378"/>
      <c r="E44" s="202"/>
      <c r="F44" s="202"/>
      <c r="G44" s="202"/>
      <c r="H44" s="202"/>
      <c r="I44" s="202"/>
      <c r="J44" s="202"/>
      <c r="K44" s="202"/>
      <c r="L44" s="202"/>
      <c r="M44" s="202"/>
      <c r="N44" s="202"/>
    </row>
    <row r="45" spans="1:14" customFormat="1" x14ac:dyDescent="0.2">
      <c r="A45" s="115" t="s">
        <v>47</v>
      </c>
    </row>
  </sheetData>
  <sheetProtection selectLockedCells="1" selectUnlockedCells="1"/>
  <mergeCells count="13">
    <mergeCell ref="H17:H18"/>
    <mergeCell ref="H7:H8"/>
    <mergeCell ref="H13:H14"/>
    <mergeCell ref="A7:A8"/>
    <mergeCell ref="A13:A14"/>
    <mergeCell ref="A17:A18"/>
    <mergeCell ref="A21:A22"/>
    <mergeCell ref="A29:A30"/>
    <mergeCell ref="A33:A34"/>
    <mergeCell ref="A36:A37"/>
    <mergeCell ref="H33:H34"/>
    <mergeCell ref="H29:H30"/>
    <mergeCell ref="H21:H22"/>
  </mergeCells>
  <conditionalFormatting sqref="I13:I14 I5:I10 I16:I22 I25:I37">
    <cfRule type="top10" dxfId="269" priority="401" stopIfTrue="1" rank="1"/>
  </conditionalFormatting>
  <pageMargins left="0.59055118110236227" right="0.39370078740157483" top="0.78740157480314965" bottom="0.39370078740157483" header="0.59055118110236227" footer="0"/>
  <pageSetup paperSize="9" firstPageNumber="0" fitToHeight="0" orientation="portrait" horizontalDpi="300" verticalDpi="300" r:id="rId1"/>
  <headerFooter alignWithMargins="0"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1"/>
  <sheetViews>
    <sheetView showGridLines="0" showRowColHeaders="0" tabSelected="1" zoomScaleNormal="100" workbookViewId="0">
      <pane ySplit="3" topLeftCell="A4" activePane="bottomLeft" state="frozen"/>
      <selection activeCell="D8" sqref="D8"/>
      <selection pane="bottomLeft" activeCell="N1" sqref="N1"/>
    </sheetView>
  </sheetViews>
  <sheetFormatPr defaultRowHeight="12.75" x14ac:dyDescent="0.2"/>
  <cols>
    <col min="1" max="1" width="12.7109375" style="12" customWidth="1"/>
    <col min="2" max="2" width="3" style="12" bestFit="1" customWidth="1"/>
    <col min="3" max="3" width="3" style="12" customWidth="1"/>
    <col min="4" max="4" width="3" style="12" bestFit="1" customWidth="1"/>
    <col min="5" max="5" width="12" style="13" customWidth="1"/>
    <col min="6" max="6" width="3" style="13" bestFit="1" customWidth="1"/>
    <col min="7" max="7" width="8.7109375" style="12" customWidth="1"/>
    <col min="8" max="8" width="3" style="12" bestFit="1" customWidth="1"/>
    <col min="9" max="9" width="3.5703125" style="12" customWidth="1"/>
    <col min="10" max="10" width="3" style="12" bestFit="1" customWidth="1"/>
    <col min="11" max="11" width="19" style="12" bestFit="1" customWidth="1"/>
    <col min="12" max="12" width="3" style="12" bestFit="1" customWidth="1"/>
    <col min="13" max="13" width="19" style="12" bestFit="1" customWidth="1"/>
    <col min="14" max="14" width="3" style="13" bestFit="1" customWidth="1"/>
    <col min="15" max="15" width="9.140625" style="12"/>
    <col min="16" max="16" width="9.140625" style="8"/>
    <col min="17" max="16384" width="9.140625" style="12"/>
  </cols>
  <sheetData>
    <row r="1" spans="1:16" x14ac:dyDescent="0.2">
      <c r="A1" s="11" t="s">
        <v>178</v>
      </c>
      <c r="B1" s="7"/>
      <c r="M1" s="289" t="s">
        <v>382</v>
      </c>
      <c r="N1" s="12"/>
    </row>
    <row r="2" spans="1:16" ht="13.5" thickBot="1" x14ac:dyDescent="0.25"/>
    <row r="3" spans="1:16" ht="13.5" thickBot="1" x14ac:dyDescent="0.25">
      <c r="A3" s="286" t="s">
        <v>48</v>
      </c>
      <c r="B3" s="287"/>
      <c r="C3" s="88" t="s">
        <v>49</v>
      </c>
      <c r="D3" s="287"/>
      <c r="E3" s="286" t="s">
        <v>50</v>
      </c>
      <c r="F3" s="287"/>
      <c r="G3" s="286" t="s">
        <v>51</v>
      </c>
      <c r="H3" s="287"/>
      <c r="I3" s="901" t="s">
        <v>52</v>
      </c>
      <c r="J3" s="902"/>
      <c r="K3" s="286" t="s">
        <v>53</v>
      </c>
      <c r="L3" s="287"/>
      <c r="M3" s="286" t="s">
        <v>54</v>
      </c>
      <c r="N3" s="89"/>
    </row>
    <row r="4" spans="1:16" s="17" customFormat="1" ht="13.5" thickBot="1" x14ac:dyDescent="0.25">
      <c r="A4" s="332" t="s">
        <v>8</v>
      </c>
      <c r="B4" s="333"/>
      <c r="C4" s="14"/>
      <c r="D4" s="14"/>
      <c r="E4" s="15"/>
      <c r="F4" s="15"/>
      <c r="G4" s="14"/>
      <c r="H4" s="14"/>
      <c r="I4" s="14"/>
      <c r="J4" s="16"/>
      <c r="K4" s="14"/>
      <c r="L4" s="14"/>
      <c r="M4" s="16"/>
      <c r="N4" s="15"/>
    </row>
    <row r="5" spans="1:16" s="13" customFormat="1" x14ac:dyDescent="0.2">
      <c r="A5" s="18"/>
      <c r="B5" s="19"/>
      <c r="C5" s="18"/>
      <c r="D5" s="19"/>
      <c r="E5" s="18"/>
      <c r="F5" s="19"/>
      <c r="G5" s="18"/>
      <c r="H5" s="19"/>
      <c r="I5" s="19"/>
      <c r="J5" s="19"/>
      <c r="K5" s="18"/>
      <c r="L5" s="25"/>
      <c r="M5" s="28"/>
      <c r="N5" s="808">
        <v>1</v>
      </c>
      <c r="P5" s="7"/>
    </row>
    <row r="6" spans="1:16" ht="13.5" thickBot="1" x14ac:dyDescent="0.25">
      <c r="A6" s="21"/>
      <c r="B6" s="22"/>
      <c r="C6" s="21"/>
      <c r="D6" s="22"/>
      <c r="E6" s="21"/>
      <c r="F6" s="22"/>
      <c r="G6" s="21"/>
      <c r="H6" s="22"/>
      <c r="I6" s="22"/>
      <c r="J6" s="45"/>
      <c r="K6" s="21"/>
      <c r="L6" s="35"/>
      <c r="M6" s="34"/>
      <c r="N6" s="35"/>
    </row>
    <row r="7" spans="1:16" s="290" customFormat="1" x14ac:dyDescent="0.2">
      <c r="A7" s="787" t="str">
        <f>HYPERLINK("http://fipjp.org/index.php/en/world-championships-youth","Juunioride MM,")</f>
        <v>Juunioride MM,</v>
      </c>
      <c r="B7" s="809">
        <v>2</v>
      </c>
      <c r="C7" s="790" t="s">
        <v>55</v>
      </c>
      <c r="D7" s="809">
        <v>3</v>
      </c>
      <c r="E7" s="20"/>
      <c r="F7" s="809">
        <v>4</v>
      </c>
      <c r="G7" s="792" t="str">
        <f>HYPERLINK("https://www.facebook.com/fipjp.petanquefederation.page/","Naiste MM, ")</f>
        <v xml:space="preserve">Naiste MM, </v>
      </c>
      <c r="H7" s="809">
        <v>5</v>
      </c>
      <c r="I7" s="790" t="s">
        <v>172</v>
      </c>
      <c r="J7" s="809">
        <v>6</v>
      </c>
      <c r="K7" s="795" t="s">
        <v>173</v>
      </c>
      <c r="L7" s="809">
        <v>7</v>
      </c>
      <c r="M7" s="323" t="str">
        <f>HYPERLINK("#'MiV'!G1","Mitmevõistlus")</f>
        <v>Mitmevõistlus</v>
      </c>
      <c r="N7" s="810">
        <v>8</v>
      </c>
      <c r="P7" s="310"/>
    </row>
    <row r="8" spans="1:16" s="290" customFormat="1" x14ac:dyDescent="0.2">
      <c r="A8" s="788" t="s">
        <v>56</v>
      </c>
      <c r="B8" s="23"/>
      <c r="C8" s="788" t="s">
        <v>56</v>
      </c>
      <c r="D8" s="23"/>
      <c r="E8" s="24"/>
      <c r="F8" s="23"/>
      <c r="G8" s="793" t="str">
        <f>HYPERLINK("http://fipjp.org/index.php/en/world-championships-women","TRIO, TUL")</f>
        <v>TRIO, TUL</v>
      </c>
      <c r="H8" s="23"/>
      <c r="I8" s="794" t="s">
        <v>56</v>
      </c>
      <c r="J8" s="23"/>
      <c r="K8" s="796" t="s">
        <v>56</v>
      </c>
      <c r="L8" s="23"/>
      <c r="M8" s="324" t="s">
        <v>82</v>
      </c>
      <c r="N8" s="320"/>
      <c r="P8" s="310"/>
    </row>
    <row r="9" spans="1:16" s="290" customFormat="1" ht="13.5" thickBot="1" x14ac:dyDescent="0.25">
      <c r="A9" s="789" t="s">
        <v>57</v>
      </c>
      <c r="B9" s="130"/>
      <c r="C9" s="791" t="s">
        <v>57</v>
      </c>
      <c r="D9" s="130"/>
      <c r="E9" s="291"/>
      <c r="F9" s="130"/>
      <c r="G9" s="789" t="s">
        <v>57</v>
      </c>
      <c r="H9" s="130"/>
      <c r="I9" s="789" t="s">
        <v>59</v>
      </c>
      <c r="J9" s="130"/>
      <c r="K9" s="789" t="s">
        <v>57</v>
      </c>
      <c r="L9" s="130"/>
      <c r="M9" s="887" t="str">
        <f>HYPERLINK("http://kaart.delfi.ee/?bookmark=225e5f274dc79e88e106035de3e50b2d","K-Järve petangihall")</f>
        <v>K-Järve petangihall</v>
      </c>
      <c r="N9" s="321"/>
      <c r="P9" s="310"/>
    </row>
    <row r="10" spans="1:16" s="13" customFormat="1" x14ac:dyDescent="0.2">
      <c r="A10" s="132"/>
      <c r="B10" s="811">
        <v>9</v>
      </c>
      <c r="C10" s="131"/>
      <c r="D10" s="811">
        <v>10</v>
      </c>
      <c r="E10" s="132"/>
      <c r="F10" s="811">
        <v>11</v>
      </c>
      <c r="G10" s="133"/>
      <c r="H10" s="811">
        <v>12</v>
      </c>
      <c r="I10" s="292"/>
      <c r="J10" s="811">
        <v>13</v>
      </c>
      <c r="K10" s="132"/>
      <c r="L10" s="811">
        <v>14</v>
      </c>
      <c r="M10" s="345" t="str">
        <f>HYPERLINK("#'1'!L1","SHK KV 1. etapp, ")</f>
        <v xml:space="preserve">SHK KV 1. etapp, </v>
      </c>
      <c r="N10" s="811">
        <v>15</v>
      </c>
      <c r="P10" s="7"/>
    </row>
    <row r="11" spans="1:16" s="13" customFormat="1" x14ac:dyDescent="0.2">
      <c r="A11" s="24"/>
      <c r="B11" s="318"/>
      <c r="C11" s="18"/>
      <c r="D11" s="26"/>
      <c r="E11" s="24"/>
      <c r="F11" s="318"/>
      <c r="G11" s="27"/>
      <c r="H11" s="26"/>
      <c r="I11" s="40"/>
      <c r="J11" s="26"/>
      <c r="K11" s="24"/>
      <c r="L11" s="318"/>
      <c r="M11" s="346" t="s">
        <v>82</v>
      </c>
      <c r="N11" s="347"/>
      <c r="P11" s="7"/>
    </row>
    <row r="12" spans="1:16" ht="13.5" thickBot="1" x14ac:dyDescent="0.25">
      <c r="A12" s="24"/>
      <c r="B12" s="318"/>
      <c r="C12" s="18"/>
      <c r="D12" s="26"/>
      <c r="E12" s="24"/>
      <c r="F12" s="318"/>
      <c r="G12" s="27"/>
      <c r="H12" s="26"/>
      <c r="I12" s="293"/>
      <c r="J12" s="26"/>
      <c r="K12" s="24"/>
      <c r="L12" s="35"/>
      <c r="M12" s="888" t="str">
        <f>HYPERLINK("http://kaart.delfi.ee/?bookmark=225e5f274dc79e88e106035de3e50b2d","K-Järve petangihall")</f>
        <v>K-Järve petangihall</v>
      </c>
      <c r="N12" s="347"/>
    </row>
    <row r="13" spans="1:16" s="13" customFormat="1" x14ac:dyDescent="0.2">
      <c r="A13" s="28"/>
      <c r="B13" s="808">
        <v>16</v>
      </c>
      <c r="C13" s="29"/>
      <c r="D13" s="808">
        <v>17</v>
      </c>
      <c r="E13" s="30"/>
      <c r="F13" s="808">
        <v>18</v>
      </c>
      <c r="G13" s="31"/>
      <c r="H13" s="808">
        <v>19</v>
      </c>
      <c r="I13" s="44"/>
      <c r="J13" s="808">
        <v>20</v>
      </c>
      <c r="K13" s="28"/>
      <c r="L13" s="808">
        <v>21</v>
      </c>
      <c r="M13" s="325" t="str">
        <f>HYPERLINK("#'As-Eel'!O1","Asetamise")</f>
        <v>Asetamise</v>
      </c>
      <c r="N13" s="808">
        <v>22</v>
      </c>
      <c r="P13" s="7"/>
    </row>
    <row r="14" spans="1:16" s="13" customFormat="1" x14ac:dyDescent="0.2">
      <c r="A14" s="24"/>
      <c r="B14" s="318"/>
      <c r="C14" s="18"/>
      <c r="D14" s="318"/>
      <c r="E14" s="32"/>
      <c r="F14" s="26"/>
      <c r="G14" s="27"/>
      <c r="H14" s="26"/>
      <c r="I14" s="40"/>
      <c r="J14" s="26"/>
      <c r="K14" s="24"/>
      <c r="L14" s="318"/>
      <c r="M14" s="331" t="s">
        <v>332</v>
      </c>
      <c r="N14" s="312"/>
      <c r="P14" s="7"/>
    </row>
    <row r="15" spans="1:16" s="13" customFormat="1" x14ac:dyDescent="0.2">
      <c r="A15" s="24"/>
      <c r="B15" s="318"/>
      <c r="C15" s="18"/>
      <c r="D15" s="318"/>
      <c r="E15" s="32"/>
      <c r="F15" s="26"/>
      <c r="G15" s="27"/>
      <c r="H15" s="26"/>
      <c r="I15" s="40"/>
      <c r="J15" s="26"/>
      <c r="K15" s="24"/>
      <c r="L15" s="318"/>
      <c r="M15" s="355" t="str">
        <f>HYPERLINK("#'Pl1'!E1","Pliks-plaks 1, ")</f>
        <v xml:space="preserve">Pliks-plaks 1, </v>
      </c>
      <c r="N15" s="336"/>
      <c r="P15" s="7"/>
    </row>
    <row r="16" spans="1:16" s="13" customFormat="1" x14ac:dyDescent="0.2">
      <c r="A16" s="24"/>
      <c r="B16" s="318"/>
      <c r="C16" s="18"/>
      <c r="D16" s="318"/>
      <c r="E16" s="32"/>
      <c r="F16" s="26"/>
      <c r="G16" s="27"/>
      <c r="H16" s="26"/>
      <c r="I16" s="40"/>
      <c r="J16" s="26"/>
      <c r="K16" s="24"/>
      <c r="L16" s="318"/>
      <c r="M16" s="356" t="s">
        <v>82</v>
      </c>
      <c r="N16" s="354"/>
      <c r="P16" s="7"/>
    </row>
    <row r="17" spans="1:16" ht="13.5" thickBot="1" x14ac:dyDescent="0.25">
      <c r="A17" s="24"/>
      <c r="B17" s="318"/>
      <c r="C17" s="18"/>
      <c r="D17" s="318"/>
      <c r="E17" s="32"/>
      <c r="F17" s="26"/>
      <c r="G17" s="27"/>
      <c r="H17" s="26"/>
      <c r="I17" s="27"/>
      <c r="J17" s="26"/>
      <c r="K17" s="24"/>
      <c r="L17" s="318"/>
      <c r="M17" s="889" t="str">
        <f>HYPERLINK("http://kaart.delfi.ee/?bookmark=225e5f274dc79e88e106035de3e50b2d","K-Järve petangihall")</f>
        <v>K-Järve petangihall</v>
      </c>
      <c r="N17" s="337"/>
    </row>
    <row r="18" spans="1:16" s="13" customFormat="1" x14ac:dyDescent="0.2">
      <c r="A18" s="28"/>
      <c r="B18" s="808">
        <v>23</v>
      </c>
      <c r="C18" s="29"/>
      <c r="D18" s="808">
        <v>24</v>
      </c>
      <c r="E18" s="30"/>
      <c r="F18" s="808">
        <v>25</v>
      </c>
      <c r="G18" s="31"/>
      <c r="H18" s="808">
        <v>26</v>
      </c>
      <c r="I18" s="295"/>
      <c r="J18" s="808">
        <v>27</v>
      </c>
      <c r="K18" s="309" t="str">
        <f>HYPERLINK("http://www.petanque.ee/index.php?id=103589&amp;cid=403","Eesti reiting ")</f>
        <v xml:space="preserve">Eesti reiting </v>
      </c>
      <c r="L18" s="808">
        <v>28</v>
      </c>
      <c r="M18" s="326" t="str">
        <f>HYPERLINK("http://www.petanque.ee/index.php?id=103589&amp;cid=404","Eesti reiting ")</f>
        <v xml:space="preserve">Eesti reiting </v>
      </c>
      <c r="N18" s="812">
        <v>29</v>
      </c>
      <c r="P18" s="7"/>
    </row>
    <row r="19" spans="1:16" s="13" customFormat="1" x14ac:dyDescent="0.2">
      <c r="A19" s="24"/>
      <c r="B19" s="318"/>
      <c r="C19" s="18"/>
      <c r="D19" s="318"/>
      <c r="E19" s="32"/>
      <c r="F19" s="26"/>
      <c r="G19" s="27"/>
      <c r="H19" s="26"/>
      <c r="I19" s="296"/>
      <c r="J19" s="18"/>
      <c r="K19" s="327" t="s">
        <v>180</v>
      </c>
      <c r="L19" s="318"/>
      <c r="M19" s="327" t="s">
        <v>181</v>
      </c>
      <c r="N19" s="318"/>
      <c r="P19" s="7"/>
    </row>
    <row r="20" spans="1:16" s="13" customFormat="1" x14ac:dyDescent="0.2">
      <c r="A20" s="24"/>
      <c r="B20" s="318"/>
      <c r="C20" s="18"/>
      <c r="D20" s="318"/>
      <c r="E20" s="32"/>
      <c r="F20" s="26"/>
      <c r="G20" s="27"/>
      <c r="H20" s="26"/>
      <c r="I20" s="40"/>
      <c r="J20" s="40"/>
      <c r="K20" s="329" t="str">
        <f>HYPERLINK("http://kaart.delfi.ee/?bookmark=47bfa795807396de14455c16dbe9a9bb","Hooaja lõpetamine")</f>
        <v>Hooaja lõpetamine</v>
      </c>
      <c r="L20" s="318"/>
      <c r="M20" s="317"/>
      <c r="N20" s="318"/>
      <c r="P20" s="7"/>
    </row>
    <row r="21" spans="1:16" s="13" customFormat="1" x14ac:dyDescent="0.2">
      <c r="A21" s="24"/>
      <c r="B21" s="318"/>
      <c r="C21" s="18"/>
      <c r="D21" s="318"/>
      <c r="E21" s="32"/>
      <c r="F21" s="26"/>
      <c r="G21" s="27"/>
      <c r="H21" s="26"/>
      <c r="I21" s="314"/>
      <c r="J21" s="315"/>
      <c r="K21" s="328" t="str">
        <f>HYPERLINK("http://kaart.delfi.ee/?bookmark=cda1a90728898d6a841fffc33e06fd12","Haapsalu")</f>
        <v>Haapsalu</v>
      </c>
      <c r="L21" s="297"/>
      <c r="M21" s="328" t="str">
        <f>HYPERLINK("http://kaart.delfi.ee/?bookmark=cda1a90728898d6a841fffc33e06fd12","Haapsalu")</f>
        <v>Haapsalu</v>
      </c>
      <c r="N21" s="297"/>
      <c r="P21" s="7"/>
    </row>
    <row r="22" spans="1:16" s="13" customFormat="1" x14ac:dyDescent="0.2">
      <c r="A22" s="24"/>
      <c r="B22" s="318"/>
      <c r="C22" s="18"/>
      <c r="D22" s="318"/>
      <c r="E22" s="32"/>
      <c r="F22" s="26"/>
      <c r="G22" s="27"/>
      <c r="H22" s="26"/>
      <c r="I22" s="797" t="s">
        <v>61</v>
      </c>
      <c r="J22" s="316"/>
      <c r="K22" s="793" t="str">
        <f>HYPERLINK("http://www.cep-petanque.com/eurocup.html","EuroCup finaal")</f>
        <v>EuroCup finaal</v>
      </c>
      <c r="L22" s="318"/>
      <c r="M22" s="797" t="s">
        <v>61</v>
      </c>
      <c r="N22" s="322"/>
      <c r="P22" s="7"/>
    </row>
    <row r="23" spans="1:16" s="13" customFormat="1" ht="12.75" customHeight="1" x14ac:dyDescent="0.2">
      <c r="A23" s="24"/>
      <c r="B23" s="318"/>
      <c r="C23" s="18"/>
      <c r="D23" s="318"/>
      <c r="E23" s="32"/>
      <c r="F23" s="26"/>
      <c r="G23" s="27"/>
      <c r="H23" s="26"/>
      <c r="I23" s="798" t="s">
        <v>175</v>
      </c>
      <c r="J23" s="313"/>
      <c r="K23" s="798" t="s">
        <v>175</v>
      </c>
      <c r="L23" s="313"/>
      <c r="M23" s="798" t="s">
        <v>175</v>
      </c>
      <c r="N23" s="313"/>
      <c r="P23" s="7"/>
    </row>
    <row r="24" spans="1:16" ht="13.5" thickBot="1" x14ac:dyDescent="0.25">
      <c r="A24" s="319"/>
      <c r="B24" s="47"/>
      <c r="C24" s="48"/>
      <c r="D24" s="47"/>
      <c r="E24" s="117"/>
      <c r="F24" s="50"/>
      <c r="G24" s="49"/>
      <c r="H24" s="50"/>
      <c r="I24" s="799" t="s">
        <v>62</v>
      </c>
      <c r="J24" s="50"/>
      <c r="K24" s="800" t="s">
        <v>174</v>
      </c>
      <c r="L24" s="47"/>
      <c r="M24" s="800" t="s">
        <v>174</v>
      </c>
      <c r="N24" s="47"/>
    </row>
    <row r="25" spans="1:16" s="8" customFormat="1" ht="13.5" thickBot="1" x14ac:dyDescent="0.25">
      <c r="A25" s="332" t="s">
        <v>15</v>
      </c>
      <c r="B25" s="334"/>
      <c r="C25" s="18"/>
      <c r="D25" s="19"/>
      <c r="E25" s="39"/>
      <c r="F25" s="40"/>
      <c r="G25" s="39"/>
      <c r="H25" s="40"/>
      <c r="I25" s="40"/>
      <c r="J25" s="40"/>
      <c r="K25" s="18"/>
      <c r="L25" s="19"/>
      <c r="M25" s="18"/>
      <c r="N25" s="19"/>
    </row>
    <row r="26" spans="1:16" s="13" customFormat="1" x14ac:dyDescent="0.2">
      <c r="A26" s="28"/>
      <c r="B26" s="808">
        <v>30</v>
      </c>
      <c r="C26" s="29"/>
      <c r="D26" s="808">
        <v>1</v>
      </c>
      <c r="E26" s="30"/>
      <c r="F26" s="808">
        <v>2</v>
      </c>
      <c r="G26" s="31"/>
      <c r="H26" s="808">
        <v>3</v>
      </c>
      <c r="I26" s="31"/>
      <c r="J26" s="808">
        <v>4</v>
      </c>
      <c r="K26" s="28"/>
      <c r="L26" s="808">
        <v>5</v>
      </c>
      <c r="M26" s="28"/>
      <c r="N26" s="808">
        <v>6</v>
      </c>
      <c r="P26" s="7"/>
    </row>
    <row r="27" spans="1:16" ht="13.5" thickBot="1" x14ac:dyDescent="0.25">
      <c r="A27" s="24"/>
      <c r="B27" s="25"/>
      <c r="C27" s="18"/>
      <c r="D27" s="25"/>
      <c r="E27" s="32"/>
      <c r="F27" s="26"/>
      <c r="G27" s="27"/>
      <c r="H27" s="26"/>
      <c r="I27" s="27"/>
      <c r="J27" s="26"/>
      <c r="K27" s="299"/>
      <c r="L27" s="35"/>
      <c r="M27" s="24"/>
      <c r="N27" s="25"/>
    </row>
    <row r="28" spans="1:16" s="13" customFormat="1" x14ac:dyDescent="0.2">
      <c r="A28" s="28"/>
      <c r="B28" s="808">
        <v>7</v>
      </c>
      <c r="C28" s="29"/>
      <c r="D28" s="808">
        <v>8</v>
      </c>
      <c r="E28" s="30"/>
      <c r="F28" s="808">
        <v>9</v>
      </c>
      <c r="G28" s="31"/>
      <c r="H28" s="808">
        <v>10</v>
      </c>
      <c r="I28" s="31"/>
      <c r="J28" s="808">
        <v>11</v>
      </c>
      <c r="K28" s="28"/>
      <c r="L28" s="808">
        <v>12</v>
      </c>
      <c r="M28" s="348" t="str">
        <f>HYPERLINK("#'2'!J1","SHK KV 2. etapp, ")</f>
        <v xml:space="preserve">SHK KV 2. etapp, </v>
      </c>
      <c r="N28" s="808">
        <v>13</v>
      </c>
      <c r="P28" s="7"/>
    </row>
    <row r="29" spans="1:16" s="13" customFormat="1" x14ac:dyDescent="0.2">
      <c r="A29" s="24"/>
      <c r="B29" s="25"/>
      <c r="C29" s="18"/>
      <c r="D29" s="26"/>
      <c r="E29" s="32"/>
      <c r="F29" s="26"/>
      <c r="G29" s="27"/>
      <c r="H29" s="26"/>
      <c r="I29" s="27"/>
      <c r="J29" s="26"/>
      <c r="K29" s="24"/>
      <c r="L29" s="25"/>
      <c r="M29" s="346" t="s">
        <v>80</v>
      </c>
      <c r="N29" s="347"/>
      <c r="P29" s="7"/>
    </row>
    <row r="30" spans="1:16" ht="13.5" thickBot="1" x14ac:dyDescent="0.25">
      <c r="A30" s="34"/>
      <c r="B30" s="35"/>
      <c r="D30" s="35"/>
      <c r="E30" s="36"/>
      <c r="F30" s="37"/>
      <c r="G30" s="38"/>
      <c r="H30" s="37"/>
      <c r="I30" s="38"/>
      <c r="J30" s="37"/>
      <c r="K30" s="34"/>
      <c r="L30" s="35"/>
      <c r="M30" s="891" t="str">
        <f>HYPERLINK("http://kaart.delfi.ee/?bookmark=225e5f274dc79e88e106035de3e50b2d","K-Järve petangihall")</f>
        <v>K-Järve petangihall</v>
      </c>
      <c r="N30" s="349"/>
    </row>
    <row r="31" spans="1:16" s="13" customFormat="1" x14ac:dyDescent="0.2">
      <c r="A31" s="28"/>
      <c r="B31" s="808">
        <v>14</v>
      </c>
      <c r="C31" s="29"/>
      <c r="D31" s="808">
        <v>15</v>
      </c>
      <c r="E31" s="30"/>
      <c r="F31" s="808">
        <v>16</v>
      </c>
      <c r="G31" s="31"/>
      <c r="H31" s="808">
        <v>17</v>
      </c>
      <c r="I31" s="31"/>
      <c r="J31" s="808">
        <v>18</v>
      </c>
      <c r="K31" s="330" t="str">
        <f>HYPERLINK("http://www.petanque.ee/index.php?id=103589&amp;cid=405","Eesti reiting, ")</f>
        <v xml:space="preserve">Eesti reiting, </v>
      </c>
      <c r="L31" s="808">
        <v>19</v>
      </c>
      <c r="M31" s="330" t="str">
        <f>HYPERLINK("http://www.petanque.ee/index.php?id=103589&amp;cid=406","Eesti reiting, ")</f>
        <v xml:space="preserve">Eesti reiting, </v>
      </c>
      <c r="N31" s="808">
        <v>20</v>
      </c>
      <c r="P31" s="7"/>
    </row>
    <row r="32" spans="1:16" s="13" customFormat="1" x14ac:dyDescent="0.2">
      <c r="A32" s="24"/>
      <c r="B32" s="25"/>
      <c r="C32" s="18"/>
      <c r="D32" s="25"/>
      <c r="E32" s="32"/>
      <c r="F32" s="26"/>
      <c r="G32" s="27"/>
      <c r="H32" s="26"/>
      <c r="I32" s="27"/>
      <c r="J32" s="26"/>
      <c r="K32" s="317" t="s">
        <v>80</v>
      </c>
      <c r="L32" s="25"/>
      <c r="M32" s="317" t="s">
        <v>77</v>
      </c>
      <c r="N32" s="25"/>
      <c r="P32" s="7"/>
    </row>
    <row r="33" spans="1:16" ht="13.5" customHeight="1" thickBot="1" x14ac:dyDescent="0.25">
      <c r="A33" s="24"/>
      <c r="B33" s="25"/>
      <c r="C33" s="18"/>
      <c r="D33" s="25"/>
      <c r="E33" s="32"/>
      <c r="F33" s="26"/>
      <c r="G33" s="27"/>
      <c r="H33" s="26"/>
      <c r="I33" s="27"/>
      <c r="J33" s="26"/>
      <c r="K33" s="892" t="str">
        <f>HYPERLINK("http://kaart.delfi.ee/?bookmark=225e5f274dc79e88e106035de3e50b2d","K-Järve petangihall")</f>
        <v>K-Järve petangihall</v>
      </c>
      <c r="L33" s="52"/>
      <c r="M33" s="890" t="str">
        <f>HYPERLINK("http://kaart.delfi.ee/?bookmark=225e5f274dc79e88e106035de3e50b2d","K-Järve petangihall")</f>
        <v>K-Järve petangihall</v>
      </c>
      <c r="N33" s="53"/>
    </row>
    <row r="34" spans="1:16" s="13" customFormat="1" x14ac:dyDescent="0.2">
      <c r="A34" s="28"/>
      <c r="B34" s="808">
        <v>21</v>
      </c>
      <c r="C34" s="29"/>
      <c r="D34" s="808">
        <v>22</v>
      </c>
      <c r="E34" s="28"/>
      <c r="F34" s="808">
        <v>23</v>
      </c>
      <c r="G34" s="31"/>
      <c r="H34" s="813">
        <v>24</v>
      </c>
      <c r="I34" s="33"/>
      <c r="J34" s="813">
        <v>25</v>
      </c>
      <c r="K34" s="28"/>
      <c r="L34" s="813">
        <v>26</v>
      </c>
      <c r="M34" s="323" t="str">
        <f>HYPERLINK("#'Tul-Eel'!W1","Tulistamise ")</f>
        <v xml:space="preserve">Tulistamise </v>
      </c>
      <c r="N34" s="808">
        <v>27</v>
      </c>
      <c r="P34" s="7"/>
    </row>
    <row r="35" spans="1:16" s="13" customFormat="1" x14ac:dyDescent="0.2">
      <c r="A35" s="24"/>
      <c r="B35" s="25"/>
      <c r="C35" s="18"/>
      <c r="D35" s="25"/>
      <c r="E35" s="24"/>
      <c r="F35" s="26"/>
      <c r="G35" s="27"/>
      <c r="H35" s="25"/>
      <c r="I35" s="54"/>
      <c r="J35" s="25"/>
      <c r="K35" s="24"/>
      <c r="L35" s="25"/>
      <c r="M35" s="331" t="s">
        <v>182</v>
      </c>
      <c r="N35" s="312"/>
      <c r="P35" s="7"/>
    </row>
    <row r="36" spans="1:16" s="13" customFormat="1" x14ac:dyDescent="0.2">
      <c r="A36" s="24"/>
      <c r="B36" s="25"/>
      <c r="C36" s="18"/>
      <c r="D36" s="25"/>
      <c r="E36" s="24"/>
      <c r="F36" s="26"/>
      <c r="G36" s="27"/>
      <c r="H36" s="25"/>
      <c r="I36" s="54"/>
      <c r="J36" s="25"/>
      <c r="K36" s="24"/>
      <c r="L36" s="25"/>
      <c r="M36" s="338" t="str">
        <f>HYPERLINK("#'Pl2'!E1","Pliks-plaks 2, ")</f>
        <v xml:space="preserve">Pliks-plaks 2, </v>
      </c>
      <c r="N36" s="339"/>
      <c r="P36" s="7"/>
    </row>
    <row r="37" spans="1:16" s="13" customFormat="1" x14ac:dyDescent="0.2">
      <c r="A37" s="24"/>
      <c r="B37" s="25"/>
      <c r="C37" s="18"/>
      <c r="D37" s="25"/>
      <c r="E37" s="24"/>
      <c r="F37" s="26"/>
      <c r="G37" s="27"/>
      <c r="H37" s="25"/>
      <c r="I37" s="54"/>
      <c r="J37" s="25"/>
      <c r="K37" s="24"/>
      <c r="L37" s="25"/>
      <c r="M37" s="340" t="s">
        <v>183</v>
      </c>
      <c r="N37" s="339"/>
      <c r="P37" s="7"/>
    </row>
    <row r="38" spans="1:16" ht="13.5" thickBot="1" x14ac:dyDescent="0.25">
      <c r="A38" s="34"/>
      <c r="B38" s="35"/>
      <c r="C38" s="21"/>
      <c r="D38" s="37"/>
      <c r="E38" s="34"/>
      <c r="F38" s="35"/>
      <c r="G38" s="38"/>
      <c r="H38" s="37"/>
      <c r="I38" s="56"/>
      <c r="J38" s="37"/>
      <c r="K38" s="34"/>
      <c r="L38" s="35"/>
      <c r="M38" s="889" t="str">
        <f>HYPERLINK("http://kaart.delfi.ee/?bookmark=225e5f274dc79e88e106035de3e50b2d","K-Järve petangihall")</f>
        <v>K-Järve petangihall</v>
      </c>
      <c r="N38" s="337"/>
    </row>
    <row r="39" spans="1:16" s="8" customFormat="1" ht="13.5" thickBot="1" x14ac:dyDescent="0.25">
      <c r="A39" s="332" t="s">
        <v>24</v>
      </c>
      <c r="B39" s="334"/>
      <c r="C39" s="18"/>
      <c r="D39" s="40"/>
      <c r="E39" s="18"/>
      <c r="F39" s="19"/>
      <c r="G39" s="39"/>
      <c r="H39" s="40"/>
      <c r="I39" s="19"/>
      <c r="J39" s="13"/>
      <c r="K39" s="18"/>
      <c r="L39" s="19"/>
      <c r="M39" s="42"/>
      <c r="N39" s="19"/>
    </row>
    <row r="40" spans="1:16" s="13" customFormat="1" x14ac:dyDescent="0.2">
      <c r="A40" s="28"/>
      <c r="B40" s="808">
        <v>28</v>
      </c>
      <c r="C40" s="29"/>
      <c r="D40" s="808">
        <v>29</v>
      </c>
      <c r="E40" s="28"/>
      <c r="F40" s="808">
        <v>30</v>
      </c>
      <c r="G40" s="31"/>
      <c r="H40" s="808">
        <v>31</v>
      </c>
      <c r="I40" s="33"/>
      <c r="J40" s="813">
        <v>1</v>
      </c>
      <c r="K40" s="28"/>
      <c r="L40" s="808">
        <v>2</v>
      </c>
      <c r="M40" s="323" t="str">
        <f>HYPERLINK("#'AV'!L1","Aastavahetuse ")</f>
        <v xml:space="preserve">Aastavahetuse </v>
      </c>
      <c r="N40" s="808">
        <v>3</v>
      </c>
      <c r="P40" s="7"/>
    </row>
    <row r="41" spans="1:16" s="13" customFormat="1" x14ac:dyDescent="0.2">
      <c r="A41" s="24"/>
      <c r="B41" s="25"/>
      <c r="C41" s="18"/>
      <c r="D41" s="26"/>
      <c r="E41" s="24"/>
      <c r="F41" s="25"/>
      <c r="G41" s="27"/>
      <c r="H41" s="26"/>
      <c r="I41" s="54"/>
      <c r="J41" s="25"/>
      <c r="K41" s="24"/>
      <c r="L41" s="25"/>
      <c r="M41" s="294" t="s">
        <v>294</v>
      </c>
      <c r="N41" s="53"/>
      <c r="P41" s="7"/>
    </row>
    <row r="42" spans="1:16" ht="13.5" thickBot="1" x14ac:dyDescent="0.25">
      <c r="A42" s="34"/>
      <c r="B42" s="35"/>
      <c r="C42" s="21"/>
      <c r="D42" s="37"/>
      <c r="E42" s="34"/>
      <c r="F42" s="35"/>
      <c r="G42" s="38"/>
      <c r="H42" s="37"/>
      <c r="I42" s="38"/>
      <c r="J42" s="37"/>
      <c r="K42" s="34"/>
      <c r="L42" s="35"/>
      <c r="M42" s="893" t="str">
        <f>HYPERLINK("http://kaart.delfi.ee/?bookmark=225e5f274dc79e88e106035de3e50b2d","K-Järve petangihall")</f>
        <v>K-Järve petangihall</v>
      </c>
      <c r="N42" s="52"/>
    </row>
    <row r="43" spans="1:16" s="13" customFormat="1" x14ac:dyDescent="0.2">
      <c r="A43" s="24"/>
      <c r="B43" s="808">
        <v>4</v>
      </c>
      <c r="C43" s="43"/>
      <c r="D43" s="808">
        <v>5</v>
      </c>
      <c r="E43" s="24"/>
      <c r="F43" s="808">
        <v>6</v>
      </c>
      <c r="G43" s="27"/>
      <c r="H43" s="808">
        <v>7</v>
      </c>
      <c r="I43" s="27"/>
      <c r="J43" s="808">
        <v>8</v>
      </c>
      <c r="K43" s="28"/>
      <c r="L43" s="808">
        <v>9</v>
      </c>
      <c r="M43" s="325" t="str">
        <f>HYPERLINK("#'As-Eel'!O50","Asetamise")</f>
        <v>Asetamise</v>
      </c>
      <c r="N43" s="808">
        <v>10</v>
      </c>
      <c r="P43" s="7"/>
    </row>
    <row r="44" spans="1:16" s="13" customFormat="1" x14ac:dyDescent="0.2">
      <c r="A44" s="24"/>
      <c r="B44" s="25"/>
      <c r="C44" s="18"/>
      <c r="D44" s="25"/>
      <c r="E44" s="24"/>
      <c r="F44" s="25"/>
      <c r="G44" s="27"/>
      <c r="H44" s="26"/>
      <c r="I44" s="27"/>
      <c r="J44" s="26"/>
      <c r="K44" s="24"/>
      <c r="L44" s="25"/>
      <c r="M44" s="331" t="s">
        <v>331</v>
      </c>
      <c r="N44" s="312"/>
      <c r="P44" s="7"/>
    </row>
    <row r="45" spans="1:16" s="13" customFormat="1" x14ac:dyDescent="0.2">
      <c r="A45" s="24"/>
      <c r="B45" s="25"/>
      <c r="C45" s="18"/>
      <c r="D45" s="25"/>
      <c r="E45" s="24"/>
      <c r="F45" s="25"/>
      <c r="G45" s="27"/>
      <c r="H45" s="26"/>
      <c r="I45" s="27"/>
      <c r="J45" s="26"/>
      <c r="K45" s="24"/>
      <c r="L45" s="25"/>
      <c r="M45" s="355" t="str">
        <f>HYPERLINK("#'PL3'!E1","Pliks-plaks 3, ")</f>
        <v xml:space="preserve">Pliks-plaks 3, </v>
      </c>
      <c r="N45" s="336"/>
      <c r="P45" s="7"/>
    </row>
    <row r="46" spans="1:16" s="13" customFormat="1" x14ac:dyDescent="0.2">
      <c r="A46" s="24"/>
      <c r="B46" s="318"/>
      <c r="C46" s="18"/>
      <c r="D46" s="318"/>
      <c r="E46" s="24"/>
      <c r="F46" s="318"/>
      <c r="G46" s="27"/>
      <c r="H46" s="26"/>
      <c r="I46" s="27"/>
      <c r="J46" s="26"/>
      <c r="K46" s="24"/>
      <c r="L46" s="318"/>
      <c r="M46" s="357" t="s">
        <v>82</v>
      </c>
      <c r="N46" s="354"/>
      <c r="P46" s="7"/>
    </row>
    <row r="47" spans="1:16" ht="13.5" thickBot="1" x14ac:dyDescent="0.25">
      <c r="A47" s="24"/>
      <c r="B47" s="25"/>
      <c r="C47" s="21"/>
      <c r="D47" s="25"/>
      <c r="E47" s="24"/>
      <c r="F47" s="25"/>
      <c r="G47" s="27"/>
      <c r="H47" s="26"/>
      <c r="I47" s="27"/>
      <c r="J47" s="26"/>
      <c r="K47" s="299"/>
      <c r="L47" s="35"/>
      <c r="M47" s="889" t="str">
        <f>HYPERLINK("http://kaart.delfi.ee/?bookmark=225e5f274dc79e88e106035de3e50b2d","K-Järve petangihall")</f>
        <v>K-Järve petangihall</v>
      </c>
      <c r="N47" s="337"/>
    </row>
    <row r="48" spans="1:16" s="13" customFormat="1" x14ac:dyDescent="0.2">
      <c r="A48" s="28"/>
      <c r="B48" s="808">
        <v>11</v>
      </c>
      <c r="C48" s="29"/>
      <c r="D48" s="808">
        <v>12</v>
      </c>
      <c r="E48" s="28"/>
      <c r="F48" s="808">
        <v>13</v>
      </c>
      <c r="G48" s="31"/>
      <c r="H48" s="808">
        <v>14</v>
      </c>
      <c r="I48" s="31"/>
      <c r="J48" s="808">
        <v>15</v>
      </c>
      <c r="K48" s="28"/>
      <c r="L48" s="808">
        <v>16</v>
      </c>
      <c r="M48" s="350" t="str">
        <f>HYPERLINK("#'3'!J1","SHK KV 3. etapp, ")</f>
        <v xml:space="preserve">SHK KV 3. etapp, </v>
      </c>
      <c r="N48" s="808">
        <v>17</v>
      </c>
      <c r="P48" s="7"/>
    </row>
    <row r="49" spans="1:16" s="13" customFormat="1" x14ac:dyDescent="0.2">
      <c r="A49" s="24"/>
      <c r="B49" s="25"/>
      <c r="C49" s="18"/>
      <c r="D49" s="25"/>
      <c r="E49" s="24"/>
      <c r="F49" s="25"/>
      <c r="G49" s="27"/>
      <c r="H49" s="26"/>
      <c r="I49" s="27"/>
      <c r="J49" s="26"/>
      <c r="K49" s="24"/>
      <c r="L49" s="25"/>
      <c r="M49" s="346" t="s">
        <v>77</v>
      </c>
      <c r="N49" s="347"/>
      <c r="P49" s="7"/>
    </row>
    <row r="50" spans="1:16" ht="13.5" thickBot="1" x14ac:dyDescent="0.25">
      <c r="A50" s="34"/>
      <c r="B50" s="35"/>
      <c r="C50" s="21"/>
      <c r="D50" s="35"/>
      <c r="E50" s="34"/>
      <c r="F50" s="35"/>
      <c r="G50" s="38"/>
      <c r="H50" s="37"/>
      <c r="I50" s="38"/>
      <c r="J50" s="37"/>
      <c r="K50" s="34"/>
      <c r="L50" s="35"/>
      <c r="M50" s="888" t="str">
        <f>HYPERLINK("http://kaart.delfi.ee/?bookmark=225e5f274dc79e88e106035de3e50b2d","K-Järve petangihall")</f>
        <v>K-Järve petangihall</v>
      </c>
      <c r="N50" s="349"/>
    </row>
    <row r="51" spans="1:16" s="13" customFormat="1" x14ac:dyDescent="0.2">
      <c r="A51" s="24"/>
      <c r="B51" s="808">
        <v>18</v>
      </c>
      <c r="C51" s="18"/>
      <c r="D51" s="808">
        <v>19</v>
      </c>
      <c r="E51" s="24"/>
      <c r="F51" s="808">
        <v>20</v>
      </c>
      <c r="G51" s="27"/>
      <c r="H51" s="808">
        <v>21</v>
      </c>
      <c r="I51" s="27"/>
      <c r="J51" s="808">
        <v>22</v>
      </c>
      <c r="K51" s="805" t="str">
        <f>HYPERLINK("http://www.petanque.ee/index.php?id=103589&amp;cid=407","Eesti sise-MV, ")</f>
        <v xml:space="preserve">Eesti sise-MV, </v>
      </c>
      <c r="L51" s="808">
        <v>23</v>
      </c>
      <c r="M51" s="309" t="str">
        <f>HYPERLINK("http://www.petanque.ee/index.php?id=103589&amp;cid=408","Eesti reiting, ")</f>
        <v xml:space="preserve">Eesti reiting, </v>
      </c>
      <c r="N51" s="808">
        <v>24</v>
      </c>
      <c r="P51" s="7"/>
    </row>
    <row r="52" spans="1:16" s="13" customFormat="1" x14ac:dyDescent="0.2">
      <c r="A52" s="24"/>
      <c r="B52" s="25"/>
      <c r="C52" s="18"/>
      <c r="D52" s="25"/>
      <c r="E52" s="24"/>
      <c r="F52" s="25"/>
      <c r="G52" s="27"/>
      <c r="H52" s="26"/>
      <c r="I52" s="27"/>
      <c r="J52" s="26"/>
      <c r="K52" s="803" t="s">
        <v>79</v>
      </c>
      <c r="L52" s="25"/>
      <c r="M52" s="317" t="s">
        <v>77</v>
      </c>
      <c r="N52" s="25"/>
      <c r="P52" s="7"/>
    </row>
    <row r="53" spans="1:16" ht="13.5" thickBot="1" x14ac:dyDescent="0.25">
      <c r="A53" s="34"/>
      <c r="B53" s="35"/>
      <c r="C53" s="21"/>
      <c r="D53" s="35"/>
      <c r="E53" s="34"/>
      <c r="F53" s="35"/>
      <c r="G53" s="38"/>
      <c r="H53" s="37"/>
      <c r="I53" s="36"/>
      <c r="J53" s="300"/>
      <c r="K53" s="807" t="str">
        <f>HYPERLINK("http://kaart.delfi.ee/?bookmark=cda1a90728898d6a841fffc33e06fd12","Haapsalu")</f>
        <v>Haapsalu</v>
      </c>
      <c r="L53" s="301"/>
      <c r="M53" s="328" t="str">
        <f>HYPERLINK("http://kaart.delfi.ee/?bookmark=cda1a90728898d6a841fffc33e06fd12","Haapsalu")</f>
        <v>Haapsalu</v>
      </c>
      <c r="N53" s="301"/>
    </row>
    <row r="54" spans="1:16" s="13" customFormat="1" x14ac:dyDescent="0.2">
      <c r="A54" s="28"/>
      <c r="B54" s="808">
        <v>25</v>
      </c>
      <c r="C54" s="29"/>
      <c r="D54" s="808">
        <v>26</v>
      </c>
      <c r="E54" s="28"/>
      <c r="F54" s="808">
        <v>27</v>
      </c>
      <c r="G54" s="31"/>
      <c r="H54" s="808">
        <v>28</v>
      </c>
      <c r="I54" s="31"/>
      <c r="J54" s="808">
        <v>29</v>
      </c>
      <c r="K54" s="28"/>
      <c r="L54" s="808">
        <v>30</v>
      </c>
      <c r="M54" s="28"/>
      <c r="N54" s="808">
        <v>31</v>
      </c>
      <c r="P54" s="7"/>
    </row>
    <row r="55" spans="1:16" ht="13.5" thickBot="1" x14ac:dyDescent="0.25">
      <c r="A55" s="34"/>
      <c r="B55" s="35"/>
      <c r="C55" s="21"/>
      <c r="D55" s="37"/>
      <c r="E55" s="34"/>
      <c r="F55" s="35"/>
      <c r="G55" s="38"/>
      <c r="H55" s="37"/>
      <c r="I55" s="38"/>
      <c r="J55" s="37"/>
      <c r="K55" s="34"/>
      <c r="L55" s="35"/>
      <c r="M55" s="34"/>
      <c r="N55" s="35"/>
    </row>
    <row r="56" spans="1:16" s="8" customFormat="1" ht="13.5" thickBot="1" x14ac:dyDescent="0.25">
      <c r="A56" s="332" t="s">
        <v>29</v>
      </c>
      <c r="B56" s="334"/>
      <c r="C56" s="18"/>
      <c r="D56" s="40"/>
      <c r="E56" s="18"/>
      <c r="F56" s="19"/>
      <c r="G56" s="39"/>
      <c r="H56" s="40"/>
      <c r="I56" s="40"/>
      <c r="J56" s="40"/>
      <c r="K56" s="18"/>
      <c r="L56" s="19"/>
      <c r="M56" s="18"/>
      <c r="N56" s="19"/>
    </row>
    <row r="57" spans="1:16" s="13" customFormat="1" x14ac:dyDescent="0.2">
      <c r="A57" s="28"/>
      <c r="B57" s="808">
        <v>1</v>
      </c>
      <c r="C57" s="29"/>
      <c r="D57" s="808">
        <v>2</v>
      </c>
      <c r="E57" s="28"/>
      <c r="F57" s="808">
        <v>3</v>
      </c>
      <c r="G57" s="31"/>
      <c r="H57" s="808">
        <v>4</v>
      </c>
      <c r="I57" s="44"/>
      <c r="J57" s="808">
        <v>5</v>
      </c>
      <c r="K57" s="28"/>
      <c r="L57" s="808">
        <v>6</v>
      </c>
      <c r="M57" s="28"/>
      <c r="N57" s="808">
        <v>7</v>
      </c>
      <c r="P57" s="7"/>
    </row>
    <row r="58" spans="1:16" ht="13.5" thickBot="1" x14ac:dyDescent="0.25">
      <c r="A58" s="34"/>
      <c r="B58" s="35"/>
      <c r="C58" s="21"/>
      <c r="D58" s="35"/>
      <c r="E58" s="34"/>
      <c r="F58" s="35"/>
      <c r="G58" s="38"/>
      <c r="H58" s="37"/>
      <c r="I58" s="45"/>
      <c r="J58" s="37"/>
      <c r="K58" s="34"/>
      <c r="L58" s="35"/>
      <c r="M58" s="34"/>
      <c r="N58" s="35"/>
    </row>
    <row r="59" spans="1:16" s="13" customFormat="1" x14ac:dyDescent="0.2">
      <c r="A59" s="24"/>
      <c r="B59" s="812">
        <v>8</v>
      </c>
      <c r="C59" s="18"/>
      <c r="D59" s="812">
        <v>9</v>
      </c>
      <c r="E59" s="24"/>
      <c r="F59" s="812">
        <v>10</v>
      </c>
      <c r="G59" s="27"/>
      <c r="H59" s="812">
        <v>11</v>
      </c>
      <c r="I59" s="40"/>
      <c r="J59" s="812">
        <v>12</v>
      </c>
      <c r="K59" s="24"/>
      <c r="L59" s="812">
        <v>13</v>
      </c>
      <c r="M59" s="308" t="str">
        <f>HYPERLINK("#'Tul-Eel'!W36","Tulistamise ")</f>
        <v xml:space="preserve">Tulistamise </v>
      </c>
      <c r="N59" s="812">
        <v>14</v>
      </c>
      <c r="P59" s="7"/>
    </row>
    <row r="60" spans="1:16" s="13" customFormat="1" x14ac:dyDescent="0.2">
      <c r="A60" s="24"/>
      <c r="B60" s="25"/>
      <c r="C60" s="18"/>
      <c r="D60" s="25"/>
      <c r="E60" s="24"/>
      <c r="F60" s="25"/>
      <c r="G60" s="27"/>
      <c r="H60" s="26"/>
      <c r="I60" s="40"/>
      <c r="J60" s="26"/>
      <c r="K60" s="24"/>
      <c r="L60" s="25"/>
      <c r="M60" s="331" t="s">
        <v>233</v>
      </c>
      <c r="N60" s="312"/>
      <c r="P60" s="7"/>
    </row>
    <row r="61" spans="1:16" s="13" customFormat="1" x14ac:dyDescent="0.2">
      <c r="A61" s="24"/>
      <c r="B61" s="25"/>
      <c r="C61" s="18"/>
      <c r="D61" s="25"/>
      <c r="E61" s="24"/>
      <c r="F61" s="25"/>
      <c r="G61" s="27"/>
      <c r="H61" s="26"/>
      <c r="I61" s="40"/>
      <c r="J61" s="26"/>
      <c r="K61" s="24"/>
      <c r="L61" s="25"/>
      <c r="M61" s="623" t="str">
        <f>HYPERLINK("#'Pl4'!E1","Pliks-plaks 4, ")</f>
        <v xml:space="preserve">Pliks-plaks 4, </v>
      </c>
      <c r="N61" s="341"/>
      <c r="P61" s="7"/>
    </row>
    <row r="62" spans="1:16" s="13" customFormat="1" x14ac:dyDescent="0.2">
      <c r="A62" s="24"/>
      <c r="B62" s="25"/>
      <c r="C62" s="18"/>
      <c r="D62" s="25"/>
      <c r="E62" s="24"/>
      <c r="F62" s="25"/>
      <c r="G62" s="27"/>
      <c r="H62" s="26"/>
      <c r="I62" s="40"/>
      <c r="J62" s="26"/>
      <c r="K62" s="24"/>
      <c r="L62" s="25"/>
      <c r="M62" s="340" t="s">
        <v>183</v>
      </c>
      <c r="N62" s="339"/>
      <c r="P62" s="7"/>
    </row>
    <row r="63" spans="1:16" ht="13.5" thickBot="1" x14ac:dyDescent="0.25">
      <c r="A63" s="24"/>
      <c r="B63" s="25"/>
      <c r="C63" s="18"/>
      <c r="D63" s="25"/>
      <c r="E63" s="24"/>
      <c r="F63" s="25"/>
      <c r="G63" s="27"/>
      <c r="H63" s="26"/>
      <c r="I63" s="40"/>
      <c r="J63" s="26"/>
      <c r="K63" s="34"/>
      <c r="L63" s="35"/>
      <c r="M63" s="889" t="str">
        <f>HYPERLINK("http://kaart.delfi.ee/?bookmark=225e5f274dc79e88e106035de3e50b2d","K-Järve petangihall")</f>
        <v>K-Järve petangihall</v>
      </c>
      <c r="N63" s="337"/>
    </row>
    <row r="64" spans="1:16" s="13" customFormat="1" x14ac:dyDescent="0.2">
      <c r="A64" s="28"/>
      <c r="B64" s="808">
        <v>15</v>
      </c>
      <c r="C64" s="29"/>
      <c r="D64" s="808">
        <v>16</v>
      </c>
      <c r="E64" s="28"/>
      <c r="F64" s="808">
        <v>17</v>
      </c>
      <c r="G64" s="31"/>
      <c r="H64" s="808">
        <v>18</v>
      </c>
      <c r="I64" s="55"/>
      <c r="J64" s="808">
        <v>19</v>
      </c>
      <c r="K64" s="805" t="str">
        <f>HYPERLINK("http://www.petanque.ee/index.php?id=103589&amp;cid=409","Eesti sise-MV, ")</f>
        <v xml:space="preserve">Eesti sise-MV, </v>
      </c>
      <c r="L64" s="808">
        <v>20</v>
      </c>
      <c r="M64" s="309" t="str">
        <f>HYPERLINK("http://www.petanque.ee/index.php?id=103589&amp;cid=410","Eesti reiting, ")</f>
        <v xml:space="preserve">Eesti reiting, </v>
      </c>
      <c r="N64" s="808">
        <v>21</v>
      </c>
      <c r="P64" s="7"/>
    </row>
    <row r="65" spans="1:16" s="13" customFormat="1" x14ac:dyDescent="0.2">
      <c r="A65" s="24"/>
      <c r="B65" s="25"/>
      <c r="C65" s="18"/>
      <c r="D65" s="25"/>
      <c r="E65" s="18"/>
      <c r="F65" s="25"/>
      <c r="G65" s="27"/>
      <c r="H65" s="25"/>
      <c r="I65" s="19"/>
      <c r="J65" s="26"/>
      <c r="K65" s="803" t="s">
        <v>80</v>
      </c>
      <c r="L65" s="25"/>
      <c r="M65" s="618" t="s">
        <v>77</v>
      </c>
      <c r="N65" s="25"/>
      <c r="P65" s="7"/>
    </row>
    <row r="66" spans="1:16" ht="13.5" thickBot="1" x14ac:dyDescent="0.25">
      <c r="A66" s="34"/>
      <c r="B66" s="47"/>
      <c r="C66" s="48"/>
      <c r="D66" s="47"/>
      <c r="E66" s="48"/>
      <c r="F66" s="311"/>
      <c r="G66" s="49"/>
      <c r="H66" s="50"/>
      <c r="I66" s="51"/>
      <c r="J66" s="50"/>
      <c r="K66" s="895" t="str">
        <f>HYPERLINK("http://kaart.delfi.ee/?bookmark=225e5f274dc79e88e106035de3e50b2d","K-Järve petangihall")</f>
        <v>K-Järve petangihall</v>
      </c>
      <c r="L66" s="52"/>
      <c r="M66" s="894" t="str">
        <f>HYPERLINK("http://kaart.delfi.ee/?bookmark=225e5f274dc79e88e106035de3e50b2d","K-Järve petangihall")</f>
        <v>K-Järve petangihall</v>
      </c>
      <c r="N66" s="52"/>
    </row>
    <row r="67" spans="1:16" s="13" customFormat="1" x14ac:dyDescent="0.2">
      <c r="A67" s="28"/>
      <c r="B67" s="808">
        <v>22</v>
      </c>
      <c r="C67" s="29"/>
      <c r="D67" s="814">
        <v>23</v>
      </c>
      <c r="E67" s="624" t="str">
        <f>HYPERLINK("#Sõ!H1","SHK-Maestro")</f>
        <v>SHK-Maestro</v>
      </c>
      <c r="F67" s="813">
        <v>24</v>
      </c>
      <c r="G67" s="31"/>
      <c r="H67" s="808">
        <v>25</v>
      </c>
      <c r="I67" s="44"/>
      <c r="J67" s="808">
        <v>26</v>
      </c>
      <c r="K67" s="28"/>
      <c r="L67" s="812">
        <v>27</v>
      </c>
      <c r="M67" s="350" t="str">
        <f>HYPERLINK("#'4'!L1","SHK KV 4. etapp, ")</f>
        <v xml:space="preserve">SHK KV 4. etapp, </v>
      </c>
      <c r="N67" s="812">
        <v>28</v>
      </c>
      <c r="P67" s="7"/>
    </row>
    <row r="68" spans="1:16" s="13" customFormat="1" x14ac:dyDescent="0.2">
      <c r="A68" s="24"/>
      <c r="B68" s="25"/>
      <c r="C68" s="18"/>
      <c r="D68" s="40"/>
      <c r="E68" s="625" t="s">
        <v>336</v>
      </c>
      <c r="F68" s="25"/>
      <c r="G68" s="27"/>
      <c r="H68" s="26"/>
      <c r="I68" s="40"/>
      <c r="J68" s="26"/>
      <c r="K68" s="24"/>
      <c r="L68" s="25"/>
      <c r="M68" s="346" t="s">
        <v>82</v>
      </c>
      <c r="N68" s="347"/>
      <c r="P68" s="7"/>
    </row>
    <row r="69" spans="1:16" ht="13.5" thickBot="1" x14ac:dyDescent="0.25">
      <c r="A69" s="34"/>
      <c r="B69" s="35"/>
      <c r="C69" s="21"/>
      <c r="D69" s="35"/>
      <c r="E69" s="34" t="s">
        <v>60</v>
      </c>
      <c r="F69" s="35"/>
      <c r="G69" s="38"/>
      <c r="H69" s="37"/>
      <c r="I69" s="45"/>
      <c r="J69" s="37"/>
      <c r="K69" s="34"/>
      <c r="L69" s="35"/>
      <c r="M69" s="888" t="str">
        <f>HYPERLINK("http://kaart.delfi.ee/?bookmark=225e5f274dc79e88e106035de3e50b2d","K-Järve petangihall")</f>
        <v>K-Järve petangihall</v>
      </c>
      <c r="N69" s="351"/>
    </row>
    <row r="70" spans="1:16" s="8" customFormat="1" ht="13.5" thickBot="1" x14ac:dyDescent="0.25">
      <c r="A70" s="332" t="s">
        <v>36</v>
      </c>
      <c r="B70" s="334"/>
      <c r="C70" s="18"/>
      <c r="D70" s="19"/>
      <c r="E70" s="18"/>
      <c r="F70" s="19"/>
      <c r="G70" s="39"/>
      <c r="H70" s="40"/>
      <c r="I70" s="40"/>
      <c r="J70" s="40"/>
      <c r="K70" s="18"/>
      <c r="L70" s="19"/>
      <c r="M70" s="42"/>
      <c r="N70" s="19"/>
    </row>
    <row r="71" spans="1:16" x14ac:dyDescent="0.2">
      <c r="A71" s="28"/>
      <c r="B71" s="808">
        <v>29</v>
      </c>
      <c r="C71" s="29"/>
      <c r="D71" s="808">
        <v>1</v>
      </c>
      <c r="E71" s="28"/>
      <c r="F71" s="808">
        <v>2</v>
      </c>
      <c r="G71" s="29"/>
      <c r="H71" s="808">
        <v>3</v>
      </c>
      <c r="I71" s="55"/>
      <c r="J71" s="808">
        <v>4</v>
      </c>
      <c r="K71" s="28"/>
      <c r="L71" s="808">
        <v>5</v>
      </c>
      <c r="M71" s="28"/>
      <c r="N71" s="808">
        <v>6</v>
      </c>
    </row>
    <row r="72" spans="1:16" ht="13.5" thickBot="1" x14ac:dyDescent="0.25">
      <c r="A72" s="34"/>
      <c r="B72" s="35"/>
      <c r="C72" s="21"/>
      <c r="D72" s="35"/>
      <c r="E72" s="34"/>
      <c r="F72" s="35"/>
      <c r="G72" s="21"/>
      <c r="H72" s="35"/>
      <c r="I72" s="22"/>
      <c r="J72" s="35"/>
      <c r="K72" s="34"/>
      <c r="L72" s="35"/>
      <c r="M72" s="21"/>
      <c r="N72" s="35"/>
    </row>
    <row r="73" spans="1:16" x14ac:dyDescent="0.2">
      <c r="A73" s="24"/>
      <c r="B73" s="808">
        <v>7</v>
      </c>
      <c r="C73" s="18"/>
      <c r="D73" s="808">
        <v>8</v>
      </c>
      <c r="E73" s="24"/>
      <c r="F73" s="808">
        <v>9</v>
      </c>
      <c r="G73" s="54"/>
      <c r="H73" s="808">
        <v>10</v>
      </c>
      <c r="I73" s="19"/>
      <c r="J73" s="808">
        <v>11</v>
      </c>
      <c r="K73" s="24"/>
      <c r="L73" s="808">
        <v>12</v>
      </c>
      <c r="M73" s="323" t="str">
        <f>HYPERLINK("#'As-Eel'!O68","Asetamise")</f>
        <v>Asetamise</v>
      </c>
      <c r="N73" s="808">
        <v>13</v>
      </c>
    </row>
    <row r="74" spans="1:16" x14ac:dyDescent="0.2">
      <c r="A74" s="24"/>
      <c r="B74" s="25"/>
      <c r="C74" s="18"/>
      <c r="D74" s="25"/>
      <c r="E74" s="24"/>
      <c r="F74" s="25"/>
      <c r="G74" s="54"/>
      <c r="H74" s="25"/>
      <c r="I74" s="19"/>
      <c r="J74" s="25"/>
      <c r="K74" s="24"/>
      <c r="L74" s="25"/>
      <c r="M74" s="331" t="s">
        <v>346</v>
      </c>
      <c r="N74" s="312"/>
    </row>
    <row r="75" spans="1:16" x14ac:dyDescent="0.2">
      <c r="A75" s="24"/>
      <c r="B75" s="25"/>
      <c r="C75" s="18"/>
      <c r="D75" s="25"/>
      <c r="E75" s="24"/>
      <c r="F75" s="25"/>
      <c r="G75" s="54"/>
      <c r="H75" s="25"/>
      <c r="I75" s="19"/>
      <c r="J75" s="25"/>
      <c r="K75" s="24"/>
      <c r="L75" s="25"/>
      <c r="M75" s="623" t="str">
        <f>HYPERLINK("#'Pl5'!E1","Pliks-plaks 5, ")</f>
        <v xml:space="preserve">Pliks-plaks 5, </v>
      </c>
      <c r="N75" s="336"/>
    </row>
    <row r="76" spans="1:16" x14ac:dyDescent="0.2">
      <c r="A76" s="24"/>
      <c r="B76" s="318"/>
      <c r="C76" s="18"/>
      <c r="D76" s="318"/>
      <c r="E76" s="24"/>
      <c r="F76" s="318"/>
      <c r="G76" s="317"/>
      <c r="H76" s="318"/>
      <c r="I76" s="19"/>
      <c r="J76" s="318"/>
      <c r="K76" s="24"/>
      <c r="L76" s="318"/>
      <c r="M76" s="356" t="s">
        <v>82</v>
      </c>
      <c r="N76" s="354"/>
    </row>
    <row r="77" spans="1:16" ht="13.5" thickBot="1" x14ac:dyDescent="0.25">
      <c r="A77" s="24"/>
      <c r="B77" s="25"/>
      <c r="C77" s="21"/>
      <c r="D77" s="25"/>
      <c r="E77" s="24"/>
      <c r="F77" s="25"/>
      <c r="G77" s="54"/>
      <c r="H77" s="25"/>
      <c r="I77" s="19"/>
      <c r="J77" s="25"/>
      <c r="K77" s="34"/>
      <c r="L77" s="35"/>
      <c r="M77" s="889" t="str">
        <f>HYPERLINK("http://kaart.delfi.ee/?bookmark=225e5f274dc79e88e106035de3e50b2d","K-Järve petangihall")</f>
        <v>K-Järve petangihall</v>
      </c>
      <c r="N77" s="337"/>
    </row>
    <row r="78" spans="1:16" x14ac:dyDescent="0.2">
      <c r="A78" s="28"/>
      <c r="B78" s="808">
        <v>14</v>
      </c>
      <c r="C78" s="29"/>
      <c r="D78" s="808">
        <v>15</v>
      </c>
      <c r="E78" s="28"/>
      <c r="F78" s="808">
        <v>16</v>
      </c>
      <c r="G78" s="33"/>
      <c r="H78" s="808">
        <v>17</v>
      </c>
      <c r="I78" s="55"/>
      <c r="J78" s="808">
        <v>18</v>
      </c>
      <c r="K78" s="330" t="str">
        <f>HYPERLINK("http://www.petanque.ee/index.php?id=103589&amp;cid=411","Eesti reiting, ")</f>
        <v xml:space="preserve">Eesti reiting, </v>
      </c>
      <c r="L78" s="808">
        <v>19</v>
      </c>
      <c r="M78" s="805" t="str">
        <f>HYPERLINK("http://www.petanque.ee/index.php?id=103589&amp;cid=412","Eesti sise-MV, ")</f>
        <v xml:space="preserve">Eesti sise-MV, </v>
      </c>
      <c r="N78" s="808">
        <v>20</v>
      </c>
    </row>
    <row r="79" spans="1:16" x14ac:dyDescent="0.2">
      <c r="A79" s="24"/>
      <c r="B79" s="25"/>
      <c r="C79" s="18"/>
      <c r="D79" s="25"/>
      <c r="E79" s="24"/>
      <c r="F79" s="25"/>
      <c r="G79" s="54"/>
      <c r="H79" s="25"/>
      <c r="I79" s="19"/>
      <c r="J79" s="25"/>
      <c r="K79" s="618" t="s">
        <v>80</v>
      </c>
      <c r="L79" s="25"/>
      <c r="M79" s="803" t="s">
        <v>78</v>
      </c>
      <c r="N79" s="25"/>
    </row>
    <row r="80" spans="1:16" ht="13.5" customHeight="1" thickBot="1" x14ac:dyDescent="0.25">
      <c r="A80" s="24"/>
      <c r="B80" s="25"/>
      <c r="C80" s="18"/>
      <c r="D80" s="25"/>
      <c r="E80" s="24"/>
      <c r="F80" s="25"/>
      <c r="G80" s="54"/>
      <c r="H80" s="25"/>
      <c r="I80" s="19"/>
      <c r="J80" s="25"/>
      <c r="K80" s="651" t="str">
        <f>HYPERLINK("http://kaart.delfi.ee/?bookmark=0807568cf7d8a03cedbb545921254497","Tallinn")</f>
        <v>Tallinn</v>
      </c>
      <c r="L80" s="302"/>
      <c r="M80" s="806" t="str">
        <f>HYPERLINK("http://kaart.delfi.ee/?bookmark=0807568cf7d8a03cedbb545921254497","Tallinn")</f>
        <v>Tallinn</v>
      </c>
      <c r="N80" s="302"/>
    </row>
    <row r="81" spans="1:14" x14ac:dyDescent="0.2">
      <c r="A81" s="28"/>
      <c r="B81" s="808">
        <v>21</v>
      </c>
      <c r="C81" s="28"/>
      <c r="D81" s="808">
        <v>22</v>
      </c>
      <c r="E81" s="29"/>
      <c r="F81" s="808">
        <v>23</v>
      </c>
      <c r="G81" s="33"/>
      <c r="H81" s="808">
        <v>24</v>
      </c>
      <c r="I81" s="55"/>
      <c r="J81" s="813">
        <v>25</v>
      </c>
      <c r="K81" s="28"/>
      <c r="L81" s="808">
        <v>26</v>
      </c>
      <c r="M81" s="350" t="str">
        <f>HYPERLINK("#'5'!K1","SHK KV 5. etapp, ")</f>
        <v xml:space="preserve">SHK KV 5. etapp, </v>
      </c>
      <c r="N81" s="808">
        <v>27</v>
      </c>
    </row>
    <row r="82" spans="1:14" x14ac:dyDescent="0.2">
      <c r="A82" s="24"/>
      <c r="B82" s="19"/>
      <c r="C82" s="24"/>
      <c r="D82" s="25"/>
      <c r="E82" s="18"/>
      <c r="F82" s="19"/>
      <c r="G82" s="54"/>
      <c r="H82" s="25"/>
      <c r="I82" s="19"/>
      <c r="J82" s="19"/>
      <c r="K82" s="24"/>
      <c r="L82" s="25"/>
      <c r="M82" s="346" t="s">
        <v>80</v>
      </c>
      <c r="N82" s="347"/>
    </row>
    <row r="83" spans="1:14" ht="13.5" thickBot="1" x14ac:dyDescent="0.25">
      <c r="A83" s="34"/>
      <c r="B83" s="22"/>
      <c r="C83" s="34"/>
      <c r="D83" s="35"/>
      <c r="E83" s="21"/>
      <c r="F83" s="22"/>
      <c r="G83" s="56"/>
      <c r="H83" s="35"/>
      <c r="I83" s="22"/>
      <c r="J83" s="22"/>
      <c r="K83" s="34"/>
      <c r="L83" s="35"/>
      <c r="M83" s="888" t="str">
        <f>HYPERLINK("http://kaart.delfi.ee/?bookmark=225e5f274dc79e88e106035de3e50b2d","K-Järve petangihall")</f>
        <v>K-Järve petangihall</v>
      </c>
      <c r="N83" s="349"/>
    </row>
    <row r="84" spans="1:14" s="253" customFormat="1" ht="13.5" thickBot="1" x14ac:dyDescent="0.25">
      <c r="A84" s="332" t="s">
        <v>42</v>
      </c>
      <c r="B84" s="335"/>
      <c r="C84" s="58"/>
      <c r="D84" s="57"/>
      <c r="E84" s="58"/>
      <c r="F84" s="57"/>
      <c r="G84" s="58"/>
      <c r="H84" s="57"/>
      <c r="I84" s="57"/>
      <c r="J84" s="57"/>
      <c r="K84" s="58"/>
      <c r="L84" s="57"/>
      <c r="M84" s="58"/>
      <c r="N84" s="57"/>
    </row>
    <row r="85" spans="1:14" x14ac:dyDescent="0.2">
      <c r="A85" s="28"/>
      <c r="B85" s="808">
        <v>28</v>
      </c>
      <c r="C85" s="29"/>
      <c r="D85" s="808">
        <v>29</v>
      </c>
      <c r="E85" s="28"/>
      <c r="F85" s="808">
        <v>30</v>
      </c>
      <c r="G85" s="33"/>
      <c r="H85" s="808">
        <v>31</v>
      </c>
      <c r="I85" s="55"/>
      <c r="J85" s="808">
        <v>1</v>
      </c>
      <c r="K85" s="652" t="str">
        <f>HYPERLINK("http://www.petanque.ee/index.php?id=103681&amp;cid=415","Kevadturniir ")</f>
        <v xml:space="preserve">Kevadturniir </v>
      </c>
      <c r="L85" s="808">
        <v>2</v>
      </c>
      <c r="M85" s="307" t="str">
        <f>HYPERLINK("#'Tul-Eel'!W55","Tulistamise ")</f>
        <v xml:space="preserve">Tulistamise </v>
      </c>
      <c r="N85" s="815">
        <v>3</v>
      </c>
    </row>
    <row r="86" spans="1:14" x14ac:dyDescent="0.2">
      <c r="A86" s="24"/>
      <c r="B86" s="25"/>
      <c r="C86" s="18"/>
      <c r="D86" s="25"/>
      <c r="E86" s="24"/>
      <c r="F86" s="25"/>
      <c r="G86" s="54"/>
      <c r="H86" s="25"/>
      <c r="I86" s="19"/>
      <c r="J86" s="25"/>
      <c r="K86" s="653" t="s">
        <v>387</v>
      </c>
      <c r="L86" s="25"/>
      <c r="M86" s="303" t="s">
        <v>283</v>
      </c>
      <c r="N86" s="211"/>
    </row>
    <row r="87" spans="1:14" x14ac:dyDescent="0.2">
      <c r="A87" s="24"/>
      <c r="B87" s="25"/>
      <c r="C87" s="18"/>
      <c r="D87" s="25"/>
      <c r="E87" s="24"/>
      <c r="F87" s="25"/>
      <c r="G87" s="54"/>
      <c r="H87" s="25"/>
      <c r="I87" s="19"/>
      <c r="J87" s="25"/>
      <c r="K87" s="329" t="str">
        <f>HYPERLINK("http://kaart.delfi.ee/?bookmark=0807568cf7d8a03cedbb545921254497","Tallinn")</f>
        <v>Tallinn</v>
      </c>
      <c r="L87" s="25"/>
      <c r="M87" s="654" t="str">
        <f>HYPERLINK("#'Pl6'!E1","Pliks-plaks 6, ")</f>
        <v xml:space="preserve">Pliks-plaks 6, </v>
      </c>
      <c r="N87" s="342"/>
    </row>
    <row r="88" spans="1:14" x14ac:dyDescent="0.2">
      <c r="A88" s="24"/>
      <c r="B88" s="25"/>
      <c r="C88" s="18"/>
      <c r="D88" s="25"/>
      <c r="E88" s="24"/>
      <c r="F88" s="25"/>
      <c r="G88" s="54"/>
      <c r="H88" s="25"/>
      <c r="I88" s="19"/>
      <c r="J88" s="25"/>
      <c r="K88" s="24"/>
      <c r="L88" s="25"/>
      <c r="M88" s="655" t="s">
        <v>183</v>
      </c>
      <c r="N88" s="343"/>
    </row>
    <row r="89" spans="1:14" ht="13.5" thickBot="1" x14ac:dyDescent="0.25">
      <c r="A89" s="34"/>
      <c r="B89" s="35"/>
      <c r="C89" s="21"/>
      <c r="D89" s="35"/>
      <c r="E89" s="34"/>
      <c r="F89" s="35"/>
      <c r="G89" s="56"/>
      <c r="H89" s="35"/>
      <c r="I89" s="22"/>
      <c r="J89" s="35"/>
      <c r="K89" s="34"/>
      <c r="L89" s="35"/>
      <c r="M89" s="889" t="str">
        <f>HYPERLINK("http://kaart.delfi.ee/?bookmark=225e5f274dc79e88e106035de3e50b2d","K-Järve petangihall")</f>
        <v>K-Järve petangihall</v>
      </c>
      <c r="N89" s="344"/>
    </row>
    <row r="90" spans="1:14" x14ac:dyDescent="0.2">
      <c r="A90" s="28"/>
      <c r="B90" s="808">
        <v>4</v>
      </c>
      <c r="C90" s="29"/>
      <c r="D90" s="808">
        <v>5</v>
      </c>
      <c r="E90" s="28"/>
      <c r="F90" s="808">
        <v>6</v>
      </c>
      <c r="G90" s="33"/>
      <c r="H90" s="808">
        <v>7</v>
      </c>
      <c r="I90" s="55"/>
      <c r="J90" s="816">
        <v>8</v>
      </c>
      <c r="K90" s="28"/>
      <c r="L90" s="808">
        <v>9</v>
      </c>
      <c r="M90" s="348" t="str">
        <f>HYPERLINK("#'6'!I1","SHK KV 6. etapp, ")</f>
        <v xml:space="preserve">SHK KV 6. etapp, </v>
      </c>
      <c r="N90" s="815">
        <v>10</v>
      </c>
    </row>
    <row r="91" spans="1:14" x14ac:dyDescent="0.2">
      <c r="A91" s="24"/>
      <c r="B91" s="25"/>
      <c r="C91" s="18"/>
      <c r="D91" s="25"/>
      <c r="E91" s="24"/>
      <c r="F91" s="25"/>
      <c r="G91" s="54"/>
      <c r="H91" s="25"/>
      <c r="I91" s="19"/>
      <c r="J91" s="19"/>
      <c r="K91" s="24"/>
      <c r="L91" s="25"/>
      <c r="M91" s="346" t="s">
        <v>77</v>
      </c>
      <c r="N91" s="352"/>
    </row>
    <row r="92" spans="1:14" ht="13.5" thickBot="1" x14ac:dyDescent="0.25">
      <c r="A92" s="34"/>
      <c r="B92" s="35"/>
      <c r="C92" s="21"/>
      <c r="D92" s="35"/>
      <c r="E92" s="34"/>
      <c r="F92" s="35"/>
      <c r="G92" s="56"/>
      <c r="H92" s="35"/>
      <c r="I92" s="22"/>
      <c r="J92" s="22"/>
      <c r="K92" s="34"/>
      <c r="L92" s="35"/>
      <c r="M92" s="888" t="str">
        <f>HYPERLINK("http://kaart.delfi.ee/?bookmark=225e5f274dc79e88e106035de3e50b2d","K-Järve petangihall")</f>
        <v>K-Järve petangihall</v>
      </c>
      <c r="N92" s="353"/>
    </row>
    <row r="93" spans="1:14" x14ac:dyDescent="0.2">
      <c r="A93" s="28"/>
      <c r="B93" s="808">
        <v>11</v>
      </c>
      <c r="C93" s="29"/>
      <c r="D93" s="808">
        <v>12</v>
      </c>
      <c r="E93" s="28"/>
      <c r="F93" s="808">
        <v>13</v>
      </c>
      <c r="G93" s="33"/>
      <c r="H93" s="808">
        <v>14</v>
      </c>
      <c r="I93" s="55"/>
      <c r="J93" s="808">
        <v>15</v>
      </c>
      <c r="K93" s="309" t="str">
        <f>HYPERLINK("http://www.petanque.ee/index.php?id=103589&amp;cid=413","Eesti reiting, ")</f>
        <v xml:space="preserve">Eesti reiting, </v>
      </c>
      <c r="L93" s="808">
        <v>16</v>
      </c>
      <c r="M93" s="802" t="str">
        <f>HYPERLINK("http://www.petanque.ee/index.php?id=103589&amp;cid=414","Eesti sise-MV, ")</f>
        <v xml:space="preserve">Eesti sise-MV, </v>
      </c>
      <c r="N93" s="815">
        <v>17</v>
      </c>
    </row>
    <row r="94" spans="1:14" ht="12.75" customHeight="1" x14ac:dyDescent="0.2">
      <c r="A94" s="24"/>
      <c r="B94" s="25"/>
      <c r="C94" s="18"/>
      <c r="D94" s="25"/>
      <c r="E94" s="24"/>
      <c r="F94" s="25"/>
      <c r="G94" s="54"/>
      <c r="H94" s="25"/>
      <c r="I94" s="19"/>
      <c r="J94" s="25"/>
      <c r="K94" s="618" t="s">
        <v>80</v>
      </c>
      <c r="L94" s="648"/>
      <c r="M94" s="803" t="s">
        <v>77</v>
      </c>
      <c r="N94" s="159"/>
    </row>
    <row r="95" spans="1:14" ht="13.5" thickBot="1" x14ac:dyDescent="0.25">
      <c r="A95" s="24"/>
      <c r="B95" s="25"/>
      <c r="C95" s="18"/>
      <c r="D95" s="25"/>
      <c r="E95" s="24"/>
      <c r="F95" s="25"/>
      <c r="G95" s="54"/>
      <c r="H95" s="25"/>
      <c r="I95" s="19"/>
      <c r="J95" s="25"/>
      <c r="K95" s="651" t="str">
        <f>HYPERLINK("http://kaart.delfi.ee/?bookmark=0807568cf7d8a03cedbb545921254497","Tallinn")</f>
        <v>Tallinn</v>
      </c>
      <c r="L95" s="649"/>
      <c r="M95" s="804" t="str">
        <f>HYPERLINK("http://kaart.delfi.ee/?bookmark=0807568cf7d8a03cedbb545921254497","Tallinn")</f>
        <v>Tallinn</v>
      </c>
      <c r="N95" s="302"/>
    </row>
    <row r="96" spans="1:14" x14ac:dyDescent="0.2">
      <c r="A96" s="28"/>
      <c r="B96" s="816">
        <v>18</v>
      </c>
      <c r="C96" s="28"/>
      <c r="D96" s="808">
        <v>19</v>
      </c>
      <c r="E96" s="29"/>
      <c r="F96" s="816">
        <v>20</v>
      </c>
      <c r="G96" s="33"/>
      <c r="H96" s="808">
        <v>21</v>
      </c>
      <c r="I96" s="55"/>
      <c r="J96" s="816">
        <v>22</v>
      </c>
      <c r="K96" s="729" t="str">
        <f>HYPERLINK("http://www.petanque.ee/index.php?id=&amp;news_id=1067","Petangireeglite ")</f>
        <v xml:space="preserve">Petangireeglite </v>
      </c>
      <c r="L96" s="808">
        <v>23</v>
      </c>
      <c r="M96" s="307" t="str">
        <f>HYPERLINK("#'Tul-Fin'!W1","Tulistamise vf, pf, ")</f>
        <v xml:space="preserve">Tulistamise vf, pf, </v>
      </c>
      <c r="N96" s="815">
        <v>24</v>
      </c>
    </row>
    <row r="97" spans="1:16" x14ac:dyDescent="0.2">
      <c r="A97" s="24"/>
      <c r="B97" s="19"/>
      <c r="C97" s="24"/>
      <c r="D97" s="25"/>
      <c r="E97" s="650"/>
      <c r="F97" s="19"/>
      <c r="G97" s="54"/>
      <c r="H97" s="25"/>
      <c r="I97" s="19"/>
      <c r="J97" s="19"/>
      <c r="K97" s="727" t="s">
        <v>433</v>
      </c>
      <c r="L97" s="25"/>
      <c r="M97" s="303" t="s">
        <v>282</v>
      </c>
      <c r="N97" s="211"/>
    </row>
    <row r="98" spans="1:16" x14ac:dyDescent="0.2">
      <c r="A98" s="24"/>
      <c r="B98" s="19"/>
      <c r="C98" s="24"/>
      <c r="D98" s="25"/>
      <c r="E98" s="18"/>
      <c r="F98" s="19"/>
      <c r="G98" s="54"/>
      <c r="H98" s="25"/>
      <c r="I98" s="19"/>
      <c r="J98" s="19"/>
      <c r="K98" s="329" t="str">
        <f>HYPERLINK("http://kaart.delfi.ee/?bookmark=0807568cf7d8a03cedbb545921254497","Tallinn")</f>
        <v>Tallinn</v>
      </c>
      <c r="L98" s="25"/>
      <c r="M98" s="308" t="str">
        <f>HYPERLINK("#'As-Fin'!O1","Asetamise vf, pf, ")</f>
        <v xml:space="preserve">Asetamise vf, pf, </v>
      </c>
      <c r="N98" s="116"/>
    </row>
    <row r="99" spans="1:16" x14ac:dyDescent="0.2">
      <c r="A99" s="24"/>
      <c r="B99" s="19"/>
      <c r="C99" s="24"/>
      <c r="D99" s="25"/>
      <c r="E99" s="18"/>
      <c r="F99" s="19"/>
      <c r="G99" s="54"/>
      <c r="H99" s="25"/>
      <c r="I99" s="19"/>
      <c r="J99" s="19"/>
      <c r="K99" s="625"/>
      <c r="L99" s="25"/>
      <c r="M99" s="294" t="s">
        <v>285</v>
      </c>
      <c r="N99" s="46"/>
    </row>
    <row r="100" spans="1:16" ht="13.5" thickBot="1" x14ac:dyDescent="0.25">
      <c r="A100" s="34"/>
      <c r="B100" s="22"/>
      <c r="C100" s="34"/>
      <c r="D100" s="35"/>
      <c r="E100" s="21"/>
      <c r="F100" s="22"/>
      <c r="G100" s="56"/>
      <c r="H100" s="35"/>
      <c r="I100" s="22"/>
      <c r="J100" s="22"/>
      <c r="K100" s="728"/>
      <c r="L100" s="35"/>
      <c r="M100" s="893" t="str">
        <f>HYPERLINK("http://kaart.delfi.ee/?bookmark=225e5f274dc79e88e106035de3e50b2d","K-Järve petangihall")</f>
        <v>K-Järve petangihall</v>
      </c>
      <c r="N100" s="41"/>
    </row>
    <row r="101" spans="1:16" x14ac:dyDescent="0.2">
      <c r="A101" s="28"/>
      <c r="B101" s="816">
        <v>25</v>
      </c>
      <c r="C101" s="28"/>
      <c r="D101" s="808">
        <v>26</v>
      </c>
      <c r="E101" s="29"/>
      <c r="F101" s="816">
        <v>27</v>
      </c>
      <c r="G101" s="33"/>
      <c r="H101" s="808">
        <v>28</v>
      </c>
      <c r="I101" s="55"/>
      <c r="J101" s="816">
        <v>29</v>
      </c>
      <c r="K101" s="28"/>
      <c r="L101" s="808">
        <v>30</v>
      </c>
      <c r="M101" s="28"/>
      <c r="N101" s="55"/>
    </row>
    <row r="102" spans="1:16" x14ac:dyDescent="0.2">
      <c r="A102" s="24"/>
      <c r="B102" s="19"/>
      <c r="C102" s="24"/>
      <c r="D102" s="25"/>
      <c r="E102" s="18"/>
      <c r="F102" s="19"/>
      <c r="G102" s="54"/>
      <c r="H102" s="25"/>
      <c r="I102" s="19"/>
      <c r="J102" s="19"/>
      <c r="K102" s="24"/>
      <c r="L102" s="25"/>
      <c r="M102" s="24"/>
      <c r="N102" s="19"/>
    </row>
    <row r="103" spans="1:16" ht="13.5" thickBot="1" x14ac:dyDescent="0.25">
      <c r="A103" s="34"/>
      <c r="B103" s="22"/>
      <c r="C103" s="34"/>
      <c r="D103" s="35"/>
      <c r="E103" s="21"/>
      <c r="F103" s="22"/>
      <c r="G103" s="56"/>
      <c r="H103" s="35"/>
      <c r="I103" s="22"/>
      <c r="J103" s="22"/>
      <c r="K103" s="34"/>
      <c r="L103" s="35"/>
      <c r="M103" s="24"/>
      <c r="N103" s="19"/>
    </row>
    <row r="104" spans="1:16" s="8" customFormat="1" x14ac:dyDescent="0.2">
      <c r="E104" s="7"/>
      <c r="F104" s="7"/>
      <c r="N104" s="7"/>
    </row>
    <row r="105" spans="1:16" s="298" customFormat="1" x14ac:dyDescent="0.2">
      <c r="A105" s="377" t="s">
        <v>409</v>
      </c>
      <c r="B105" s="288"/>
      <c r="C105" s="288"/>
      <c r="D105" s="288"/>
      <c r="M105" s="865"/>
      <c r="N105" s="865"/>
      <c r="P105" s="306"/>
    </row>
    <row r="106" spans="1:16" s="298" customFormat="1" x14ac:dyDescent="0.2">
      <c r="A106" s="379" t="s">
        <v>441</v>
      </c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204"/>
      <c r="M106" s="204"/>
      <c r="N106" s="204"/>
      <c r="P106" s="306"/>
    </row>
    <row r="107" spans="1:16" s="298" customFormat="1" x14ac:dyDescent="0.2">
      <c r="A107" s="381" t="s">
        <v>438</v>
      </c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204"/>
      <c r="M107" s="204"/>
      <c r="P107" s="306"/>
    </row>
    <row r="108" spans="1:16" s="298" customFormat="1" x14ac:dyDescent="0.2">
      <c r="A108" s="629" t="s">
        <v>410</v>
      </c>
      <c r="B108" s="629"/>
      <c r="C108" s="629"/>
      <c r="D108" s="629"/>
      <c r="E108" s="629"/>
      <c r="F108" s="629"/>
      <c r="G108" s="629"/>
      <c r="H108" s="629"/>
      <c r="I108" s="629"/>
      <c r="J108" s="629"/>
      <c r="K108" s="629"/>
      <c r="P108" s="306"/>
    </row>
    <row r="109" spans="1:16" s="298" customFormat="1" x14ac:dyDescent="0.2">
      <c r="A109" s="629" t="s">
        <v>411</v>
      </c>
      <c r="B109" s="629"/>
      <c r="C109" s="629"/>
      <c r="D109" s="629"/>
      <c r="E109" s="629"/>
      <c r="F109" s="629"/>
      <c r="G109" s="629"/>
      <c r="H109" s="629"/>
      <c r="I109" s="629"/>
      <c r="J109" s="629"/>
      <c r="K109" s="629"/>
      <c r="P109" s="306"/>
    </row>
    <row r="110" spans="1:16" s="298" customFormat="1" x14ac:dyDescent="0.2">
      <c r="A110" s="817" t="s">
        <v>443</v>
      </c>
      <c r="P110" s="306"/>
    </row>
    <row r="111" spans="1:16" s="304" customFormat="1" x14ac:dyDescent="0.2">
      <c r="A111" s="115" t="s">
        <v>47</v>
      </c>
      <c r="B111" s="298"/>
      <c r="C111" s="298"/>
      <c r="D111" s="298"/>
      <c r="E111" s="298"/>
      <c r="F111" s="298"/>
      <c r="H111" s="289"/>
      <c r="I111" s="801" t="s">
        <v>436</v>
      </c>
      <c r="P111" s="305"/>
    </row>
  </sheetData>
  <mergeCells count="1">
    <mergeCell ref="I3:J3"/>
  </mergeCells>
  <pageMargins left="0.59055118110236227" right="0.39370078740157483" top="0.78740157480314965" bottom="0.39370078740157483" header="0.59055118110236227" footer="0"/>
  <pageSetup paperSize="9" scale="95" fitToHeight="0" orientation="portrait" r:id="rId1"/>
  <headerFooter>
    <oddHeader>&amp;R&amp;"Arial,Regular"&amp;9Page &amp;P of &amp;N</oddHeader>
  </headerFooter>
  <rowBreaks count="1" manualBreakCount="1">
    <brk id="5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</sheetPr>
  <dimension ref="A1:P42"/>
  <sheetViews>
    <sheetView showGridLines="0" showRowColHeaders="0" zoomScaleNormal="100" workbookViewId="0">
      <pane ySplit="6" topLeftCell="A7" activePane="bottomLeft" state="frozen"/>
      <selection pane="bottomLeft" activeCell="J1" sqref="J1"/>
    </sheetView>
  </sheetViews>
  <sheetFormatPr defaultRowHeight="12.75" x14ac:dyDescent="0.2"/>
  <cols>
    <col min="1" max="2" width="3.28515625" style="281" customWidth="1"/>
    <col min="3" max="3" width="18.7109375" style="281" bestFit="1" customWidth="1"/>
    <col min="4" max="5" width="4.28515625" style="281" customWidth="1"/>
    <col min="6" max="6" width="19.42578125" style="281" hidden="1" customWidth="1"/>
    <col min="7" max="7" width="7.5703125" style="281" hidden="1" customWidth="1"/>
    <col min="8" max="12" width="5.5703125" style="281" bestFit="1" customWidth="1"/>
    <col min="13" max="13" width="5.5703125" style="281" customWidth="1"/>
    <col min="14" max="16" width="3.28515625" style="281" bestFit="1" customWidth="1"/>
    <col min="17" max="16384" width="9.140625" style="281"/>
  </cols>
  <sheetData>
    <row r="1" spans="1:16" ht="12.75" customHeight="1" x14ac:dyDescent="0.2">
      <c r="A1" s="59" t="s">
        <v>63</v>
      </c>
      <c r="B1" s="59"/>
      <c r="C1" s="243"/>
      <c r="D1" s="61"/>
      <c r="E1" s="61"/>
      <c r="F1" s="61"/>
      <c r="G1" s="61"/>
      <c r="H1" s="64"/>
      <c r="I1" s="245"/>
      <c r="J1" s="64"/>
      <c r="K1" s="361" t="str">
        <f>HYPERLINK("#'Kalend'!I1","Kalender")</f>
        <v>Kalender</v>
      </c>
      <c r="L1" s="64"/>
      <c r="M1" s="87" t="s">
        <v>435</v>
      </c>
      <c r="N1" s="60"/>
      <c r="O1" s="261" t="s">
        <v>373</v>
      </c>
      <c r="P1" s="261"/>
    </row>
    <row r="2" spans="1:16" ht="12.75" customHeight="1" x14ac:dyDescent="0.2">
      <c r="A2" s="63" t="s">
        <v>437</v>
      </c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245"/>
      <c r="N2" s="903" t="s">
        <v>401</v>
      </c>
      <c r="O2" s="79" t="s">
        <v>374</v>
      </c>
      <c r="P2" s="79"/>
    </row>
    <row r="3" spans="1:16" ht="12.75" customHeight="1" x14ac:dyDescent="0.2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903"/>
      <c r="O3" s="262" t="s">
        <v>375</v>
      </c>
      <c r="P3" s="262"/>
    </row>
    <row r="4" spans="1:16" ht="32.25" customHeight="1" x14ac:dyDescent="0.2">
      <c r="A4" s="67" t="s">
        <v>58</v>
      </c>
      <c r="B4" s="67"/>
      <c r="C4" s="68" t="s">
        <v>58</v>
      </c>
      <c r="D4" s="69" t="s">
        <v>58</v>
      </c>
      <c r="E4" s="69" t="s">
        <v>58</v>
      </c>
      <c r="F4" s="69" t="s">
        <v>58</v>
      </c>
      <c r="G4" s="70" t="s">
        <v>58</v>
      </c>
      <c r="H4" s="390" t="str">
        <f>MID(Kalend!A6,4,5)</f>
        <v>15.11</v>
      </c>
      <c r="I4" s="390" t="str">
        <f>MID(Kalend!A10,4,5)</f>
        <v>13.12</v>
      </c>
      <c r="J4" s="390" t="str">
        <f>MID(Kalend!A19,4,5)</f>
        <v>17.01</v>
      </c>
      <c r="K4" s="390" t="str">
        <f>MID(Kalend!A26,4,5)</f>
        <v>28.02</v>
      </c>
      <c r="L4" s="390" t="str">
        <f>MID(Kalend!A31,4,5)</f>
        <v>27.03</v>
      </c>
      <c r="M4" s="390" t="str">
        <f>MID(Kalend!A35,4,5)</f>
        <v>10.04</v>
      </c>
      <c r="N4" s="903"/>
      <c r="O4" s="904" t="s">
        <v>64</v>
      </c>
      <c r="P4" s="904" t="s">
        <v>65</v>
      </c>
    </row>
    <row r="5" spans="1:16" x14ac:dyDescent="0.2">
      <c r="A5" s="866" t="s">
        <v>85</v>
      </c>
      <c r="B5" s="867"/>
      <c r="C5" s="68" t="s">
        <v>58</v>
      </c>
      <c r="D5" s="866" t="s">
        <v>123</v>
      </c>
      <c r="E5" s="868"/>
      <c r="F5" s="69" t="s">
        <v>58</v>
      </c>
      <c r="G5" s="70" t="s">
        <v>58</v>
      </c>
      <c r="H5" s="391" t="str">
        <f>HYPERLINK("#'1'!L1","  1  ")</f>
        <v xml:space="preserve">  1  </v>
      </c>
      <c r="I5" s="391" t="str">
        <f>HYPERLINK("#'2'!J1","  2  ")</f>
        <v xml:space="preserve">  2  </v>
      </c>
      <c r="J5" s="391" t="str">
        <f>HYPERLINK("#'3'!J1","  3  ")</f>
        <v xml:space="preserve">  3  </v>
      </c>
      <c r="K5" s="391" t="str">
        <f>HYPERLINK("#'4'!L1","  4  ")</f>
        <v xml:space="preserve">  4  </v>
      </c>
      <c r="L5" s="391" t="str">
        <f>HYPERLINK("#'5'!J1","  5  ")</f>
        <v xml:space="preserve">  5  </v>
      </c>
      <c r="M5" s="391" t="str">
        <f>HYPERLINK("#'6'!I1","  6  ")</f>
        <v xml:space="preserve">  6  </v>
      </c>
      <c r="N5" s="903"/>
      <c r="O5" s="904"/>
      <c r="P5" s="904"/>
    </row>
    <row r="6" spans="1:16" ht="12.75" customHeight="1" x14ac:dyDescent="0.2">
      <c r="A6" s="250" t="s">
        <v>371</v>
      </c>
      <c r="B6" s="626" t="s">
        <v>58</v>
      </c>
      <c r="C6" s="70" t="s">
        <v>66</v>
      </c>
      <c r="D6" s="870" t="s">
        <v>67</v>
      </c>
      <c r="E6" s="250" t="s">
        <v>371</v>
      </c>
      <c r="F6" s="265" t="s">
        <v>370</v>
      </c>
      <c r="G6" s="266" t="s">
        <v>369</v>
      </c>
      <c r="H6" s="860" t="s">
        <v>124</v>
      </c>
      <c r="I6" s="860" t="s">
        <v>68</v>
      </c>
      <c r="J6" s="861" t="s">
        <v>69</v>
      </c>
      <c r="K6" s="861" t="s">
        <v>124</v>
      </c>
      <c r="L6" s="861" t="s">
        <v>68</v>
      </c>
      <c r="M6" s="861" t="s">
        <v>69</v>
      </c>
      <c r="N6" s="903"/>
      <c r="O6" s="904"/>
      <c r="P6" s="904"/>
    </row>
    <row r="7" spans="1:16" x14ac:dyDescent="0.2">
      <c r="A7" s="259">
        <f t="shared" ref="A7:A40" si="0">RANK(E7,E$7:E$40,0)</f>
        <v>1</v>
      </c>
      <c r="B7" s="869">
        <v>1</v>
      </c>
      <c r="C7" s="645" t="s">
        <v>113</v>
      </c>
      <c r="D7" s="871">
        <v>178.22101000000001</v>
      </c>
      <c r="E7" s="251">
        <f t="shared" ref="E7:E40" si="1">F7+G7</f>
        <v>178.22101000000001</v>
      </c>
      <c r="F7" s="241">
        <f t="shared" ref="F7:F40" si="2">COUNTIF(H7:M7,40)/10+COUNTIF(H7:M7,34)/100+COUNTIF(H7:M7,30)/1000+COUNTIF(H7:M7,26)/10000+COUNTIF(H7:M7,24)/100000+COUNTIF(H7:M7,22)/1000000+COUNTIF(H7:M7,20)/10000000+COUNTIF(H7:M7,18)/100000000+COUNTIF(H7:M7,16)/1000000000+COUNTIF(H7:M7,14)/10000000000+COUNTIF(H7:M7,12)/100000000000+COUNTIF(H7:M7,10)/1000000000000+COUNTIF(H7:M7,8)/10000000000000+COUNTIF(H7:M7,6)/100000000000000+COUNTIF(H7:M7,4)/1000000000000000+COUNTIF(H7:M7,2)/10000000000000000</f>
        <v>0.22101000000000001</v>
      </c>
      <c r="G7" s="267">
        <f t="array" ref="G7">(IF(COUNT(H7:M7)&lt;5,SUM(H7:M7),SUM(LARGE((H7:M7),{1;2;3;4;5}))))</f>
        <v>178</v>
      </c>
      <c r="H7" s="72">
        <v>30</v>
      </c>
      <c r="I7" s="72">
        <v>34</v>
      </c>
      <c r="J7" s="72">
        <v>40</v>
      </c>
      <c r="K7" s="858">
        <v>24</v>
      </c>
      <c r="L7" s="69">
        <v>40</v>
      </c>
      <c r="M7" s="69">
        <v>34</v>
      </c>
      <c r="N7" s="73">
        <f t="shared" ref="N7:N31" si="3">COUNTIF(H7:M7,"&gt;0")</f>
        <v>6</v>
      </c>
      <c r="O7" s="73">
        <f t="shared" ref="O7:O31" si="4">COUNTIF(H7:M7,"&gt;=30")</f>
        <v>5</v>
      </c>
      <c r="P7" s="73">
        <f t="shared" ref="P7:P31" si="5">COUNTIF(H7:M7,"=40")</f>
        <v>2</v>
      </c>
    </row>
    <row r="8" spans="1:16" x14ac:dyDescent="0.2">
      <c r="A8" s="259">
        <f t="shared" si="0"/>
        <v>2</v>
      </c>
      <c r="B8" s="869">
        <v>2</v>
      </c>
      <c r="C8" s="626" t="s">
        <v>90</v>
      </c>
      <c r="D8" s="871">
        <v>162.21002999999999</v>
      </c>
      <c r="E8" s="251">
        <f t="shared" si="1"/>
        <v>162.21002999999999</v>
      </c>
      <c r="F8" s="241">
        <f t="shared" si="2"/>
        <v>0.21003000000000002</v>
      </c>
      <c r="G8" s="267">
        <f t="array" ref="G8">(IF(COUNT(H8:M8)&lt;5,SUM(H8:M8),SUM(LARGE((H8:M8),{1;2;3;4;5}))))</f>
        <v>162</v>
      </c>
      <c r="H8" s="72">
        <v>40</v>
      </c>
      <c r="I8" s="858">
        <v>24</v>
      </c>
      <c r="J8" s="72">
        <v>24</v>
      </c>
      <c r="K8" s="69">
        <v>34</v>
      </c>
      <c r="L8" s="69">
        <v>24</v>
      </c>
      <c r="M8" s="69">
        <v>40</v>
      </c>
      <c r="N8" s="73">
        <f t="shared" si="3"/>
        <v>6</v>
      </c>
      <c r="O8" s="73">
        <f t="shared" si="4"/>
        <v>3</v>
      </c>
      <c r="P8" s="73">
        <f t="shared" si="5"/>
        <v>2</v>
      </c>
    </row>
    <row r="9" spans="1:16" x14ac:dyDescent="0.2">
      <c r="A9" s="259">
        <f t="shared" si="0"/>
        <v>3</v>
      </c>
      <c r="B9" s="869">
        <v>3</v>
      </c>
      <c r="C9" s="627" t="s">
        <v>139</v>
      </c>
      <c r="D9" s="871">
        <v>156.1112</v>
      </c>
      <c r="E9" s="251">
        <f>F9+G9</f>
        <v>156.1112</v>
      </c>
      <c r="F9" s="241">
        <f>COUNTIF(H9:M9,40)/10+COUNTIF(H9:M9,34)/100+COUNTIF(H9:M9,30)/1000+COUNTIF(H9:M9,26)/10000+COUNTIF(H9:M9,24)/100000+COUNTIF(H9:M9,22)/1000000+COUNTIF(H9:M9,20)/10000000+COUNTIF(H9:M9,18)/100000000+COUNTIF(H9:M9,16)/1000000000+COUNTIF(H9:M9,14)/10000000000+COUNTIF(H9:M9,12)/100000000000+COUNTIF(H9:M9,10)/1000000000000+COUNTIF(H9:M9,8)/10000000000000+COUNTIF(H9:M9,6)/100000000000000+COUNTIF(H9:M9,4)/1000000000000000+COUNTIF(H9:M9,2)/10000000000000000</f>
        <v>0.11120000000000001</v>
      </c>
      <c r="G9" s="267">
        <f t="array" ref="G9">(IF(COUNT(H9:M9)&lt;5,SUM(H9:M9),SUM(LARGE((H9:M9),{1;2;3;4;5}))))</f>
        <v>156</v>
      </c>
      <c r="H9" s="859" t="s">
        <v>281</v>
      </c>
      <c r="I9" s="69">
        <v>30</v>
      </c>
      <c r="J9" s="72">
        <v>34</v>
      </c>
      <c r="K9" s="69">
        <v>40</v>
      </c>
      <c r="L9" s="69">
        <v>26</v>
      </c>
      <c r="M9" s="69">
        <v>26</v>
      </c>
      <c r="N9" s="73">
        <f>COUNTIF(H9:M9,"&gt;0")</f>
        <v>5</v>
      </c>
      <c r="O9" s="73">
        <f>COUNTIF(H9:M9,"&gt;=30")</f>
        <v>3</v>
      </c>
      <c r="P9" s="73">
        <f>COUNTIF(H9:M9,"=40")</f>
        <v>1</v>
      </c>
    </row>
    <row r="10" spans="1:16" x14ac:dyDescent="0.2">
      <c r="A10" s="259">
        <f t="shared" si="0"/>
        <v>4</v>
      </c>
      <c r="B10" s="869">
        <v>4</v>
      </c>
      <c r="C10" s="68" t="s">
        <v>95</v>
      </c>
      <c r="D10" s="871">
        <v>152.12010001100001</v>
      </c>
      <c r="E10" s="251">
        <f t="shared" si="1"/>
        <v>152.12010001100001</v>
      </c>
      <c r="F10" s="241">
        <f t="shared" si="2"/>
        <v>0.12010001100000001</v>
      </c>
      <c r="G10" s="267">
        <f t="array" ref="G10">(IF(COUNT(H10:M10)&lt;5,SUM(H10:M10),SUM(LARGE((H10:M10),{1;2;3;4;5}))))</f>
        <v>152</v>
      </c>
      <c r="H10" s="72">
        <v>34</v>
      </c>
      <c r="I10" s="858">
        <v>16</v>
      </c>
      <c r="J10" s="72">
        <v>40</v>
      </c>
      <c r="K10" s="69">
        <v>18</v>
      </c>
      <c r="L10" s="69">
        <v>34</v>
      </c>
      <c r="M10" s="69">
        <v>26</v>
      </c>
      <c r="N10" s="73">
        <f t="shared" si="3"/>
        <v>6</v>
      </c>
      <c r="O10" s="73">
        <f t="shared" si="4"/>
        <v>3</v>
      </c>
      <c r="P10" s="73">
        <f t="shared" si="5"/>
        <v>1</v>
      </c>
    </row>
    <row r="11" spans="1:16" x14ac:dyDescent="0.2">
      <c r="A11" s="259">
        <f t="shared" si="0"/>
        <v>5</v>
      </c>
      <c r="B11" s="869">
        <v>5</v>
      </c>
      <c r="C11" s="68" t="s">
        <v>98</v>
      </c>
      <c r="D11" s="871">
        <v>142.10201001000101</v>
      </c>
      <c r="E11" s="251">
        <f t="shared" si="1"/>
        <v>142.10201001000101</v>
      </c>
      <c r="F11" s="241">
        <f t="shared" si="2"/>
        <v>0.102010010001</v>
      </c>
      <c r="G11" s="267">
        <f t="array" ref="G11">(IF(COUNT(H11:M11)&lt;5,SUM(H11:M11),SUM(LARGE((H11:M11),{1;2;3;4;5}))))</f>
        <v>142</v>
      </c>
      <c r="H11" s="72">
        <v>18</v>
      </c>
      <c r="I11" s="69">
        <v>40</v>
      </c>
      <c r="J11" s="72">
        <v>30</v>
      </c>
      <c r="K11" s="858">
        <v>10</v>
      </c>
      <c r="L11" s="69">
        <v>30</v>
      </c>
      <c r="M11" s="69">
        <v>24</v>
      </c>
      <c r="N11" s="73">
        <f t="shared" si="3"/>
        <v>6</v>
      </c>
      <c r="O11" s="73">
        <f t="shared" si="4"/>
        <v>3</v>
      </c>
      <c r="P11" s="73">
        <f t="shared" si="5"/>
        <v>1</v>
      </c>
    </row>
    <row r="12" spans="1:16" x14ac:dyDescent="0.2">
      <c r="A12" s="259">
        <f t="shared" si="0"/>
        <v>6</v>
      </c>
      <c r="B12" s="869">
        <v>6</v>
      </c>
      <c r="C12" s="68" t="s">
        <v>137</v>
      </c>
      <c r="D12" s="871">
        <v>136.01120010010001</v>
      </c>
      <c r="E12" s="251">
        <f>F12+G12</f>
        <v>136.01120010010001</v>
      </c>
      <c r="F12" s="241">
        <f>COUNTIF(H12:M12,40)/10+COUNTIF(H12:M12,34)/100+COUNTIF(H12:M12,30)/1000+COUNTIF(H12:M12,26)/10000+COUNTIF(H12:M12,24)/100000+COUNTIF(H12:M12,22)/1000000+COUNTIF(H12:M12,20)/10000000+COUNTIF(H12:M12,18)/100000000+COUNTIF(H12:M12,16)/1000000000+COUNTIF(H12:M12,14)/10000000000+COUNTIF(H12:M12,12)/100000000000+COUNTIF(H12:M12,10)/1000000000000+COUNTIF(H12:M12,8)/10000000000000+COUNTIF(H12:M12,6)/100000000000000+COUNTIF(H12:M12,4)/1000000000000000+COUNTIF(H12:M12,2)/10000000000000000</f>
        <v>1.1200100099999999E-2</v>
      </c>
      <c r="G12" s="267">
        <f t="array" ref="G12">(IF(COUNT(H12:M12)&lt;5,SUM(H12:M12),SUM(LARGE((H12:M12),{1;2;3;4;5}))))</f>
        <v>136</v>
      </c>
      <c r="H12" s="72">
        <v>20</v>
      </c>
      <c r="I12" s="69">
        <v>30</v>
      </c>
      <c r="J12" s="72">
        <v>34</v>
      </c>
      <c r="K12" s="858">
        <v>14</v>
      </c>
      <c r="L12" s="69">
        <v>26</v>
      </c>
      <c r="M12" s="69">
        <v>26</v>
      </c>
      <c r="N12" s="73">
        <f>COUNTIF(H12:M12,"&gt;0")</f>
        <v>6</v>
      </c>
      <c r="O12" s="73">
        <f>COUNTIF(H12:M12,"&gt;=30")</f>
        <v>2</v>
      </c>
      <c r="P12" s="73">
        <f>COUNTIF(H12:M12,"=40")</f>
        <v>0</v>
      </c>
    </row>
    <row r="13" spans="1:16" x14ac:dyDescent="0.2">
      <c r="A13" s="259">
        <f t="shared" si="0"/>
        <v>7</v>
      </c>
      <c r="B13" s="869">
        <v>7</v>
      </c>
      <c r="C13" s="68" t="s">
        <v>143</v>
      </c>
      <c r="D13" s="871">
        <v>134.00220200000001</v>
      </c>
      <c r="E13" s="251">
        <f t="shared" si="1"/>
        <v>134.00220200000001</v>
      </c>
      <c r="F13" s="241">
        <f t="shared" si="2"/>
        <v>2.202E-3</v>
      </c>
      <c r="G13" s="267">
        <f t="array" ref="G13">(IF(COUNT(H13:M13)&lt;5,SUM(H13:M13),SUM(LARGE((H13:M13),{1;2;3;4;5}))))</f>
        <v>134</v>
      </c>
      <c r="H13" s="72">
        <v>26</v>
      </c>
      <c r="I13" s="858">
        <v>22</v>
      </c>
      <c r="J13" s="72">
        <v>26</v>
      </c>
      <c r="K13" s="72">
        <v>30</v>
      </c>
      <c r="L13" s="69">
        <v>22</v>
      </c>
      <c r="M13" s="69">
        <v>30</v>
      </c>
      <c r="N13" s="73">
        <f t="shared" si="3"/>
        <v>6</v>
      </c>
      <c r="O13" s="73">
        <f t="shared" si="4"/>
        <v>2</v>
      </c>
      <c r="P13" s="73">
        <f t="shared" si="5"/>
        <v>0</v>
      </c>
    </row>
    <row r="14" spans="1:16" x14ac:dyDescent="0.2">
      <c r="A14" s="259">
        <f t="shared" si="0"/>
        <v>8</v>
      </c>
      <c r="B14" s="869">
        <v>8</v>
      </c>
      <c r="C14" s="275" t="s">
        <v>105</v>
      </c>
      <c r="D14" s="871">
        <v>130.11002000000011</v>
      </c>
      <c r="E14" s="251">
        <f>F14+G14</f>
        <v>130.11002000000011</v>
      </c>
      <c r="F14" s="241">
        <f>COUNTIF(H14:M14,40)/10+COUNTIF(H14:M14,34)/100+COUNTIF(H14:M14,30)/1000+COUNTIF(H14:M14,26)/10000+COUNTIF(H14:M14,24)/100000+COUNTIF(H14:M14,22)/1000000+COUNTIF(H14:M14,20)/10000000+COUNTIF(H14:M14,18)/100000000+COUNTIF(H14:M14,16)/1000000000+COUNTIF(H14:M14,14)/10000000000+COUNTIF(H14:M14,12)/100000000000+COUNTIF(H14:M14,10)/1000000000000+COUNTIF(H14:M14,8)/10000000000000+COUNTIF(H14:M14,6)/100000000000000+COUNTIF(H14:M14,4)/1000000000000000+COUNTIF(H14:M14,2)/10000000000000000</f>
        <v>0.11002000000010001</v>
      </c>
      <c r="G14" s="267">
        <f t="array" ref="G14">(IF(COUNT(H14:M14)&lt;5,SUM(H14:M14),SUM(LARGE((H14:M14),{1;2;3;4;5}))))</f>
        <v>130</v>
      </c>
      <c r="H14" s="72">
        <v>8</v>
      </c>
      <c r="I14" s="69">
        <v>34</v>
      </c>
      <c r="J14" s="72">
        <v>24</v>
      </c>
      <c r="K14" s="858" t="s">
        <v>281</v>
      </c>
      <c r="L14" s="69">
        <v>24</v>
      </c>
      <c r="M14" s="69">
        <v>40</v>
      </c>
      <c r="N14" s="73">
        <f>COUNTIF(H14:M14,"&gt;0")</f>
        <v>5</v>
      </c>
      <c r="O14" s="73">
        <f>COUNTIF(H14:M14,"&gt;=30")</f>
        <v>2</v>
      </c>
      <c r="P14" s="73">
        <f>COUNTIF(H14:M14,"=40")</f>
        <v>1</v>
      </c>
    </row>
    <row r="15" spans="1:16" x14ac:dyDescent="0.2">
      <c r="A15" s="259">
        <f t="shared" si="0"/>
        <v>9</v>
      </c>
      <c r="B15" s="869">
        <v>9</v>
      </c>
      <c r="C15" s="646" t="s">
        <v>104</v>
      </c>
      <c r="D15" s="871">
        <v>130.10201000000001</v>
      </c>
      <c r="E15" s="251">
        <f t="shared" si="1"/>
        <v>130.10201000000001</v>
      </c>
      <c r="F15" s="241">
        <f t="shared" si="2"/>
        <v>0.10201000000002</v>
      </c>
      <c r="G15" s="267">
        <f t="array" ref="G15">(IF(COUNT(H15:M15)&lt;5,SUM(H15:M15),SUM(LARGE((H15:M15),{1;2;3;4;5}))))</f>
        <v>130</v>
      </c>
      <c r="H15" s="859">
        <v>6</v>
      </c>
      <c r="I15" s="72">
        <v>40</v>
      </c>
      <c r="J15" s="72">
        <v>30</v>
      </c>
      <c r="K15" s="69">
        <v>6</v>
      </c>
      <c r="L15" s="69">
        <v>30</v>
      </c>
      <c r="M15" s="69">
        <v>24</v>
      </c>
      <c r="N15" s="73">
        <f t="shared" si="3"/>
        <v>6</v>
      </c>
      <c r="O15" s="73">
        <f t="shared" si="4"/>
        <v>3</v>
      </c>
      <c r="P15" s="73">
        <f t="shared" si="5"/>
        <v>1</v>
      </c>
    </row>
    <row r="16" spans="1:16" x14ac:dyDescent="0.2">
      <c r="A16" s="259">
        <f t="shared" si="0"/>
        <v>10</v>
      </c>
      <c r="B16" s="869">
        <v>10</v>
      </c>
      <c r="C16" s="68" t="s">
        <v>114</v>
      </c>
      <c r="D16" s="871">
        <v>124.01101010100101</v>
      </c>
      <c r="E16" s="251">
        <f t="shared" si="1"/>
        <v>124.01101010100101</v>
      </c>
      <c r="F16" s="241">
        <f t="shared" si="2"/>
        <v>1.1010101000999998E-2</v>
      </c>
      <c r="G16" s="267">
        <f t="array" ref="G16">(IF(COUNT(H16:M16)&lt;5,SUM(H16:M16),SUM(LARGE((H16:M16),{1;2;3;4;5}))))</f>
        <v>124</v>
      </c>
      <c r="H16" s="859">
        <v>10</v>
      </c>
      <c r="I16" s="72">
        <v>16</v>
      </c>
      <c r="J16" s="72">
        <v>30</v>
      </c>
      <c r="K16" s="69">
        <v>20</v>
      </c>
      <c r="L16" s="69">
        <v>34</v>
      </c>
      <c r="M16" s="69">
        <v>24</v>
      </c>
      <c r="N16" s="73">
        <f t="shared" si="3"/>
        <v>6</v>
      </c>
      <c r="O16" s="73">
        <f t="shared" si="4"/>
        <v>2</v>
      </c>
      <c r="P16" s="73">
        <f t="shared" si="5"/>
        <v>0</v>
      </c>
    </row>
    <row r="17" spans="1:16" x14ac:dyDescent="0.2">
      <c r="A17" s="259">
        <f t="shared" si="0"/>
        <v>11</v>
      </c>
      <c r="B17" s="869">
        <v>11</v>
      </c>
      <c r="C17" s="366" t="s">
        <v>106</v>
      </c>
      <c r="D17" s="871">
        <v>116.10003</v>
      </c>
      <c r="E17" s="251">
        <f>F17+G17</f>
        <v>116.10003</v>
      </c>
      <c r="F17" s="241">
        <f>COUNTIF(H17:M17,40)/10+COUNTIF(H17:M17,34)/100+COUNTIF(H17:M17,30)/1000+COUNTIF(H17:M17,26)/10000+COUNTIF(H17:M17,24)/100000+COUNTIF(H17:M17,22)/1000000+COUNTIF(H17:M17,20)/10000000+COUNTIF(H17:M17,18)/100000000+COUNTIF(H17:M17,16)/1000000000+COUNTIF(H17:M17,14)/10000000000+COUNTIF(H17:M17,12)/100000000000+COUNTIF(H17:M17,10)/1000000000000+COUNTIF(H17:M17,8)/10000000000000+COUNTIF(H17:M17,6)/100000000000000+COUNTIF(H17:M17,4)/1000000000000000+COUNTIF(H17:M17,2)/10000000000000000</f>
        <v>0.10003000000000101</v>
      </c>
      <c r="G17" s="267">
        <f t="array" ref="G17">(IF(COUNT(H17:M17)&lt;5,SUM(H17:M17),SUM(LARGE((H17:M17),{1;2;3;4;5}))))</f>
        <v>116</v>
      </c>
      <c r="H17" s="72">
        <v>4</v>
      </c>
      <c r="I17" s="72">
        <v>24</v>
      </c>
      <c r="J17" s="72">
        <v>24</v>
      </c>
      <c r="K17" s="858" t="s">
        <v>281</v>
      </c>
      <c r="L17" s="72">
        <v>24</v>
      </c>
      <c r="M17" s="69">
        <v>40</v>
      </c>
      <c r="N17" s="73">
        <f>COUNTIF(H17:M17,"&gt;0")</f>
        <v>5</v>
      </c>
      <c r="O17" s="73">
        <f>COUNTIF(H17:M17,"&gt;=30")</f>
        <v>1</v>
      </c>
      <c r="P17" s="73">
        <f>COUNTIF(H17:M17,"=40")</f>
        <v>1</v>
      </c>
    </row>
    <row r="18" spans="1:16" x14ac:dyDescent="0.2">
      <c r="A18" s="259">
        <f t="shared" si="0"/>
        <v>12</v>
      </c>
      <c r="B18" s="869">
        <v>12</v>
      </c>
      <c r="C18" s="366" t="s">
        <v>112</v>
      </c>
      <c r="D18" s="871">
        <v>116.00110200109999</v>
      </c>
      <c r="E18" s="251">
        <f t="shared" si="1"/>
        <v>116.00110200109999</v>
      </c>
      <c r="F18" s="241">
        <f t="shared" si="2"/>
        <v>1.1020011000000001E-3</v>
      </c>
      <c r="G18" s="267">
        <f t="array" ref="G18">(IF(COUNT(H18:M18)&lt;5,SUM(H18:M18),SUM(LARGE((H18:M18),{1;2;3;4;5}))))</f>
        <v>116</v>
      </c>
      <c r="H18" s="72">
        <v>16</v>
      </c>
      <c r="I18" s="858">
        <v>14</v>
      </c>
      <c r="J18" s="72">
        <v>26</v>
      </c>
      <c r="K18" s="69">
        <v>22</v>
      </c>
      <c r="L18" s="69">
        <v>22</v>
      </c>
      <c r="M18" s="69">
        <v>30</v>
      </c>
      <c r="N18" s="73">
        <f t="shared" si="3"/>
        <v>6</v>
      </c>
      <c r="O18" s="73">
        <f t="shared" si="4"/>
        <v>1</v>
      </c>
      <c r="P18" s="73">
        <f t="shared" si="5"/>
        <v>0</v>
      </c>
    </row>
    <row r="19" spans="1:16" x14ac:dyDescent="0.2">
      <c r="A19" s="259">
        <f t="shared" si="0"/>
        <v>13</v>
      </c>
      <c r="B19" s="869">
        <v>13</v>
      </c>
      <c r="C19" s="68" t="s">
        <v>108</v>
      </c>
      <c r="D19" s="871">
        <v>112.0012000012</v>
      </c>
      <c r="E19" s="251">
        <f t="shared" si="1"/>
        <v>112.0012000012</v>
      </c>
      <c r="F19" s="241">
        <f t="shared" si="2"/>
        <v>1.2000012000000001E-3</v>
      </c>
      <c r="G19" s="267">
        <f t="array" ref="G19">(IF(COUNT(H19:M19)&lt;5,SUM(H19:M19),SUM(LARGE((H19:M19),{1;2;3;4;5}))))</f>
        <v>112</v>
      </c>
      <c r="H19" s="859">
        <v>14</v>
      </c>
      <c r="I19" s="72">
        <v>14</v>
      </c>
      <c r="J19" s="72">
        <v>26</v>
      </c>
      <c r="K19" s="69">
        <v>26</v>
      </c>
      <c r="L19" s="69">
        <v>16</v>
      </c>
      <c r="M19" s="69">
        <v>30</v>
      </c>
      <c r="N19" s="73">
        <f t="shared" si="3"/>
        <v>6</v>
      </c>
      <c r="O19" s="73">
        <f t="shared" si="4"/>
        <v>1</v>
      </c>
      <c r="P19" s="73">
        <f t="shared" si="5"/>
        <v>0</v>
      </c>
    </row>
    <row r="20" spans="1:16" x14ac:dyDescent="0.2">
      <c r="A20" s="259">
        <f t="shared" si="0"/>
        <v>14</v>
      </c>
      <c r="B20" s="869">
        <v>14</v>
      </c>
      <c r="C20" s="275" t="s">
        <v>125</v>
      </c>
      <c r="D20" s="871">
        <v>90.010000100029998</v>
      </c>
      <c r="E20" s="251">
        <f t="shared" si="1"/>
        <v>90.010000100029998</v>
      </c>
      <c r="F20" s="241">
        <f t="shared" si="2"/>
        <v>1.000010003E-2</v>
      </c>
      <c r="G20" s="267">
        <f t="array" ref="G20">(IF(COUNT(H20:M20)&lt;5,SUM(H20:M20),SUM(LARGE((H20:M20),{1;2;3;4;5}))))</f>
        <v>90</v>
      </c>
      <c r="H20" s="72">
        <v>12</v>
      </c>
      <c r="I20" s="69">
        <v>12</v>
      </c>
      <c r="J20" s="72">
        <v>20</v>
      </c>
      <c r="K20" s="69">
        <v>12</v>
      </c>
      <c r="L20" s="858" t="s">
        <v>281</v>
      </c>
      <c r="M20" s="69">
        <v>34</v>
      </c>
      <c r="N20" s="73">
        <f t="shared" si="3"/>
        <v>5</v>
      </c>
      <c r="O20" s="73">
        <f t="shared" si="4"/>
        <v>1</v>
      </c>
      <c r="P20" s="73">
        <f t="shared" si="5"/>
        <v>0</v>
      </c>
    </row>
    <row r="21" spans="1:16" x14ac:dyDescent="0.2">
      <c r="A21" s="259">
        <f t="shared" si="0"/>
        <v>15</v>
      </c>
      <c r="B21" s="869">
        <v>15</v>
      </c>
      <c r="C21" s="68" t="s">
        <v>115</v>
      </c>
      <c r="D21" s="871">
        <v>84.010011000000006</v>
      </c>
      <c r="E21" s="251">
        <f>F21+G21</f>
        <v>84.010011000000006</v>
      </c>
      <c r="F21" s="241">
        <f>COUNTIF(H21:M21,40)/10+COUNTIF(H21:M21,34)/100+COUNTIF(H21:M21,30)/1000+COUNTIF(H21:M21,26)/10000+COUNTIF(H21:M21,24)/100000+COUNTIF(H21:M21,22)/1000000+COUNTIF(H21:M21,20)/10000000+COUNTIF(H21:M21,18)/100000000+COUNTIF(H21:M21,16)/1000000000+COUNTIF(H21:M21,14)/10000000000+COUNTIF(H21:M21,12)/100000000000+COUNTIF(H21:M21,10)/1000000000000+COUNTIF(H21:M21,8)/10000000000000+COUNTIF(H21:M21,6)/100000000000000+COUNTIF(H21:M21,4)/1000000000000000+COUNTIF(H21:M21,2)/10000000000000000</f>
        <v>1.0011000000000998E-2</v>
      </c>
      <c r="G21" s="267">
        <f t="array" ref="G21">(IF(COUNT(H21:M21)&lt;5,SUM(H21:M21),SUM(LARGE((H21:M21),{1;2;3;4;5}))))</f>
        <v>84</v>
      </c>
      <c r="H21" s="72">
        <v>24</v>
      </c>
      <c r="I21" s="69">
        <v>22</v>
      </c>
      <c r="J21" s="72">
        <v>34</v>
      </c>
      <c r="K21" s="69">
        <v>4</v>
      </c>
      <c r="L21" s="858" t="s">
        <v>281</v>
      </c>
      <c r="M21" s="69"/>
      <c r="N21" s="73">
        <f>COUNTIF(H21:M21,"&gt;0")</f>
        <v>4</v>
      </c>
      <c r="O21" s="73">
        <f>COUNTIF(H21:M21,"&gt;=30")</f>
        <v>1</v>
      </c>
      <c r="P21" s="73">
        <f>COUNTIF(H21:M21,"=40")</f>
        <v>0</v>
      </c>
    </row>
    <row r="22" spans="1:16" x14ac:dyDescent="0.2">
      <c r="A22" s="259">
        <f t="shared" si="0"/>
        <v>16</v>
      </c>
      <c r="B22" s="869">
        <v>16</v>
      </c>
      <c r="C22" s="68" t="s">
        <v>133</v>
      </c>
      <c r="D22" s="871">
        <v>66.010000100010004</v>
      </c>
      <c r="E22" s="251">
        <f>F22+G22</f>
        <v>66.010000100010004</v>
      </c>
      <c r="F22" s="241">
        <f>COUNTIF(H22:M22,40)/10+COUNTIF(H22:M22,34)/100+COUNTIF(H22:M22,30)/1000+COUNTIF(H22:M22,26)/10000+COUNTIF(H22:M22,24)/100000+COUNTIF(H22:M22,22)/1000000+COUNTIF(H22:M22,20)/10000000+COUNTIF(H22:M22,18)/100000000+COUNTIF(H22:M22,16)/1000000000+COUNTIF(H22:M22,14)/10000000000+COUNTIF(H22:M22,12)/100000000000+COUNTIF(H22:M22,10)/1000000000000+COUNTIF(H22:M22,8)/10000000000000+COUNTIF(H22:M22,6)/100000000000000+COUNTIF(H22:M22,4)/1000000000000000+COUNTIF(H22:M22,2)/10000000000000000</f>
        <v>1.000010001E-2</v>
      </c>
      <c r="G22" s="267">
        <f t="array" ref="G22">(IF(COUNT(H22:M22)&lt;5,SUM(H22:M22),SUM(LARGE((H22:M22),{1;2;3;4;5}))))</f>
        <v>66</v>
      </c>
      <c r="H22" s="859" t="s">
        <v>281</v>
      </c>
      <c r="I22" s="69">
        <v>12</v>
      </c>
      <c r="J22" s="72">
        <v>20</v>
      </c>
      <c r="K22" s="69"/>
      <c r="L22" s="69"/>
      <c r="M22" s="69">
        <v>34</v>
      </c>
      <c r="N22" s="73">
        <f>COUNTIF(H22:M22,"&gt;0")</f>
        <v>3</v>
      </c>
      <c r="O22" s="73">
        <f>COUNTIF(H22:M22,"&gt;=30")</f>
        <v>1</v>
      </c>
      <c r="P22" s="73">
        <f>COUNTIF(H22:M22,"=40")</f>
        <v>0</v>
      </c>
    </row>
    <row r="23" spans="1:16" x14ac:dyDescent="0.2">
      <c r="A23" s="259">
        <f t="shared" si="0"/>
        <v>17</v>
      </c>
      <c r="B23" s="869">
        <v>17</v>
      </c>
      <c r="C23" s="237" t="s">
        <v>279</v>
      </c>
      <c r="D23" s="871">
        <v>48.000101000000001</v>
      </c>
      <c r="E23" s="251">
        <f t="shared" si="1"/>
        <v>48.000101000000001</v>
      </c>
      <c r="F23" s="241">
        <f t="shared" si="2"/>
        <v>1.01E-4</v>
      </c>
      <c r="G23" s="267">
        <f t="array" ref="G23">(IF(COUNT(H23:M23)&lt;5,SUM(H23:M23),SUM(LARGE((H23:M23),{1;2;3;4;5}))))</f>
        <v>48</v>
      </c>
      <c r="H23" s="859" t="s">
        <v>281</v>
      </c>
      <c r="I23" s="69">
        <v>26</v>
      </c>
      <c r="J23" s="72">
        <v>22</v>
      </c>
      <c r="K23" s="69"/>
      <c r="L23" s="69"/>
      <c r="M23" s="69"/>
      <c r="N23" s="73">
        <f t="shared" si="3"/>
        <v>2</v>
      </c>
      <c r="O23" s="73">
        <f t="shared" si="4"/>
        <v>0</v>
      </c>
      <c r="P23" s="73">
        <f t="shared" si="5"/>
        <v>0</v>
      </c>
    </row>
    <row r="24" spans="1:16" x14ac:dyDescent="0.2">
      <c r="A24" s="259">
        <f t="shared" si="0"/>
        <v>17</v>
      </c>
      <c r="B24" s="869">
        <v>17</v>
      </c>
      <c r="C24" s="74" t="s">
        <v>280</v>
      </c>
      <c r="D24" s="871">
        <v>48.000101000000001</v>
      </c>
      <c r="E24" s="251">
        <f t="shared" si="1"/>
        <v>48.000101000000001</v>
      </c>
      <c r="F24" s="241">
        <f t="shared" si="2"/>
        <v>1.01E-4</v>
      </c>
      <c r="G24" s="267">
        <f t="array" ref="G24">(IF(COUNT(H24:M24)&lt;5,SUM(H24:M24),SUM(LARGE((H24:M24),{1;2;3;4;5}))))</f>
        <v>48</v>
      </c>
      <c r="H24" s="859" t="s">
        <v>281</v>
      </c>
      <c r="I24" s="69">
        <v>26</v>
      </c>
      <c r="J24" s="72">
        <v>22</v>
      </c>
      <c r="K24" s="69"/>
      <c r="L24" s="69"/>
      <c r="M24" s="69"/>
      <c r="N24" s="73">
        <f t="shared" si="3"/>
        <v>2</v>
      </c>
      <c r="O24" s="73">
        <f t="shared" si="4"/>
        <v>0</v>
      </c>
      <c r="P24" s="73">
        <f t="shared" si="5"/>
        <v>0</v>
      </c>
    </row>
    <row r="25" spans="1:16" x14ac:dyDescent="0.2">
      <c r="A25" s="259">
        <f t="shared" si="0"/>
        <v>19</v>
      </c>
      <c r="B25" s="869">
        <v>19</v>
      </c>
      <c r="C25" s="252" t="s">
        <v>126</v>
      </c>
      <c r="D25" s="871">
        <v>48.000000101010002</v>
      </c>
      <c r="E25" s="251">
        <f t="shared" si="1"/>
        <v>48.000000101010002</v>
      </c>
      <c r="F25" s="241">
        <f t="shared" si="2"/>
        <v>1.0100999999999999E-7</v>
      </c>
      <c r="G25" s="267">
        <f t="array" ref="G25">(IF(COUNT(H25:M25)&lt;5,SUM(H25:M25),SUM(LARGE((H25:M25),{1;2;3;4;5}))))</f>
        <v>48</v>
      </c>
      <c r="H25" s="859" t="s">
        <v>281</v>
      </c>
      <c r="I25" s="69">
        <v>12</v>
      </c>
      <c r="J25" s="72">
        <v>20</v>
      </c>
      <c r="K25" s="69">
        <v>16</v>
      </c>
      <c r="L25" s="69"/>
      <c r="M25" s="69"/>
      <c r="N25" s="73">
        <f t="shared" si="3"/>
        <v>3</v>
      </c>
      <c r="O25" s="73">
        <f t="shared" si="4"/>
        <v>0</v>
      </c>
      <c r="P25" s="73">
        <f t="shared" si="5"/>
        <v>0</v>
      </c>
    </row>
    <row r="26" spans="1:16" x14ac:dyDescent="0.2">
      <c r="A26" s="259">
        <f t="shared" si="0"/>
        <v>20</v>
      </c>
      <c r="B26" s="869">
        <v>20</v>
      </c>
      <c r="C26" s="68" t="s">
        <v>134</v>
      </c>
      <c r="D26" s="871">
        <v>40.1</v>
      </c>
      <c r="E26" s="251">
        <f t="shared" si="1"/>
        <v>40.1</v>
      </c>
      <c r="F26" s="241">
        <f t="shared" si="2"/>
        <v>0.1</v>
      </c>
      <c r="G26" s="267">
        <f t="array" ref="G26">(IF(COUNT(H26:M26)&lt;5,SUM(H26:M26),SUM(LARGE((H26:M26),{1;2;3;4;5}))))</f>
        <v>40</v>
      </c>
      <c r="H26" s="859" t="s">
        <v>281</v>
      </c>
      <c r="I26" s="69"/>
      <c r="J26" s="72"/>
      <c r="K26" s="69"/>
      <c r="L26" s="69">
        <v>40</v>
      </c>
      <c r="M26" s="69"/>
      <c r="N26" s="73">
        <f t="shared" si="3"/>
        <v>1</v>
      </c>
      <c r="O26" s="73">
        <f t="shared" si="4"/>
        <v>1</v>
      </c>
      <c r="P26" s="73">
        <f t="shared" si="5"/>
        <v>1</v>
      </c>
    </row>
    <row r="27" spans="1:16" x14ac:dyDescent="0.2">
      <c r="A27" s="259">
        <f t="shared" si="0"/>
        <v>20</v>
      </c>
      <c r="B27" s="869">
        <v>20</v>
      </c>
      <c r="C27" s="275" t="s">
        <v>141</v>
      </c>
      <c r="D27" s="871">
        <v>40.1</v>
      </c>
      <c r="E27" s="251">
        <f t="shared" si="1"/>
        <v>40.1</v>
      </c>
      <c r="F27" s="241">
        <f t="shared" si="2"/>
        <v>0.1</v>
      </c>
      <c r="G27" s="267">
        <f t="array" ref="G27">(IF(COUNT(H27:M27)&lt;5,SUM(H27:M27),SUM(LARGE((H27:M27),{1;2;3;4;5}))))</f>
        <v>40</v>
      </c>
      <c r="H27" s="859" t="s">
        <v>281</v>
      </c>
      <c r="I27" s="69"/>
      <c r="J27" s="72">
        <v>40</v>
      </c>
      <c r="K27" s="69"/>
      <c r="L27" s="69"/>
      <c r="M27" s="69"/>
      <c r="N27" s="73">
        <f t="shared" si="3"/>
        <v>1</v>
      </c>
      <c r="O27" s="73">
        <f t="shared" si="4"/>
        <v>1</v>
      </c>
      <c r="P27" s="73">
        <f t="shared" si="5"/>
        <v>1</v>
      </c>
    </row>
    <row r="28" spans="1:16" x14ac:dyDescent="0.2">
      <c r="A28" s="259">
        <f t="shared" si="0"/>
        <v>22</v>
      </c>
      <c r="B28" s="869">
        <v>22</v>
      </c>
      <c r="C28" s="68" t="s">
        <v>111</v>
      </c>
      <c r="D28" s="871">
        <v>28.000000100000101</v>
      </c>
      <c r="E28" s="251">
        <f t="shared" si="1"/>
        <v>28.000000100000101</v>
      </c>
      <c r="F28" s="241">
        <f t="shared" si="2"/>
        <v>1.000001E-7</v>
      </c>
      <c r="G28" s="267">
        <f t="array" ref="G28">(IF(COUNT(H28:M28)&lt;5,SUM(H28:M28),SUM(LARGE((H28:M28),{1;2;3;4;5}))))</f>
        <v>28</v>
      </c>
      <c r="H28" s="859" t="s">
        <v>281</v>
      </c>
      <c r="I28" s="69"/>
      <c r="J28" s="72"/>
      <c r="K28" s="69">
        <v>8</v>
      </c>
      <c r="L28" s="69">
        <v>20</v>
      </c>
      <c r="M28" s="69"/>
      <c r="N28" s="73">
        <f t="shared" si="3"/>
        <v>2</v>
      </c>
      <c r="O28" s="73">
        <f t="shared" si="4"/>
        <v>0</v>
      </c>
      <c r="P28" s="73">
        <f t="shared" si="5"/>
        <v>0</v>
      </c>
    </row>
    <row r="29" spans="1:16" x14ac:dyDescent="0.2">
      <c r="A29" s="259">
        <f t="shared" si="0"/>
        <v>23</v>
      </c>
      <c r="B29" s="869">
        <v>23</v>
      </c>
      <c r="C29" s="278" t="s">
        <v>329</v>
      </c>
      <c r="D29" s="871">
        <v>22.000001000000001</v>
      </c>
      <c r="E29" s="251">
        <f t="shared" si="1"/>
        <v>22.000001000000001</v>
      </c>
      <c r="F29" s="241">
        <f t="shared" si="2"/>
        <v>9.9999999999999995E-7</v>
      </c>
      <c r="G29" s="267">
        <f t="array" ref="G29">(IF(COUNT(H29:M29)&lt;5,SUM(H29:M29),SUM(LARGE((H29:M29),{1;2;3;4;5}))))</f>
        <v>22</v>
      </c>
      <c r="H29" s="859" t="s">
        <v>281</v>
      </c>
      <c r="I29" s="69"/>
      <c r="J29" s="72">
        <v>22</v>
      </c>
      <c r="K29" s="69"/>
      <c r="L29" s="69"/>
      <c r="M29" s="69"/>
      <c r="N29" s="73">
        <f t="shared" si="3"/>
        <v>1</v>
      </c>
      <c r="O29" s="73">
        <f t="shared" si="4"/>
        <v>0</v>
      </c>
      <c r="P29" s="73">
        <f t="shared" si="5"/>
        <v>0</v>
      </c>
    </row>
    <row r="30" spans="1:16" x14ac:dyDescent="0.2">
      <c r="A30" s="259">
        <f t="shared" si="0"/>
        <v>23</v>
      </c>
      <c r="B30" s="869">
        <v>23</v>
      </c>
      <c r="C30" s="68" t="s">
        <v>227</v>
      </c>
      <c r="D30" s="871">
        <v>22.000001000000001</v>
      </c>
      <c r="E30" s="251">
        <f t="shared" si="1"/>
        <v>22.000001000000001</v>
      </c>
      <c r="F30" s="241">
        <f t="shared" si="2"/>
        <v>9.9999999999999995E-7</v>
      </c>
      <c r="G30" s="267">
        <f t="array" ref="G30">(IF(COUNT(H30:M30)&lt;5,SUM(H30:M30),SUM(LARGE((H30:M30),{1;2;3;4;5}))))</f>
        <v>22</v>
      </c>
      <c r="H30" s="72">
        <v>22</v>
      </c>
      <c r="I30" s="859" t="s">
        <v>281</v>
      </c>
      <c r="J30" s="72"/>
      <c r="K30" s="69"/>
      <c r="L30" s="69"/>
      <c r="M30" s="69"/>
      <c r="N30" s="73">
        <f t="shared" si="3"/>
        <v>1</v>
      </c>
      <c r="O30" s="73">
        <f t="shared" si="4"/>
        <v>0</v>
      </c>
      <c r="P30" s="73">
        <f t="shared" si="5"/>
        <v>0</v>
      </c>
    </row>
    <row r="31" spans="1:16" x14ac:dyDescent="0.2">
      <c r="A31" s="259">
        <f t="shared" si="0"/>
        <v>25</v>
      </c>
      <c r="B31" s="869">
        <v>25</v>
      </c>
      <c r="C31" s="68" t="s">
        <v>131</v>
      </c>
      <c r="D31" s="871">
        <v>20.000000100000001</v>
      </c>
      <c r="E31" s="251">
        <f t="shared" si="1"/>
        <v>20.000000100000001</v>
      </c>
      <c r="F31" s="241">
        <f t="shared" si="2"/>
        <v>9.9999999999999995E-8</v>
      </c>
      <c r="G31" s="267">
        <f t="array" ref="G31">(IF(COUNT(H31:M31)&lt;5,SUM(H31:M31),SUM(LARGE((H31:M31),{1;2;3;4;5}))))</f>
        <v>20</v>
      </c>
      <c r="H31" s="859" t="s">
        <v>281</v>
      </c>
      <c r="I31" s="69">
        <v>20</v>
      </c>
      <c r="J31" s="72"/>
      <c r="K31" s="69"/>
      <c r="L31" s="69"/>
      <c r="M31" s="69"/>
      <c r="N31" s="73">
        <f t="shared" si="3"/>
        <v>1</v>
      </c>
      <c r="O31" s="73">
        <f t="shared" si="4"/>
        <v>0</v>
      </c>
      <c r="P31" s="73">
        <f t="shared" si="5"/>
        <v>0</v>
      </c>
    </row>
    <row r="32" spans="1:16" x14ac:dyDescent="0.2">
      <c r="A32" s="259">
        <f t="shared" si="0"/>
        <v>25</v>
      </c>
      <c r="B32" s="869">
        <v>25</v>
      </c>
      <c r="C32" s="68" t="s">
        <v>135</v>
      </c>
      <c r="D32" s="871">
        <v>20.000000100000001</v>
      </c>
      <c r="E32" s="251">
        <f t="shared" si="1"/>
        <v>20.000000100000001</v>
      </c>
      <c r="F32" s="241">
        <f t="shared" si="2"/>
        <v>9.9999999999999995E-8</v>
      </c>
      <c r="G32" s="267">
        <f t="array" ref="G32">(IF(COUNT(H32:M32)&lt;5,SUM(H32:M32),SUM(LARGE((H32:M32),{1;2;3;4;5}))))</f>
        <v>20</v>
      </c>
      <c r="H32" s="859" t="s">
        <v>281</v>
      </c>
      <c r="I32" s="69"/>
      <c r="J32" s="72"/>
      <c r="K32" s="69"/>
      <c r="L32" s="69">
        <v>20</v>
      </c>
      <c r="M32" s="69"/>
      <c r="N32" s="73"/>
      <c r="O32" s="73"/>
      <c r="P32" s="73"/>
    </row>
    <row r="33" spans="1:16" x14ac:dyDescent="0.2">
      <c r="A33" s="259">
        <f t="shared" si="0"/>
        <v>25</v>
      </c>
      <c r="B33" s="869">
        <v>25</v>
      </c>
      <c r="C33" s="68" t="s">
        <v>101</v>
      </c>
      <c r="D33" s="871">
        <v>20.000000100000001</v>
      </c>
      <c r="E33" s="251">
        <f t="shared" si="1"/>
        <v>20.000000100000001</v>
      </c>
      <c r="F33" s="241">
        <f t="shared" si="2"/>
        <v>9.9999999999999995E-8</v>
      </c>
      <c r="G33" s="267">
        <f t="array" ref="G33">(IF(COUNT(H33:M33)&lt;5,SUM(H33:M33),SUM(LARGE((H33:M33),{1;2;3;4;5}))))</f>
        <v>20</v>
      </c>
      <c r="H33" s="859" t="s">
        <v>281</v>
      </c>
      <c r="I33" s="69">
        <v>20</v>
      </c>
      <c r="J33" s="72"/>
      <c r="K33" s="69"/>
      <c r="L33" s="69"/>
      <c r="M33" s="69"/>
      <c r="N33" s="73">
        <f t="shared" ref="N33:N40" si="6">COUNTIF(H33:M33,"&gt;0")</f>
        <v>1</v>
      </c>
      <c r="O33" s="73">
        <f t="shared" ref="O33:O40" si="7">COUNTIF(H33:M33,"&gt;=30")</f>
        <v>0</v>
      </c>
      <c r="P33" s="73">
        <f t="shared" ref="P33:P40" si="8">COUNTIF(H33:M33,"=40")</f>
        <v>0</v>
      </c>
    </row>
    <row r="34" spans="1:16" x14ac:dyDescent="0.2">
      <c r="A34" s="259">
        <f t="shared" si="0"/>
        <v>28</v>
      </c>
      <c r="B34" s="869">
        <v>28</v>
      </c>
      <c r="C34" s="252" t="s">
        <v>267</v>
      </c>
      <c r="D34" s="871">
        <v>18.000000010000001</v>
      </c>
      <c r="E34" s="251">
        <f t="shared" si="1"/>
        <v>18.000000010000001</v>
      </c>
      <c r="F34" s="241">
        <f t="shared" si="2"/>
        <v>1E-8</v>
      </c>
      <c r="G34" s="267">
        <f t="array" ref="G34">(IF(COUNT(H34:M34)&lt;5,SUM(H34:M34),SUM(LARGE((H34:M34),{1;2;3;4;5}))))</f>
        <v>18</v>
      </c>
      <c r="H34" s="859" t="s">
        <v>281</v>
      </c>
      <c r="I34" s="69">
        <v>18</v>
      </c>
      <c r="J34" s="72"/>
      <c r="K34" s="69"/>
      <c r="L34" s="69"/>
      <c r="M34" s="69"/>
      <c r="N34" s="73">
        <f t="shared" si="6"/>
        <v>1</v>
      </c>
      <c r="O34" s="73">
        <f t="shared" si="7"/>
        <v>0</v>
      </c>
      <c r="P34" s="73">
        <f t="shared" si="8"/>
        <v>0</v>
      </c>
    </row>
    <row r="35" spans="1:16" x14ac:dyDescent="0.2">
      <c r="A35" s="259">
        <f t="shared" si="0"/>
        <v>28</v>
      </c>
      <c r="B35" s="869">
        <v>28</v>
      </c>
      <c r="C35" s="275" t="s">
        <v>394</v>
      </c>
      <c r="D35" s="871">
        <v>18.000000010000001</v>
      </c>
      <c r="E35" s="251">
        <f t="shared" si="1"/>
        <v>18.000000010000001</v>
      </c>
      <c r="F35" s="241">
        <f t="shared" si="2"/>
        <v>1E-8</v>
      </c>
      <c r="G35" s="267">
        <f t="array" ref="G35">(IF(COUNT(H35:M35)&lt;5,SUM(H35:M35),SUM(LARGE((H35:M35),{1;2;3;4;5}))))</f>
        <v>18</v>
      </c>
      <c r="H35" s="859" t="s">
        <v>281</v>
      </c>
      <c r="I35" s="69"/>
      <c r="J35" s="72"/>
      <c r="K35" s="69"/>
      <c r="L35" s="69">
        <v>18</v>
      </c>
      <c r="M35" s="69"/>
      <c r="N35" s="73">
        <f t="shared" si="6"/>
        <v>1</v>
      </c>
      <c r="O35" s="73">
        <f t="shared" si="7"/>
        <v>0</v>
      </c>
      <c r="P35" s="73">
        <f t="shared" si="8"/>
        <v>0</v>
      </c>
    </row>
    <row r="36" spans="1:16" x14ac:dyDescent="0.2">
      <c r="A36" s="259">
        <f t="shared" si="0"/>
        <v>28</v>
      </c>
      <c r="B36" s="869">
        <v>28</v>
      </c>
      <c r="C36" s="68" t="s">
        <v>395</v>
      </c>
      <c r="D36" s="871">
        <v>18.000000010000001</v>
      </c>
      <c r="E36" s="251">
        <f t="shared" si="1"/>
        <v>18.000000010000001</v>
      </c>
      <c r="F36" s="241">
        <f t="shared" si="2"/>
        <v>1E-8</v>
      </c>
      <c r="G36" s="267">
        <f t="array" ref="G36">(IF(COUNT(H36:M36)&lt;5,SUM(H36:M36),SUM(LARGE((H36:M36),{1;2;3;4;5}))))</f>
        <v>18</v>
      </c>
      <c r="H36" s="859" t="s">
        <v>281</v>
      </c>
      <c r="I36" s="69"/>
      <c r="J36" s="72"/>
      <c r="K36" s="69"/>
      <c r="L36" s="69">
        <v>18</v>
      </c>
      <c r="M36" s="69"/>
      <c r="N36" s="73">
        <f t="shared" si="6"/>
        <v>1</v>
      </c>
      <c r="O36" s="73">
        <f t="shared" si="7"/>
        <v>0</v>
      </c>
      <c r="P36" s="73">
        <f t="shared" si="8"/>
        <v>0</v>
      </c>
    </row>
    <row r="37" spans="1:16" x14ac:dyDescent="0.2">
      <c r="A37" s="259">
        <f t="shared" si="0"/>
        <v>28</v>
      </c>
      <c r="B37" s="869">
        <v>28</v>
      </c>
      <c r="C37" s="68" t="s">
        <v>269</v>
      </c>
      <c r="D37" s="871">
        <v>18.000000010000001</v>
      </c>
      <c r="E37" s="251">
        <f t="shared" si="1"/>
        <v>18.000000010000001</v>
      </c>
      <c r="F37" s="241">
        <f t="shared" si="2"/>
        <v>1E-8</v>
      </c>
      <c r="G37" s="267">
        <f t="array" ref="G37">(IF(COUNT(H37:M37)&lt;5,SUM(H37:M37),SUM(LARGE((H37:M37),{1;2;3;4;5}))))</f>
        <v>18</v>
      </c>
      <c r="H37" s="859" t="s">
        <v>281</v>
      </c>
      <c r="I37" s="69">
        <v>18</v>
      </c>
      <c r="J37" s="72"/>
      <c r="K37" s="69"/>
      <c r="L37" s="69"/>
      <c r="M37" s="69"/>
      <c r="N37" s="73">
        <f t="shared" si="6"/>
        <v>1</v>
      </c>
      <c r="O37" s="73">
        <f t="shared" si="7"/>
        <v>0</v>
      </c>
      <c r="P37" s="73">
        <f t="shared" si="8"/>
        <v>0</v>
      </c>
    </row>
    <row r="38" spans="1:16" x14ac:dyDescent="0.2">
      <c r="A38" s="259">
        <f t="shared" si="0"/>
        <v>32</v>
      </c>
      <c r="B38" s="869">
        <v>32</v>
      </c>
      <c r="C38" s="68" t="s">
        <v>107</v>
      </c>
      <c r="D38" s="871">
        <v>16.000000001</v>
      </c>
      <c r="E38" s="251">
        <f t="shared" si="1"/>
        <v>16.000000001</v>
      </c>
      <c r="F38" s="241">
        <f t="shared" si="2"/>
        <v>1.0000000000000001E-9</v>
      </c>
      <c r="G38" s="267">
        <f t="array" ref="G38">(IF(COUNT(H38:M38)&lt;5,SUM(H38:M38),SUM(LARGE((H38:M38),{1;2;3;4;5}))))</f>
        <v>16</v>
      </c>
      <c r="H38" s="859" t="s">
        <v>281</v>
      </c>
      <c r="I38" s="69"/>
      <c r="J38" s="72"/>
      <c r="K38" s="69"/>
      <c r="L38" s="69">
        <v>16</v>
      </c>
      <c r="M38" s="69"/>
      <c r="N38" s="73">
        <f t="shared" si="6"/>
        <v>1</v>
      </c>
      <c r="O38" s="73">
        <f t="shared" si="7"/>
        <v>0</v>
      </c>
      <c r="P38" s="73">
        <f t="shared" si="8"/>
        <v>0</v>
      </c>
    </row>
    <row r="39" spans="1:16" x14ac:dyDescent="0.2">
      <c r="A39" s="259">
        <f t="shared" si="0"/>
        <v>33</v>
      </c>
      <c r="B39" s="869">
        <v>33</v>
      </c>
      <c r="C39" s="275" t="s">
        <v>136</v>
      </c>
      <c r="D39" s="871">
        <v>14.0000000001</v>
      </c>
      <c r="E39" s="251">
        <f t="shared" si="1"/>
        <v>14.0000000001</v>
      </c>
      <c r="F39" s="241">
        <f t="shared" si="2"/>
        <v>1E-10</v>
      </c>
      <c r="G39" s="267">
        <f t="array" ref="G39">(IF(COUNT(H39:M39)&lt;5,SUM(H39:M39),SUM(LARGE((H39:M39),{1;2;3;4;5}))))</f>
        <v>14</v>
      </c>
      <c r="H39" s="859" t="s">
        <v>281</v>
      </c>
      <c r="I39" s="69"/>
      <c r="J39" s="72"/>
      <c r="K39" s="69"/>
      <c r="L39" s="69">
        <v>14</v>
      </c>
      <c r="M39" s="69"/>
      <c r="N39" s="73">
        <f t="shared" si="6"/>
        <v>1</v>
      </c>
      <c r="O39" s="73">
        <f t="shared" si="7"/>
        <v>0</v>
      </c>
      <c r="P39" s="73">
        <f t="shared" si="8"/>
        <v>0</v>
      </c>
    </row>
    <row r="40" spans="1:16" x14ac:dyDescent="0.2">
      <c r="A40" s="259">
        <f t="shared" si="0"/>
        <v>33</v>
      </c>
      <c r="B40" s="869">
        <v>33</v>
      </c>
      <c r="C40" s="68" t="s">
        <v>393</v>
      </c>
      <c r="D40" s="871">
        <v>14.0000000001</v>
      </c>
      <c r="E40" s="251">
        <f t="shared" si="1"/>
        <v>14.0000000001</v>
      </c>
      <c r="F40" s="241">
        <f t="shared" si="2"/>
        <v>1E-10</v>
      </c>
      <c r="G40" s="267">
        <f t="array" ref="G40">(IF(COUNT(H40:M40)&lt;5,SUM(H40:M40),SUM(LARGE((H40:M40),{1;2;3;4;5}))))</f>
        <v>14</v>
      </c>
      <c r="H40" s="859" t="s">
        <v>281</v>
      </c>
      <c r="I40" s="69"/>
      <c r="J40" s="72"/>
      <c r="K40" s="69"/>
      <c r="L40" s="69">
        <v>14</v>
      </c>
      <c r="M40" s="69"/>
      <c r="N40" s="73">
        <f t="shared" si="6"/>
        <v>1</v>
      </c>
      <c r="O40" s="73">
        <f t="shared" si="7"/>
        <v>0</v>
      </c>
      <c r="P40" s="73">
        <f t="shared" si="8"/>
        <v>0</v>
      </c>
    </row>
    <row r="41" spans="1:16" x14ac:dyDescent="0.2">
      <c r="A41" s="246"/>
      <c r="B41" s="246">
        <f>COUNT(B7:B40)</f>
        <v>34</v>
      </c>
      <c r="C41" s="247" t="s">
        <v>70</v>
      </c>
      <c r="D41" s="248"/>
      <c r="E41" s="248"/>
      <c r="F41" s="248"/>
      <c r="G41" s="248"/>
      <c r="H41" s="249">
        <f t="shared" ref="H41:M41" si="9">COUNTIF(H7:H40,"&gt;=0")</f>
        <v>15</v>
      </c>
      <c r="I41" s="249">
        <f t="shared" si="9"/>
        <v>23</v>
      </c>
      <c r="J41" s="249">
        <f t="shared" si="9"/>
        <v>21</v>
      </c>
      <c r="K41" s="249">
        <f t="shared" si="9"/>
        <v>15</v>
      </c>
      <c r="L41" s="249">
        <f t="shared" si="9"/>
        <v>21</v>
      </c>
      <c r="M41" s="249">
        <f t="shared" si="9"/>
        <v>15</v>
      </c>
      <c r="N41" s="79"/>
      <c r="O41" s="80">
        <f>SUM(O7:O40)</f>
        <v>36</v>
      </c>
      <c r="P41" s="80">
        <f>SUM(P7:P40)</f>
        <v>12</v>
      </c>
    </row>
    <row r="42" spans="1:16" x14ac:dyDescent="0.2">
      <c r="A42" s="79"/>
      <c r="B42" s="79"/>
      <c r="C42" s="76" t="s">
        <v>71</v>
      </c>
      <c r="D42" s="77"/>
      <c r="E42" s="77"/>
      <c r="F42" s="77"/>
      <c r="G42" s="77"/>
      <c r="H42" s="242"/>
      <c r="I42" s="242">
        <f>IF((I41/(LEN(I6)-LEN(SUBSTITUTE(I6,"*","")))-0.5)&lt;0,"",I41/(LEN(I6)-LEN(SUBSTITUTE(I6,"*","")))-0.5)</f>
        <v>11</v>
      </c>
      <c r="J42" s="242">
        <f>IF((J41/(LEN(J6)-LEN(SUBSTITUTE(J6,"*","")))-0.5)&lt;0,"",J41/(LEN(J6)-LEN(SUBSTITUTE(J6,"*","")))-0.5)</f>
        <v>6.5</v>
      </c>
      <c r="K42" s="242"/>
      <c r="L42" s="242">
        <f>IF((L41/(LEN(L6)-LEN(SUBSTITUTE(L6,"*","")))-0.5)&lt;0,"",L41/(LEN(L6)-LEN(SUBSTITUTE(L6,"*","")))-0.5)</f>
        <v>10</v>
      </c>
      <c r="M42" s="242">
        <f>IF((M41/(LEN(M6)-LEN(SUBSTITUTE(M6,"*","")))-0.5)&lt;0,"",M41/(LEN(M6)-LEN(SUBSTITUTE(M6,"*","")))-0.5)</f>
        <v>4.5</v>
      </c>
      <c r="N42" s="79"/>
      <c r="O42" s="79"/>
      <c r="P42" s="79"/>
    </row>
  </sheetData>
  <mergeCells count="3">
    <mergeCell ref="N2:N6"/>
    <mergeCell ref="O4:O6"/>
    <mergeCell ref="P4:P6"/>
  </mergeCells>
  <conditionalFormatting sqref="H41:M41">
    <cfRule type="top10" dxfId="268" priority="16" stopIfTrue="1" rank="1"/>
  </conditionalFormatting>
  <conditionalFormatting sqref="C29:C31 C27 C33 C7:C25">
    <cfRule type="duplicateValues" dxfId="267" priority="14" stopIfTrue="1"/>
  </conditionalFormatting>
  <conditionalFormatting sqref="C39">
    <cfRule type="duplicateValues" dxfId="266" priority="1" stopIfTrue="1"/>
  </conditionalFormatting>
  <conditionalFormatting sqref="C40 C32 C26 C28 C34:C38">
    <cfRule type="duplicateValues" dxfId="265" priority="369" stopIfTrue="1"/>
  </conditionalFormatting>
  <conditionalFormatting sqref="O7:O40">
    <cfRule type="top10" dxfId="264" priority="374" stopIfTrue="1" rank="1"/>
  </conditionalFormatting>
  <conditionalFormatting sqref="P7:P40">
    <cfRule type="top10" dxfId="263" priority="375" stopIfTrue="1" rank="1"/>
  </conditionalFormatting>
  <conditionalFormatting sqref="N7:N40">
    <cfRule type="top10" dxfId="262" priority="376" stopIfTrue="1" rank="1"/>
  </conditionalFormatting>
  <conditionalFormatting sqref="E7:E40">
    <cfRule type="duplicateValues" dxfId="261" priority="377" stopIfTrue="1"/>
  </conditionalFormatting>
  <conditionalFormatting sqref="M7:M40">
    <cfRule type="top10" dxfId="260" priority="378" stopIfTrue="1" rank="1"/>
  </conditionalFormatting>
  <conditionalFormatting sqref="H7:H40">
    <cfRule type="top10" dxfId="259" priority="379" stopIfTrue="1" rank="1"/>
  </conditionalFormatting>
  <conditionalFormatting sqref="I7:I40">
    <cfRule type="top10" dxfId="258" priority="380" stopIfTrue="1" rank="1"/>
  </conditionalFormatting>
  <conditionalFormatting sqref="J7:J40">
    <cfRule type="top10" dxfId="257" priority="381" stopIfTrue="1" rank="1"/>
  </conditionalFormatting>
  <conditionalFormatting sqref="K7:K40">
    <cfRule type="top10" dxfId="256" priority="382" stopIfTrue="1" rank="1"/>
  </conditionalFormatting>
  <conditionalFormatting sqref="L7:L40">
    <cfRule type="top10" dxfId="255" priority="383" stopIfTrue="1" rank="1"/>
  </conditionalFormatting>
  <conditionalFormatting sqref="G7:G40">
    <cfRule type="duplicateValues" dxfId="254" priority="384" stopIfTrue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P28"/>
  <sheetViews>
    <sheetView showGridLines="0" showRowColHeaders="0" zoomScaleNormal="100" workbookViewId="0">
      <pane ySplit="6" topLeftCell="A7" activePane="bottomLeft" state="frozen"/>
      <selection activeCell="D8" sqref="D8"/>
      <selection pane="bottomLeft" activeCell="J1" sqref="J1"/>
    </sheetView>
  </sheetViews>
  <sheetFormatPr defaultColWidth="11.5703125" defaultRowHeight="12.75" x14ac:dyDescent="0.2"/>
  <cols>
    <col min="1" max="2" width="3.28515625" style="393" customWidth="1"/>
    <col min="3" max="3" width="18.7109375" style="393" bestFit="1" customWidth="1"/>
    <col min="4" max="5" width="4.28515625" style="400" customWidth="1"/>
    <col min="6" max="6" width="19.42578125" style="400" hidden="1" customWidth="1"/>
    <col min="7" max="7" width="7.5703125" style="400" hidden="1" customWidth="1"/>
    <col min="8" max="13" width="5.5703125" style="395" bestFit="1" customWidth="1"/>
    <col min="14" max="16" width="3.28515625" style="393" bestFit="1" customWidth="1"/>
    <col min="17" max="16384" width="11.5703125" style="393"/>
  </cols>
  <sheetData>
    <row r="1" spans="1:16" ht="12.75" customHeight="1" x14ac:dyDescent="0.2">
      <c r="A1" s="59" t="s">
        <v>166</v>
      </c>
      <c r="B1" s="392"/>
      <c r="D1" s="394"/>
      <c r="E1" s="394"/>
      <c r="F1" s="394"/>
      <c r="G1" s="394"/>
      <c r="K1" s="361" t="str">
        <f>HYPERLINK("#'Kalend'!I1","Kalender")</f>
        <v>Kalender</v>
      </c>
      <c r="M1" s="87" t="s">
        <v>435</v>
      </c>
      <c r="O1" s="396" t="s">
        <v>373</v>
      </c>
      <c r="P1" s="396"/>
    </row>
    <row r="2" spans="1:16" ht="12.75" customHeight="1" x14ac:dyDescent="0.2">
      <c r="A2" s="397" t="s">
        <v>437</v>
      </c>
      <c r="B2" s="397"/>
      <c r="C2" s="398"/>
      <c r="D2" s="398"/>
      <c r="E2" s="398"/>
      <c r="F2" s="398"/>
      <c r="G2" s="398"/>
      <c r="H2" s="398"/>
      <c r="I2" s="398"/>
      <c r="J2" s="398"/>
      <c r="K2" s="398"/>
      <c r="L2" s="398"/>
      <c r="O2" s="399" t="s">
        <v>374</v>
      </c>
      <c r="P2" s="399"/>
    </row>
    <row r="3" spans="1:16" ht="12.75" customHeight="1" x14ac:dyDescent="0.2">
      <c r="C3" s="397"/>
      <c r="H3" s="401"/>
      <c r="I3" s="401"/>
      <c r="J3" s="401"/>
      <c r="K3" s="401"/>
      <c r="L3" s="401"/>
      <c r="M3" s="401"/>
      <c r="N3" s="402"/>
      <c r="O3" s="403" t="s">
        <v>375</v>
      </c>
      <c r="P3" s="403"/>
    </row>
    <row r="4" spans="1:16" ht="32.25" customHeight="1" x14ac:dyDescent="0.2">
      <c r="A4" s="404" t="s">
        <v>58</v>
      </c>
      <c r="B4" s="404"/>
      <c r="C4" s="405"/>
      <c r="D4" s="406" t="s">
        <v>58</v>
      </c>
      <c r="E4" s="406"/>
      <c r="F4" s="406"/>
      <c r="G4" s="407"/>
      <c r="H4" s="418" t="str">
        <f>MID(Kalend!A7,4,5)</f>
        <v>22.11</v>
      </c>
      <c r="I4" s="418" t="str">
        <f>MID(Kalend!A13,4,5)</f>
        <v>27.12</v>
      </c>
      <c r="J4" s="418" t="str">
        <f>MID(Kalend!A17,4,5)</f>
        <v>10.01</v>
      </c>
      <c r="K4" s="418" t="str">
        <f>MID(Kalend!A21,4,5)</f>
        <v>14.02</v>
      </c>
      <c r="L4" s="418" t="str">
        <f>MID(Kalend!A29,4,5)</f>
        <v>13.03</v>
      </c>
      <c r="M4" s="418" t="str">
        <f>MID(Kalend!A33,4,5)</f>
        <v>03.04</v>
      </c>
      <c r="N4" s="905" t="s">
        <v>401</v>
      </c>
      <c r="O4" s="906" t="s">
        <v>64</v>
      </c>
      <c r="P4" s="906" t="s">
        <v>65</v>
      </c>
    </row>
    <row r="5" spans="1:16" ht="12.75" customHeight="1" x14ac:dyDescent="0.2">
      <c r="A5" s="866" t="s">
        <v>85</v>
      </c>
      <c r="B5" s="867"/>
      <c r="C5" s="68" t="s">
        <v>58</v>
      </c>
      <c r="D5" s="866" t="s">
        <v>123</v>
      </c>
      <c r="E5" s="868"/>
      <c r="F5" s="407"/>
      <c r="G5" s="404"/>
      <c r="H5" s="419" t="str">
        <f>HYPERLINK("#'Pl1'!E1"," Pl1 ")</f>
        <v xml:space="preserve"> Pl1 </v>
      </c>
      <c r="I5" s="419" t="str">
        <f>HYPERLINK("#'Pl2'!E1"," Pl2 ")</f>
        <v xml:space="preserve"> Pl2 </v>
      </c>
      <c r="J5" s="419" t="str">
        <f>HYPERLINK("#'PL3'!E1"," Pl3 ")</f>
        <v xml:space="preserve"> Pl3 </v>
      </c>
      <c r="K5" s="419" t="str">
        <f>HYPERLINK("#'Pl4'!E1"," Pl4 ")</f>
        <v xml:space="preserve"> Pl4 </v>
      </c>
      <c r="L5" s="419" t="str">
        <f>HYPERLINK("#'Pl5'!E1"," Pl5 ")</f>
        <v xml:space="preserve"> Pl5 </v>
      </c>
      <c r="M5" s="419" t="str">
        <f>HYPERLINK("#'Pl6'!E1"," Pl6 ")</f>
        <v xml:space="preserve"> Pl6 </v>
      </c>
      <c r="N5" s="905"/>
      <c r="O5" s="906"/>
      <c r="P5" s="906"/>
    </row>
    <row r="6" spans="1:16" x14ac:dyDescent="0.2">
      <c r="A6" s="250" t="s">
        <v>371</v>
      </c>
      <c r="B6" s="872" t="s">
        <v>58</v>
      </c>
      <c r="C6" s="407" t="s">
        <v>66</v>
      </c>
      <c r="D6" s="873" t="s">
        <v>67</v>
      </c>
      <c r="E6" s="250" t="s">
        <v>371</v>
      </c>
      <c r="F6" s="265" t="s">
        <v>370</v>
      </c>
      <c r="G6" s="266" t="s">
        <v>369</v>
      </c>
      <c r="H6" s="862" t="s">
        <v>124</v>
      </c>
      <c r="I6" s="862" t="s">
        <v>68</v>
      </c>
      <c r="J6" s="862" t="s">
        <v>124</v>
      </c>
      <c r="K6" s="863" t="s">
        <v>68</v>
      </c>
      <c r="L6" s="863" t="s">
        <v>124</v>
      </c>
      <c r="M6" s="863" t="s">
        <v>68</v>
      </c>
      <c r="N6" s="905"/>
      <c r="O6" s="906"/>
      <c r="P6" s="906"/>
    </row>
    <row r="7" spans="1:16" x14ac:dyDescent="0.2">
      <c r="A7" s="259">
        <f t="shared" ref="A7:A24" si="0">RANK(E7,E$7:E$31,0)</f>
        <v>1</v>
      </c>
      <c r="B7" s="872">
        <v>1</v>
      </c>
      <c r="C7" s="644" t="s">
        <v>90</v>
      </c>
      <c r="D7" s="874">
        <v>182.23000099999999</v>
      </c>
      <c r="E7" s="251">
        <f t="shared" ref="E7:E14" si="1">F7+G7</f>
        <v>182.23000099999999</v>
      </c>
      <c r="F7" s="241">
        <f>COUNTIF(H7:M7,40)/10+COUNTIF(H7:M7,34)/100+COUNTIF(H7:M7,30)/1000+COUNTIF(H7:M7,26)/10000+COUNTIF(H7:M7,24)/100000+COUNTIF(H7:M7,22)/1000000+COUNTIF(H7:M7,20)/10000000+COUNTIF(H7:M7,18)/100000000+COUNTIF(H7:M7,16)/1000000000+COUNTIF(H7:M7,14)/10000000000+COUNTIF(H7:M7,12)/100000000000+COUNTIF(H7:M7,10)/1000000000000+COUNTIF(H7:M7,8)/10000000000000+COUNTIF(H7:M7,6)/100000000000000+COUNTIF(H7:M7,4)/1000000000000000+COUNTIF(H7:M7,2)/10000000000000000</f>
        <v>0.23000100000000001</v>
      </c>
      <c r="G7" s="251">
        <f t="array" ref="G7">(IF(COUNT(H7:M7)&lt;5,SUM(H7:M7),SUM(LARGE((H7:M7),{1;2;3;4;5}))))</f>
        <v>182</v>
      </c>
      <c r="H7" s="859">
        <v>22</v>
      </c>
      <c r="I7" s="409">
        <v>34</v>
      </c>
      <c r="J7" s="409">
        <v>34</v>
      </c>
      <c r="K7" s="406">
        <v>40</v>
      </c>
      <c r="L7" s="406">
        <v>40</v>
      </c>
      <c r="M7" s="406">
        <v>34</v>
      </c>
      <c r="N7" s="410">
        <f t="shared" ref="N7:N24" si="2">COUNTIF(H7:M7,"&gt;0")</f>
        <v>6</v>
      </c>
      <c r="O7" s="410">
        <f t="shared" ref="O7:O24" si="3">COUNTIF(H7:M7,"&gt;=30")</f>
        <v>5</v>
      </c>
      <c r="P7" s="410">
        <f t="shared" ref="P7:P24" si="4">COUNTIF(H7:M7,"=40")</f>
        <v>2</v>
      </c>
    </row>
    <row r="8" spans="1:16" x14ac:dyDescent="0.2">
      <c r="A8" s="259">
        <f t="shared" si="0"/>
        <v>2</v>
      </c>
      <c r="B8" s="872">
        <v>2</v>
      </c>
      <c r="C8" s="367" t="s">
        <v>106</v>
      </c>
      <c r="D8" s="874">
        <v>162.20121</v>
      </c>
      <c r="E8" s="251">
        <f t="shared" si="1"/>
        <v>162.20121</v>
      </c>
      <c r="F8" s="241">
        <f t="shared" ref="F8:F24" si="5">COUNTIF(H8:M8,40)/10+COUNTIF(H8:M8,34)/100+COUNTIF(H8:M8,30)/1000+COUNTIF(H8:M8,26)/10000+COUNTIF(H8:M8,24)/100000+COUNTIF(H8:M8,22)/1000000+COUNTIF(H8:M8,20)/10000000+COUNTIF(H8:M8,18)/100000000+COUNTIF(H8:M8,16)/1000000000+COUNTIF(H8:M8,14)/10000000000+COUNTIF(H8:M8,12)/100000000000+COUNTIF(H8:M8,10)/1000000000000+COUNTIF(H8:M8,8)/10000000000000+COUNTIF(H8:M8,6)/100000000000000+COUNTIF(H8:M8,4)/1000000000000000+COUNTIF(H8:M8,2)/10000000000000000</f>
        <v>0.20121000000000003</v>
      </c>
      <c r="G8" s="251">
        <f t="array" ref="G8">(IF(COUNT(H8:M8)&lt;5,SUM(H8:M8),SUM(LARGE((H8:M8),{1;2;3;4;5}))))</f>
        <v>162</v>
      </c>
      <c r="H8" s="859">
        <v>24</v>
      </c>
      <c r="I8" s="406">
        <v>30</v>
      </c>
      <c r="J8" s="409">
        <v>40</v>
      </c>
      <c r="K8" s="406">
        <v>26</v>
      </c>
      <c r="L8" s="406">
        <v>26</v>
      </c>
      <c r="M8" s="406">
        <v>40</v>
      </c>
      <c r="N8" s="410">
        <f t="shared" si="2"/>
        <v>6</v>
      </c>
      <c r="O8" s="410">
        <f t="shared" si="3"/>
        <v>3</v>
      </c>
      <c r="P8" s="410">
        <f t="shared" si="4"/>
        <v>2</v>
      </c>
    </row>
    <row r="9" spans="1:16" x14ac:dyDescent="0.2">
      <c r="A9" s="259">
        <f t="shared" si="0"/>
        <v>3</v>
      </c>
      <c r="B9" s="872">
        <v>3</v>
      </c>
      <c r="C9" s="368" t="s">
        <v>113</v>
      </c>
      <c r="D9" s="874">
        <v>142.102010011</v>
      </c>
      <c r="E9" s="251">
        <f t="shared" si="1"/>
        <v>142.102010011</v>
      </c>
      <c r="F9" s="241">
        <f t="shared" si="5"/>
        <v>0.102010011</v>
      </c>
      <c r="G9" s="251">
        <f t="array" ref="G9">(IF(COUNT(H9:M9)&lt;5,SUM(H9:M9),SUM(LARGE((H9:M9),{1;2;3;4;5}))))</f>
        <v>142</v>
      </c>
      <c r="H9" s="409">
        <v>40</v>
      </c>
      <c r="I9" s="406">
        <v>24</v>
      </c>
      <c r="J9" s="409">
        <v>18</v>
      </c>
      <c r="K9" s="409">
        <v>30</v>
      </c>
      <c r="L9" s="858">
        <v>16</v>
      </c>
      <c r="M9" s="406">
        <v>30</v>
      </c>
      <c r="N9" s="410">
        <f t="shared" si="2"/>
        <v>6</v>
      </c>
      <c r="O9" s="410">
        <f t="shared" si="3"/>
        <v>3</v>
      </c>
      <c r="P9" s="410">
        <f t="shared" si="4"/>
        <v>1</v>
      </c>
    </row>
    <row r="10" spans="1:16" x14ac:dyDescent="0.2">
      <c r="A10" s="259">
        <f t="shared" si="0"/>
        <v>4</v>
      </c>
      <c r="B10" s="872">
        <v>4</v>
      </c>
      <c r="C10" s="405" t="s">
        <v>98</v>
      </c>
      <c r="D10" s="874">
        <v>140.10100110001</v>
      </c>
      <c r="E10" s="251">
        <f t="shared" si="1"/>
        <v>140.10100110001</v>
      </c>
      <c r="F10" s="241">
        <f t="shared" si="5"/>
        <v>0.10100110001000001</v>
      </c>
      <c r="G10" s="251">
        <f t="array" ref="G10">(IF(COUNT(H10:M10)&lt;5,SUM(H10:M10),SUM(LARGE((H10:M10),{1;2;3;4;5}))))</f>
        <v>140</v>
      </c>
      <c r="H10" s="409">
        <v>28</v>
      </c>
      <c r="I10" s="406">
        <v>40</v>
      </c>
      <c r="J10" s="409">
        <v>22</v>
      </c>
      <c r="K10" s="406">
        <v>20</v>
      </c>
      <c r="L10" s="858">
        <v>12</v>
      </c>
      <c r="M10" s="406">
        <v>30</v>
      </c>
      <c r="N10" s="410">
        <f t="shared" si="2"/>
        <v>6</v>
      </c>
      <c r="O10" s="410">
        <f t="shared" si="3"/>
        <v>2</v>
      </c>
      <c r="P10" s="410">
        <f t="shared" si="4"/>
        <v>1</v>
      </c>
    </row>
    <row r="11" spans="1:16" x14ac:dyDescent="0.2">
      <c r="A11" s="259">
        <f t="shared" si="0"/>
        <v>5</v>
      </c>
      <c r="B11" s="872">
        <v>5</v>
      </c>
      <c r="C11" s="405" t="s">
        <v>114</v>
      </c>
      <c r="D11" s="874">
        <v>136.020010001</v>
      </c>
      <c r="E11" s="251">
        <f>F11+G11</f>
        <v>136.020010001</v>
      </c>
      <c r="F11" s="241">
        <f>COUNTIF(H11:M11,40)/10+COUNTIF(H11:M11,34)/100+COUNTIF(H11:M11,30)/1000+COUNTIF(H11:M11,26)/10000+COUNTIF(H11:M11,24)/100000+COUNTIF(H11:M11,22)/1000000+COUNTIF(H11:M11,20)/10000000+COUNTIF(H11:M11,18)/100000000+COUNTIF(H11:M11,16)/1000000000+COUNTIF(H11:M11,14)/10000000000+COUNTIF(H11:M11,12)/100000000000+COUNTIF(H11:M11,10)/1000000000000+COUNTIF(H11:M11,8)/10000000000000+COUNTIF(H11:M11,6)/100000000000000+COUNTIF(H11:M11,4)/1000000000000000+COUNTIF(H11:M11,2)/10000000000000000</f>
        <v>2.0010000999999999E-2</v>
      </c>
      <c r="G11" s="251">
        <f t="array" ref="G11">(IF(COUNT(H11:M11)&lt;5,SUM(H11:M11),SUM(LARGE((H11:M11),{1;2;3;4;5}))))</f>
        <v>136</v>
      </c>
      <c r="H11" s="409">
        <v>28</v>
      </c>
      <c r="I11" s="858" t="s">
        <v>281</v>
      </c>
      <c r="J11" s="409">
        <v>16</v>
      </c>
      <c r="K11" s="406">
        <v>24</v>
      </c>
      <c r="L11" s="409">
        <v>34</v>
      </c>
      <c r="M11" s="406">
        <v>34</v>
      </c>
      <c r="N11" s="410">
        <f>COUNTIF(H11:M11,"&gt;0")</f>
        <v>5</v>
      </c>
      <c r="O11" s="410">
        <f>COUNTIF(H11:M11,"&gt;=30")</f>
        <v>2</v>
      </c>
      <c r="P11" s="410">
        <f>COUNTIF(H11:M11,"=40")</f>
        <v>0</v>
      </c>
    </row>
    <row r="12" spans="1:16" x14ac:dyDescent="0.2">
      <c r="A12" s="259">
        <f t="shared" si="0"/>
        <v>6</v>
      </c>
      <c r="B12" s="872">
        <v>6</v>
      </c>
      <c r="C12" s="646" t="s">
        <v>104</v>
      </c>
      <c r="D12" s="874">
        <v>130.11002000000011</v>
      </c>
      <c r="E12" s="251">
        <f>F12+G12</f>
        <v>130.11002000000011</v>
      </c>
      <c r="F12" s="241">
        <f>COUNTIF(H12:M12,40)/10+COUNTIF(H12:M12,34)/100+COUNTIF(H12:M12,30)/1000+COUNTIF(H12:M12,26)/10000+COUNTIF(H12:M12,24)/100000+COUNTIF(H12:M12,22)/1000000+COUNTIF(H12:M12,20)/10000000+COUNTIF(H12:M12,18)/100000000+COUNTIF(H12:M12,16)/1000000000+COUNTIF(H12:M12,14)/10000000000+COUNTIF(H12:M12,12)/100000000000+COUNTIF(H12:M12,10)/1000000000000+COUNTIF(H12:M12,8)/10000000000000+COUNTIF(H12:M12,6)/100000000000000+COUNTIF(H12:M12,4)/1000000000000000+COUNTIF(H12:M12,2)/10000000000000000</f>
        <v>0.11002000000010001</v>
      </c>
      <c r="G12" s="251">
        <f t="array" ref="G12">(IF(COUNT(H12:M12)&lt;5,SUM(H12:M12),SUM(LARGE((H12:M12),{1;2;3;4;5}))))</f>
        <v>130</v>
      </c>
      <c r="H12" s="409">
        <v>8</v>
      </c>
      <c r="I12" s="406">
        <v>24</v>
      </c>
      <c r="J12" s="409">
        <v>24</v>
      </c>
      <c r="K12" s="406">
        <v>34</v>
      </c>
      <c r="L12" s="858" t="s">
        <v>281</v>
      </c>
      <c r="M12" s="406">
        <v>40</v>
      </c>
      <c r="N12" s="410">
        <f>COUNTIF(H12:M12,"&gt;0")</f>
        <v>5</v>
      </c>
      <c r="O12" s="410">
        <f>COUNTIF(H12:M12,"&gt;=30")</f>
        <v>2</v>
      </c>
      <c r="P12" s="410">
        <f>COUNTIF(H12:M12,"=40")</f>
        <v>1</v>
      </c>
    </row>
    <row r="13" spans="1:16" x14ac:dyDescent="0.2">
      <c r="A13" s="259">
        <f t="shared" si="0"/>
        <v>7</v>
      </c>
      <c r="B13" s="872">
        <v>7</v>
      </c>
      <c r="C13" s="405" t="s">
        <v>95</v>
      </c>
      <c r="D13" s="874">
        <v>116.002001100101</v>
      </c>
      <c r="E13" s="251">
        <f>F13+G13</f>
        <v>116.002001100101</v>
      </c>
      <c r="F13" s="241">
        <f t="shared" si="5"/>
        <v>2.001100101E-3</v>
      </c>
      <c r="G13" s="251">
        <f t="array" ref="G13">(IF(COUNT(H13:M13)&lt;5,SUM(H13:M13),SUM(LARGE((H13:M13),{1;2;3;4;5}))))</f>
        <v>116</v>
      </c>
      <c r="H13" s="859">
        <v>10</v>
      </c>
      <c r="I13" s="409">
        <v>20</v>
      </c>
      <c r="J13" s="409">
        <v>14</v>
      </c>
      <c r="K13" s="406">
        <v>30</v>
      </c>
      <c r="L13" s="406">
        <v>30</v>
      </c>
      <c r="M13" s="406">
        <v>22</v>
      </c>
      <c r="N13" s="410">
        <f t="shared" si="2"/>
        <v>6</v>
      </c>
      <c r="O13" s="410">
        <f t="shared" si="3"/>
        <v>2</v>
      </c>
      <c r="P13" s="410">
        <f t="shared" si="4"/>
        <v>0</v>
      </c>
    </row>
    <row r="14" spans="1:16" x14ac:dyDescent="0.2">
      <c r="A14" s="259">
        <f t="shared" si="0"/>
        <v>8</v>
      </c>
      <c r="B14" s="872">
        <v>8</v>
      </c>
      <c r="C14" s="405" t="s">
        <v>115</v>
      </c>
      <c r="D14" s="874">
        <v>114.01021</v>
      </c>
      <c r="E14" s="251">
        <f t="shared" si="1"/>
        <v>114.01021</v>
      </c>
      <c r="F14" s="241">
        <f t="shared" si="5"/>
        <v>1.0210000000001E-2</v>
      </c>
      <c r="G14" s="251">
        <f t="array" ref="G14">(IF(COUNT(H14:M14)&lt;5,SUM(H14:M14),SUM(LARGE((H14:M14),{1;2;3;4;5}))))</f>
        <v>114</v>
      </c>
      <c r="H14" s="409">
        <v>4</v>
      </c>
      <c r="I14" s="409">
        <v>34</v>
      </c>
      <c r="J14" s="409">
        <v>26</v>
      </c>
      <c r="K14" s="406">
        <v>24</v>
      </c>
      <c r="L14" s="858" t="s">
        <v>281</v>
      </c>
      <c r="M14" s="406">
        <v>26</v>
      </c>
      <c r="N14" s="410">
        <f t="shared" si="2"/>
        <v>5</v>
      </c>
      <c r="O14" s="410">
        <f t="shared" si="3"/>
        <v>1</v>
      </c>
      <c r="P14" s="410">
        <f t="shared" si="4"/>
        <v>0</v>
      </c>
    </row>
    <row r="15" spans="1:16" x14ac:dyDescent="0.2">
      <c r="A15" s="259">
        <f t="shared" si="0"/>
        <v>9</v>
      </c>
      <c r="B15" s="872">
        <v>9</v>
      </c>
      <c r="C15" s="366" t="s">
        <v>112</v>
      </c>
      <c r="D15" s="874">
        <v>114.00111010011</v>
      </c>
      <c r="E15" s="251">
        <f>F15+G15</f>
        <v>114.00111010011</v>
      </c>
      <c r="F15" s="241">
        <f>COUNTIF(H15:M15,40)/10+COUNTIF(H15:M15,34)/100+COUNTIF(H15:M15,30)/1000+COUNTIF(H15:M15,26)/10000+COUNTIF(H15:M15,24)/100000+COUNTIF(H15:M15,22)/1000000+COUNTIF(H15:M15,20)/10000000+COUNTIF(H15:M15,18)/100000000+COUNTIF(H15:M15,16)/1000000000+COUNTIF(H15:M15,14)/10000000000+COUNTIF(H15:M15,12)/100000000000+COUNTIF(H15:M15,10)/1000000000000+COUNTIF(H15:M15,8)/10000000000000+COUNTIF(H15:M15,6)/100000000000000+COUNTIF(H15:M15,4)/1000000000000000+COUNTIF(H15:M15,2)/10000000000000000</f>
        <v>1.1101001100000001E-3</v>
      </c>
      <c r="G15" s="251">
        <f t="array" ref="G15">(IF(COUNT(H15:M15)&lt;5,SUM(H15:M15),SUM(LARGE((H15:M15),{1;2;3;4;5}))))</f>
        <v>114</v>
      </c>
      <c r="H15" s="409">
        <v>20</v>
      </c>
      <c r="I15" s="406">
        <v>30</v>
      </c>
      <c r="J15" s="859">
        <v>12</v>
      </c>
      <c r="K15" s="406">
        <v>26</v>
      </c>
      <c r="L15" s="406">
        <v>14</v>
      </c>
      <c r="M15" s="406">
        <v>24</v>
      </c>
      <c r="N15" s="410">
        <f>COUNTIF(H15:M15,"&gt;0")</f>
        <v>6</v>
      </c>
      <c r="O15" s="410">
        <f>COUNTIF(H15:M15,"&gt;=30")</f>
        <v>1</v>
      </c>
      <c r="P15" s="410">
        <f>COUNTIF(H15:M15,"=40")</f>
        <v>0</v>
      </c>
    </row>
    <row r="16" spans="1:16" x14ac:dyDescent="0.2">
      <c r="A16" s="259">
        <f t="shared" si="0"/>
        <v>10</v>
      </c>
      <c r="B16" s="872">
        <v>10</v>
      </c>
      <c r="C16" s="405" t="s">
        <v>108</v>
      </c>
      <c r="D16" s="874">
        <v>114.0001121001</v>
      </c>
      <c r="E16" s="251">
        <f>F16+G16</f>
        <v>114.0001121001</v>
      </c>
      <c r="F16" s="241">
        <f>COUNTIF(H16:M16,40)/10+COUNTIF(H16:M16,34)/100+COUNTIF(H16:M16,30)/1000+COUNTIF(H16:M16,26)/10000+COUNTIF(H16:M16,24)/100000+COUNTIF(H16:M16,22)/1000000+COUNTIF(H16:M16,20)/10000000+COUNTIF(H16:M16,18)/100000000+COUNTIF(H16:M16,16)/1000000000+COUNTIF(H16:M16,14)/10000000000+COUNTIF(H16:M16,12)/100000000000+COUNTIF(H16:M16,10)/1000000000000+COUNTIF(H16:M16,8)/10000000000000+COUNTIF(H16:M16,6)/100000000000000+COUNTIF(H16:M16,4)/1000000000000000+COUNTIF(H16:M16,2)/10000000000000000</f>
        <v>1.1210009999999999E-4</v>
      </c>
      <c r="G16" s="251">
        <f t="array" ref="G16">(IF(COUNT(H16:M16)&lt;5,SUM(H16:M16),SUM(LARGE((H16:M16),{1;2;3;4;5}))))</f>
        <v>114</v>
      </c>
      <c r="H16" s="859">
        <v>14</v>
      </c>
      <c r="I16" s="409">
        <v>26</v>
      </c>
      <c r="J16" s="409">
        <v>20</v>
      </c>
      <c r="K16" s="406">
        <v>22</v>
      </c>
      <c r="L16" s="406">
        <v>24</v>
      </c>
      <c r="M16" s="406">
        <v>22</v>
      </c>
      <c r="N16" s="410">
        <f>COUNTIF(H16:M16,"&gt;0")</f>
        <v>6</v>
      </c>
      <c r="O16" s="410">
        <f>COUNTIF(H16:M16,"&gt;=30")</f>
        <v>0</v>
      </c>
      <c r="P16" s="410">
        <f>COUNTIF(H16:M16,"=40")</f>
        <v>0</v>
      </c>
    </row>
    <row r="17" spans="1:16" x14ac:dyDescent="0.2">
      <c r="A17" s="259">
        <f t="shared" si="0"/>
        <v>11</v>
      </c>
      <c r="B17" s="872">
        <v>11</v>
      </c>
      <c r="C17" s="405" t="s">
        <v>143</v>
      </c>
      <c r="D17" s="874">
        <v>104.11000001001</v>
      </c>
      <c r="E17" s="251">
        <f>F17+G17</f>
        <v>104.11000001001</v>
      </c>
      <c r="F17" s="241">
        <f>COUNTIF(H17:M17,40)/10+COUNTIF(H17:M17,34)/100+COUNTIF(H17:M17,30)/1000+COUNTIF(H17:M17,26)/10000+COUNTIF(H17:M17,24)/100000+COUNTIF(H17:M17,22)/1000000+COUNTIF(H17:M17,20)/10000000+COUNTIF(H17:M17,18)/100000000+COUNTIF(H17:M17,16)/1000000000+COUNTIF(H17:M17,14)/10000000000+COUNTIF(H17:M17,12)/100000000000+COUNTIF(H17:M17,10)/1000000000000+COUNTIF(H17:M17,8)/10000000000000+COUNTIF(H17:M17,6)/100000000000000+COUNTIF(H17:M17,4)/1000000000000000+COUNTIF(H17:M17,2)/10000000000000000</f>
        <v>0.11000001001</v>
      </c>
      <c r="G17" s="251">
        <f t="array" ref="G17">(IF(COUNT(H17:M17)&lt;5,SUM(H17:M17),SUM(LARGE((H17:M17),{1;2;3;4;5}))))</f>
        <v>104</v>
      </c>
      <c r="H17" s="409">
        <v>12</v>
      </c>
      <c r="I17" s="406">
        <v>40</v>
      </c>
      <c r="J17" s="859" t="s">
        <v>281</v>
      </c>
      <c r="K17" s="406">
        <v>34</v>
      </c>
      <c r="L17" s="406">
        <v>18</v>
      </c>
      <c r="M17" s="406"/>
      <c r="N17" s="410">
        <f>COUNTIF(H17:M17,"&gt;0")</f>
        <v>4</v>
      </c>
      <c r="O17" s="410">
        <f>COUNTIF(H17:M17,"&gt;=30")</f>
        <v>2</v>
      </c>
      <c r="P17" s="410">
        <f>COUNTIF(H17:M17,"=40")</f>
        <v>1</v>
      </c>
    </row>
    <row r="18" spans="1:16" x14ac:dyDescent="0.2">
      <c r="A18" s="259">
        <f t="shared" si="0"/>
        <v>12</v>
      </c>
      <c r="B18" s="872">
        <v>12</v>
      </c>
      <c r="C18" s="275" t="s">
        <v>105</v>
      </c>
      <c r="D18" s="874">
        <v>94.000011110001012</v>
      </c>
      <c r="E18" s="251">
        <f>F18+G18</f>
        <v>94.000011110001012</v>
      </c>
      <c r="F18" s="241">
        <f>COUNTIF(H18:M18,40)/10+COUNTIF(H18:M18,34)/100+COUNTIF(H18:M18,30)/1000+COUNTIF(H18:M18,26)/10000+COUNTIF(H18:M18,24)/100000+COUNTIF(H18:M18,22)/1000000+COUNTIF(H18:M18,20)/10000000+COUNTIF(H18:M18,18)/100000000+COUNTIF(H18:M18,16)/1000000000+COUNTIF(H18:M18,14)/10000000000+COUNTIF(H18:M18,12)/100000000000+COUNTIF(H18:M18,10)/1000000000000+COUNTIF(H18:M18,8)/10000000000000+COUNTIF(H18:M18,6)/100000000000000+COUNTIF(H18:M18,4)/1000000000000000+COUNTIF(H18:M18,2)/10000000000000000</f>
        <v>1.1110001010000001E-5</v>
      </c>
      <c r="G18" s="251">
        <f t="array" ref="G18">(IF(COUNT(H18:M18)&lt;5,SUM(H18:M18),SUM(LARGE((H18:M18),{1;2;3;4;5}))))</f>
        <v>94</v>
      </c>
      <c r="H18" s="859">
        <v>6</v>
      </c>
      <c r="I18" s="409">
        <v>22</v>
      </c>
      <c r="J18" s="409">
        <v>10</v>
      </c>
      <c r="K18" s="406">
        <v>18</v>
      </c>
      <c r="L18" s="406">
        <v>20</v>
      </c>
      <c r="M18" s="406">
        <v>24</v>
      </c>
      <c r="N18" s="410">
        <f>COUNTIF(H18:M18,"&gt;0")</f>
        <v>6</v>
      </c>
      <c r="O18" s="410">
        <f>COUNTIF(H18:M18,"&gt;=30")</f>
        <v>0</v>
      </c>
      <c r="P18" s="410">
        <f>COUNTIF(H18:M18,"=40")</f>
        <v>0</v>
      </c>
    </row>
    <row r="19" spans="1:16" x14ac:dyDescent="0.2">
      <c r="A19" s="259">
        <f t="shared" si="0"/>
        <v>13</v>
      </c>
      <c r="B19" s="872">
        <v>13</v>
      </c>
      <c r="C19" s="275" t="s">
        <v>125</v>
      </c>
      <c r="D19" s="874">
        <v>86.00100012</v>
      </c>
      <c r="E19" s="251">
        <f t="shared" ref="E19:E24" si="6">F19+G19</f>
        <v>86.00100012</v>
      </c>
      <c r="F19" s="241">
        <f t="shared" si="5"/>
        <v>1.0001200000000002E-3</v>
      </c>
      <c r="G19" s="251">
        <f t="array" ref="G19">(IF(COUNT(H19:M19)&lt;5,SUM(H19:M19),SUM(LARGE((H19:M19),{1;2;3;4;5}))))</f>
        <v>86</v>
      </c>
      <c r="H19" s="409">
        <v>18</v>
      </c>
      <c r="I19" s="406">
        <v>20</v>
      </c>
      <c r="J19" s="409">
        <v>30</v>
      </c>
      <c r="K19" s="406">
        <v>18</v>
      </c>
      <c r="L19" s="858" t="s">
        <v>281</v>
      </c>
      <c r="M19" s="406"/>
      <c r="N19" s="410">
        <f t="shared" si="2"/>
        <v>4</v>
      </c>
      <c r="O19" s="410">
        <f t="shared" si="3"/>
        <v>1</v>
      </c>
      <c r="P19" s="410">
        <f t="shared" si="4"/>
        <v>0</v>
      </c>
    </row>
    <row r="20" spans="1:16" x14ac:dyDescent="0.2">
      <c r="A20" s="259">
        <f t="shared" si="0"/>
        <v>14</v>
      </c>
      <c r="B20" s="872">
        <v>14</v>
      </c>
      <c r="C20" s="405" t="s">
        <v>111</v>
      </c>
      <c r="D20" s="874">
        <v>56.0001010000001</v>
      </c>
      <c r="E20" s="251">
        <f t="shared" si="6"/>
        <v>56.0001010000001</v>
      </c>
      <c r="F20" s="241">
        <f t="shared" si="5"/>
        <v>1.0100000010000001E-4</v>
      </c>
      <c r="G20" s="251">
        <f t="array" ref="G20">(IF(COUNT(H20:M20)&lt;5,SUM(H20:M20),SUM(LARGE((H20:M20),{1;2;3;4;5}))))</f>
        <v>56</v>
      </c>
      <c r="H20" s="859" t="s">
        <v>281</v>
      </c>
      <c r="I20" s="406">
        <v>26</v>
      </c>
      <c r="J20" s="409"/>
      <c r="K20" s="406">
        <v>22</v>
      </c>
      <c r="L20" s="406">
        <v>8</v>
      </c>
      <c r="M20" s="406"/>
      <c r="N20" s="410">
        <f t="shared" si="2"/>
        <v>3</v>
      </c>
      <c r="O20" s="410">
        <f t="shared" si="3"/>
        <v>0</v>
      </c>
      <c r="P20" s="410">
        <f t="shared" si="4"/>
        <v>0</v>
      </c>
    </row>
    <row r="21" spans="1:16" x14ac:dyDescent="0.2">
      <c r="A21" s="259">
        <f t="shared" si="0"/>
        <v>15</v>
      </c>
      <c r="B21" s="872">
        <v>15</v>
      </c>
      <c r="C21" s="275" t="s">
        <v>141</v>
      </c>
      <c r="D21" s="874">
        <v>56.000100100000999</v>
      </c>
      <c r="E21" s="251">
        <f>F21+G21</f>
        <v>56.000100100000999</v>
      </c>
      <c r="F21" s="241">
        <f>COUNTIF(H21:M21,40)/10+COUNTIF(H21:M21,34)/100+COUNTIF(H21:M21,30)/1000+COUNTIF(H21:M21,26)/10000+COUNTIF(H21:M21,24)/100000+COUNTIF(H21:M21,22)/1000000+COUNTIF(H21:M21,20)/10000000+COUNTIF(H21:M21,18)/100000000+COUNTIF(H21:M21,16)/1000000000+COUNTIF(H21:M21,14)/10000000000+COUNTIF(H21:M21,12)/100000000000+COUNTIF(H21:M21,10)/1000000000000+COUNTIF(H21:M21,8)/10000000000000+COUNTIF(H21:M21,6)/100000000000000+COUNTIF(H21:M21,4)/1000000000000000+COUNTIF(H21:M21,2)/10000000000000000</f>
        <v>1.00100001E-4</v>
      </c>
      <c r="G21" s="251">
        <f t="array" ref="G21">(IF(COUNT(H21:M21)&lt;5,SUM(H21:M21),SUM(LARGE((H21:M21),{1;2;3;4;5}))))</f>
        <v>56</v>
      </c>
      <c r="H21" s="859" t="s">
        <v>281</v>
      </c>
      <c r="I21" s="406"/>
      <c r="J21" s="409"/>
      <c r="K21" s="406">
        <v>20</v>
      </c>
      <c r="L21" s="406">
        <v>10</v>
      </c>
      <c r="M21" s="406">
        <v>26</v>
      </c>
      <c r="N21" s="410">
        <f>COUNTIF(H21:M21,"&gt;0")</f>
        <v>3</v>
      </c>
      <c r="O21" s="410">
        <f>COUNTIF(H21:M21,"&gt;=30")</f>
        <v>0</v>
      </c>
      <c r="P21" s="410">
        <f>COUNTIF(H21:M21,"=40")</f>
        <v>0</v>
      </c>
    </row>
    <row r="22" spans="1:16" x14ac:dyDescent="0.2">
      <c r="A22" s="259">
        <f t="shared" si="0"/>
        <v>16</v>
      </c>
      <c r="B22" s="872">
        <v>16</v>
      </c>
      <c r="C22" s="411" t="s">
        <v>126</v>
      </c>
      <c r="D22" s="874">
        <v>34.01</v>
      </c>
      <c r="E22" s="251">
        <f t="shared" si="6"/>
        <v>34.01</v>
      </c>
      <c r="F22" s="241">
        <f t="shared" si="5"/>
        <v>0.01</v>
      </c>
      <c r="G22" s="251">
        <f t="array" ref="G22">(IF(COUNT(H22:M22)&lt;5,SUM(H22:M22),SUM(LARGE((H22:M22),{1;2;3;4;5}))))</f>
        <v>34</v>
      </c>
      <c r="H22" s="409">
        <v>34</v>
      </c>
      <c r="I22" s="858" t="s">
        <v>281</v>
      </c>
      <c r="J22" s="409"/>
      <c r="K22" s="406"/>
      <c r="L22" s="406"/>
      <c r="M22" s="406"/>
      <c r="N22" s="410">
        <f t="shared" si="2"/>
        <v>1</v>
      </c>
      <c r="O22" s="410">
        <f t="shared" si="3"/>
        <v>1</v>
      </c>
      <c r="P22" s="410">
        <f t="shared" si="4"/>
        <v>0</v>
      </c>
    </row>
    <row r="23" spans="1:16" x14ac:dyDescent="0.2">
      <c r="A23" s="259">
        <f t="shared" si="0"/>
        <v>17</v>
      </c>
      <c r="B23" s="872">
        <v>17</v>
      </c>
      <c r="C23" s="405" t="s">
        <v>135</v>
      </c>
      <c r="D23" s="874">
        <v>22.000001000000001</v>
      </c>
      <c r="E23" s="251">
        <f>F23+G23</f>
        <v>22.000001000000001</v>
      </c>
      <c r="F23" s="241">
        <f t="shared" si="5"/>
        <v>9.9999999999999995E-7</v>
      </c>
      <c r="G23" s="251">
        <f t="array" ref="G23">(IF(COUNT(H23:M23)&lt;5,SUM(H23:M23),SUM(LARGE((H23:M23),{1;2;3;4;5}))))</f>
        <v>22</v>
      </c>
      <c r="H23" s="859" t="s">
        <v>281</v>
      </c>
      <c r="I23" s="858"/>
      <c r="J23" s="409"/>
      <c r="K23" s="406"/>
      <c r="L23" s="406">
        <v>22</v>
      </c>
      <c r="M23" s="406"/>
      <c r="N23" s="410">
        <f t="shared" si="2"/>
        <v>1</v>
      </c>
      <c r="O23" s="410">
        <f t="shared" si="3"/>
        <v>0</v>
      </c>
      <c r="P23" s="410">
        <f t="shared" si="4"/>
        <v>0</v>
      </c>
    </row>
    <row r="24" spans="1:16" x14ac:dyDescent="0.2">
      <c r="A24" s="259">
        <f t="shared" si="0"/>
        <v>18</v>
      </c>
      <c r="B24" s="872">
        <v>18</v>
      </c>
      <c r="C24" s="405" t="s">
        <v>137</v>
      </c>
      <c r="D24" s="874">
        <v>16.000000001</v>
      </c>
      <c r="E24" s="251">
        <f t="shared" si="6"/>
        <v>16.000000001</v>
      </c>
      <c r="F24" s="241">
        <f t="shared" si="5"/>
        <v>1.0000000000000001E-9</v>
      </c>
      <c r="G24" s="251">
        <f t="array" ref="G24">(IF(COUNT(H24:M24)&lt;5,SUM(H24:M24),SUM(LARGE((H24:M24),{1;2;3;4;5}))))</f>
        <v>16</v>
      </c>
      <c r="H24" s="409">
        <v>16</v>
      </c>
      <c r="I24" s="858" t="s">
        <v>281</v>
      </c>
      <c r="J24" s="409"/>
      <c r="K24" s="406"/>
      <c r="L24" s="406"/>
      <c r="M24" s="406"/>
      <c r="N24" s="410">
        <f t="shared" si="2"/>
        <v>1</v>
      </c>
      <c r="O24" s="410">
        <f t="shared" si="3"/>
        <v>0</v>
      </c>
      <c r="P24" s="410">
        <f t="shared" si="4"/>
        <v>0</v>
      </c>
    </row>
    <row r="25" spans="1:16" x14ac:dyDescent="0.2">
      <c r="A25" s="412"/>
      <c r="B25" s="412">
        <f>COUNT(B7:B24)</f>
        <v>18</v>
      </c>
      <c r="C25" s="413" t="s">
        <v>70</v>
      </c>
      <c r="D25" s="414"/>
      <c r="E25" s="414"/>
      <c r="F25" s="414"/>
      <c r="G25" s="414"/>
      <c r="H25" s="415">
        <f t="shared" ref="H25:M25" si="7">COUNTIF(H7:H24,"&gt;=0")</f>
        <v>15</v>
      </c>
      <c r="I25" s="415">
        <f t="shared" si="7"/>
        <v>13</v>
      </c>
      <c r="J25" s="415">
        <f t="shared" si="7"/>
        <v>12</v>
      </c>
      <c r="K25" s="415">
        <f t="shared" si="7"/>
        <v>15</v>
      </c>
      <c r="L25" s="415">
        <f t="shared" si="7"/>
        <v>13</v>
      </c>
      <c r="M25" s="415">
        <f t="shared" si="7"/>
        <v>12</v>
      </c>
      <c r="N25" s="399"/>
      <c r="O25" s="416">
        <f>SUM(O7:O24)</f>
        <v>25</v>
      </c>
      <c r="P25" s="416">
        <f>SUM(P7:P24)</f>
        <v>8</v>
      </c>
    </row>
    <row r="26" spans="1:16" x14ac:dyDescent="0.2">
      <c r="A26" s="399"/>
      <c r="B26" s="399"/>
      <c r="C26" s="413" t="s">
        <v>71</v>
      </c>
      <c r="D26" s="414"/>
      <c r="E26" s="414"/>
      <c r="F26" s="414"/>
      <c r="G26" s="414"/>
      <c r="H26" s="417"/>
      <c r="I26" s="417">
        <v>7</v>
      </c>
      <c r="J26" s="417"/>
      <c r="K26" s="417">
        <v>8</v>
      </c>
      <c r="L26" s="417"/>
      <c r="M26" s="417">
        <f>IF((M25/(LEN(M6)-LEN(SUBSTITUTE(M6,"*","")))-0.5)&lt;0,"",M25/(LEN(M6)-LEN(SUBSTITUTE(M6,"*","")))-0.5)</f>
        <v>5.5</v>
      </c>
      <c r="N26" s="399"/>
      <c r="O26" s="399"/>
      <c r="P26" s="399"/>
    </row>
    <row r="28" spans="1:16" x14ac:dyDescent="0.2">
      <c r="A28" s="726" t="s">
        <v>432</v>
      </c>
    </row>
  </sheetData>
  <mergeCells count="3">
    <mergeCell ref="N4:N6"/>
    <mergeCell ref="O4:O6"/>
    <mergeCell ref="P4:P6"/>
  </mergeCells>
  <conditionalFormatting sqref="H25:M25">
    <cfRule type="top10" dxfId="253" priority="109" stopIfTrue="1" rank="1"/>
  </conditionalFormatting>
  <conditionalFormatting sqref="C7:C24">
    <cfRule type="duplicateValues" dxfId="252" priority="330" stopIfTrue="1"/>
  </conditionalFormatting>
  <conditionalFormatting sqref="O7:O24">
    <cfRule type="top10" dxfId="251" priority="331" stopIfTrue="1" rank="1"/>
  </conditionalFormatting>
  <conditionalFormatting sqref="P7:P24">
    <cfRule type="top10" dxfId="250" priority="332" stopIfTrue="1" rank="1"/>
  </conditionalFormatting>
  <conditionalFormatting sqref="N7:N24">
    <cfRule type="top10" dxfId="249" priority="333" stopIfTrue="1" rank="1"/>
  </conditionalFormatting>
  <conditionalFormatting sqref="E7:E24">
    <cfRule type="duplicateValues" dxfId="248" priority="334" stopIfTrue="1"/>
  </conditionalFormatting>
  <conditionalFormatting sqref="G7:G24">
    <cfRule type="duplicateValues" dxfId="247" priority="335" stopIfTrue="1"/>
  </conditionalFormatting>
  <conditionalFormatting sqref="M7:M24">
    <cfRule type="top10" dxfId="246" priority="336" stopIfTrue="1" rank="1"/>
  </conditionalFormatting>
  <conditionalFormatting sqref="H7:H24">
    <cfRule type="top10" dxfId="245" priority="337" stopIfTrue="1" rank="1"/>
  </conditionalFormatting>
  <conditionalFormatting sqref="I7:I24">
    <cfRule type="top10" dxfId="244" priority="338" stopIfTrue="1" rank="1"/>
  </conditionalFormatting>
  <conditionalFormatting sqref="J7:J24">
    <cfRule type="top10" dxfId="243" priority="339" stopIfTrue="1" rank="1"/>
  </conditionalFormatting>
  <conditionalFormatting sqref="K7:K24">
    <cfRule type="top10" dxfId="242" priority="340" stopIfTrue="1" rank="1"/>
  </conditionalFormatting>
  <conditionalFormatting sqref="L7:L24">
    <cfRule type="top10" dxfId="241" priority="34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34"/>
  <sheetViews>
    <sheetView showGridLines="0" showRowColHeaders="0" zoomScaleNormal="100" workbookViewId="0">
      <pane xSplit="4" topLeftCell="E1" activePane="topRight" state="frozen"/>
      <selection pane="topRight" activeCell="R1" sqref="R1"/>
    </sheetView>
  </sheetViews>
  <sheetFormatPr defaultRowHeight="12.75" x14ac:dyDescent="0.2"/>
  <cols>
    <col min="1" max="1" width="3.42578125" style="96" customWidth="1"/>
    <col min="2" max="2" width="20.42578125" style="96" customWidth="1"/>
    <col min="3" max="3" width="6.5703125" style="96" bestFit="1" customWidth="1"/>
    <col min="4" max="4" width="8.42578125" style="96" bestFit="1" customWidth="1"/>
    <col min="5" max="13" width="3" style="96" customWidth="1"/>
    <col min="14" max="14" width="3" style="96" bestFit="1" customWidth="1"/>
    <col min="15" max="15" width="9.28515625" style="96" hidden="1" customWidth="1"/>
    <col min="16" max="16" width="5.140625" style="96" customWidth="1"/>
    <col min="17" max="17" width="7.28515625" style="96" customWidth="1"/>
    <col min="18" max="27" width="4" style="96" customWidth="1"/>
    <col min="28" max="28" width="2.7109375" style="96" hidden="1" customWidth="1"/>
    <col min="29" max="29" width="5.140625" style="96" bestFit="1" customWidth="1"/>
    <col min="30" max="30" width="7.28515625" style="96" bestFit="1" customWidth="1"/>
    <col min="31" max="40" width="4" style="96" customWidth="1"/>
    <col min="41" max="41" width="2.7109375" style="96" hidden="1" customWidth="1"/>
    <col min="42" max="42" width="5.140625" style="96" bestFit="1" customWidth="1"/>
    <col min="43" max="43" width="7.28515625" style="96" bestFit="1" customWidth="1"/>
    <col min="44" max="44" width="9.140625" style="96" customWidth="1"/>
    <col min="45" max="16384" width="9.140625" style="96"/>
  </cols>
  <sheetData>
    <row r="1" spans="1:44" s="84" customFormat="1" x14ac:dyDescent="0.2">
      <c r="A1" s="82" t="str">
        <f>UPPER((Kalend!D5)&amp;" "&amp;(Kalend!C5)&amp;" - "&amp;(Kalend!E5))</f>
        <v>MIV MITMEVÕISTLUS - ÜKSIK</v>
      </c>
      <c r="B1" s="83"/>
      <c r="K1" s="361" t="str">
        <f>HYPERLINK("#'Kalend'!I1","Kalender")</f>
        <v>Kalender</v>
      </c>
      <c r="L1" s="85"/>
      <c r="N1" s="85"/>
      <c r="P1" s="361" t="str">
        <f>HYPERLINK("#'Reit'!J1","Reiting")</f>
        <v>Reiting</v>
      </c>
      <c r="Q1" s="134"/>
      <c r="AA1" s="99" t="s">
        <v>94</v>
      </c>
      <c r="AC1" s="100">
        <f>COUNTA(Nimi)</f>
        <v>10</v>
      </c>
      <c r="AD1" s="96" t="s">
        <v>91</v>
      </c>
    </row>
    <row r="2" spans="1:44" s="85" customFormat="1" x14ac:dyDescent="0.2">
      <c r="A2" s="85" t="str">
        <f>"Toimumisaeg: "&amp;(Kalend!A5)&amp;" kell "&amp;(Kalend!B5)</f>
        <v>Toimumisaeg: P, 08.11.2015 kell 11:00</v>
      </c>
      <c r="AA2" s="99" t="s">
        <v>93</v>
      </c>
      <c r="AC2" s="98">
        <f>AC1-1</f>
        <v>9</v>
      </c>
      <c r="AD2" s="96" t="s">
        <v>91</v>
      </c>
    </row>
    <row r="3" spans="1:44" s="85" customFormat="1" x14ac:dyDescent="0.2">
      <c r="A3" s="85" t="str">
        <f>"Toimumiskoht: "&amp;(Kalend!F5)</f>
        <v>Toimumiskoht: K-Järve petangihall</v>
      </c>
      <c r="P3" s="99"/>
      <c r="Q3" s="98"/>
      <c r="R3" s="96"/>
      <c r="S3" s="96"/>
      <c r="T3" s="96"/>
      <c r="U3" s="96"/>
      <c r="V3" s="96"/>
      <c r="W3" s="96"/>
      <c r="X3" s="96"/>
      <c r="AA3" s="99" t="s">
        <v>92</v>
      </c>
      <c r="AC3" s="98">
        <f>AC2-1</f>
        <v>8</v>
      </c>
      <c r="AD3" s="96" t="s">
        <v>91</v>
      </c>
    </row>
    <row r="4" spans="1:44" s="85" customFormat="1" x14ac:dyDescent="0.2">
      <c r="A4" s="85" t="str">
        <f>"Korraldaja: "&amp;(Kalend!G5)</f>
        <v>Korraldaja: Ülo Piik</v>
      </c>
    </row>
    <row r="5" spans="1:44" s="85" customFormat="1" x14ac:dyDescent="0.2"/>
    <row r="6" spans="1:44" s="85" customFormat="1" ht="63.75" customHeight="1" x14ac:dyDescent="0.2">
      <c r="A6" s="366"/>
      <c r="B6" s="366"/>
      <c r="C6" s="158"/>
      <c r="D6" s="376"/>
      <c r="E6" s="374"/>
      <c r="F6" s="219"/>
      <c r="G6" s="220"/>
      <c r="H6" s="218"/>
      <c r="I6" s="219"/>
      <c r="J6" s="220"/>
      <c r="K6" s="218"/>
      <c r="L6" s="219"/>
      <c r="M6" s="220"/>
      <c r="N6" s="168"/>
      <c r="O6" s="158"/>
      <c r="P6" s="158"/>
      <c r="Q6" s="158"/>
      <c r="R6" s="218"/>
      <c r="S6" s="219"/>
      <c r="T6" s="220"/>
      <c r="U6" s="218"/>
      <c r="V6" s="219"/>
      <c r="W6" s="220"/>
      <c r="X6" s="218"/>
      <c r="Y6" s="219"/>
      <c r="Z6" s="220"/>
      <c r="AA6" s="158"/>
      <c r="AB6" s="158"/>
      <c r="AC6" s="158"/>
      <c r="AD6" s="373"/>
      <c r="AE6" s="374"/>
      <c r="AF6" s="219"/>
      <c r="AG6" s="220"/>
      <c r="AH6" s="218"/>
      <c r="AI6" s="219"/>
      <c r="AJ6" s="220"/>
      <c r="AK6" s="218"/>
      <c r="AL6" s="219"/>
      <c r="AM6" s="220"/>
      <c r="AN6" s="158"/>
      <c r="AO6" s="158"/>
      <c r="AP6" s="158"/>
      <c r="AQ6" s="366"/>
    </row>
    <row r="7" spans="1:44" s="174" customFormat="1" x14ac:dyDescent="0.2">
      <c r="A7" s="177"/>
      <c r="B7" s="177"/>
      <c r="C7" s="910" t="s">
        <v>123</v>
      </c>
      <c r="D7" s="911"/>
      <c r="E7" s="178" t="s">
        <v>14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  <c r="R7" s="182" t="s">
        <v>122</v>
      </c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3"/>
      <c r="AD7" s="375"/>
      <c r="AE7" s="178" t="s">
        <v>118</v>
      </c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80"/>
      <c r="AQ7" s="371"/>
    </row>
    <row r="8" spans="1:44" x14ac:dyDescent="0.2">
      <c r="A8" s="369" t="s">
        <v>253</v>
      </c>
      <c r="B8" s="136" t="s">
        <v>84</v>
      </c>
      <c r="C8" s="111" t="s">
        <v>121</v>
      </c>
      <c r="D8" s="145" t="s">
        <v>120</v>
      </c>
      <c r="E8" s="147">
        <v>6</v>
      </c>
      <c r="F8" s="137">
        <v>6</v>
      </c>
      <c r="G8" s="137">
        <v>6</v>
      </c>
      <c r="H8" s="137">
        <v>7</v>
      </c>
      <c r="I8" s="137">
        <v>7</v>
      </c>
      <c r="J8" s="137">
        <v>7</v>
      </c>
      <c r="K8" s="137">
        <v>8</v>
      </c>
      <c r="L8" s="127">
        <v>8</v>
      </c>
      <c r="M8" s="127">
        <v>8</v>
      </c>
      <c r="N8" s="127" t="s">
        <v>67</v>
      </c>
      <c r="O8" s="126" t="s">
        <v>119</v>
      </c>
      <c r="P8" s="109" t="s">
        <v>85</v>
      </c>
      <c r="Q8" s="148" t="s">
        <v>76</v>
      </c>
      <c r="R8" s="139">
        <v>6</v>
      </c>
      <c r="S8" s="139">
        <v>6</v>
      </c>
      <c r="T8" s="139">
        <v>6</v>
      </c>
      <c r="U8" s="139">
        <v>7</v>
      </c>
      <c r="V8" s="139">
        <v>7</v>
      </c>
      <c r="W8" s="139">
        <v>7</v>
      </c>
      <c r="X8" s="139">
        <v>8</v>
      </c>
      <c r="Y8" s="125">
        <v>8</v>
      </c>
      <c r="Z8" s="125">
        <v>8</v>
      </c>
      <c r="AA8" s="125" t="s">
        <v>67</v>
      </c>
      <c r="AB8" s="135" t="s">
        <v>177</v>
      </c>
      <c r="AC8" s="110" t="s">
        <v>85</v>
      </c>
      <c r="AD8" s="148" t="s">
        <v>76</v>
      </c>
      <c r="AE8" s="143">
        <v>6</v>
      </c>
      <c r="AF8" s="139">
        <v>6</v>
      </c>
      <c r="AG8" s="139">
        <v>6</v>
      </c>
      <c r="AH8" s="139">
        <v>7</v>
      </c>
      <c r="AI8" s="139">
        <v>7</v>
      </c>
      <c r="AJ8" s="139">
        <v>7</v>
      </c>
      <c r="AK8" s="139">
        <v>8</v>
      </c>
      <c r="AL8" s="125">
        <v>8</v>
      </c>
      <c r="AM8" s="125">
        <v>8</v>
      </c>
      <c r="AN8" s="125" t="s">
        <v>67</v>
      </c>
      <c r="AO8" s="135" t="s">
        <v>177</v>
      </c>
      <c r="AP8" s="124" t="s">
        <v>85</v>
      </c>
      <c r="AQ8" s="124" t="s">
        <v>76</v>
      </c>
      <c r="AR8" s="96" t="s">
        <v>58</v>
      </c>
    </row>
    <row r="9" spans="1:44" x14ac:dyDescent="0.2">
      <c r="A9" s="370">
        <v>6</v>
      </c>
      <c r="B9" s="109" t="s">
        <v>143</v>
      </c>
      <c r="C9" s="107">
        <f>IF(COUNTA(E9)=1,RANK(D9,$D$9:$D$18,0),"")</f>
        <v>1</v>
      </c>
      <c r="D9" s="146">
        <f t="shared" ref="D9:D18" si="0">SUM(Q9,AD9,AQ9)</f>
        <v>26</v>
      </c>
      <c r="E9" s="149">
        <v>5</v>
      </c>
      <c r="F9" s="138">
        <v>3</v>
      </c>
      <c r="G9" s="138">
        <v>5</v>
      </c>
      <c r="H9" s="138">
        <v>3</v>
      </c>
      <c r="I9" s="138">
        <v>5</v>
      </c>
      <c r="J9" s="138">
        <v>0</v>
      </c>
      <c r="K9" s="138">
        <v>0</v>
      </c>
      <c r="L9" s="106">
        <v>5</v>
      </c>
      <c r="M9" s="106">
        <v>1</v>
      </c>
      <c r="N9" s="105">
        <f t="shared" ref="N9:N18" si="1">SUM(E9:M9)</f>
        <v>27</v>
      </c>
      <c r="O9" s="104">
        <f t="shared" ref="O9:O18" si="2">COUNTIF(E9:M9,5)/100+COUNTIF(E9:M9,3)/10000+N9</f>
        <v>27.040199999999999</v>
      </c>
      <c r="P9" s="103">
        <f t="shared" ref="P9:P18" si="3">IF(COUNTA(E9:M9)&gt;0,RANK(O9,$O$9:$O$18,0),0)</f>
        <v>2</v>
      </c>
      <c r="Q9" s="144">
        <f t="shared" ref="Q9:Q18" si="4">IF(($AC$1+1-P9)&gt;=1,IF(($AC$1+1-P9)&lt;=$AC$1,($AC$1+1-P9),0),0)</f>
        <v>9</v>
      </c>
      <c r="R9" s="141">
        <v>14</v>
      </c>
      <c r="S9" s="141">
        <v>16</v>
      </c>
      <c r="T9" s="141">
        <v>70</v>
      </c>
      <c r="U9" s="141">
        <v>53</v>
      </c>
      <c r="V9" s="141">
        <v>13</v>
      </c>
      <c r="W9" s="141">
        <v>100</v>
      </c>
      <c r="X9" s="141">
        <v>0</v>
      </c>
      <c r="Y9" s="142">
        <v>100</v>
      </c>
      <c r="Z9" s="142">
        <v>21</v>
      </c>
      <c r="AA9" s="108">
        <f t="shared" ref="AA9:AA18" si="5">SUM(R9:Z9)</f>
        <v>387</v>
      </c>
      <c r="AB9" s="102">
        <f t="shared" ref="AB9:AB18" si="6">IF(COUNTBLANK(R9:Z9)&lt;1,RANK(AA9,$AA$9:$AA$18,0),0)</f>
        <v>7</v>
      </c>
      <c r="AC9" s="101">
        <f t="shared" ref="AC9:AC18" si="7">IF(COUNTBLANK(R9:Z9)&lt;1,RANK(AB9,$AB$9:$AB$18,0),0)</f>
        <v>4</v>
      </c>
      <c r="AD9" s="144">
        <f t="shared" ref="AD9:AD18" si="8">IF(($AC$1+1-AC9)&gt;=1,IF(($AC$1+1-AC9)&lt;=$AC$1,($AC$1+1-AC9),0),0)</f>
        <v>7</v>
      </c>
      <c r="AE9" s="151">
        <v>100</v>
      </c>
      <c r="AF9" s="152">
        <v>47</v>
      </c>
      <c r="AG9" s="152">
        <v>100</v>
      </c>
      <c r="AH9" s="152">
        <v>0</v>
      </c>
      <c r="AI9" s="152">
        <v>100</v>
      </c>
      <c r="AJ9" s="152">
        <v>62</v>
      </c>
      <c r="AK9" s="152">
        <v>100</v>
      </c>
      <c r="AL9" s="153">
        <v>100</v>
      </c>
      <c r="AM9" s="153">
        <v>10</v>
      </c>
      <c r="AN9" s="108">
        <f t="shared" ref="AN9:AN18" si="9">SUM(AE9:AM9)</f>
        <v>619</v>
      </c>
      <c r="AO9" s="102">
        <f t="shared" ref="AO9:AO18" si="10">IF(COUNTBLANK(AE9:AM9)&lt;1,RANK(AN9,$AN$9:$AN$18,0),0)</f>
        <v>10</v>
      </c>
      <c r="AP9" s="103">
        <f t="shared" ref="AP9:AP18" si="11">IF(COUNTBLANK(AE9:AM9)&lt;1,RANK(AO9,$AO$9:$AO$18,0),0)</f>
        <v>1</v>
      </c>
      <c r="AQ9" s="372">
        <f t="shared" ref="AQ9:AQ18" si="12">IF(($AC$1+1-AP9)&gt;=1,IF(($AC$1+1-AP9)&lt;=$AC$1,($AC$1+1-AP9),0),0)</f>
        <v>10</v>
      </c>
    </row>
    <row r="10" spans="1:44" x14ac:dyDescent="0.2">
      <c r="A10" s="370">
        <v>2</v>
      </c>
      <c r="B10" s="268" t="s">
        <v>112</v>
      </c>
      <c r="C10" s="107">
        <f>IF(COUNTA(E10)=1,RANK(D10,$D$9:$D$18,0),"")</f>
        <v>2</v>
      </c>
      <c r="D10" s="146">
        <f t="shared" si="0"/>
        <v>22</v>
      </c>
      <c r="E10" s="149">
        <v>3</v>
      </c>
      <c r="F10" s="138">
        <v>3</v>
      </c>
      <c r="G10" s="138">
        <v>0</v>
      </c>
      <c r="H10" s="138">
        <v>1</v>
      </c>
      <c r="I10" s="138">
        <v>3</v>
      </c>
      <c r="J10" s="138">
        <v>0</v>
      </c>
      <c r="K10" s="138">
        <v>3</v>
      </c>
      <c r="L10" s="106">
        <v>3</v>
      </c>
      <c r="M10" s="106">
        <v>0</v>
      </c>
      <c r="N10" s="105">
        <f t="shared" si="1"/>
        <v>16</v>
      </c>
      <c r="O10" s="104">
        <f t="shared" si="2"/>
        <v>16.000499999999999</v>
      </c>
      <c r="P10" s="103">
        <f t="shared" si="3"/>
        <v>4</v>
      </c>
      <c r="Q10" s="144">
        <f t="shared" si="4"/>
        <v>7</v>
      </c>
      <c r="R10" s="141">
        <v>42</v>
      </c>
      <c r="S10" s="141">
        <v>52</v>
      </c>
      <c r="T10" s="141">
        <v>29</v>
      </c>
      <c r="U10" s="141">
        <v>83</v>
      </c>
      <c r="V10" s="141">
        <v>6</v>
      </c>
      <c r="W10" s="141">
        <v>3</v>
      </c>
      <c r="X10" s="141">
        <v>64</v>
      </c>
      <c r="Y10" s="142">
        <v>41</v>
      </c>
      <c r="Z10" s="142">
        <v>41</v>
      </c>
      <c r="AA10" s="108">
        <f t="shared" si="5"/>
        <v>361</v>
      </c>
      <c r="AB10" s="102">
        <f t="shared" si="6"/>
        <v>8</v>
      </c>
      <c r="AC10" s="101">
        <f t="shared" si="7"/>
        <v>3</v>
      </c>
      <c r="AD10" s="144">
        <f t="shared" si="8"/>
        <v>8</v>
      </c>
      <c r="AE10" s="151">
        <v>65</v>
      </c>
      <c r="AF10" s="152">
        <v>64</v>
      </c>
      <c r="AG10" s="152">
        <v>100</v>
      </c>
      <c r="AH10" s="152">
        <v>100</v>
      </c>
      <c r="AI10" s="152">
        <v>96</v>
      </c>
      <c r="AJ10" s="152">
        <v>42</v>
      </c>
      <c r="AK10" s="152">
        <v>100</v>
      </c>
      <c r="AL10" s="153">
        <v>38</v>
      </c>
      <c r="AM10" s="153">
        <v>63</v>
      </c>
      <c r="AN10" s="108">
        <f t="shared" si="9"/>
        <v>668</v>
      </c>
      <c r="AO10" s="102">
        <f t="shared" si="10"/>
        <v>7</v>
      </c>
      <c r="AP10" s="103">
        <f t="shared" si="11"/>
        <v>4</v>
      </c>
      <c r="AQ10" s="372">
        <f t="shared" si="12"/>
        <v>7</v>
      </c>
    </row>
    <row r="11" spans="1:44" x14ac:dyDescent="0.2">
      <c r="A11" s="370">
        <v>10</v>
      </c>
      <c r="B11" s="269" t="s">
        <v>108</v>
      </c>
      <c r="C11" s="107">
        <f>IF(COUNTA(E11)=1,RANK(D11,$D$9:$D$18,0),"")</f>
        <v>3</v>
      </c>
      <c r="D11" s="146">
        <f t="shared" si="0"/>
        <v>20</v>
      </c>
      <c r="E11" s="149">
        <v>3</v>
      </c>
      <c r="F11" s="138">
        <v>0</v>
      </c>
      <c r="G11" s="138">
        <v>3</v>
      </c>
      <c r="H11" s="138">
        <v>0</v>
      </c>
      <c r="I11" s="138">
        <v>3</v>
      </c>
      <c r="J11" s="138">
        <v>3</v>
      </c>
      <c r="K11" s="138">
        <v>3</v>
      </c>
      <c r="L11" s="106">
        <v>3</v>
      </c>
      <c r="M11" s="106">
        <v>0</v>
      </c>
      <c r="N11" s="105">
        <f t="shared" si="1"/>
        <v>18</v>
      </c>
      <c r="O11" s="104">
        <f t="shared" si="2"/>
        <v>18.000599999999999</v>
      </c>
      <c r="P11" s="103">
        <f t="shared" si="3"/>
        <v>3</v>
      </c>
      <c r="Q11" s="144">
        <f t="shared" si="4"/>
        <v>8</v>
      </c>
      <c r="R11" s="141">
        <v>50</v>
      </c>
      <c r="S11" s="141">
        <v>48</v>
      </c>
      <c r="T11" s="141">
        <v>44</v>
      </c>
      <c r="U11" s="141">
        <v>16</v>
      </c>
      <c r="V11" s="141">
        <v>6</v>
      </c>
      <c r="W11" s="141">
        <v>14</v>
      </c>
      <c r="X11" s="141">
        <v>66</v>
      </c>
      <c r="Y11" s="142">
        <v>15</v>
      </c>
      <c r="Z11" s="142">
        <v>0</v>
      </c>
      <c r="AA11" s="108">
        <f t="shared" si="5"/>
        <v>259</v>
      </c>
      <c r="AB11" s="102">
        <f t="shared" si="6"/>
        <v>10</v>
      </c>
      <c r="AC11" s="101">
        <f t="shared" si="7"/>
        <v>1</v>
      </c>
      <c r="AD11" s="144">
        <f t="shared" si="8"/>
        <v>10</v>
      </c>
      <c r="AE11" s="151">
        <v>100</v>
      </c>
      <c r="AF11" s="152">
        <v>100</v>
      </c>
      <c r="AG11" s="152">
        <v>31</v>
      </c>
      <c r="AH11" s="152">
        <v>100</v>
      </c>
      <c r="AI11" s="152">
        <v>88</v>
      </c>
      <c r="AJ11" s="152">
        <v>100</v>
      </c>
      <c r="AK11" s="152">
        <v>67</v>
      </c>
      <c r="AL11" s="153">
        <v>100</v>
      </c>
      <c r="AM11" s="153">
        <v>100</v>
      </c>
      <c r="AN11" s="108">
        <f t="shared" si="9"/>
        <v>786</v>
      </c>
      <c r="AO11" s="102">
        <f t="shared" si="10"/>
        <v>2</v>
      </c>
      <c r="AP11" s="103">
        <f t="shared" si="11"/>
        <v>9</v>
      </c>
      <c r="AQ11" s="372">
        <f t="shared" si="12"/>
        <v>2</v>
      </c>
    </row>
    <row r="12" spans="1:44" x14ac:dyDescent="0.2">
      <c r="A12" s="370">
        <v>5</v>
      </c>
      <c r="B12" s="270" t="s">
        <v>105</v>
      </c>
      <c r="C12" s="107">
        <f>IF(COUNTA(E12)=1,RANK(D12,$D$9:$D$18,0),"")</f>
        <v>4</v>
      </c>
      <c r="D12" s="146">
        <f t="shared" si="0"/>
        <v>19</v>
      </c>
      <c r="E12" s="149">
        <v>1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3</v>
      </c>
      <c r="L12" s="106">
        <v>3</v>
      </c>
      <c r="M12" s="106">
        <v>3</v>
      </c>
      <c r="N12" s="105">
        <f t="shared" si="1"/>
        <v>10</v>
      </c>
      <c r="O12" s="104">
        <f t="shared" si="2"/>
        <v>10.000299999999999</v>
      </c>
      <c r="P12" s="103">
        <f t="shared" si="3"/>
        <v>6</v>
      </c>
      <c r="Q12" s="144">
        <f t="shared" si="4"/>
        <v>5</v>
      </c>
      <c r="R12" s="141">
        <v>70</v>
      </c>
      <c r="S12" s="141">
        <v>11</v>
      </c>
      <c r="T12" s="141">
        <v>3</v>
      </c>
      <c r="U12" s="141">
        <v>58</v>
      </c>
      <c r="V12" s="141">
        <v>12</v>
      </c>
      <c r="W12" s="141">
        <v>39</v>
      </c>
      <c r="X12" s="141">
        <v>90</v>
      </c>
      <c r="Y12" s="142">
        <v>93</v>
      </c>
      <c r="Z12" s="142">
        <v>66</v>
      </c>
      <c r="AA12" s="108">
        <f t="shared" si="5"/>
        <v>442</v>
      </c>
      <c r="AB12" s="102">
        <f t="shared" si="6"/>
        <v>5</v>
      </c>
      <c r="AC12" s="101">
        <f t="shared" si="7"/>
        <v>6</v>
      </c>
      <c r="AD12" s="144">
        <f t="shared" si="8"/>
        <v>5</v>
      </c>
      <c r="AE12" s="151">
        <v>100</v>
      </c>
      <c r="AF12" s="152">
        <v>100</v>
      </c>
      <c r="AG12" s="152">
        <v>8</v>
      </c>
      <c r="AH12" s="152">
        <v>100</v>
      </c>
      <c r="AI12" s="152">
        <v>100</v>
      </c>
      <c r="AJ12" s="152">
        <v>34</v>
      </c>
      <c r="AK12" s="152">
        <v>100</v>
      </c>
      <c r="AL12" s="153">
        <v>100</v>
      </c>
      <c r="AM12" s="153">
        <v>4</v>
      </c>
      <c r="AN12" s="108">
        <f t="shared" si="9"/>
        <v>646</v>
      </c>
      <c r="AO12" s="102">
        <f t="shared" si="10"/>
        <v>9</v>
      </c>
      <c r="AP12" s="103">
        <f t="shared" si="11"/>
        <v>2</v>
      </c>
      <c r="AQ12" s="372">
        <f t="shared" si="12"/>
        <v>9</v>
      </c>
    </row>
    <row r="13" spans="1:44" x14ac:dyDescent="0.2">
      <c r="A13" s="370">
        <v>7</v>
      </c>
      <c r="B13" s="270" t="s">
        <v>98</v>
      </c>
      <c r="C13" s="107">
        <f>IF(COUNTA(E13)=1,RANK(D13,$D$9:$D$18,0),"")</f>
        <v>5</v>
      </c>
      <c r="D13" s="146">
        <f>SUM(Q13,AD13,AQ13)</f>
        <v>16</v>
      </c>
      <c r="E13" s="149">
        <v>0</v>
      </c>
      <c r="F13" s="138">
        <v>0</v>
      </c>
      <c r="G13" s="138">
        <v>5</v>
      </c>
      <c r="H13" s="138">
        <v>0</v>
      </c>
      <c r="I13" s="138">
        <v>3</v>
      </c>
      <c r="J13" s="138">
        <v>3</v>
      </c>
      <c r="K13" s="138">
        <v>0</v>
      </c>
      <c r="L13" s="106">
        <v>3</v>
      </c>
      <c r="M13" s="106">
        <v>0</v>
      </c>
      <c r="N13" s="105">
        <f>SUM(E13:M13)</f>
        <v>14</v>
      </c>
      <c r="O13" s="104">
        <f>COUNTIF(E13:M13,5)/100+COUNTIF(E13:M13,3)/10000+N13</f>
        <v>14.010300000000001</v>
      </c>
      <c r="P13" s="103">
        <f t="shared" si="3"/>
        <v>5</v>
      </c>
      <c r="Q13" s="144">
        <f>IF(($AC$1+1-P13)&gt;=1,IF(($AC$1+1-P13)&lt;=$AC$1,($AC$1+1-P13),0),0)</f>
        <v>6</v>
      </c>
      <c r="R13" s="141">
        <v>86</v>
      </c>
      <c r="S13" s="141">
        <v>2</v>
      </c>
      <c r="T13" s="141">
        <v>12</v>
      </c>
      <c r="U13" s="141">
        <v>75</v>
      </c>
      <c r="V13" s="141">
        <v>48</v>
      </c>
      <c r="W13" s="141">
        <v>37</v>
      </c>
      <c r="X13" s="141">
        <v>42</v>
      </c>
      <c r="Y13" s="142">
        <v>36</v>
      </c>
      <c r="Z13" s="142">
        <v>15</v>
      </c>
      <c r="AA13" s="108">
        <f>SUM(R13:Z13)</f>
        <v>353</v>
      </c>
      <c r="AB13" s="102">
        <f t="shared" si="6"/>
        <v>9</v>
      </c>
      <c r="AC13" s="101">
        <f t="shared" si="7"/>
        <v>2</v>
      </c>
      <c r="AD13" s="144">
        <f>IF(($AC$1+1-AC13)&gt;=1,IF(($AC$1+1-AC13)&lt;=$AC$1,($AC$1+1-AC13),0),0)</f>
        <v>9</v>
      </c>
      <c r="AE13" s="151">
        <v>100</v>
      </c>
      <c r="AF13" s="152">
        <v>73</v>
      </c>
      <c r="AG13" s="152">
        <v>97</v>
      </c>
      <c r="AH13" s="152">
        <v>100</v>
      </c>
      <c r="AI13" s="152">
        <v>100</v>
      </c>
      <c r="AJ13" s="152">
        <v>55</v>
      </c>
      <c r="AK13" s="152">
        <v>100</v>
      </c>
      <c r="AL13" s="153">
        <v>100</v>
      </c>
      <c r="AM13" s="153">
        <v>77</v>
      </c>
      <c r="AN13" s="108">
        <f>SUM(AE13:AM13)</f>
        <v>802</v>
      </c>
      <c r="AO13" s="102">
        <f t="shared" si="10"/>
        <v>1</v>
      </c>
      <c r="AP13" s="103">
        <f t="shared" si="11"/>
        <v>10</v>
      </c>
      <c r="AQ13" s="372">
        <f>IF(($AC$1+1-AP13)&gt;=1,IF(($AC$1+1-AP13)&lt;=$AC$1,($AC$1+1-AP13),0),0)</f>
        <v>1</v>
      </c>
    </row>
    <row r="14" spans="1:44" x14ac:dyDescent="0.2">
      <c r="A14" s="370">
        <v>1</v>
      </c>
      <c r="B14" s="270" t="s">
        <v>139</v>
      </c>
      <c r="C14" s="107">
        <v>6</v>
      </c>
      <c r="D14" s="146">
        <f t="shared" si="0"/>
        <v>16</v>
      </c>
      <c r="E14" s="149">
        <v>0</v>
      </c>
      <c r="F14" s="138">
        <v>3</v>
      </c>
      <c r="G14" s="138">
        <v>3</v>
      </c>
      <c r="H14" s="138">
        <v>3</v>
      </c>
      <c r="I14" s="138">
        <v>5</v>
      </c>
      <c r="J14" s="138">
        <v>5</v>
      </c>
      <c r="K14" s="138">
        <v>5</v>
      </c>
      <c r="L14" s="106">
        <v>3</v>
      </c>
      <c r="M14" s="106">
        <v>1</v>
      </c>
      <c r="N14" s="150">
        <f t="shared" si="1"/>
        <v>28</v>
      </c>
      <c r="O14" s="104">
        <f t="shared" si="2"/>
        <v>28.0304</v>
      </c>
      <c r="P14" s="103">
        <f t="shared" si="3"/>
        <v>1</v>
      </c>
      <c r="Q14" s="144">
        <f t="shared" si="4"/>
        <v>10</v>
      </c>
      <c r="R14" s="141">
        <v>86</v>
      </c>
      <c r="S14" s="141">
        <v>84</v>
      </c>
      <c r="T14" s="141">
        <v>68</v>
      </c>
      <c r="U14" s="141">
        <v>71</v>
      </c>
      <c r="V14" s="141">
        <v>78</v>
      </c>
      <c r="W14" s="141">
        <v>80</v>
      </c>
      <c r="X14" s="141">
        <v>6</v>
      </c>
      <c r="Y14" s="142">
        <v>100</v>
      </c>
      <c r="Z14" s="142">
        <v>13</v>
      </c>
      <c r="AA14" s="108">
        <f t="shared" si="5"/>
        <v>586</v>
      </c>
      <c r="AB14" s="102">
        <f t="shared" si="6"/>
        <v>3</v>
      </c>
      <c r="AC14" s="101">
        <f t="shared" si="7"/>
        <v>8</v>
      </c>
      <c r="AD14" s="144">
        <f t="shared" si="8"/>
        <v>3</v>
      </c>
      <c r="AE14" s="151">
        <v>100</v>
      </c>
      <c r="AF14" s="152">
        <v>100</v>
      </c>
      <c r="AG14" s="152">
        <v>82</v>
      </c>
      <c r="AH14" s="152">
        <v>100</v>
      </c>
      <c r="AI14" s="152">
        <v>43</v>
      </c>
      <c r="AJ14" s="152">
        <v>83</v>
      </c>
      <c r="AK14" s="152">
        <v>100</v>
      </c>
      <c r="AL14" s="153">
        <v>100</v>
      </c>
      <c r="AM14" s="153">
        <v>61</v>
      </c>
      <c r="AN14" s="108">
        <f t="shared" si="9"/>
        <v>769</v>
      </c>
      <c r="AO14" s="102">
        <f t="shared" si="10"/>
        <v>3</v>
      </c>
      <c r="AP14" s="103">
        <f t="shared" si="11"/>
        <v>8</v>
      </c>
      <c r="AQ14" s="372">
        <f t="shared" si="12"/>
        <v>3</v>
      </c>
    </row>
    <row r="15" spans="1:44" x14ac:dyDescent="0.2">
      <c r="A15" s="370">
        <v>4</v>
      </c>
      <c r="B15" s="270" t="s">
        <v>90</v>
      </c>
      <c r="C15" s="107">
        <f>IF(COUNTA(E15)=1,RANK(D15,$D$9:$D$18,0),"")</f>
        <v>7</v>
      </c>
      <c r="D15" s="146">
        <f>SUM(Q15,AD15,AQ15)</f>
        <v>15</v>
      </c>
      <c r="E15" s="149">
        <v>3</v>
      </c>
      <c r="F15" s="138">
        <v>1</v>
      </c>
      <c r="G15" s="138">
        <v>3</v>
      </c>
      <c r="H15" s="138">
        <v>0</v>
      </c>
      <c r="I15" s="138">
        <v>0</v>
      </c>
      <c r="J15" s="138">
        <v>0</v>
      </c>
      <c r="K15" s="138">
        <v>0</v>
      </c>
      <c r="L15" s="106">
        <v>0</v>
      </c>
      <c r="M15" s="106">
        <v>0</v>
      </c>
      <c r="N15" s="105">
        <f>SUM(E15:M15)</f>
        <v>7</v>
      </c>
      <c r="O15" s="104">
        <f>COUNTIF(E15:M15,5)/100+COUNTIF(E15:M15,3)/10000+N15</f>
        <v>7.0002000000000004</v>
      </c>
      <c r="P15" s="103">
        <f t="shared" si="3"/>
        <v>8</v>
      </c>
      <c r="Q15" s="144">
        <f>IF(($AC$1+1-P15)&gt;=1,IF(($AC$1+1-P15)&lt;=$AC$1,($AC$1+1-P15),0),0)</f>
        <v>3</v>
      </c>
      <c r="R15" s="141">
        <v>63</v>
      </c>
      <c r="S15" s="141">
        <v>26</v>
      </c>
      <c r="T15" s="141">
        <v>3</v>
      </c>
      <c r="U15" s="141">
        <v>28</v>
      </c>
      <c r="V15" s="141">
        <v>20</v>
      </c>
      <c r="W15" s="141">
        <v>45</v>
      </c>
      <c r="X15" s="141">
        <v>94</v>
      </c>
      <c r="Y15" s="142">
        <v>65</v>
      </c>
      <c r="Z15" s="142">
        <v>74</v>
      </c>
      <c r="AA15" s="108">
        <f>SUM(R15:Z15)</f>
        <v>418</v>
      </c>
      <c r="AB15" s="102">
        <f t="shared" si="6"/>
        <v>6</v>
      </c>
      <c r="AC15" s="101">
        <f t="shared" si="7"/>
        <v>5</v>
      </c>
      <c r="AD15" s="144">
        <f>IF(($AC$1+1-AC15)&gt;=1,IF(($AC$1+1-AC15)&lt;=$AC$1,($AC$1+1-AC15),0),0)</f>
        <v>6</v>
      </c>
      <c r="AE15" s="151">
        <v>100</v>
      </c>
      <c r="AF15" s="152">
        <v>1</v>
      </c>
      <c r="AG15" s="152">
        <v>81</v>
      </c>
      <c r="AH15" s="152">
        <v>100</v>
      </c>
      <c r="AI15" s="152">
        <v>100</v>
      </c>
      <c r="AJ15" s="152">
        <v>14</v>
      </c>
      <c r="AK15" s="152">
        <v>100</v>
      </c>
      <c r="AL15" s="153">
        <v>100</v>
      </c>
      <c r="AM15" s="153">
        <v>86</v>
      </c>
      <c r="AN15" s="108">
        <f>SUM(AE15:AM15)</f>
        <v>682</v>
      </c>
      <c r="AO15" s="102">
        <f t="shared" si="10"/>
        <v>6</v>
      </c>
      <c r="AP15" s="103">
        <f t="shared" si="11"/>
        <v>5</v>
      </c>
      <c r="AQ15" s="372">
        <f>IF(($AC$1+1-AP15)&gt;=1,IF(($AC$1+1-AP15)&lt;=$AC$1,($AC$1+1-AP15),0),0)</f>
        <v>6</v>
      </c>
    </row>
    <row r="16" spans="1:44" x14ac:dyDescent="0.2">
      <c r="A16" s="370">
        <v>8</v>
      </c>
      <c r="B16" s="270" t="s">
        <v>115</v>
      </c>
      <c r="C16" s="107">
        <v>8</v>
      </c>
      <c r="D16" s="146">
        <f t="shared" si="0"/>
        <v>15</v>
      </c>
      <c r="E16" s="149">
        <v>3</v>
      </c>
      <c r="F16" s="138">
        <v>0</v>
      </c>
      <c r="G16" s="138">
        <v>3</v>
      </c>
      <c r="H16" s="138">
        <v>0</v>
      </c>
      <c r="I16" s="138">
        <v>1</v>
      </c>
      <c r="J16" s="138">
        <v>3</v>
      </c>
      <c r="K16" s="138">
        <v>0</v>
      </c>
      <c r="L16" s="106">
        <v>0</v>
      </c>
      <c r="M16" s="106">
        <v>0</v>
      </c>
      <c r="N16" s="105">
        <f t="shared" si="1"/>
        <v>10</v>
      </c>
      <c r="O16" s="104">
        <f t="shared" si="2"/>
        <v>10.000299999999999</v>
      </c>
      <c r="P16" s="103">
        <f t="shared" si="3"/>
        <v>6</v>
      </c>
      <c r="Q16" s="144">
        <f t="shared" si="4"/>
        <v>5</v>
      </c>
      <c r="R16" s="141">
        <v>100</v>
      </c>
      <c r="S16" s="141">
        <v>65</v>
      </c>
      <c r="T16" s="141">
        <v>56</v>
      </c>
      <c r="U16" s="141">
        <v>99</v>
      </c>
      <c r="V16" s="141">
        <v>54</v>
      </c>
      <c r="W16" s="141">
        <v>100</v>
      </c>
      <c r="X16" s="141">
        <v>57</v>
      </c>
      <c r="Y16" s="142">
        <v>42</v>
      </c>
      <c r="Z16" s="142">
        <v>51</v>
      </c>
      <c r="AA16" s="108">
        <f t="shared" si="5"/>
        <v>624</v>
      </c>
      <c r="AB16" s="102">
        <f t="shared" si="6"/>
        <v>2</v>
      </c>
      <c r="AC16" s="101">
        <f t="shared" si="7"/>
        <v>9</v>
      </c>
      <c r="AD16" s="144">
        <f t="shared" si="8"/>
        <v>2</v>
      </c>
      <c r="AE16" s="151">
        <v>100</v>
      </c>
      <c r="AF16" s="152">
        <v>100</v>
      </c>
      <c r="AG16" s="152">
        <v>24</v>
      </c>
      <c r="AH16" s="152">
        <v>100</v>
      </c>
      <c r="AI16" s="152">
        <v>100</v>
      </c>
      <c r="AJ16" s="152">
        <v>100</v>
      </c>
      <c r="AK16" s="152">
        <v>100</v>
      </c>
      <c r="AL16" s="153">
        <v>3</v>
      </c>
      <c r="AM16" s="153">
        <v>20</v>
      </c>
      <c r="AN16" s="108">
        <f t="shared" si="9"/>
        <v>647</v>
      </c>
      <c r="AO16" s="102">
        <f t="shared" si="10"/>
        <v>8</v>
      </c>
      <c r="AP16" s="103">
        <f t="shared" si="11"/>
        <v>3</v>
      </c>
      <c r="AQ16" s="372">
        <f t="shared" si="12"/>
        <v>8</v>
      </c>
    </row>
    <row r="17" spans="1:43" x14ac:dyDescent="0.2">
      <c r="A17" s="370">
        <v>3</v>
      </c>
      <c r="B17" s="270" t="s">
        <v>125</v>
      </c>
      <c r="C17" s="107">
        <f>IF(COUNTA(E17)=1,RANK(D17,$D$9:$D$18,0),"")</f>
        <v>9</v>
      </c>
      <c r="D17" s="146">
        <f t="shared" si="0"/>
        <v>11</v>
      </c>
      <c r="E17" s="149">
        <v>0</v>
      </c>
      <c r="F17" s="138">
        <v>0</v>
      </c>
      <c r="G17" s="138">
        <v>0</v>
      </c>
      <c r="H17" s="138">
        <v>0</v>
      </c>
      <c r="I17" s="138">
        <v>5</v>
      </c>
      <c r="J17" s="138">
        <v>0</v>
      </c>
      <c r="K17" s="138">
        <v>1</v>
      </c>
      <c r="L17" s="106">
        <v>0</v>
      </c>
      <c r="M17" s="106">
        <v>0</v>
      </c>
      <c r="N17" s="105">
        <f t="shared" si="1"/>
        <v>6</v>
      </c>
      <c r="O17" s="104">
        <f t="shared" si="2"/>
        <v>6.01</v>
      </c>
      <c r="P17" s="103">
        <f t="shared" si="3"/>
        <v>9</v>
      </c>
      <c r="Q17" s="144">
        <f t="shared" si="4"/>
        <v>2</v>
      </c>
      <c r="R17" s="141">
        <v>86</v>
      </c>
      <c r="S17" s="141">
        <v>15</v>
      </c>
      <c r="T17" s="141">
        <v>96</v>
      </c>
      <c r="U17" s="141">
        <v>71</v>
      </c>
      <c r="V17" s="141">
        <v>0</v>
      </c>
      <c r="W17" s="141">
        <v>15</v>
      </c>
      <c r="X17" s="141">
        <v>71</v>
      </c>
      <c r="Y17" s="142">
        <v>100</v>
      </c>
      <c r="Z17" s="142">
        <v>51</v>
      </c>
      <c r="AA17" s="108">
        <f t="shared" si="5"/>
        <v>505</v>
      </c>
      <c r="AB17" s="102">
        <f t="shared" si="6"/>
        <v>4</v>
      </c>
      <c r="AC17" s="101">
        <f t="shared" si="7"/>
        <v>7</v>
      </c>
      <c r="AD17" s="144">
        <f t="shared" si="8"/>
        <v>4</v>
      </c>
      <c r="AE17" s="151">
        <v>100</v>
      </c>
      <c r="AF17" s="152">
        <v>56</v>
      </c>
      <c r="AG17" s="152">
        <v>67</v>
      </c>
      <c r="AH17" s="152">
        <v>100</v>
      </c>
      <c r="AI17" s="152">
        <v>100</v>
      </c>
      <c r="AJ17" s="152">
        <v>13</v>
      </c>
      <c r="AK17" s="152">
        <v>100</v>
      </c>
      <c r="AL17" s="153">
        <v>100</v>
      </c>
      <c r="AM17" s="153">
        <v>55</v>
      </c>
      <c r="AN17" s="108">
        <f t="shared" si="9"/>
        <v>691</v>
      </c>
      <c r="AO17" s="102">
        <f t="shared" si="10"/>
        <v>5</v>
      </c>
      <c r="AP17" s="103">
        <f t="shared" si="11"/>
        <v>6</v>
      </c>
      <c r="AQ17" s="372">
        <f t="shared" si="12"/>
        <v>5</v>
      </c>
    </row>
    <row r="18" spans="1:43" x14ac:dyDescent="0.2">
      <c r="A18" s="370">
        <v>9</v>
      </c>
      <c r="B18" s="270" t="s">
        <v>106</v>
      </c>
      <c r="C18" s="107">
        <f>IF(COUNTA(E18)=1,RANK(D18,$D$9:$D$18,0),"")</f>
        <v>10</v>
      </c>
      <c r="D18" s="146">
        <f t="shared" si="0"/>
        <v>6</v>
      </c>
      <c r="E18" s="149">
        <v>0</v>
      </c>
      <c r="F18" s="138">
        <v>0</v>
      </c>
      <c r="G18" s="138">
        <v>0</v>
      </c>
      <c r="H18" s="138">
        <v>0</v>
      </c>
      <c r="I18" s="138">
        <v>1</v>
      </c>
      <c r="J18" s="138">
        <v>0</v>
      </c>
      <c r="K18" s="138">
        <v>3</v>
      </c>
      <c r="L18" s="106">
        <v>0</v>
      </c>
      <c r="M18" s="106">
        <v>0</v>
      </c>
      <c r="N18" s="105">
        <f t="shared" si="1"/>
        <v>4</v>
      </c>
      <c r="O18" s="104">
        <f t="shared" si="2"/>
        <v>4.0000999999999998</v>
      </c>
      <c r="P18" s="103">
        <f t="shared" si="3"/>
        <v>10</v>
      </c>
      <c r="Q18" s="144">
        <f t="shared" si="4"/>
        <v>1</v>
      </c>
      <c r="R18" s="141">
        <v>14</v>
      </c>
      <c r="S18" s="141">
        <v>28</v>
      </c>
      <c r="T18" s="141">
        <v>86</v>
      </c>
      <c r="U18" s="141">
        <v>94</v>
      </c>
      <c r="V18" s="141">
        <v>100</v>
      </c>
      <c r="W18" s="141">
        <v>32</v>
      </c>
      <c r="X18" s="141">
        <v>100</v>
      </c>
      <c r="Y18" s="142">
        <v>84</v>
      </c>
      <c r="Z18" s="142">
        <v>99</v>
      </c>
      <c r="AA18" s="108">
        <f t="shared" si="5"/>
        <v>637</v>
      </c>
      <c r="AB18" s="102">
        <f t="shared" si="6"/>
        <v>1</v>
      </c>
      <c r="AC18" s="101">
        <f t="shared" si="7"/>
        <v>10</v>
      </c>
      <c r="AD18" s="144">
        <f t="shared" si="8"/>
        <v>1</v>
      </c>
      <c r="AE18" s="151">
        <v>100</v>
      </c>
      <c r="AF18" s="152">
        <v>59</v>
      </c>
      <c r="AG18" s="152">
        <v>23</v>
      </c>
      <c r="AH18" s="152">
        <v>100</v>
      </c>
      <c r="AI18" s="152">
        <v>100</v>
      </c>
      <c r="AJ18" s="152">
        <v>69</v>
      </c>
      <c r="AK18" s="152">
        <v>100</v>
      </c>
      <c r="AL18" s="153">
        <v>100</v>
      </c>
      <c r="AM18" s="153">
        <v>100</v>
      </c>
      <c r="AN18" s="108">
        <f t="shared" si="9"/>
        <v>751</v>
      </c>
      <c r="AO18" s="102">
        <f t="shared" si="10"/>
        <v>4</v>
      </c>
      <c r="AP18" s="103">
        <f t="shared" si="11"/>
        <v>7</v>
      </c>
      <c r="AQ18" s="372">
        <f t="shared" si="12"/>
        <v>4</v>
      </c>
    </row>
    <row r="19" spans="1:43" s="174" customFormat="1" x14ac:dyDescent="0.2">
      <c r="P19" s="175"/>
      <c r="Q19" s="176" t="s">
        <v>251</v>
      </c>
      <c r="R19" s="907">
        <f>AVERAGE(R9:T18)</f>
        <v>47.5</v>
      </c>
      <c r="S19" s="908"/>
      <c r="T19" s="909"/>
      <c r="U19" s="908">
        <f>AVERAGE(U9:W18)</f>
        <v>48.333333333333336</v>
      </c>
      <c r="V19" s="908"/>
      <c r="W19" s="908"/>
      <c r="X19" s="907">
        <f>AVERAGE(X9:Z18)</f>
        <v>56.56666666666667</v>
      </c>
      <c r="Y19" s="908"/>
      <c r="Z19" s="909"/>
      <c r="AA19" s="184">
        <f>AVERAGE(AA9:AA18)</f>
        <v>457.2</v>
      </c>
    </row>
    <row r="20" spans="1:43" s="173" customFormat="1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70"/>
      <c r="Q20" s="171"/>
      <c r="R20" s="172"/>
      <c r="S20" s="172"/>
      <c r="T20" s="172"/>
      <c r="U20" s="172"/>
      <c r="V20" s="172"/>
      <c r="W20" s="172"/>
      <c r="X20" s="172"/>
      <c r="Y20" s="172"/>
      <c r="Z20" s="172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</row>
    <row r="21" spans="1:43" x14ac:dyDescent="0.2">
      <c r="A21" s="160" t="s">
        <v>235</v>
      </c>
    </row>
    <row r="22" spans="1:43" x14ac:dyDescent="0.2">
      <c r="A22" s="161" t="s">
        <v>245</v>
      </c>
    </row>
    <row r="23" spans="1:43" x14ac:dyDescent="0.2">
      <c r="A23" s="161" t="s">
        <v>246</v>
      </c>
    </row>
    <row r="24" spans="1:43" x14ac:dyDescent="0.2">
      <c r="A24" s="161" t="s">
        <v>247</v>
      </c>
    </row>
    <row r="25" spans="1:43" x14ac:dyDescent="0.2">
      <c r="A25" s="160" t="s">
        <v>236</v>
      </c>
      <c r="B25" s="99"/>
      <c r="C25" s="98"/>
      <c r="D25" s="97"/>
    </row>
    <row r="26" spans="1:43" x14ac:dyDescent="0.2">
      <c r="A26" s="160" t="s">
        <v>237</v>
      </c>
      <c r="B26" s="99"/>
      <c r="C26" s="98"/>
      <c r="D26" s="97"/>
    </row>
    <row r="27" spans="1:43" x14ac:dyDescent="0.2">
      <c r="A27" s="160" t="s">
        <v>238</v>
      </c>
      <c r="B27" s="99"/>
      <c r="C27" s="98"/>
      <c r="D27" s="97"/>
    </row>
    <row r="28" spans="1:43" x14ac:dyDescent="0.2">
      <c r="A28" s="160" t="s">
        <v>239</v>
      </c>
      <c r="B28" s="99"/>
      <c r="C28" s="98"/>
      <c r="D28" s="97"/>
    </row>
    <row r="29" spans="1:43" x14ac:dyDescent="0.2">
      <c r="A29" s="160" t="s">
        <v>240</v>
      </c>
      <c r="B29" s="99"/>
      <c r="C29" s="98"/>
      <c r="D29" s="97"/>
    </row>
    <row r="30" spans="1:43" x14ac:dyDescent="0.2">
      <c r="A30" s="160" t="s">
        <v>241</v>
      </c>
      <c r="B30" s="99"/>
      <c r="C30" s="98"/>
      <c r="D30" s="97"/>
    </row>
    <row r="31" spans="1:43" x14ac:dyDescent="0.2">
      <c r="A31" s="160" t="s">
        <v>242</v>
      </c>
      <c r="B31" s="99"/>
      <c r="C31" s="98"/>
      <c r="D31" s="97"/>
    </row>
    <row r="32" spans="1:43" x14ac:dyDescent="0.2">
      <c r="A32" s="160" t="s">
        <v>243</v>
      </c>
      <c r="B32" s="99"/>
      <c r="C32" s="98"/>
      <c r="D32" s="97"/>
    </row>
    <row r="33" spans="1:4" x14ac:dyDescent="0.2">
      <c r="A33" s="160" t="s">
        <v>244</v>
      </c>
      <c r="B33" s="99"/>
      <c r="C33" s="98"/>
      <c r="D33" s="97"/>
    </row>
    <row r="34" spans="1:4" x14ac:dyDescent="0.2">
      <c r="B34" s="99"/>
      <c r="C34" s="98"/>
      <c r="D34" s="97"/>
    </row>
    <row r="35" spans="1:4" x14ac:dyDescent="0.2">
      <c r="A35" s="86">
        <v>1</v>
      </c>
      <c r="B35" s="109" t="s">
        <v>143</v>
      </c>
      <c r="C35" s="98"/>
      <c r="D35" s="97"/>
    </row>
    <row r="36" spans="1:4" x14ac:dyDescent="0.2">
      <c r="A36" s="86">
        <v>2</v>
      </c>
      <c r="B36" s="268" t="s">
        <v>112</v>
      </c>
      <c r="C36" s="98"/>
      <c r="D36" s="97"/>
    </row>
    <row r="37" spans="1:4" x14ac:dyDescent="0.2">
      <c r="A37" s="86">
        <v>3</v>
      </c>
      <c r="B37" s="269" t="s">
        <v>108</v>
      </c>
      <c r="C37" s="98"/>
      <c r="D37" s="97"/>
    </row>
    <row r="38" spans="1:4" x14ac:dyDescent="0.2">
      <c r="A38" s="86">
        <v>4</v>
      </c>
      <c r="B38" s="270" t="s">
        <v>105</v>
      </c>
      <c r="C38" s="98"/>
      <c r="D38" s="97"/>
    </row>
    <row r="39" spans="1:4" x14ac:dyDescent="0.2">
      <c r="A39" s="86">
        <v>5</v>
      </c>
      <c r="B39" s="270" t="s">
        <v>98</v>
      </c>
      <c r="C39" s="98"/>
      <c r="D39" s="97"/>
    </row>
    <row r="40" spans="1:4" x14ac:dyDescent="0.2">
      <c r="A40" s="86">
        <v>6</v>
      </c>
      <c r="B40" s="270" t="s">
        <v>139</v>
      </c>
      <c r="C40" s="98"/>
      <c r="D40" s="97"/>
    </row>
    <row r="41" spans="1:4" x14ac:dyDescent="0.2">
      <c r="A41" s="86">
        <v>7</v>
      </c>
      <c r="B41" s="270" t="s">
        <v>90</v>
      </c>
      <c r="C41" s="98"/>
      <c r="D41" s="97"/>
    </row>
    <row r="42" spans="1:4" x14ac:dyDescent="0.2">
      <c r="A42" s="86">
        <v>8</v>
      </c>
      <c r="B42" s="270" t="s">
        <v>115</v>
      </c>
      <c r="C42" s="98"/>
      <c r="D42" s="97"/>
    </row>
    <row r="43" spans="1:4" x14ac:dyDescent="0.2">
      <c r="A43" s="86">
        <v>9</v>
      </c>
      <c r="B43" s="270" t="s">
        <v>125</v>
      </c>
      <c r="C43" s="98"/>
      <c r="D43" s="97"/>
    </row>
    <row r="44" spans="1:4" x14ac:dyDescent="0.2">
      <c r="A44" s="86">
        <v>10</v>
      </c>
      <c r="B44" s="270" t="s">
        <v>106</v>
      </c>
      <c r="C44" s="98"/>
      <c r="D44" s="97"/>
    </row>
    <row r="45" spans="1:4" x14ac:dyDescent="0.2">
      <c r="B45" s="99"/>
      <c r="C45" s="98"/>
      <c r="D45" s="97"/>
    </row>
    <row r="46" spans="1:4" x14ac:dyDescent="0.2">
      <c r="B46" s="99"/>
      <c r="C46" s="98"/>
      <c r="D46" s="97"/>
    </row>
    <row r="47" spans="1:4" x14ac:dyDescent="0.2">
      <c r="B47" s="99"/>
      <c r="C47" s="98"/>
      <c r="D47" s="97"/>
    </row>
    <row r="48" spans="1:4" x14ac:dyDescent="0.2">
      <c r="B48" s="99"/>
      <c r="C48" s="98"/>
      <c r="D48" s="97"/>
    </row>
    <row r="49" spans="2:4" x14ac:dyDescent="0.2">
      <c r="B49" s="99"/>
      <c r="C49" s="98"/>
      <c r="D49" s="97"/>
    </row>
    <row r="50" spans="2:4" x14ac:dyDescent="0.2">
      <c r="B50" s="99"/>
      <c r="C50" s="98"/>
      <c r="D50" s="97"/>
    </row>
    <row r="51" spans="2:4" x14ac:dyDescent="0.2">
      <c r="B51" s="99"/>
      <c r="C51" s="98"/>
      <c r="D51" s="97"/>
    </row>
    <row r="52" spans="2:4" x14ac:dyDescent="0.2">
      <c r="B52" s="99"/>
      <c r="C52" s="98"/>
      <c r="D52" s="97"/>
    </row>
    <row r="53" spans="2:4" x14ac:dyDescent="0.2">
      <c r="B53" s="99"/>
      <c r="C53" s="98"/>
      <c r="D53" s="97"/>
    </row>
    <row r="54" spans="2:4" x14ac:dyDescent="0.2">
      <c r="B54" s="99"/>
      <c r="C54" s="98"/>
      <c r="D54" s="97"/>
    </row>
    <row r="55" spans="2:4" x14ac:dyDescent="0.2">
      <c r="B55" s="99"/>
      <c r="C55" s="98"/>
      <c r="D55" s="97"/>
    </row>
    <row r="56" spans="2:4" x14ac:dyDescent="0.2">
      <c r="B56" s="99"/>
      <c r="C56" s="98"/>
      <c r="D56" s="97"/>
    </row>
    <row r="57" spans="2:4" x14ac:dyDescent="0.2">
      <c r="B57" s="99"/>
      <c r="C57" s="98"/>
      <c r="D57" s="97"/>
    </row>
    <row r="58" spans="2:4" x14ac:dyDescent="0.2">
      <c r="B58" s="99"/>
      <c r="C58" s="98"/>
      <c r="D58" s="97"/>
    </row>
    <row r="59" spans="2:4" x14ac:dyDescent="0.2">
      <c r="B59" s="99"/>
      <c r="C59" s="98"/>
      <c r="D59" s="97"/>
    </row>
    <row r="60" spans="2:4" x14ac:dyDescent="0.2">
      <c r="B60" s="99"/>
      <c r="C60" s="98"/>
      <c r="D60" s="97"/>
    </row>
    <row r="61" spans="2:4" x14ac:dyDescent="0.2">
      <c r="B61" s="99"/>
      <c r="C61" s="98"/>
      <c r="D61" s="97"/>
    </row>
    <row r="62" spans="2:4" x14ac:dyDescent="0.2">
      <c r="B62" s="99"/>
      <c r="C62" s="98"/>
      <c r="D62" s="97"/>
    </row>
    <row r="63" spans="2:4" x14ac:dyDescent="0.2">
      <c r="B63" s="99"/>
      <c r="C63" s="98"/>
      <c r="D63" s="97"/>
    </row>
    <row r="89" spans="1:1" x14ac:dyDescent="0.2">
      <c r="A89" s="129" t="s">
        <v>114</v>
      </c>
    </row>
    <row r="90" spans="1:1" x14ac:dyDescent="0.2">
      <c r="A90" s="129" t="s">
        <v>125</v>
      </c>
    </row>
    <row r="91" spans="1:1" x14ac:dyDescent="0.2">
      <c r="A91" s="129" t="s">
        <v>103</v>
      </c>
    </row>
    <row r="92" spans="1:1" x14ac:dyDescent="0.2">
      <c r="A92" s="129" t="s">
        <v>116</v>
      </c>
    </row>
    <row r="93" spans="1:1" x14ac:dyDescent="0.2">
      <c r="A93" s="129" t="s">
        <v>126</v>
      </c>
    </row>
    <row r="94" spans="1:1" x14ac:dyDescent="0.2">
      <c r="A94" s="129" t="s">
        <v>107</v>
      </c>
    </row>
    <row r="95" spans="1:1" x14ac:dyDescent="0.2">
      <c r="A95" s="129" t="s">
        <v>115</v>
      </c>
    </row>
    <row r="96" spans="1:1" x14ac:dyDescent="0.2">
      <c r="A96" s="129" t="s">
        <v>110</v>
      </c>
    </row>
    <row r="97" spans="1:1" x14ac:dyDescent="0.2">
      <c r="A97" s="140" t="s">
        <v>176</v>
      </c>
    </row>
    <row r="98" spans="1:1" x14ac:dyDescent="0.2">
      <c r="A98" s="129" t="s">
        <v>112</v>
      </c>
    </row>
    <row r="99" spans="1:1" x14ac:dyDescent="0.2">
      <c r="A99" s="129" t="s">
        <v>127</v>
      </c>
    </row>
    <row r="100" spans="1:1" x14ac:dyDescent="0.2">
      <c r="A100" s="129" t="s">
        <v>128</v>
      </c>
    </row>
    <row r="101" spans="1:1" x14ac:dyDescent="0.2">
      <c r="A101" s="129" t="s">
        <v>102</v>
      </c>
    </row>
    <row r="102" spans="1:1" x14ac:dyDescent="0.2">
      <c r="A102" s="129" t="s">
        <v>113</v>
      </c>
    </row>
    <row r="103" spans="1:1" x14ac:dyDescent="0.2">
      <c r="A103" s="129" t="s">
        <v>129</v>
      </c>
    </row>
    <row r="104" spans="1:1" x14ac:dyDescent="0.2">
      <c r="A104" s="129" t="s">
        <v>130</v>
      </c>
    </row>
    <row r="105" spans="1:1" x14ac:dyDescent="0.2">
      <c r="A105" s="129" t="s">
        <v>98</v>
      </c>
    </row>
    <row r="106" spans="1:1" x14ac:dyDescent="0.2">
      <c r="A106" s="129" t="s">
        <v>95</v>
      </c>
    </row>
    <row r="107" spans="1:1" x14ac:dyDescent="0.2">
      <c r="A107" s="129" t="s">
        <v>131</v>
      </c>
    </row>
    <row r="108" spans="1:1" x14ac:dyDescent="0.2">
      <c r="A108" s="129" t="s">
        <v>132</v>
      </c>
    </row>
    <row r="109" spans="1:1" x14ac:dyDescent="0.2">
      <c r="A109" s="129" t="s">
        <v>133</v>
      </c>
    </row>
    <row r="110" spans="1:1" x14ac:dyDescent="0.2">
      <c r="A110" s="129" t="s">
        <v>111</v>
      </c>
    </row>
    <row r="111" spans="1:1" x14ac:dyDescent="0.2">
      <c r="A111" s="129" t="s">
        <v>105</v>
      </c>
    </row>
    <row r="112" spans="1:1" x14ac:dyDescent="0.2">
      <c r="A112" s="129" t="s">
        <v>134</v>
      </c>
    </row>
    <row r="113" spans="1:1" x14ac:dyDescent="0.2">
      <c r="A113" s="129" t="s">
        <v>135</v>
      </c>
    </row>
    <row r="114" spans="1:1" x14ac:dyDescent="0.2">
      <c r="A114" s="129" t="s">
        <v>136</v>
      </c>
    </row>
    <row r="115" spans="1:1" x14ac:dyDescent="0.2">
      <c r="A115" s="129" t="s">
        <v>137</v>
      </c>
    </row>
    <row r="116" spans="1:1" x14ac:dyDescent="0.2">
      <c r="A116" s="129" t="s">
        <v>100</v>
      </c>
    </row>
    <row r="117" spans="1:1" x14ac:dyDescent="0.2">
      <c r="A117" s="129" t="s">
        <v>138</v>
      </c>
    </row>
    <row r="118" spans="1:1" x14ac:dyDescent="0.2">
      <c r="A118" s="129" t="s">
        <v>139</v>
      </c>
    </row>
    <row r="119" spans="1:1" x14ac:dyDescent="0.2">
      <c r="A119" s="129" t="s">
        <v>101</v>
      </c>
    </row>
    <row r="120" spans="1:1" x14ac:dyDescent="0.2">
      <c r="A120" s="129" t="s">
        <v>104</v>
      </c>
    </row>
    <row r="121" spans="1:1" x14ac:dyDescent="0.2">
      <c r="A121" s="129" t="s">
        <v>117</v>
      </c>
    </row>
    <row r="122" spans="1:1" x14ac:dyDescent="0.2">
      <c r="A122" s="129" t="s">
        <v>140</v>
      </c>
    </row>
    <row r="123" spans="1:1" x14ac:dyDescent="0.2">
      <c r="A123" s="129" t="s">
        <v>96</v>
      </c>
    </row>
    <row r="124" spans="1:1" x14ac:dyDescent="0.2">
      <c r="A124" s="129" t="s">
        <v>141</v>
      </c>
    </row>
    <row r="125" spans="1:1" x14ac:dyDescent="0.2">
      <c r="A125" s="129" t="s">
        <v>109</v>
      </c>
    </row>
    <row r="126" spans="1:1" x14ac:dyDescent="0.2">
      <c r="A126" s="129" t="s">
        <v>97</v>
      </c>
    </row>
    <row r="127" spans="1:1" x14ac:dyDescent="0.2">
      <c r="A127" s="129" t="s">
        <v>142</v>
      </c>
    </row>
    <row r="128" spans="1:1" x14ac:dyDescent="0.2">
      <c r="A128" s="129" t="s">
        <v>143</v>
      </c>
    </row>
    <row r="129" spans="1:1" x14ac:dyDescent="0.2">
      <c r="A129" s="129" t="s">
        <v>144</v>
      </c>
    </row>
    <row r="130" spans="1:1" x14ac:dyDescent="0.2">
      <c r="A130" s="129" t="s">
        <v>106</v>
      </c>
    </row>
    <row r="131" spans="1:1" x14ac:dyDescent="0.2">
      <c r="A131" s="129" t="s">
        <v>145</v>
      </c>
    </row>
    <row r="132" spans="1:1" x14ac:dyDescent="0.2">
      <c r="A132" s="129" t="s">
        <v>99</v>
      </c>
    </row>
    <row r="133" spans="1:1" x14ac:dyDescent="0.2">
      <c r="A133" s="129" t="s">
        <v>108</v>
      </c>
    </row>
    <row r="134" spans="1:1" x14ac:dyDescent="0.2">
      <c r="A134" s="129" t="s">
        <v>90</v>
      </c>
    </row>
  </sheetData>
  <mergeCells count="4">
    <mergeCell ref="R19:T19"/>
    <mergeCell ref="U19:W19"/>
    <mergeCell ref="X19:Z19"/>
    <mergeCell ref="C7:D7"/>
  </mergeCells>
  <conditionalFormatting sqref="E9:M18">
    <cfRule type="cellIs" priority="29" stopIfTrue="1" operator="equal">
      <formula>"x"</formula>
    </cfRule>
    <cfRule type="cellIs" dxfId="240" priority="33" stopIfTrue="1" operator="greaterThan">
      <formula>5</formula>
    </cfRule>
    <cfRule type="cellIs" dxfId="239" priority="34" stopIfTrue="1" operator="equal">
      <formula>4</formula>
    </cfRule>
    <cfRule type="cellIs" dxfId="238" priority="35" stopIfTrue="1" operator="equal">
      <formula>2</formula>
    </cfRule>
  </conditionalFormatting>
  <conditionalFormatting sqref="AC9:AC18">
    <cfRule type="duplicateValues" dxfId="237" priority="103" stopIfTrue="1"/>
  </conditionalFormatting>
  <conditionalFormatting sqref="C9:C18">
    <cfRule type="duplicateValues" dxfId="236" priority="108" stopIfTrue="1"/>
  </conditionalFormatting>
  <conditionalFormatting sqref="P9:P18">
    <cfRule type="duplicateValues" dxfId="235" priority="109" stopIfTrue="1"/>
  </conditionalFormatting>
  <conditionalFormatting sqref="AP9:AP18">
    <cfRule type="duplicateValues" dxfId="234" priority="110" stopIfTrue="1"/>
  </conditionalFormatting>
  <conditionalFormatting sqref="B9:B18">
    <cfRule type="duplicateValues" dxfId="233" priority="111" stopIfTrue="1"/>
  </conditionalFormatting>
  <conditionalFormatting sqref="N9:N18">
    <cfRule type="top10" dxfId="232" priority="2" stopIfTrue="1" bottom="1" rank="1"/>
    <cfRule type="top10" dxfId="231" priority="9" stopIfTrue="1" rank="1"/>
  </conditionalFormatting>
  <conditionalFormatting sqref="AA9:AA18">
    <cfRule type="top10" dxfId="230" priority="3" stopIfTrue="1" rank="1"/>
    <cfRule type="top10" dxfId="229" priority="8" stopIfTrue="1" bottom="1" rank="1"/>
  </conditionalFormatting>
  <conditionalFormatting sqref="R9:Z18">
    <cfRule type="top10" dxfId="228" priority="7" stopIfTrue="1" bottom="1" rank="1"/>
  </conditionalFormatting>
  <conditionalFormatting sqref="AE9:AM18">
    <cfRule type="top10" dxfId="227" priority="6" stopIfTrue="1" bottom="1" rank="1"/>
  </conditionalFormatting>
  <conditionalFormatting sqref="AN9:AN18">
    <cfRule type="top10" dxfId="226" priority="4" stopIfTrue="1" rank="1"/>
    <cfRule type="top10" dxfId="225" priority="5" stopIfTrue="1" bottom="1" rank="1"/>
  </conditionalFormatting>
  <conditionalFormatting sqref="B35:B44">
    <cfRule type="duplicateValues" dxfId="224" priority="1" stopIfTrue="1"/>
  </conditionalFormatting>
  <dataValidations count="1">
    <dataValidation type="list" allowBlank="1" showInputMessage="1" showErrorMessage="1" sqref="B9:B18 B35:B44">
      <formula1>$A$89:$A$134</formula1>
    </dataValidation>
  </dataValidations>
  <pageMargins left="0.59055118110236227" right="0.39370078740157483" top="0.59055118110236227" bottom="0.39370078740157483" header="0.39370078740157483" footer="0"/>
  <pageSetup paperSize="9" orientation="landscape" r:id="rId1"/>
  <headerFooter>
    <oddHeader>&amp;R&amp;9Page &amp;P of &amp;N</oddHeader>
  </headerFooter>
  <colBreaks count="1" manualBreakCount="1">
    <brk id="17" max="16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18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L1" sqref="L1"/>
    </sheetView>
  </sheetViews>
  <sheetFormatPr defaultRowHeight="12.75" x14ac:dyDescent="0.2"/>
  <cols>
    <col min="1" max="1" width="3.28515625" style="238" customWidth="1"/>
    <col min="2" max="2" width="18.7109375" style="235" bestFit="1" customWidth="1"/>
    <col min="3" max="3" width="7.28515625" style="238" bestFit="1" customWidth="1"/>
    <col min="4" max="4" width="8.28515625" style="238" bestFit="1" customWidth="1"/>
    <col min="5" max="5" width="9.140625" style="238" bestFit="1" customWidth="1"/>
    <col min="6" max="6" width="6.7109375" style="238" bestFit="1" customWidth="1"/>
    <col min="7" max="7" width="5.140625" style="238" bestFit="1" customWidth="1"/>
    <col min="8" max="9" width="5.85546875" style="238" customWidth="1"/>
    <col min="10" max="16384" width="9.140625" style="238"/>
  </cols>
  <sheetData>
    <row r="1" spans="1:11" x14ac:dyDescent="0.2">
      <c r="A1" s="82" t="str">
        <f>UPPER((Kalend!D6)&amp;" - "&amp;(Kalend!C6)&amp;" - "&amp;(Kalend!E6))</f>
        <v>1 - SHK KV 1. ETAPP - ÜKSIK</v>
      </c>
      <c r="H1" s="361" t="str">
        <f>HYPERLINK("#'Kalend'!I1","Kalender")</f>
        <v>Kalender</v>
      </c>
      <c r="I1" s="85"/>
      <c r="J1" s="361" t="str">
        <f>HYPERLINK("#'Reit'!J1","Reiting")</f>
        <v>Reiting</v>
      </c>
      <c r="K1" s="85"/>
    </row>
    <row r="2" spans="1:11" s="85" customFormat="1" x14ac:dyDescent="0.2">
      <c r="A2" s="85" t="str">
        <f>"Toimumisaeg: "&amp;(Kalend!A6)&amp;" kell "&amp;(Kalend!B6)</f>
        <v>Toimumisaeg: P, 15.11.2015 kell 11:00</v>
      </c>
    </row>
    <row r="3" spans="1:11" s="85" customFormat="1" x14ac:dyDescent="0.2">
      <c r="A3" s="85" t="str">
        <f>"Toimumiskoht: "&amp;(Kalend!F6)</f>
        <v>Toimumiskoht: K-Järve petangihall</v>
      </c>
    </row>
    <row r="4" spans="1:11" s="85" customFormat="1" x14ac:dyDescent="0.2">
      <c r="A4" s="85" t="str">
        <f>"Korraldaja: "&amp;(Kalend!G6)</f>
        <v>Korraldaja: K-Järve SHK, Ivar Viljaste</v>
      </c>
    </row>
    <row r="6" spans="1:11" s="17" customFormat="1" x14ac:dyDescent="0.2">
      <c r="A6" s="154" t="s">
        <v>184</v>
      </c>
      <c r="B6" s="154"/>
      <c r="C6" s="155" t="s">
        <v>185</v>
      </c>
      <c r="D6" s="155" t="s">
        <v>186</v>
      </c>
      <c r="E6" s="155" t="s">
        <v>187</v>
      </c>
      <c r="F6" s="155" t="s">
        <v>188</v>
      </c>
      <c r="G6" s="155" t="s">
        <v>85</v>
      </c>
    </row>
    <row r="7" spans="1:11" s="17" customFormat="1" x14ac:dyDescent="0.2">
      <c r="A7" s="154">
        <v>1</v>
      </c>
      <c r="B7" s="405" t="s">
        <v>112</v>
      </c>
      <c r="C7" s="285">
        <v>11</v>
      </c>
      <c r="D7" s="285"/>
      <c r="E7" s="285">
        <v>11</v>
      </c>
      <c r="F7" s="285"/>
      <c r="G7" s="277" t="s">
        <v>225</v>
      </c>
    </row>
    <row r="8" spans="1:11" s="17" customFormat="1" x14ac:dyDescent="0.2">
      <c r="A8" s="154">
        <v>2</v>
      </c>
      <c r="B8" s="405" t="s">
        <v>114</v>
      </c>
      <c r="C8" s="189">
        <v>13</v>
      </c>
      <c r="D8" s="285">
        <v>2</v>
      </c>
      <c r="E8" s="285"/>
      <c r="F8" s="285">
        <v>7</v>
      </c>
      <c r="G8" s="277" t="s">
        <v>224</v>
      </c>
    </row>
    <row r="9" spans="1:11" s="17" customFormat="1" x14ac:dyDescent="0.2">
      <c r="A9" s="154">
        <v>3</v>
      </c>
      <c r="B9" s="405" t="s">
        <v>98</v>
      </c>
      <c r="C9" s="285">
        <v>10</v>
      </c>
      <c r="D9" s="285"/>
      <c r="E9" s="189">
        <v>13</v>
      </c>
      <c r="F9" s="189">
        <v>13</v>
      </c>
      <c r="G9" s="277" t="s">
        <v>223</v>
      </c>
    </row>
    <row r="10" spans="1:11" s="17" customFormat="1" x14ac:dyDescent="0.2">
      <c r="A10" s="154">
        <v>4</v>
      </c>
      <c r="B10" s="276" t="s">
        <v>227</v>
      </c>
      <c r="C10" s="189">
        <v>13</v>
      </c>
      <c r="D10" s="189">
        <v>13</v>
      </c>
      <c r="E10" s="285"/>
      <c r="F10" s="285"/>
      <c r="G10" s="277" t="s">
        <v>222</v>
      </c>
    </row>
    <row r="11" spans="1:11" s="17" customFormat="1" x14ac:dyDescent="0.2">
      <c r="A11" s="156"/>
      <c r="B11" s="253"/>
      <c r="C11" s="191"/>
      <c r="D11" s="191"/>
      <c r="E11" s="191"/>
      <c r="F11" s="157"/>
      <c r="G11" s="192"/>
    </row>
    <row r="12" spans="1:11" s="17" customFormat="1" x14ac:dyDescent="0.2">
      <c r="A12" s="154" t="s">
        <v>189</v>
      </c>
      <c r="B12" s="154"/>
      <c r="C12" s="155" t="s">
        <v>185</v>
      </c>
      <c r="D12" s="155" t="s">
        <v>186</v>
      </c>
      <c r="E12" s="155" t="s">
        <v>187</v>
      </c>
      <c r="F12" s="155" t="s">
        <v>188</v>
      </c>
      <c r="G12" s="155" t="s">
        <v>85</v>
      </c>
    </row>
    <row r="13" spans="1:11" s="17" customFormat="1" x14ac:dyDescent="0.2">
      <c r="A13" s="154">
        <v>1</v>
      </c>
      <c r="B13" s="405" t="s">
        <v>125</v>
      </c>
      <c r="C13" s="189">
        <v>13</v>
      </c>
      <c r="D13" s="285">
        <v>9</v>
      </c>
      <c r="E13" s="285"/>
      <c r="F13" s="285">
        <v>6</v>
      </c>
      <c r="G13" s="277" t="s">
        <v>224</v>
      </c>
    </row>
    <row r="14" spans="1:11" s="17" customFormat="1" x14ac:dyDescent="0.2">
      <c r="A14" s="154">
        <v>2</v>
      </c>
      <c r="B14" s="405" t="s">
        <v>143</v>
      </c>
      <c r="C14" s="189">
        <v>13</v>
      </c>
      <c r="D14" s="189">
        <v>13</v>
      </c>
      <c r="E14" s="285"/>
      <c r="F14" s="285"/>
      <c r="G14" s="277" t="s">
        <v>222</v>
      </c>
    </row>
    <row r="15" spans="1:11" s="17" customFormat="1" x14ac:dyDescent="0.2">
      <c r="A15" s="154">
        <v>3</v>
      </c>
      <c r="B15" s="405" t="s">
        <v>95</v>
      </c>
      <c r="C15" s="285">
        <v>5</v>
      </c>
      <c r="D15" s="285"/>
      <c r="E15" s="189">
        <v>13</v>
      </c>
      <c r="F15" s="189">
        <v>13</v>
      </c>
      <c r="G15" s="277" t="s">
        <v>223</v>
      </c>
    </row>
    <row r="16" spans="1:11" s="17" customFormat="1" x14ac:dyDescent="0.2">
      <c r="A16" s="154">
        <v>4</v>
      </c>
      <c r="B16" s="276" t="s">
        <v>108</v>
      </c>
      <c r="C16" s="285">
        <v>5</v>
      </c>
      <c r="D16" s="285"/>
      <c r="E16" s="285">
        <v>7</v>
      </c>
      <c r="F16" s="285"/>
      <c r="G16" s="277" t="s">
        <v>225</v>
      </c>
    </row>
    <row r="17" spans="1:7" s="17" customFormat="1" x14ac:dyDescent="0.2">
      <c r="A17" s="156"/>
      <c r="B17" s="253"/>
      <c r="C17" s="191"/>
      <c r="D17" s="191"/>
      <c r="E17" s="191"/>
      <c r="F17" s="157"/>
      <c r="G17" s="192"/>
    </row>
    <row r="18" spans="1:7" s="17" customFormat="1" x14ac:dyDescent="0.2">
      <c r="A18" s="154" t="s">
        <v>190</v>
      </c>
      <c r="B18" s="154"/>
      <c r="C18" s="155" t="s">
        <v>185</v>
      </c>
      <c r="D18" s="155" t="s">
        <v>186</v>
      </c>
      <c r="E18" s="155" t="s">
        <v>187</v>
      </c>
      <c r="F18" s="155" t="s">
        <v>188</v>
      </c>
      <c r="G18" s="155" t="s">
        <v>85</v>
      </c>
    </row>
    <row r="19" spans="1:7" s="17" customFormat="1" x14ac:dyDescent="0.2">
      <c r="A19" s="154">
        <v>1</v>
      </c>
      <c r="B19" s="405" t="s">
        <v>90</v>
      </c>
      <c r="C19" s="189">
        <v>13</v>
      </c>
      <c r="D19" s="189">
        <v>13</v>
      </c>
      <c r="E19" s="285"/>
      <c r="F19" s="285"/>
      <c r="G19" s="277" t="s">
        <v>222</v>
      </c>
    </row>
    <row r="20" spans="1:7" s="17" customFormat="1" x14ac:dyDescent="0.2">
      <c r="A20" s="154">
        <v>2</v>
      </c>
      <c r="B20" s="405" t="s">
        <v>113</v>
      </c>
      <c r="C20" s="189">
        <v>13</v>
      </c>
      <c r="D20" s="285">
        <v>12</v>
      </c>
      <c r="E20" s="285"/>
      <c r="F20" s="189">
        <v>13</v>
      </c>
      <c r="G20" s="277" t="s">
        <v>223</v>
      </c>
    </row>
    <row r="21" spans="1:7" s="17" customFormat="1" x14ac:dyDescent="0.2">
      <c r="A21" s="154">
        <v>3</v>
      </c>
      <c r="B21" s="405" t="s">
        <v>104</v>
      </c>
      <c r="C21" s="285">
        <v>3</v>
      </c>
      <c r="D21" s="285"/>
      <c r="E21" s="189">
        <v>13</v>
      </c>
      <c r="F21" s="285">
        <v>0</v>
      </c>
      <c r="G21" s="277" t="s">
        <v>224</v>
      </c>
    </row>
    <row r="22" spans="1:7" s="17" customFormat="1" x14ac:dyDescent="0.2">
      <c r="A22" s="154">
        <v>4</v>
      </c>
      <c r="B22" s="405"/>
      <c r="C22" s="285">
        <v>0</v>
      </c>
      <c r="D22" s="285"/>
      <c r="E22" s="285">
        <v>0</v>
      </c>
      <c r="F22" s="285"/>
      <c r="G22" s="277"/>
    </row>
    <row r="23" spans="1:7" s="17" customFormat="1" x14ac:dyDescent="0.2"/>
    <row r="24" spans="1:7" s="17" customFormat="1" x14ac:dyDescent="0.2">
      <c r="A24" s="154" t="s">
        <v>191</v>
      </c>
      <c r="B24" s="154"/>
      <c r="C24" s="155" t="s">
        <v>185</v>
      </c>
      <c r="D24" s="155" t="s">
        <v>186</v>
      </c>
      <c r="E24" s="155" t="s">
        <v>187</v>
      </c>
      <c r="F24" s="155" t="s">
        <v>188</v>
      </c>
      <c r="G24" s="155" t="s">
        <v>85</v>
      </c>
    </row>
    <row r="25" spans="1:7" s="17" customFormat="1" x14ac:dyDescent="0.2">
      <c r="A25" s="154">
        <v>1</v>
      </c>
      <c r="B25" s="405" t="s">
        <v>137</v>
      </c>
      <c r="C25" s="189">
        <v>13</v>
      </c>
      <c r="D25" s="189">
        <v>13</v>
      </c>
      <c r="E25" s="285"/>
      <c r="F25" s="285"/>
      <c r="G25" s="277" t="s">
        <v>222</v>
      </c>
    </row>
    <row r="26" spans="1:7" s="17" customFormat="1" x14ac:dyDescent="0.2">
      <c r="A26" s="154">
        <v>2</v>
      </c>
      <c r="B26" s="405" t="s">
        <v>115</v>
      </c>
      <c r="C26" s="285">
        <v>10</v>
      </c>
      <c r="D26" s="285"/>
      <c r="E26" s="189">
        <v>13</v>
      </c>
      <c r="F26" s="189">
        <v>13</v>
      </c>
      <c r="G26" s="277" t="s">
        <v>223</v>
      </c>
    </row>
    <row r="27" spans="1:7" s="17" customFormat="1" x14ac:dyDescent="0.2">
      <c r="A27" s="154">
        <v>3</v>
      </c>
      <c r="B27" s="405" t="s">
        <v>106</v>
      </c>
      <c r="C27" s="189">
        <v>13</v>
      </c>
      <c r="D27" s="285">
        <v>9</v>
      </c>
      <c r="E27" s="285"/>
      <c r="F27" s="285">
        <v>12</v>
      </c>
      <c r="G27" s="277" t="s">
        <v>224</v>
      </c>
    </row>
    <row r="28" spans="1:7" s="17" customFormat="1" x14ac:dyDescent="0.2">
      <c r="A28" s="154">
        <v>4</v>
      </c>
      <c r="B28" s="276" t="s">
        <v>105</v>
      </c>
      <c r="C28" s="285">
        <v>2</v>
      </c>
      <c r="D28" s="285"/>
      <c r="E28" s="285">
        <v>5</v>
      </c>
      <c r="F28" s="285"/>
      <c r="G28" s="277" t="s">
        <v>225</v>
      </c>
    </row>
    <row r="29" spans="1:7" s="17" customFormat="1" x14ac:dyDescent="0.2"/>
    <row r="30" spans="1:7" s="421" customFormat="1" x14ac:dyDescent="0.2">
      <c r="A30" s="420" t="s">
        <v>192</v>
      </c>
    </row>
    <row r="31" spans="1:7" s="421" customFormat="1" x14ac:dyDescent="0.2">
      <c r="A31" s="420"/>
    </row>
    <row r="32" spans="1:7" s="421" customFormat="1" x14ac:dyDescent="0.2">
      <c r="A32" s="422" t="s">
        <v>198</v>
      </c>
      <c r="B32" s="421" t="s">
        <v>90</v>
      </c>
      <c r="C32" s="423">
        <v>13</v>
      </c>
    </row>
    <row r="33" spans="1:11" s="421" customFormat="1" x14ac:dyDescent="0.2">
      <c r="A33" s="424"/>
      <c r="B33" s="425"/>
      <c r="C33" s="426" t="s">
        <v>90</v>
      </c>
      <c r="D33" s="427"/>
      <c r="F33" s="423">
        <v>13</v>
      </c>
    </row>
    <row r="34" spans="1:11" s="421" customFormat="1" x14ac:dyDescent="0.2">
      <c r="A34" s="422" t="s">
        <v>208</v>
      </c>
      <c r="B34" s="428" t="s">
        <v>115</v>
      </c>
      <c r="C34" s="429">
        <v>11</v>
      </c>
      <c r="E34" s="430"/>
    </row>
    <row r="35" spans="1:11" s="421" customFormat="1" x14ac:dyDescent="0.2">
      <c r="A35" s="424"/>
      <c r="D35" s="431"/>
      <c r="E35" s="432"/>
      <c r="F35" s="421" t="s">
        <v>90</v>
      </c>
      <c r="I35" s="423">
        <v>13</v>
      </c>
    </row>
    <row r="36" spans="1:11" s="421" customFormat="1" x14ac:dyDescent="0.2">
      <c r="A36" s="422" t="s">
        <v>193</v>
      </c>
      <c r="B36" s="433" t="s">
        <v>143</v>
      </c>
      <c r="C36" s="434">
        <v>13</v>
      </c>
      <c r="E36" s="432"/>
      <c r="F36" s="425"/>
      <c r="G36" s="425"/>
      <c r="H36" s="430"/>
    </row>
    <row r="37" spans="1:11" s="421" customFormat="1" x14ac:dyDescent="0.2">
      <c r="A37" s="424"/>
      <c r="B37" s="425"/>
      <c r="C37" s="435" t="s">
        <v>143</v>
      </c>
      <c r="E37" s="436"/>
      <c r="F37" s="437">
        <v>10</v>
      </c>
      <c r="G37" s="431"/>
      <c r="H37" s="432"/>
    </row>
    <row r="38" spans="1:11" s="421" customFormat="1" x14ac:dyDescent="0.2">
      <c r="A38" s="422" t="s">
        <v>206</v>
      </c>
      <c r="B38" s="428" t="s">
        <v>98</v>
      </c>
      <c r="C38" s="438">
        <v>8</v>
      </c>
      <c r="D38" s="425"/>
      <c r="F38" s="431"/>
      <c r="G38" s="431"/>
      <c r="H38" s="432"/>
    </row>
    <row r="39" spans="1:11" s="421" customFormat="1" ht="13.5" thickBot="1" x14ac:dyDescent="0.25">
      <c r="A39" s="424"/>
      <c r="F39" s="431"/>
      <c r="G39" s="431"/>
      <c r="H39" s="432"/>
      <c r="J39" s="421" t="s">
        <v>90</v>
      </c>
    </row>
    <row r="40" spans="1:11" s="421" customFormat="1" x14ac:dyDescent="0.2">
      <c r="A40" s="422" t="s">
        <v>196</v>
      </c>
      <c r="B40" s="421" t="s">
        <v>137</v>
      </c>
      <c r="C40" s="439"/>
      <c r="F40" s="431"/>
      <c r="G40" s="431"/>
      <c r="H40" s="432"/>
      <c r="I40" s="440"/>
      <c r="J40" s="441" t="s">
        <v>195</v>
      </c>
      <c r="K40" s="442"/>
    </row>
    <row r="41" spans="1:11" s="421" customFormat="1" x14ac:dyDescent="0.2">
      <c r="A41" s="424"/>
      <c r="B41" s="425"/>
      <c r="C41" s="426" t="s">
        <v>95</v>
      </c>
      <c r="D41" s="427"/>
      <c r="F41" s="434">
        <v>13</v>
      </c>
      <c r="G41" s="431"/>
      <c r="H41" s="432"/>
    </row>
    <row r="42" spans="1:11" s="421" customFormat="1" ht="13.5" thickBot="1" x14ac:dyDescent="0.25">
      <c r="A42" s="422" t="s">
        <v>205</v>
      </c>
      <c r="B42" s="427" t="s">
        <v>95</v>
      </c>
      <c r="C42" s="443">
        <v>13</v>
      </c>
      <c r="E42" s="430"/>
      <c r="F42" s="431"/>
      <c r="G42" s="431"/>
      <c r="H42" s="432"/>
      <c r="J42" s="444" t="s">
        <v>95</v>
      </c>
      <c r="K42" s="444"/>
    </row>
    <row r="43" spans="1:11" s="421" customFormat="1" x14ac:dyDescent="0.2">
      <c r="A43" s="424"/>
      <c r="D43" s="431"/>
      <c r="E43" s="432"/>
      <c r="F43" s="427" t="s">
        <v>95</v>
      </c>
      <c r="G43" s="427"/>
      <c r="H43" s="436"/>
      <c r="I43" s="439">
        <v>3</v>
      </c>
      <c r="J43" s="441" t="s">
        <v>197</v>
      </c>
    </row>
    <row r="44" spans="1:11" s="421" customFormat="1" x14ac:dyDescent="0.2">
      <c r="A44" s="422" t="s">
        <v>194</v>
      </c>
      <c r="B44" s="421" t="s">
        <v>227</v>
      </c>
      <c r="C44" s="437">
        <v>6</v>
      </c>
      <c r="E44" s="432"/>
    </row>
    <row r="45" spans="1:11" s="421" customFormat="1" x14ac:dyDescent="0.2">
      <c r="A45" s="424"/>
      <c r="B45" s="425"/>
      <c r="C45" s="435" t="s">
        <v>113</v>
      </c>
      <c r="E45" s="436"/>
      <c r="F45" s="439">
        <v>5</v>
      </c>
    </row>
    <row r="46" spans="1:11" s="421" customFormat="1" x14ac:dyDescent="0.2">
      <c r="A46" s="422" t="s">
        <v>210</v>
      </c>
      <c r="B46" s="427" t="s">
        <v>113</v>
      </c>
      <c r="C46" s="445">
        <v>13</v>
      </c>
      <c r="D46" s="425"/>
    </row>
    <row r="47" spans="1:11" s="421" customFormat="1" x14ac:dyDescent="0.2">
      <c r="F47" s="421" t="s">
        <v>143</v>
      </c>
      <c r="I47" s="437">
        <v>12</v>
      </c>
      <c r="J47" s="431"/>
      <c r="K47" s="431"/>
    </row>
    <row r="48" spans="1:11" s="421" customFormat="1" ht="13.5" thickBot="1" x14ac:dyDescent="0.25">
      <c r="F48" s="425"/>
      <c r="G48" s="425"/>
      <c r="H48" s="430"/>
      <c r="I48" s="444"/>
      <c r="J48" s="444" t="s">
        <v>113</v>
      </c>
      <c r="K48" s="444"/>
    </row>
    <row r="49" spans="3:11" s="421" customFormat="1" x14ac:dyDescent="0.2">
      <c r="F49" s="427" t="s">
        <v>113</v>
      </c>
      <c r="G49" s="427"/>
      <c r="H49" s="436"/>
      <c r="I49" s="423">
        <v>13</v>
      </c>
      <c r="J49" s="446" t="s">
        <v>199</v>
      </c>
      <c r="K49" s="431"/>
    </row>
    <row r="50" spans="3:11" s="421" customFormat="1" x14ac:dyDescent="0.2">
      <c r="J50" s="431"/>
      <c r="K50" s="431"/>
    </row>
    <row r="51" spans="3:11" s="421" customFormat="1" ht="13.5" thickBot="1" x14ac:dyDescent="0.25">
      <c r="G51" s="431"/>
      <c r="H51" s="431"/>
      <c r="J51" s="444" t="s">
        <v>143</v>
      </c>
      <c r="K51" s="444"/>
    </row>
    <row r="52" spans="3:11" s="421" customFormat="1" x14ac:dyDescent="0.2">
      <c r="C52" s="421" t="s">
        <v>115</v>
      </c>
      <c r="F52" s="423">
        <v>13</v>
      </c>
      <c r="J52" s="447" t="s">
        <v>200</v>
      </c>
    </row>
    <row r="53" spans="3:11" s="421" customFormat="1" x14ac:dyDescent="0.2">
      <c r="C53" s="425"/>
      <c r="D53" s="425"/>
      <c r="E53" s="430"/>
      <c r="F53" s="426" t="s">
        <v>115</v>
      </c>
      <c r="G53" s="427"/>
      <c r="H53" s="427"/>
      <c r="I53" s="423">
        <v>13</v>
      </c>
    </row>
    <row r="54" spans="3:11" s="421" customFormat="1" x14ac:dyDescent="0.2">
      <c r="C54" s="427" t="s">
        <v>98</v>
      </c>
      <c r="D54" s="427"/>
      <c r="E54" s="436"/>
      <c r="F54" s="429" t="s">
        <v>221</v>
      </c>
      <c r="H54" s="432"/>
    </row>
    <row r="55" spans="3:11" s="421" customFormat="1" ht="13.5" thickBot="1" x14ac:dyDescent="0.25">
      <c r="F55" s="431"/>
      <c r="H55" s="432"/>
      <c r="J55" s="421" t="s">
        <v>115</v>
      </c>
    </row>
    <row r="56" spans="3:11" s="421" customFormat="1" x14ac:dyDescent="0.2">
      <c r="C56" s="421" t="s">
        <v>137</v>
      </c>
      <c r="F56" s="437">
        <v>9</v>
      </c>
      <c r="H56" s="432"/>
      <c r="I56" s="440"/>
      <c r="J56" s="441" t="s">
        <v>201</v>
      </c>
      <c r="K56" s="442"/>
    </row>
    <row r="57" spans="3:11" s="421" customFormat="1" x14ac:dyDescent="0.2">
      <c r="C57" s="425"/>
      <c r="D57" s="425"/>
      <c r="E57" s="430"/>
      <c r="F57" s="435" t="s">
        <v>227</v>
      </c>
      <c r="H57" s="436"/>
      <c r="I57" s="437">
        <v>9</v>
      </c>
    </row>
    <row r="58" spans="3:11" s="421" customFormat="1" ht="13.5" thickBot="1" x14ac:dyDescent="0.25">
      <c r="C58" s="427" t="s">
        <v>227</v>
      </c>
      <c r="D58" s="427"/>
      <c r="E58" s="436"/>
      <c r="F58" s="445">
        <v>13</v>
      </c>
      <c r="G58" s="425"/>
      <c r="I58" s="431"/>
      <c r="J58" s="431" t="s">
        <v>227</v>
      </c>
      <c r="K58" s="444"/>
    </row>
    <row r="59" spans="3:11" s="421" customFormat="1" x14ac:dyDescent="0.2">
      <c r="I59" s="431"/>
      <c r="J59" s="441" t="s">
        <v>202</v>
      </c>
      <c r="K59" s="431"/>
    </row>
    <row r="60" spans="3:11" s="421" customFormat="1" x14ac:dyDescent="0.2">
      <c r="F60" s="421" t="s">
        <v>98</v>
      </c>
      <c r="I60" s="437" t="s">
        <v>221</v>
      </c>
      <c r="J60" s="431"/>
      <c r="K60" s="431"/>
    </row>
    <row r="61" spans="3:11" s="421" customFormat="1" ht="13.5" thickBot="1" x14ac:dyDescent="0.25">
      <c r="F61" s="425"/>
      <c r="G61" s="425"/>
      <c r="H61" s="430"/>
      <c r="I61" s="444"/>
      <c r="J61" s="444" t="s">
        <v>137</v>
      </c>
      <c r="K61" s="444"/>
    </row>
    <row r="62" spans="3:11" s="421" customFormat="1" x14ac:dyDescent="0.2">
      <c r="F62" s="427" t="s">
        <v>137</v>
      </c>
      <c r="G62" s="427"/>
      <c r="H62" s="436"/>
      <c r="I62" s="423">
        <v>13</v>
      </c>
      <c r="J62" s="446" t="s">
        <v>203</v>
      </c>
      <c r="K62" s="431"/>
    </row>
    <row r="63" spans="3:11" s="421" customFormat="1" x14ac:dyDescent="0.2">
      <c r="J63" s="431"/>
      <c r="K63" s="431"/>
    </row>
    <row r="64" spans="3:11" s="421" customFormat="1" ht="13.5" thickBot="1" x14ac:dyDescent="0.25">
      <c r="G64" s="431"/>
      <c r="H64" s="431"/>
      <c r="J64" s="444" t="s">
        <v>98</v>
      </c>
      <c r="K64" s="444"/>
    </row>
    <row r="65" spans="1:11" s="421" customFormat="1" x14ac:dyDescent="0.2">
      <c r="G65" s="431"/>
      <c r="H65" s="431"/>
      <c r="J65" s="447" t="s">
        <v>204</v>
      </c>
    </row>
    <row r="66" spans="1:11" s="421" customFormat="1" x14ac:dyDescent="0.2"/>
    <row r="67" spans="1:11" s="421" customFormat="1" x14ac:dyDescent="0.2">
      <c r="A67" s="420" t="s">
        <v>232</v>
      </c>
    </row>
    <row r="68" spans="1:11" s="421" customFormat="1" x14ac:dyDescent="0.2">
      <c r="A68" s="420"/>
    </row>
    <row r="69" spans="1:11" s="421" customFormat="1" x14ac:dyDescent="0.2">
      <c r="A69" s="422" t="s">
        <v>229</v>
      </c>
      <c r="B69" s="421" t="s">
        <v>108</v>
      </c>
      <c r="C69" s="439">
        <v>13</v>
      </c>
    </row>
    <row r="70" spans="1:11" s="421" customFormat="1" x14ac:dyDescent="0.2">
      <c r="A70" s="424"/>
      <c r="B70" s="425"/>
      <c r="C70" s="426" t="s">
        <v>108</v>
      </c>
      <c r="D70" s="427"/>
      <c r="F70" s="439">
        <v>13</v>
      </c>
    </row>
    <row r="71" spans="1:11" s="421" customFormat="1" x14ac:dyDescent="0.2">
      <c r="A71" s="422" t="s">
        <v>219</v>
      </c>
      <c r="B71" s="428" t="s">
        <v>106</v>
      </c>
      <c r="C71" s="429">
        <v>8</v>
      </c>
      <c r="E71" s="430"/>
    </row>
    <row r="72" spans="1:11" s="421" customFormat="1" x14ac:dyDescent="0.2">
      <c r="A72" s="424"/>
      <c r="D72" s="431"/>
      <c r="E72" s="432"/>
      <c r="F72" s="421" t="s">
        <v>108</v>
      </c>
      <c r="I72" s="439">
        <v>6</v>
      </c>
    </row>
    <row r="73" spans="1:11" s="421" customFormat="1" x14ac:dyDescent="0.2">
      <c r="A73" s="422" t="s">
        <v>217</v>
      </c>
      <c r="B73" s="433" t="s">
        <v>125</v>
      </c>
      <c r="C73" s="437">
        <v>13</v>
      </c>
      <c r="E73" s="432"/>
      <c r="F73" s="425"/>
      <c r="G73" s="425"/>
      <c r="H73" s="430"/>
    </row>
    <row r="74" spans="1:11" s="421" customFormat="1" x14ac:dyDescent="0.2">
      <c r="A74" s="424"/>
      <c r="B74" s="425"/>
      <c r="C74" s="435" t="s">
        <v>125</v>
      </c>
      <c r="E74" s="436"/>
      <c r="F74" s="437">
        <v>8</v>
      </c>
      <c r="G74" s="431"/>
      <c r="H74" s="432"/>
    </row>
    <row r="75" spans="1:11" s="421" customFormat="1" x14ac:dyDescent="0.2">
      <c r="A75" s="422" t="s">
        <v>230</v>
      </c>
      <c r="B75" s="428" t="s">
        <v>105</v>
      </c>
      <c r="C75" s="438">
        <v>11</v>
      </c>
      <c r="D75" s="425"/>
      <c r="F75" s="431"/>
      <c r="G75" s="431"/>
      <c r="H75" s="432"/>
    </row>
    <row r="76" spans="1:11" s="421" customFormat="1" ht="13.5" thickBot="1" x14ac:dyDescent="0.25">
      <c r="A76" s="424"/>
      <c r="F76" s="431"/>
      <c r="G76" s="431"/>
      <c r="H76" s="432"/>
      <c r="J76" s="421" t="s">
        <v>112</v>
      </c>
    </row>
    <row r="77" spans="1:11" s="421" customFormat="1" x14ac:dyDescent="0.2">
      <c r="A77" s="422" t="s">
        <v>226</v>
      </c>
      <c r="B77" s="421" t="s">
        <v>112</v>
      </c>
      <c r="C77" s="439">
        <v>13</v>
      </c>
      <c r="F77" s="431"/>
      <c r="G77" s="431"/>
      <c r="H77" s="432"/>
      <c r="I77" s="440"/>
      <c r="J77" s="441" t="s">
        <v>207</v>
      </c>
      <c r="K77" s="442"/>
    </row>
    <row r="78" spans="1:11" s="421" customFormat="1" x14ac:dyDescent="0.2">
      <c r="A78" s="424"/>
      <c r="B78" s="425"/>
      <c r="C78" s="426" t="s">
        <v>112</v>
      </c>
      <c r="D78" s="427"/>
      <c r="F78" s="437" t="s">
        <v>228</v>
      </c>
      <c r="G78" s="431"/>
      <c r="H78" s="432"/>
    </row>
    <row r="79" spans="1:11" s="421" customFormat="1" ht="13.5" thickBot="1" x14ac:dyDescent="0.25">
      <c r="A79" s="422" t="s">
        <v>220</v>
      </c>
      <c r="B79" s="427" t="s">
        <v>104</v>
      </c>
      <c r="C79" s="429" t="s">
        <v>221</v>
      </c>
      <c r="E79" s="430"/>
      <c r="F79" s="431"/>
      <c r="G79" s="431"/>
      <c r="H79" s="432"/>
      <c r="J79" s="444" t="s">
        <v>108</v>
      </c>
      <c r="K79" s="444"/>
    </row>
    <row r="80" spans="1:11" s="421" customFormat="1" x14ac:dyDescent="0.2">
      <c r="A80" s="424"/>
      <c r="D80" s="431"/>
      <c r="E80" s="432"/>
      <c r="F80" s="427" t="s">
        <v>112</v>
      </c>
      <c r="G80" s="427"/>
      <c r="H80" s="436"/>
      <c r="I80" s="439">
        <v>13</v>
      </c>
      <c r="J80" s="441" t="s">
        <v>209</v>
      </c>
    </row>
    <row r="81" spans="1:11" s="421" customFormat="1" x14ac:dyDescent="0.2">
      <c r="A81" s="422" t="s">
        <v>218</v>
      </c>
      <c r="B81" s="421" t="s">
        <v>114</v>
      </c>
      <c r="C81" s="437" t="s">
        <v>228</v>
      </c>
      <c r="E81" s="432"/>
    </row>
    <row r="82" spans="1:11" s="421" customFormat="1" x14ac:dyDescent="0.2">
      <c r="A82" s="424"/>
      <c r="B82" s="425"/>
      <c r="C82" s="435" t="s">
        <v>114</v>
      </c>
      <c r="E82" s="436"/>
      <c r="F82" s="439" t="s">
        <v>221</v>
      </c>
    </row>
    <row r="83" spans="1:11" s="421" customFormat="1" x14ac:dyDescent="0.2">
      <c r="A83" s="422" t="s">
        <v>231</v>
      </c>
      <c r="B83" s="427" t="s">
        <v>221</v>
      </c>
      <c r="C83" s="438" t="s">
        <v>221</v>
      </c>
      <c r="D83" s="425"/>
    </row>
    <row r="84" spans="1:11" s="421" customFormat="1" x14ac:dyDescent="0.2">
      <c r="F84" s="421" t="s">
        <v>125</v>
      </c>
      <c r="I84" s="437" t="s">
        <v>228</v>
      </c>
      <c r="J84" s="431"/>
      <c r="K84" s="431"/>
    </row>
    <row r="85" spans="1:11" s="421" customFormat="1" ht="13.5" thickBot="1" x14ac:dyDescent="0.25">
      <c r="F85" s="425"/>
      <c r="G85" s="425"/>
      <c r="H85" s="430"/>
      <c r="I85" s="444"/>
      <c r="J85" s="444" t="s">
        <v>125</v>
      </c>
      <c r="K85" s="444"/>
    </row>
    <row r="86" spans="1:11" s="421" customFormat="1" x14ac:dyDescent="0.2">
      <c r="F86" s="427" t="s">
        <v>114</v>
      </c>
      <c r="G86" s="427"/>
      <c r="H86" s="436"/>
      <c r="I86" s="439" t="s">
        <v>221</v>
      </c>
      <c r="J86" s="446" t="s">
        <v>211</v>
      </c>
      <c r="K86" s="431"/>
    </row>
    <row r="87" spans="1:11" s="421" customFormat="1" x14ac:dyDescent="0.2">
      <c r="J87" s="431"/>
      <c r="K87" s="431"/>
    </row>
    <row r="88" spans="1:11" s="421" customFormat="1" ht="13.5" thickBot="1" x14ac:dyDescent="0.25">
      <c r="G88" s="431"/>
      <c r="H88" s="431"/>
      <c r="J88" s="444" t="s">
        <v>114</v>
      </c>
      <c r="K88" s="444"/>
    </row>
    <row r="89" spans="1:11" s="421" customFormat="1" x14ac:dyDescent="0.2">
      <c r="C89" s="421" t="s">
        <v>106</v>
      </c>
      <c r="F89" s="439">
        <v>0</v>
      </c>
      <c r="J89" s="447" t="s">
        <v>212</v>
      </c>
    </row>
    <row r="90" spans="1:11" s="421" customFormat="1" x14ac:dyDescent="0.2">
      <c r="C90" s="425"/>
      <c r="D90" s="425"/>
      <c r="E90" s="430"/>
      <c r="F90" s="426" t="s">
        <v>105</v>
      </c>
      <c r="G90" s="427"/>
      <c r="H90" s="427"/>
      <c r="I90" s="439" t="s">
        <v>228</v>
      </c>
    </row>
    <row r="91" spans="1:11" s="421" customFormat="1" x14ac:dyDescent="0.2">
      <c r="C91" s="427" t="s">
        <v>105</v>
      </c>
      <c r="D91" s="427"/>
      <c r="E91" s="436"/>
      <c r="F91" s="429">
        <v>13</v>
      </c>
      <c r="H91" s="432"/>
    </row>
    <row r="92" spans="1:11" s="421" customFormat="1" ht="13.5" thickBot="1" x14ac:dyDescent="0.25">
      <c r="F92" s="431"/>
      <c r="H92" s="432"/>
      <c r="J92" s="421" t="s">
        <v>105</v>
      </c>
    </row>
    <row r="93" spans="1:11" s="421" customFormat="1" x14ac:dyDescent="0.2">
      <c r="C93" s="421" t="s">
        <v>104</v>
      </c>
      <c r="F93" s="437"/>
      <c r="H93" s="432"/>
      <c r="I93" s="440"/>
      <c r="J93" s="441" t="s">
        <v>213</v>
      </c>
      <c r="K93" s="442"/>
    </row>
    <row r="94" spans="1:11" s="421" customFormat="1" x14ac:dyDescent="0.2">
      <c r="C94" s="425"/>
      <c r="D94" s="425"/>
      <c r="E94" s="430"/>
      <c r="F94" s="435" t="s">
        <v>104</v>
      </c>
      <c r="H94" s="436"/>
      <c r="I94" s="437" t="s">
        <v>221</v>
      </c>
    </row>
    <row r="95" spans="1:11" s="421" customFormat="1" ht="13.5" thickBot="1" x14ac:dyDescent="0.25">
      <c r="C95" s="427" t="s">
        <v>221</v>
      </c>
      <c r="D95" s="427"/>
      <c r="E95" s="436"/>
      <c r="F95" s="438"/>
      <c r="G95" s="425"/>
      <c r="I95" s="431"/>
      <c r="J95" s="431" t="s">
        <v>104</v>
      </c>
      <c r="K95" s="444"/>
    </row>
    <row r="96" spans="1:11" s="421" customFormat="1" x14ac:dyDescent="0.2">
      <c r="I96" s="431"/>
      <c r="J96" s="441" t="s">
        <v>214</v>
      </c>
      <c r="K96" s="431"/>
    </row>
    <row r="97" spans="1:11" s="421" customFormat="1" x14ac:dyDescent="0.2">
      <c r="F97" s="421" t="s">
        <v>106</v>
      </c>
      <c r="I97" s="437"/>
      <c r="J97" s="431"/>
      <c r="K97" s="431"/>
    </row>
    <row r="98" spans="1:11" s="421" customFormat="1" ht="13.5" thickBot="1" x14ac:dyDescent="0.25">
      <c r="F98" s="425"/>
      <c r="G98" s="425"/>
      <c r="H98" s="430"/>
      <c r="I98" s="444"/>
      <c r="J98" s="444" t="s">
        <v>106</v>
      </c>
      <c r="K98" s="444"/>
    </row>
    <row r="99" spans="1:11" s="421" customFormat="1" x14ac:dyDescent="0.2">
      <c r="F99" s="427" t="s">
        <v>221</v>
      </c>
      <c r="G99" s="427"/>
      <c r="H99" s="436"/>
      <c r="I99" s="439"/>
      <c r="J99" s="446" t="s">
        <v>215</v>
      </c>
      <c r="K99" s="431"/>
    </row>
    <row r="100" spans="1:11" s="421" customFormat="1" x14ac:dyDescent="0.2">
      <c r="J100" s="431"/>
      <c r="K100" s="431"/>
    </row>
    <row r="101" spans="1:11" s="421" customFormat="1" ht="13.5" thickBot="1" x14ac:dyDescent="0.25">
      <c r="G101" s="431"/>
      <c r="H101" s="431"/>
      <c r="J101" s="444"/>
      <c r="K101" s="444"/>
    </row>
    <row r="102" spans="1:11" s="421" customFormat="1" x14ac:dyDescent="0.2">
      <c r="G102" s="431"/>
      <c r="H102" s="431"/>
      <c r="J102" s="447" t="s">
        <v>216</v>
      </c>
    </row>
    <row r="103" spans="1:11" s="421" customFormat="1" x14ac:dyDescent="0.2">
      <c r="F103" s="17"/>
      <c r="G103" s="17"/>
      <c r="H103" s="17"/>
      <c r="I103" s="17"/>
      <c r="J103" s="17"/>
      <c r="K103" s="17"/>
    </row>
    <row r="104" spans="1:11" s="17" customFormat="1" x14ac:dyDescent="0.2">
      <c r="A104" s="154">
        <v>1</v>
      </c>
      <c r="B104" s="154" t="s">
        <v>90</v>
      </c>
    </row>
    <row r="105" spans="1:11" s="17" customFormat="1" x14ac:dyDescent="0.2">
      <c r="A105" s="154">
        <v>2</v>
      </c>
      <c r="B105" s="252" t="s">
        <v>95</v>
      </c>
    </row>
    <row r="106" spans="1:11" s="17" customFormat="1" x14ac:dyDescent="0.2">
      <c r="A106" s="154">
        <v>3</v>
      </c>
      <c r="B106" s="252" t="s">
        <v>113</v>
      </c>
    </row>
    <row r="107" spans="1:11" s="17" customFormat="1" x14ac:dyDescent="0.2">
      <c r="A107" s="154">
        <v>4</v>
      </c>
      <c r="B107" s="252" t="s">
        <v>143</v>
      </c>
    </row>
    <row r="108" spans="1:11" s="17" customFormat="1" x14ac:dyDescent="0.2">
      <c r="A108" s="154">
        <v>5</v>
      </c>
      <c r="B108" s="252" t="s">
        <v>115</v>
      </c>
    </row>
    <row r="109" spans="1:11" s="17" customFormat="1" x14ac:dyDescent="0.2">
      <c r="A109" s="154">
        <v>6</v>
      </c>
      <c r="B109" s="252" t="s">
        <v>227</v>
      </c>
    </row>
    <row r="110" spans="1:11" s="17" customFormat="1" x14ac:dyDescent="0.2">
      <c r="A110" s="154">
        <v>7</v>
      </c>
      <c r="B110" s="252" t="s">
        <v>137</v>
      </c>
    </row>
    <row r="111" spans="1:11" s="17" customFormat="1" x14ac:dyDescent="0.2">
      <c r="A111" s="154">
        <v>8</v>
      </c>
      <c r="B111" s="252" t="s">
        <v>98</v>
      </c>
    </row>
    <row r="112" spans="1:11" s="17" customFormat="1" x14ac:dyDescent="0.2">
      <c r="A112" s="154">
        <v>9</v>
      </c>
      <c r="B112" s="252" t="s">
        <v>112</v>
      </c>
    </row>
    <row r="113" spans="1:2" s="17" customFormat="1" x14ac:dyDescent="0.2">
      <c r="A113" s="154">
        <v>10</v>
      </c>
      <c r="B113" s="252" t="s">
        <v>108</v>
      </c>
    </row>
    <row r="114" spans="1:2" s="17" customFormat="1" x14ac:dyDescent="0.2">
      <c r="A114" s="154">
        <v>11</v>
      </c>
      <c r="B114" s="252" t="s">
        <v>125</v>
      </c>
    </row>
    <row r="115" spans="1:2" x14ac:dyDescent="0.2">
      <c r="A115" s="154">
        <v>12</v>
      </c>
      <c r="B115" s="120" t="s">
        <v>114</v>
      </c>
    </row>
    <row r="116" spans="1:2" x14ac:dyDescent="0.2">
      <c r="A116" s="154">
        <v>13</v>
      </c>
      <c r="B116" s="120" t="s">
        <v>105</v>
      </c>
    </row>
    <row r="117" spans="1:2" x14ac:dyDescent="0.2">
      <c r="A117" s="154">
        <v>14</v>
      </c>
      <c r="B117" s="120" t="s">
        <v>104</v>
      </c>
    </row>
    <row r="118" spans="1:2" x14ac:dyDescent="0.2">
      <c r="A118" s="154">
        <v>15</v>
      </c>
      <c r="B118" s="120" t="s">
        <v>106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rowBreaks count="2" manualBreakCount="2">
    <brk id="28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6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J1" sqref="J1"/>
    </sheetView>
  </sheetViews>
  <sheetFormatPr defaultRowHeight="12.75" x14ac:dyDescent="0.2"/>
  <cols>
    <col min="1" max="1" width="3.28515625" style="238" customWidth="1"/>
    <col min="2" max="2" width="32.7109375" style="235" bestFit="1" customWidth="1"/>
    <col min="3" max="3" width="7.28515625" style="238" bestFit="1" customWidth="1"/>
    <col min="4" max="4" width="7.42578125" style="238" bestFit="1" customWidth="1"/>
    <col min="5" max="5" width="9.140625" style="238" bestFit="1" customWidth="1"/>
    <col min="6" max="7" width="6.7109375" style="238" bestFit="1" customWidth="1"/>
    <col min="8" max="9" width="5.85546875" style="238" customWidth="1"/>
    <col min="10" max="16384" width="9.140625" style="238"/>
  </cols>
  <sheetData>
    <row r="1" spans="1:9" x14ac:dyDescent="0.2">
      <c r="A1" s="82" t="str">
        <f>UPPER((Kalend!D10)&amp;" - "&amp;(Kalend!C10)&amp;" - "&amp;(Kalend!E10))</f>
        <v>2 - SHK KV 2. ETAPP - DUO</v>
      </c>
      <c r="F1" s="361" t="str">
        <f>HYPERLINK("#'Kalend'!I1","Kalender")</f>
        <v>Kalender</v>
      </c>
      <c r="G1" s="85"/>
      <c r="H1" s="361" t="str">
        <f>HYPERLINK("#'Reit'!J1","Reiting")</f>
        <v>Reiting</v>
      </c>
      <c r="I1" s="85"/>
    </row>
    <row r="2" spans="1:9" s="85" customFormat="1" x14ac:dyDescent="0.2">
      <c r="A2" s="85" t="str">
        <f>"Toimumisaeg: "&amp;(Kalend!A10)&amp;" kell "&amp;(Kalend!B10)</f>
        <v>Toimumisaeg: P, 13.12.2015 kell 11:00</v>
      </c>
    </row>
    <row r="3" spans="1:9" s="85" customFormat="1" x14ac:dyDescent="0.2">
      <c r="A3" s="85" t="str">
        <f>"Toimumiskoht: "&amp;(Kalend!F10)</f>
        <v>Toimumiskoht: K-Järve petangihall</v>
      </c>
    </row>
    <row r="4" spans="1:9" s="85" customFormat="1" x14ac:dyDescent="0.2">
      <c r="A4" s="85" t="str">
        <f>"Korraldaja: "&amp;(Kalend!G10)</f>
        <v>Korraldaja: K-Järve SHK, Ivar Viljaste</v>
      </c>
    </row>
    <row r="6" spans="1:9" s="17" customFormat="1" x14ac:dyDescent="0.2">
      <c r="A6" s="154" t="s">
        <v>184</v>
      </c>
      <c r="B6" s="154"/>
      <c r="C6" s="155" t="s">
        <v>185</v>
      </c>
      <c r="D6" s="155" t="s">
        <v>186</v>
      </c>
      <c r="E6" s="155" t="s">
        <v>187</v>
      </c>
      <c r="F6" s="155" t="s">
        <v>188</v>
      </c>
      <c r="G6" s="155" t="s">
        <v>85</v>
      </c>
    </row>
    <row r="7" spans="1:9" s="17" customFormat="1" x14ac:dyDescent="0.2">
      <c r="A7" s="154">
        <v>1</v>
      </c>
      <c r="B7" s="405" t="s">
        <v>262</v>
      </c>
      <c r="C7" s="189">
        <v>13</v>
      </c>
      <c r="D7" s="189">
        <v>13</v>
      </c>
      <c r="E7" s="285"/>
      <c r="F7" s="285"/>
      <c r="G7" s="277" t="s">
        <v>222</v>
      </c>
    </row>
    <row r="8" spans="1:9" s="17" customFormat="1" x14ac:dyDescent="0.2">
      <c r="A8" s="154">
        <v>2</v>
      </c>
      <c r="B8" s="405" t="s">
        <v>263</v>
      </c>
      <c r="C8" s="285">
        <v>9</v>
      </c>
      <c r="D8" s="285"/>
      <c r="E8" s="189">
        <v>13</v>
      </c>
      <c r="F8" s="189">
        <v>13</v>
      </c>
      <c r="G8" s="277" t="s">
        <v>223</v>
      </c>
    </row>
    <row r="9" spans="1:9" s="17" customFormat="1" x14ac:dyDescent="0.2">
      <c r="A9" s="154">
        <v>3</v>
      </c>
      <c r="B9" s="405" t="s">
        <v>264</v>
      </c>
      <c r="C9" s="189">
        <v>13</v>
      </c>
      <c r="D9" s="285">
        <v>1</v>
      </c>
      <c r="E9" s="285"/>
      <c r="F9" s="285">
        <v>12</v>
      </c>
      <c r="G9" s="277" t="s">
        <v>224</v>
      </c>
    </row>
    <row r="10" spans="1:9" s="17" customFormat="1" x14ac:dyDescent="0.2">
      <c r="A10" s="154">
        <v>4</v>
      </c>
      <c r="B10" s="276"/>
      <c r="C10" s="285">
        <v>0</v>
      </c>
      <c r="D10" s="285"/>
      <c r="E10" s="285">
        <v>0</v>
      </c>
      <c r="F10" s="285"/>
      <c r="G10" s="277"/>
    </row>
    <row r="11" spans="1:9" s="17" customFormat="1" x14ac:dyDescent="0.2">
      <c r="A11" s="156"/>
      <c r="B11" s="253"/>
      <c r="C11" s="191"/>
      <c r="D11" s="191"/>
      <c r="E11" s="191"/>
      <c r="F11" s="157"/>
      <c r="G11" s="192"/>
    </row>
    <row r="12" spans="1:9" s="17" customFormat="1" x14ac:dyDescent="0.2">
      <c r="A12" s="154" t="s">
        <v>189</v>
      </c>
      <c r="B12" s="154"/>
      <c r="C12" s="155" t="s">
        <v>185</v>
      </c>
      <c r="D12" s="155" t="s">
        <v>186</v>
      </c>
      <c r="E12" s="155" t="s">
        <v>187</v>
      </c>
      <c r="F12" s="155" t="s">
        <v>188</v>
      </c>
      <c r="G12" s="155" t="s">
        <v>85</v>
      </c>
    </row>
    <row r="13" spans="1:9" s="17" customFormat="1" x14ac:dyDescent="0.2">
      <c r="A13" s="154">
        <v>1</v>
      </c>
      <c r="B13" s="405" t="s">
        <v>265</v>
      </c>
      <c r="C13" s="285">
        <v>4</v>
      </c>
      <c r="D13" s="285"/>
      <c r="E13" s="189">
        <v>13</v>
      </c>
      <c r="F13" s="189">
        <v>13</v>
      </c>
      <c r="G13" s="277" t="s">
        <v>223</v>
      </c>
    </row>
    <row r="14" spans="1:9" s="17" customFormat="1" x14ac:dyDescent="0.2">
      <c r="A14" s="154">
        <v>2</v>
      </c>
      <c r="B14" s="405" t="s">
        <v>266</v>
      </c>
      <c r="C14" s="285">
        <v>11</v>
      </c>
      <c r="D14" s="285"/>
      <c r="E14" s="285">
        <v>11</v>
      </c>
      <c r="F14" s="285"/>
      <c r="G14" s="277" t="s">
        <v>225</v>
      </c>
    </row>
    <row r="15" spans="1:9" s="17" customFormat="1" x14ac:dyDescent="0.2">
      <c r="A15" s="154">
        <v>3</v>
      </c>
      <c r="B15" s="405" t="s">
        <v>268</v>
      </c>
      <c r="C15" s="189">
        <v>13</v>
      </c>
      <c r="D15" s="285">
        <v>5</v>
      </c>
      <c r="E15" s="285"/>
      <c r="F15" s="285">
        <v>7</v>
      </c>
      <c r="G15" s="277" t="s">
        <v>224</v>
      </c>
    </row>
    <row r="16" spans="1:9" s="17" customFormat="1" x14ac:dyDescent="0.2">
      <c r="A16" s="154">
        <v>4</v>
      </c>
      <c r="B16" s="276" t="s">
        <v>273</v>
      </c>
      <c r="C16" s="189">
        <v>13</v>
      </c>
      <c r="D16" s="189">
        <v>13</v>
      </c>
      <c r="E16" s="285"/>
      <c r="F16" s="285"/>
      <c r="G16" s="277" t="s">
        <v>222</v>
      </c>
    </row>
    <row r="17" spans="1:9" s="17" customFormat="1" x14ac:dyDescent="0.2">
      <c r="A17" s="156"/>
      <c r="B17" s="253"/>
      <c r="C17" s="191"/>
      <c r="D17" s="191"/>
      <c r="E17" s="191"/>
      <c r="F17" s="157"/>
      <c r="G17" s="192"/>
    </row>
    <row r="18" spans="1:9" s="17" customFormat="1" x14ac:dyDescent="0.2">
      <c r="A18" s="154" t="s">
        <v>190</v>
      </c>
      <c r="B18" s="154"/>
      <c r="C18" s="155" t="s">
        <v>185</v>
      </c>
      <c r="D18" s="155" t="s">
        <v>186</v>
      </c>
      <c r="E18" s="155" t="s">
        <v>187</v>
      </c>
      <c r="F18" s="155" t="s">
        <v>188</v>
      </c>
      <c r="G18" s="155" t="s">
        <v>85</v>
      </c>
    </row>
    <row r="19" spans="1:9" s="17" customFormat="1" x14ac:dyDescent="0.2">
      <c r="A19" s="154">
        <v>1</v>
      </c>
      <c r="B19" s="405" t="s">
        <v>274</v>
      </c>
      <c r="C19" s="189">
        <v>13</v>
      </c>
      <c r="D19" s="285">
        <v>10</v>
      </c>
      <c r="E19" s="285"/>
      <c r="F19" s="285">
        <v>11</v>
      </c>
      <c r="G19" s="277" t="s">
        <v>224</v>
      </c>
    </row>
    <row r="20" spans="1:9" s="17" customFormat="1" x14ac:dyDescent="0.2">
      <c r="A20" s="154">
        <v>2</v>
      </c>
      <c r="B20" s="405" t="s">
        <v>276</v>
      </c>
      <c r="C20" s="189">
        <v>13</v>
      </c>
      <c r="D20" s="189">
        <v>13</v>
      </c>
      <c r="E20" s="285"/>
      <c r="F20" s="285"/>
      <c r="G20" s="277" t="s">
        <v>222</v>
      </c>
    </row>
    <row r="21" spans="1:9" s="17" customFormat="1" x14ac:dyDescent="0.2">
      <c r="A21" s="154">
        <v>3</v>
      </c>
      <c r="B21" s="405" t="s">
        <v>277</v>
      </c>
      <c r="C21" s="285">
        <v>12</v>
      </c>
      <c r="D21" s="285"/>
      <c r="E21" s="189">
        <v>13</v>
      </c>
      <c r="F21" s="189">
        <v>13</v>
      </c>
      <c r="G21" s="277" t="s">
        <v>223</v>
      </c>
    </row>
    <row r="22" spans="1:9" s="17" customFormat="1" x14ac:dyDescent="0.2">
      <c r="A22" s="154">
        <v>4</v>
      </c>
      <c r="B22" s="405" t="s">
        <v>278</v>
      </c>
      <c r="C22" s="285">
        <v>2</v>
      </c>
      <c r="D22" s="285"/>
      <c r="E22" s="285">
        <v>4</v>
      </c>
      <c r="F22" s="285"/>
      <c r="G22" s="277" t="s">
        <v>225</v>
      </c>
    </row>
    <row r="23" spans="1:9" s="17" customFormat="1" x14ac:dyDescent="0.2"/>
    <row r="24" spans="1:9" s="421" customFormat="1" x14ac:dyDescent="0.2">
      <c r="A24" s="420" t="s">
        <v>261</v>
      </c>
    </row>
    <row r="25" spans="1:9" s="421" customFormat="1" x14ac:dyDescent="0.2">
      <c r="A25" s="420"/>
    </row>
    <row r="26" spans="1:9" s="421" customFormat="1" x14ac:dyDescent="0.2">
      <c r="A26" s="422" t="s">
        <v>193</v>
      </c>
      <c r="B26" s="421" t="s">
        <v>273</v>
      </c>
      <c r="C26" s="423">
        <v>13</v>
      </c>
    </row>
    <row r="27" spans="1:9" s="421" customFormat="1" x14ac:dyDescent="0.2">
      <c r="A27" s="424"/>
      <c r="B27" s="425"/>
      <c r="C27" s="426" t="s">
        <v>273</v>
      </c>
      <c r="D27" s="427"/>
      <c r="F27" s="439">
        <v>11</v>
      </c>
    </row>
    <row r="28" spans="1:9" s="421" customFormat="1" x14ac:dyDescent="0.2">
      <c r="A28" s="422"/>
      <c r="B28" s="428" t="s">
        <v>221</v>
      </c>
      <c r="C28" s="429">
        <v>0</v>
      </c>
      <c r="E28" s="430"/>
    </row>
    <row r="29" spans="1:9" s="421" customFormat="1" x14ac:dyDescent="0.2">
      <c r="A29" s="424"/>
      <c r="D29" s="431"/>
      <c r="E29" s="432"/>
      <c r="F29" s="421" t="s">
        <v>277</v>
      </c>
      <c r="I29" s="439">
        <v>8</v>
      </c>
    </row>
    <row r="30" spans="1:9" s="421" customFormat="1" x14ac:dyDescent="0.2">
      <c r="A30" s="422" t="s">
        <v>210</v>
      </c>
      <c r="B30" s="433" t="s">
        <v>277</v>
      </c>
      <c r="C30" s="434">
        <v>13</v>
      </c>
      <c r="E30" s="432"/>
      <c r="F30" s="425"/>
      <c r="G30" s="425"/>
      <c r="H30" s="430"/>
    </row>
    <row r="31" spans="1:9" s="421" customFormat="1" x14ac:dyDescent="0.2">
      <c r="A31" s="424"/>
      <c r="B31" s="425"/>
      <c r="C31" s="435" t="s">
        <v>277</v>
      </c>
      <c r="E31" s="436"/>
      <c r="F31" s="434">
        <v>13</v>
      </c>
      <c r="G31" s="431"/>
      <c r="H31" s="432"/>
    </row>
    <row r="32" spans="1:9" s="421" customFormat="1" x14ac:dyDescent="0.2">
      <c r="A32" s="422" t="s">
        <v>194</v>
      </c>
      <c r="B32" s="428" t="s">
        <v>262</v>
      </c>
      <c r="C32" s="438">
        <v>10</v>
      </c>
      <c r="D32" s="425"/>
      <c r="F32" s="431"/>
      <c r="G32" s="431"/>
      <c r="H32" s="432"/>
    </row>
    <row r="33" spans="1:11" s="421" customFormat="1" ht="13.5" thickBot="1" x14ac:dyDescent="0.25">
      <c r="A33" s="424"/>
      <c r="F33" s="431"/>
      <c r="G33" s="431"/>
      <c r="H33" s="432"/>
      <c r="J33" s="421" t="s">
        <v>263</v>
      </c>
    </row>
    <row r="34" spans="1:11" s="421" customFormat="1" x14ac:dyDescent="0.2">
      <c r="A34" s="422" t="s">
        <v>205</v>
      </c>
      <c r="B34" s="421" t="s">
        <v>265</v>
      </c>
      <c r="C34" s="439">
        <v>6</v>
      </c>
      <c r="F34" s="431"/>
      <c r="G34" s="431"/>
      <c r="H34" s="432"/>
      <c r="I34" s="440"/>
      <c r="J34" s="441" t="s">
        <v>195</v>
      </c>
      <c r="K34" s="442"/>
    </row>
    <row r="35" spans="1:11" s="421" customFormat="1" x14ac:dyDescent="0.2">
      <c r="A35" s="424"/>
      <c r="B35" s="425"/>
      <c r="C35" s="426" t="s">
        <v>263</v>
      </c>
      <c r="D35" s="427"/>
      <c r="F35" s="434">
        <v>13</v>
      </c>
      <c r="G35" s="431"/>
      <c r="H35" s="432"/>
    </row>
    <row r="36" spans="1:11" s="421" customFormat="1" ht="13.5" thickBot="1" x14ac:dyDescent="0.25">
      <c r="A36" s="422" t="s">
        <v>206</v>
      </c>
      <c r="B36" s="427" t="s">
        <v>263</v>
      </c>
      <c r="C36" s="443">
        <v>13</v>
      </c>
      <c r="E36" s="430"/>
      <c r="F36" s="431"/>
      <c r="G36" s="431"/>
      <c r="H36" s="432"/>
      <c r="J36" s="444" t="s">
        <v>277</v>
      </c>
      <c r="K36" s="444"/>
    </row>
    <row r="37" spans="1:11" s="421" customFormat="1" x14ac:dyDescent="0.2">
      <c r="A37" s="424"/>
      <c r="D37" s="431"/>
      <c r="E37" s="432"/>
      <c r="F37" s="427" t="s">
        <v>263</v>
      </c>
      <c r="G37" s="427"/>
      <c r="H37" s="436"/>
      <c r="I37" s="423">
        <v>13</v>
      </c>
      <c r="J37" s="441" t="s">
        <v>197</v>
      </c>
    </row>
    <row r="38" spans="1:11" s="421" customFormat="1" x14ac:dyDescent="0.2">
      <c r="A38" s="422"/>
      <c r="B38" s="421" t="s">
        <v>221</v>
      </c>
      <c r="C38" s="437">
        <v>0</v>
      </c>
      <c r="E38" s="432"/>
    </row>
    <row r="39" spans="1:11" s="421" customFormat="1" x14ac:dyDescent="0.2">
      <c r="A39" s="424"/>
      <c r="B39" s="425"/>
      <c r="C39" s="435" t="s">
        <v>276</v>
      </c>
      <c r="E39" s="436"/>
      <c r="F39" s="439">
        <v>8</v>
      </c>
    </row>
    <row r="40" spans="1:11" s="421" customFormat="1" x14ac:dyDescent="0.2">
      <c r="A40" s="422" t="s">
        <v>198</v>
      </c>
      <c r="B40" s="427" t="s">
        <v>276</v>
      </c>
      <c r="C40" s="445">
        <v>13</v>
      </c>
      <c r="D40" s="425"/>
    </row>
    <row r="41" spans="1:11" s="421" customFormat="1" x14ac:dyDescent="0.2">
      <c r="F41" s="421" t="s">
        <v>273</v>
      </c>
      <c r="I41" s="434">
        <v>13</v>
      </c>
      <c r="J41" s="431"/>
      <c r="K41" s="431"/>
    </row>
    <row r="42" spans="1:11" s="421" customFormat="1" ht="13.5" thickBot="1" x14ac:dyDescent="0.25">
      <c r="F42" s="425"/>
      <c r="G42" s="425"/>
      <c r="H42" s="430"/>
      <c r="I42" s="444"/>
      <c r="J42" s="444" t="s">
        <v>273</v>
      </c>
      <c r="K42" s="444"/>
    </row>
    <row r="43" spans="1:11" s="421" customFormat="1" x14ac:dyDescent="0.2">
      <c r="F43" s="427" t="s">
        <v>276</v>
      </c>
      <c r="G43" s="427"/>
      <c r="H43" s="436"/>
      <c r="I43" s="439">
        <v>10</v>
      </c>
      <c r="J43" s="446" t="s">
        <v>199</v>
      </c>
      <c r="K43" s="431"/>
    </row>
    <row r="44" spans="1:11" s="421" customFormat="1" x14ac:dyDescent="0.2">
      <c r="J44" s="431"/>
      <c r="K44" s="431"/>
    </row>
    <row r="45" spans="1:11" s="421" customFormat="1" ht="13.5" thickBot="1" x14ac:dyDescent="0.25">
      <c r="G45" s="431"/>
      <c r="H45" s="431"/>
      <c r="J45" s="444" t="s">
        <v>276</v>
      </c>
      <c r="K45" s="444"/>
    </row>
    <row r="46" spans="1:11" s="421" customFormat="1" x14ac:dyDescent="0.2">
      <c r="C46" s="421" t="s">
        <v>221</v>
      </c>
      <c r="F46" s="439">
        <v>0</v>
      </c>
      <c r="J46" s="447" t="s">
        <v>200</v>
      </c>
    </row>
    <row r="47" spans="1:11" s="421" customFormat="1" x14ac:dyDescent="0.2">
      <c r="C47" s="425"/>
      <c r="D47" s="425"/>
      <c r="E47" s="430"/>
      <c r="F47" s="426" t="s">
        <v>262</v>
      </c>
      <c r="G47" s="427"/>
      <c r="H47" s="427"/>
      <c r="I47" s="423">
        <v>13</v>
      </c>
    </row>
    <row r="48" spans="1:11" s="421" customFormat="1" x14ac:dyDescent="0.2">
      <c r="C48" s="427" t="s">
        <v>262</v>
      </c>
      <c r="D48" s="427"/>
      <c r="E48" s="436"/>
      <c r="F48" s="443">
        <v>13</v>
      </c>
      <c r="H48" s="432"/>
    </row>
    <row r="49" spans="1:11" s="421" customFormat="1" ht="13.5" thickBot="1" x14ac:dyDescent="0.25">
      <c r="F49" s="431"/>
      <c r="H49" s="432"/>
      <c r="J49" s="421" t="s">
        <v>262</v>
      </c>
    </row>
    <row r="50" spans="1:11" s="421" customFormat="1" x14ac:dyDescent="0.2">
      <c r="C50" s="421" t="s">
        <v>265</v>
      </c>
      <c r="F50" s="434">
        <v>13</v>
      </c>
      <c r="H50" s="432"/>
      <c r="I50" s="440"/>
      <c r="J50" s="441" t="s">
        <v>201</v>
      </c>
      <c r="K50" s="442"/>
    </row>
    <row r="51" spans="1:11" s="421" customFormat="1" x14ac:dyDescent="0.2">
      <c r="C51" s="425"/>
      <c r="D51" s="425"/>
      <c r="E51" s="430"/>
      <c r="F51" s="435" t="s">
        <v>265</v>
      </c>
      <c r="H51" s="436"/>
      <c r="I51" s="437">
        <v>10</v>
      </c>
    </row>
    <row r="52" spans="1:11" s="421" customFormat="1" ht="13.5" thickBot="1" x14ac:dyDescent="0.25">
      <c r="C52" s="427" t="s">
        <v>221</v>
      </c>
      <c r="D52" s="427"/>
      <c r="E52" s="436"/>
      <c r="F52" s="438">
        <v>0</v>
      </c>
      <c r="G52" s="425"/>
      <c r="I52" s="431"/>
      <c r="J52" s="431" t="s">
        <v>265</v>
      </c>
      <c r="K52" s="444"/>
    </row>
    <row r="53" spans="1:11" s="421" customFormat="1" x14ac:dyDescent="0.2">
      <c r="I53" s="431"/>
      <c r="J53" s="441" t="s">
        <v>202</v>
      </c>
      <c r="K53" s="431"/>
    </row>
    <row r="54" spans="1:11" s="421" customFormat="1" x14ac:dyDescent="0.2">
      <c r="I54" s="437"/>
      <c r="J54" s="431"/>
      <c r="K54" s="431"/>
    </row>
    <row r="55" spans="1:11" x14ac:dyDescent="0.2">
      <c r="A55" s="420" t="s">
        <v>260</v>
      </c>
    </row>
    <row r="56" spans="1:11" ht="13.5" thickBot="1" x14ac:dyDescent="0.25">
      <c r="J56" s="444" t="s">
        <v>264</v>
      </c>
      <c r="K56" s="240"/>
    </row>
    <row r="57" spans="1:11" x14ac:dyDescent="0.2">
      <c r="A57" s="185"/>
      <c r="B57" s="185"/>
      <c r="C57" s="155">
        <v>1</v>
      </c>
      <c r="D57" s="155">
        <v>2</v>
      </c>
      <c r="E57" s="155">
        <v>3</v>
      </c>
      <c r="F57" s="155" t="s">
        <v>259</v>
      </c>
      <c r="G57" s="155" t="s">
        <v>85</v>
      </c>
      <c r="J57" s="441" t="s">
        <v>203</v>
      </c>
      <c r="K57" s="231"/>
    </row>
    <row r="58" spans="1:11" x14ac:dyDescent="0.2">
      <c r="A58" s="185">
        <v>1</v>
      </c>
      <c r="B58" s="252" t="s">
        <v>264</v>
      </c>
      <c r="C58" s="186"/>
      <c r="D58" s="363">
        <v>13</v>
      </c>
      <c r="E58" s="363" t="s">
        <v>228</v>
      </c>
      <c r="F58" s="190" t="s">
        <v>270</v>
      </c>
      <c r="G58" s="363" t="s">
        <v>222</v>
      </c>
      <c r="H58" s="238" t="s">
        <v>203</v>
      </c>
    </row>
    <row r="59" spans="1:11" ht="13.5" thickBot="1" x14ac:dyDescent="0.25">
      <c r="A59" s="185">
        <v>2</v>
      </c>
      <c r="B59" s="451" t="s">
        <v>268</v>
      </c>
      <c r="C59" s="363">
        <v>4</v>
      </c>
      <c r="D59" s="186"/>
      <c r="E59" s="363" t="s">
        <v>228</v>
      </c>
      <c r="F59" s="190" t="s">
        <v>271</v>
      </c>
      <c r="G59" s="363" t="s">
        <v>223</v>
      </c>
      <c r="H59" s="238" t="s">
        <v>204</v>
      </c>
      <c r="J59" s="444" t="s">
        <v>268</v>
      </c>
      <c r="K59" s="240"/>
    </row>
    <row r="60" spans="1:11" x14ac:dyDescent="0.2">
      <c r="A60" s="185">
        <v>3</v>
      </c>
      <c r="B60" s="252" t="s">
        <v>274</v>
      </c>
      <c r="C60" s="363" t="s">
        <v>221</v>
      </c>
      <c r="D60" s="363" t="s">
        <v>221</v>
      </c>
      <c r="E60" s="186"/>
      <c r="F60" s="190" t="s">
        <v>272</v>
      </c>
      <c r="G60" s="363" t="s">
        <v>224</v>
      </c>
      <c r="H60" s="238" t="s">
        <v>207</v>
      </c>
      <c r="J60" s="446" t="s">
        <v>204</v>
      </c>
      <c r="K60" s="231"/>
    </row>
    <row r="61" spans="1:11" x14ac:dyDescent="0.2">
      <c r="A61" s="188"/>
      <c r="B61" s="253"/>
      <c r="C61" s="191"/>
      <c r="D61" s="191"/>
      <c r="E61" s="157"/>
      <c r="F61" s="192"/>
      <c r="G61" s="191"/>
    </row>
    <row r="62" spans="1:11" ht="13.5" thickBot="1" x14ac:dyDescent="0.25">
      <c r="A62" s="188"/>
      <c r="B62" s="253"/>
      <c r="C62" s="191"/>
      <c r="D62" s="191"/>
      <c r="E62" s="157"/>
      <c r="F62" s="192"/>
      <c r="G62" s="191"/>
      <c r="J62" s="444" t="s">
        <v>274</v>
      </c>
      <c r="K62" s="240"/>
    </row>
    <row r="63" spans="1:11" x14ac:dyDescent="0.2">
      <c r="A63" s="188"/>
      <c r="B63" s="253"/>
      <c r="C63" s="191"/>
      <c r="D63" s="191"/>
      <c r="E63" s="157"/>
      <c r="F63" s="192"/>
      <c r="G63" s="191"/>
      <c r="J63" s="446" t="s">
        <v>207</v>
      </c>
      <c r="K63" s="231"/>
    </row>
    <row r="64" spans="1:11" x14ac:dyDescent="0.2">
      <c r="A64" s="188"/>
      <c r="B64" s="253"/>
      <c r="C64" s="191"/>
      <c r="D64" s="191"/>
      <c r="E64" s="157"/>
      <c r="F64" s="192"/>
      <c r="G64" s="191"/>
      <c r="J64" s="446"/>
      <c r="K64" s="239"/>
    </row>
    <row r="65" spans="1:11" x14ac:dyDescent="0.2">
      <c r="A65" s="420" t="s">
        <v>275</v>
      </c>
      <c r="B65" s="253"/>
      <c r="C65" s="191"/>
      <c r="D65" s="191"/>
      <c r="E65" s="157"/>
      <c r="F65" s="192"/>
      <c r="G65" s="191"/>
    </row>
    <row r="66" spans="1:11" x14ac:dyDescent="0.2">
      <c r="A66" s="188"/>
      <c r="B66" s="253"/>
      <c r="C66" s="191"/>
      <c r="D66" s="191"/>
      <c r="E66" s="157"/>
      <c r="F66" s="192"/>
      <c r="G66" s="191"/>
    </row>
    <row r="67" spans="1:11" x14ac:dyDescent="0.2">
      <c r="A67" s="188"/>
      <c r="B67" s="253"/>
      <c r="C67" s="191"/>
      <c r="D67" s="191"/>
      <c r="E67" s="193" t="s">
        <v>229</v>
      </c>
      <c r="F67" s="421" t="s">
        <v>266</v>
      </c>
      <c r="G67" s="421"/>
      <c r="H67" s="421"/>
      <c r="I67" s="437" t="s">
        <v>228</v>
      </c>
      <c r="J67" s="431"/>
      <c r="K67" s="431"/>
    </row>
    <row r="68" spans="1:11" ht="13.5" thickBot="1" x14ac:dyDescent="0.25">
      <c r="A68" s="188"/>
      <c r="B68" s="253"/>
      <c r="C68" s="191"/>
      <c r="D68" s="191"/>
      <c r="E68" s="157"/>
      <c r="F68" s="425"/>
      <c r="G68" s="425"/>
      <c r="H68" s="430"/>
      <c r="I68" s="444"/>
      <c r="J68" s="444" t="s">
        <v>266</v>
      </c>
      <c r="K68" s="444"/>
    </row>
    <row r="69" spans="1:11" x14ac:dyDescent="0.2">
      <c r="A69" s="188"/>
      <c r="B69" s="253"/>
      <c r="C69" s="191"/>
      <c r="D69" s="191"/>
      <c r="E69" s="193" t="s">
        <v>231</v>
      </c>
      <c r="F69" s="427" t="s">
        <v>278</v>
      </c>
      <c r="G69" s="427"/>
      <c r="H69" s="436"/>
      <c r="I69" s="439" t="s">
        <v>221</v>
      </c>
      <c r="J69" s="446" t="s">
        <v>209</v>
      </c>
      <c r="K69" s="431"/>
    </row>
    <row r="70" spans="1:11" x14ac:dyDescent="0.2">
      <c r="A70" s="188"/>
      <c r="B70" s="253"/>
      <c r="C70" s="191"/>
      <c r="D70" s="191"/>
      <c r="E70" s="157"/>
      <c r="F70" s="421"/>
      <c r="G70" s="421"/>
      <c r="H70" s="421"/>
      <c r="I70" s="421"/>
      <c r="J70" s="431"/>
      <c r="K70" s="431"/>
    </row>
    <row r="71" spans="1:11" ht="13.5" thickBot="1" x14ac:dyDescent="0.25">
      <c r="F71" s="421"/>
      <c r="G71" s="431"/>
      <c r="H71" s="431"/>
      <c r="I71" s="421"/>
      <c r="J71" s="444" t="s">
        <v>278</v>
      </c>
      <c r="K71" s="444"/>
    </row>
    <row r="72" spans="1:11" x14ac:dyDescent="0.2">
      <c r="B72" s="238"/>
      <c r="F72" s="439"/>
      <c r="G72" s="421"/>
      <c r="H72" s="421"/>
      <c r="I72" s="421"/>
      <c r="J72" s="447" t="s">
        <v>211</v>
      </c>
      <c r="K72" s="421"/>
    </row>
    <row r="73" spans="1:11" x14ac:dyDescent="0.2">
      <c r="B73" s="238"/>
    </row>
    <row r="74" spans="1:11" x14ac:dyDescent="0.2">
      <c r="B74" s="238"/>
    </row>
    <row r="75" spans="1:11" x14ac:dyDescent="0.2">
      <c r="B75" s="238"/>
    </row>
    <row r="76" spans="1:11" x14ac:dyDescent="0.2">
      <c r="A76" s="154">
        <v>1</v>
      </c>
      <c r="B76" s="154" t="s">
        <v>263</v>
      </c>
    </row>
    <row r="77" spans="1:11" x14ac:dyDescent="0.2">
      <c r="A77" s="154">
        <v>2</v>
      </c>
      <c r="B77" s="252" t="s">
        <v>277</v>
      </c>
    </row>
    <row r="78" spans="1:11" x14ac:dyDescent="0.2">
      <c r="A78" s="154">
        <v>3</v>
      </c>
      <c r="B78" s="252" t="s">
        <v>273</v>
      </c>
    </row>
    <row r="79" spans="1:11" x14ac:dyDescent="0.2">
      <c r="A79" s="154">
        <v>4</v>
      </c>
      <c r="B79" s="252" t="s">
        <v>276</v>
      </c>
    </row>
    <row r="80" spans="1:11" x14ac:dyDescent="0.2">
      <c r="A80" s="154">
        <v>5</v>
      </c>
      <c r="B80" s="252" t="s">
        <v>262</v>
      </c>
    </row>
    <row r="81" spans="1:2" x14ac:dyDescent="0.2">
      <c r="A81" s="154">
        <v>6</v>
      </c>
      <c r="B81" s="252" t="s">
        <v>265</v>
      </c>
    </row>
    <row r="82" spans="1:2" x14ac:dyDescent="0.2">
      <c r="A82" s="154">
        <v>7</v>
      </c>
      <c r="B82" s="252" t="s">
        <v>264</v>
      </c>
    </row>
    <row r="83" spans="1:2" x14ac:dyDescent="0.2">
      <c r="A83" s="154">
        <v>8</v>
      </c>
      <c r="B83" s="252" t="s">
        <v>268</v>
      </c>
    </row>
    <row r="84" spans="1:2" x14ac:dyDescent="0.2">
      <c r="A84" s="154">
        <v>9</v>
      </c>
      <c r="B84" s="252" t="s">
        <v>274</v>
      </c>
    </row>
    <row r="85" spans="1:2" x14ac:dyDescent="0.2">
      <c r="A85" s="154">
        <v>10</v>
      </c>
      <c r="B85" s="252" t="s">
        <v>266</v>
      </c>
    </row>
    <row r="86" spans="1:2" x14ac:dyDescent="0.2">
      <c r="A86" s="154">
        <v>11</v>
      </c>
      <c r="B86" s="252" t="s">
        <v>278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  <rowBreaks count="2" manualBreakCount="2">
    <brk id="22" max="16383" man="1"/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K25"/>
  <sheetViews>
    <sheetView showGridLines="0" showRowColHeaders="0" zoomScaleNormal="100" workbookViewId="0">
      <pane ySplit="2" topLeftCell="A3" activePane="bottomLeft" state="frozen"/>
      <selection activeCell="Q1" sqref="Q1"/>
      <selection pane="bottomLeft" activeCell="L1" sqref="L1"/>
    </sheetView>
  </sheetViews>
  <sheetFormatPr defaultRowHeight="12.75" x14ac:dyDescent="0.2"/>
  <cols>
    <col min="1" max="1" width="3.28515625" style="238" customWidth="1"/>
    <col min="2" max="2" width="26.140625" style="235" bestFit="1" customWidth="1"/>
    <col min="3" max="10" width="5.85546875" style="238" customWidth="1"/>
    <col min="11" max="16384" width="9.140625" style="238"/>
  </cols>
  <sheetData>
    <row r="1" spans="1:11" x14ac:dyDescent="0.2">
      <c r="A1" s="82" t="str">
        <f>UPPER((Kalend!D16)&amp;" - "&amp;(Kalend!C16)&amp;" - "&amp;(Kalend!E16))</f>
        <v>AV - AASTAVAHETUSE TURNIIR - DUO</v>
      </c>
      <c r="H1" s="361" t="str">
        <f>HYPERLINK("#'Kalend'!I1","Kalender")</f>
        <v>Kalender</v>
      </c>
      <c r="I1" s="85"/>
      <c r="J1" s="361" t="str">
        <f>HYPERLINK("#'Reit'!J1","Reiting")</f>
        <v>Reiting</v>
      </c>
      <c r="K1" s="85"/>
    </row>
    <row r="2" spans="1:11" s="85" customFormat="1" x14ac:dyDescent="0.2">
      <c r="A2" s="85" t="str">
        <f>"Toimumisaeg: "&amp;(Kalend!A16)&amp;" kell "&amp;(Kalend!B16)</f>
        <v>Toimumisaeg: P, 03.01.2016 kell 11:00</v>
      </c>
    </row>
    <row r="3" spans="1:11" s="85" customFormat="1" x14ac:dyDescent="0.2">
      <c r="A3" s="85" t="str">
        <f>"Toimumiskoht: "&amp;(Kalend!F16)</f>
        <v>Toimumiskoht: K-Järve petangihall</v>
      </c>
    </row>
    <row r="4" spans="1:11" s="85" customFormat="1" x14ac:dyDescent="0.2">
      <c r="A4" s="85" t="str">
        <f>"Korraldaja: "&amp;(Kalend!G16)</f>
        <v>Korraldaja: K-Järve SHK, Ivar Viljaste</v>
      </c>
    </row>
    <row r="6" spans="1:11" s="17" customFormat="1" x14ac:dyDescent="0.2">
      <c r="A6" s="154" t="s">
        <v>295</v>
      </c>
      <c r="B6" s="154"/>
      <c r="C6" s="155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5" t="s">
        <v>259</v>
      </c>
      <c r="J6" s="155" t="s">
        <v>67</v>
      </c>
    </row>
    <row r="7" spans="1:11" s="17" customFormat="1" x14ac:dyDescent="0.2">
      <c r="A7" s="154">
        <v>1</v>
      </c>
      <c r="B7" s="405" t="s">
        <v>263</v>
      </c>
      <c r="C7" s="186"/>
      <c r="D7" s="363">
        <v>0</v>
      </c>
      <c r="E7" s="363">
        <v>10</v>
      </c>
      <c r="F7" s="363">
        <v>13</v>
      </c>
      <c r="G7" s="363">
        <v>7</v>
      </c>
      <c r="H7" s="363">
        <v>10</v>
      </c>
      <c r="I7" s="190" t="s">
        <v>308</v>
      </c>
      <c r="J7" s="363" t="s">
        <v>321</v>
      </c>
    </row>
    <row r="8" spans="1:11" s="17" customFormat="1" x14ac:dyDescent="0.2">
      <c r="A8" s="154">
        <v>2</v>
      </c>
      <c r="B8" s="276" t="s">
        <v>273</v>
      </c>
      <c r="C8" s="363">
        <v>13</v>
      </c>
      <c r="D8" s="186"/>
      <c r="E8" s="363">
        <v>9</v>
      </c>
      <c r="F8" s="363">
        <v>6</v>
      </c>
      <c r="G8" s="363">
        <v>13</v>
      </c>
      <c r="H8" s="363">
        <v>3</v>
      </c>
      <c r="I8" s="190" t="s">
        <v>309</v>
      </c>
      <c r="J8" s="363" t="s">
        <v>225</v>
      </c>
    </row>
    <row r="9" spans="1:11" s="17" customFormat="1" x14ac:dyDescent="0.2">
      <c r="A9" s="154">
        <v>3</v>
      </c>
      <c r="B9" s="405" t="s">
        <v>274</v>
      </c>
      <c r="C9" s="363">
        <v>13</v>
      </c>
      <c r="D9" s="363">
        <v>13</v>
      </c>
      <c r="E9" s="186"/>
      <c r="F9" s="363">
        <v>13</v>
      </c>
      <c r="G9" s="363">
        <v>10</v>
      </c>
      <c r="H9" s="363">
        <v>13</v>
      </c>
      <c r="I9" s="190" t="s">
        <v>319</v>
      </c>
      <c r="J9" s="363" t="s">
        <v>223</v>
      </c>
    </row>
    <row r="10" spans="1:11" s="448" customFormat="1" x14ac:dyDescent="0.2">
      <c r="A10" s="154">
        <v>4</v>
      </c>
      <c r="B10" s="405" t="s">
        <v>296</v>
      </c>
      <c r="C10" s="363">
        <v>1</v>
      </c>
      <c r="D10" s="363">
        <v>13</v>
      </c>
      <c r="E10" s="363">
        <v>8</v>
      </c>
      <c r="F10" s="186"/>
      <c r="G10" s="363">
        <v>5</v>
      </c>
      <c r="H10" s="363">
        <v>6</v>
      </c>
      <c r="I10" s="190" t="s">
        <v>308</v>
      </c>
      <c r="J10" s="363" t="s">
        <v>322</v>
      </c>
    </row>
    <row r="11" spans="1:11" s="448" customFormat="1" x14ac:dyDescent="0.2">
      <c r="A11" s="154">
        <v>5</v>
      </c>
      <c r="B11" s="405" t="s">
        <v>297</v>
      </c>
      <c r="C11" s="363">
        <v>13</v>
      </c>
      <c r="D11" s="363">
        <v>12</v>
      </c>
      <c r="E11" s="363">
        <v>13</v>
      </c>
      <c r="F11" s="285">
        <v>13</v>
      </c>
      <c r="G11" s="186"/>
      <c r="H11" s="363">
        <v>13</v>
      </c>
      <c r="I11" s="190" t="s">
        <v>319</v>
      </c>
      <c r="J11" s="363" t="s">
        <v>222</v>
      </c>
    </row>
    <row r="12" spans="1:11" s="17" customFormat="1" x14ac:dyDescent="0.2">
      <c r="A12" s="154">
        <v>6</v>
      </c>
      <c r="B12" s="405" t="s">
        <v>298</v>
      </c>
      <c r="C12" s="363">
        <v>13</v>
      </c>
      <c r="D12" s="363">
        <v>13</v>
      </c>
      <c r="E12" s="363">
        <v>10</v>
      </c>
      <c r="F12" s="363">
        <v>13</v>
      </c>
      <c r="G12" s="285">
        <v>3</v>
      </c>
      <c r="H12" s="186"/>
      <c r="I12" s="190" t="s">
        <v>320</v>
      </c>
      <c r="J12" s="363" t="s">
        <v>224</v>
      </c>
    </row>
    <row r="13" spans="1:11" s="17" customFormat="1" x14ac:dyDescent="0.2">
      <c r="A13" s="448"/>
      <c r="C13" s="449"/>
      <c r="D13" s="449"/>
      <c r="E13" s="449"/>
      <c r="F13" s="449"/>
      <c r="G13" s="449"/>
      <c r="H13" s="449"/>
      <c r="I13" s="450"/>
      <c r="J13" s="449"/>
    </row>
    <row r="14" spans="1:11" s="17" customFormat="1" x14ac:dyDescent="0.2">
      <c r="A14" s="156"/>
      <c r="B14" s="216" t="s">
        <v>299</v>
      </c>
      <c r="C14" s="192" t="s">
        <v>300</v>
      </c>
      <c r="D14" s="192" t="s">
        <v>301</v>
      </c>
      <c r="E14" s="192" t="s">
        <v>302</v>
      </c>
      <c r="F14" s="191"/>
      <c r="G14" s="157"/>
      <c r="H14" s="157"/>
      <c r="I14" s="192"/>
      <c r="J14" s="191"/>
    </row>
    <row r="15" spans="1:11" s="17" customFormat="1" x14ac:dyDescent="0.2">
      <c r="A15" s="156"/>
      <c r="B15" s="216" t="s">
        <v>303</v>
      </c>
      <c r="C15" s="192" t="s">
        <v>304</v>
      </c>
      <c r="D15" s="192" t="s">
        <v>305</v>
      </c>
      <c r="E15" s="192" t="s">
        <v>306</v>
      </c>
      <c r="I15" s="192"/>
      <c r="J15" s="191"/>
    </row>
    <row r="16" spans="1:11" s="17" customFormat="1" x14ac:dyDescent="0.2">
      <c r="A16" s="156"/>
      <c r="B16" s="216" t="s">
        <v>307</v>
      </c>
      <c r="C16" s="192" t="s">
        <v>308</v>
      </c>
      <c r="D16" s="192" t="s">
        <v>309</v>
      </c>
      <c r="E16" s="192" t="s">
        <v>310</v>
      </c>
      <c r="I16" s="192"/>
      <c r="J16" s="217"/>
    </row>
    <row r="17" spans="1:10" s="17" customFormat="1" x14ac:dyDescent="0.2">
      <c r="A17" s="156"/>
      <c r="B17" s="216" t="s">
        <v>311</v>
      </c>
      <c r="C17" s="192" t="s">
        <v>312</v>
      </c>
      <c r="D17" s="192" t="s">
        <v>313</v>
      </c>
      <c r="E17" s="192" t="s">
        <v>314</v>
      </c>
      <c r="G17" s="157"/>
      <c r="H17" s="157"/>
      <c r="I17" s="192"/>
      <c r="J17" s="191"/>
    </row>
    <row r="18" spans="1:10" s="17" customFormat="1" x14ac:dyDescent="0.2">
      <c r="A18" s="156"/>
      <c r="B18" s="216" t="s">
        <v>315</v>
      </c>
      <c r="C18" s="192" t="s">
        <v>316</v>
      </c>
      <c r="D18" s="192" t="s">
        <v>317</v>
      </c>
      <c r="E18" s="192" t="s">
        <v>318</v>
      </c>
      <c r="I18" s="192"/>
      <c r="J18" s="191"/>
    </row>
    <row r="20" spans="1:10" x14ac:dyDescent="0.2">
      <c r="A20" s="154">
        <v>1</v>
      </c>
      <c r="B20" s="404" t="s">
        <v>297</v>
      </c>
    </row>
    <row r="21" spans="1:10" x14ac:dyDescent="0.2">
      <c r="A21" s="154">
        <v>2</v>
      </c>
      <c r="B21" s="405" t="s">
        <v>274</v>
      </c>
    </row>
    <row r="22" spans="1:10" x14ac:dyDescent="0.2">
      <c r="A22" s="154">
        <v>3</v>
      </c>
      <c r="B22" s="405" t="s">
        <v>298</v>
      </c>
    </row>
    <row r="23" spans="1:10" x14ac:dyDescent="0.2">
      <c r="A23" s="154">
        <v>4</v>
      </c>
      <c r="B23" s="276" t="s">
        <v>273</v>
      </c>
    </row>
    <row r="24" spans="1:10" x14ac:dyDescent="0.2">
      <c r="A24" s="154">
        <v>5</v>
      </c>
      <c r="B24" s="405" t="s">
        <v>263</v>
      </c>
    </row>
    <row r="25" spans="1:10" x14ac:dyDescent="0.2">
      <c r="A25" s="154">
        <v>6</v>
      </c>
      <c r="B25" s="405" t="s">
        <v>296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4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I1" sqref="I1"/>
    </sheetView>
  </sheetViews>
  <sheetFormatPr defaultRowHeight="12.75" x14ac:dyDescent="0.2"/>
  <cols>
    <col min="1" max="1" width="3.28515625" style="238" customWidth="1"/>
    <col min="2" max="2" width="43.140625" style="235" bestFit="1" customWidth="1"/>
    <col min="3" max="3" width="7.28515625" style="238" bestFit="1" customWidth="1"/>
    <col min="4" max="4" width="7.42578125" style="238" bestFit="1" customWidth="1"/>
    <col min="5" max="5" width="9.140625" style="238" bestFit="1" customWidth="1"/>
    <col min="6" max="6" width="6.7109375" style="238" bestFit="1" customWidth="1"/>
    <col min="7" max="7" width="5.85546875" style="238" customWidth="1"/>
    <col min="8" max="8" width="16.42578125" style="238" customWidth="1"/>
    <col min="9" max="16384" width="9.140625" style="238"/>
  </cols>
  <sheetData>
    <row r="1" spans="1:8" x14ac:dyDescent="0.2">
      <c r="A1" s="82" t="str">
        <f>UPPER((Kalend!D19)&amp;" - "&amp;(Kalend!C19)&amp;" - "&amp;(Kalend!E19))</f>
        <v>3 - SHK KV 3. ETAPP - TRIO</v>
      </c>
      <c r="E1" s="361" t="str">
        <f>HYPERLINK("#'Kalend'!I1","Kalender")</f>
        <v>Kalender</v>
      </c>
      <c r="F1" s="85"/>
      <c r="G1" s="361" t="str">
        <f>HYPERLINK("#'Reit'!J1","Reiting")</f>
        <v>Reiting</v>
      </c>
      <c r="H1" s="85"/>
    </row>
    <row r="2" spans="1:8" s="85" customFormat="1" x14ac:dyDescent="0.2">
      <c r="A2" s="85" t="str">
        <f>"Toimumisaeg: "&amp;(Kalend!A19)&amp;" kell "&amp;(Kalend!B19)</f>
        <v>Toimumisaeg: P, 17.01.2016 kell 11:00</v>
      </c>
    </row>
    <row r="3" spans="1:8" s="85" customFormat="1" x14ac:dyDescent="0.2">
      <c r="A3" s="85" t="str">
        <f>"Toimumiskoht: "&amp;(Kalend!F19)</f>
        <v>Toimumiskoht: K-Järve petangihall</v>
      </c>
    </row>
    <row r="4" spans="1:8" s="85" customFormat="1" x14ac:dyDescent="0.2">
      <c r="A4" s="85" t="str">
        <f>"Korraldaja: "&amp;(Kalend!G19)</f>
        <v>Korraldaja: K-Järve SHK, Ivar Viljaste</v>
      </c>
    </row>
    <row r="6" spans="1:8" s="17" customFormat="1" x14ac:dyDescent="0.2">
      <c r="A6" s="154" t="s">
        <v>184</v>
      </c>
      <c r="B6" s="154"/>
      <c r="C6" s="155" t="s">
        <v>185</v>
      </c>
      <c r="D6" s="155" t="s">
        <v>186</v>
      </c>
      <c r="E6" s="155" t="s">
        <v>187</v>
      </c>
      <c r="F6" s="155" t="s">
        <v>188</v>
      </c>
      <c r="G6" s="155" t="s">
        <v>85</v>
      </c>
    </row>
    <row r="7" spans="1:8" s="17" customFormat="1" x14ac:dyDescent="0.2">
      <c r="A7" s="154">
        <v>1</v>
      </c>
      <c r="B7" s="405" t="s">
        <v>323</v>
      </c>
      <c r="C7" s="285">
        <v>11</v>
      </c>
      <c r="D7" s="285"/>
      <c r="E7" s="189">
        <v>13</v>
      </c>
      <c r="F7" s="189">
        <v>13</v>
      </c>
      <c r="G7" s="277" t="s">
        <v>223</v>
      </c>
    </row>
    <row r="8" spans="1:8" s="17" customFormat="1" x14ac:dyDescent="0.2">
      <c r="A8" s="154">
        <v>2</v>
      </c>
      <c r="B8" s="405"/>
      <c r="C8" s="285">
        <v>0</v>
      </c>
      <c r="D8" s="285"/>
      <c r="E8" s="285">
        <v>0</v>
      </c>
      <c r="F8" s="285"/>
      <c r="G8" s="277"/>
    </row>
    <row r="9" spans="1:8" s="17" customFormat="1" x14ac:dyDescent="0.2">
      <c r="A9" s="154">
        <v>3</v>
      </c>
      <c r="B9" s="405" t="s">
        <v>324</v>
      </c>
      <c r="C9" s="189">
        <v>13</v>
      </c>
      <c r="D9" s="189">
        <v>13</v>
      </c>
      <c r="E9" s="285"/>
      <c r="F9" s="285"/>
      <c r="G9" s="277" t="s">
        <v>222</v>
      </c>
    </row>
    <row r="10" spans="1:8" s="17" customFormat="1" x14ac:dyDescent="0.2">
      <c r="A10" s="154">
        <v>4</v>
      </c>
      <c r="B10" s="405" t="s">
        <v>325</v>
      </c>
      <c r="C10" s="189">
        <v>13</v>
      </c>
      <c r="D10" s="285">
        <v>4</v>
      </c>
      <c r="E10" s="285"/>
      <c r="F10" s="285">
        <v>2</v>
      </c>
      <c r="G10" s="277" t="s">
        <v>224</v>
      </c>
    </row>
    <row r="11" spans="1:8" s="17" customFormat="1" x14ac:dyDescent="0.2">
      <c r="A11" s="156"/>
      <c r="B11" s="253"/>
      <c r="C11" s="191"/>
      <c r="D11" s="191"/>
      <c r="E11" s="191"/>
      <c r="F11" s="157"/>
      <c r="G11" s="192"/>
    </row>
    <row r="12" spans="1:8" s="17" customFormat="1" x14ac:dyDescent="0.2">
      <c r="A12" s="154" t="s">
        <v>189</v>
      </c>
      <c r="B12" s="154"/>
      <c r="C12" s="155" t="s">
        <v>185</v>
      </c>
      <c r="D12" s="155" t="s">
        <v>186</v>
      </c>
      <c r="E12" s="155" t="s">
        <v>187</v>
      </c>
      <c r="F12" s="155" t="s">
        <v>188</v>
      </c>
      <c r="G12" s="155" t="s">
        <v>85</v>
      </c>
    </row>
    <row r="13" spans="1:8" s="17" customFormat="1" x14ac:dyDescent="0.2">
      <c r="A13" s="154">
        <v>1</v>
      </c>
      <c r="B13" s="405" t="s">
        <v>326</v>
      </c>
      <c r="C13" s="285">
        <v>12</v>
      </c>
      <c r="D13" s="285"/>
      <c r="E13" s="189">
        <v>13</v>
      </c>
      <c r="F13" s="285">
        <v>6</v>
      </c>
      <c r="G13" s="277" t="s">
        <v>224</v>
      </c>
    </row>
    <row r="14" spans="1:8" s="17" customFormat="1" x14ac:dyDescent="0.2">
      <c r="A14" s="154">
        <v>2</v>
      </c>
      <c r="B14" s="405" t="s">
        <v>327</v>
      </c>
      <c r="C14" s="189">
        <v>13</v>
      </c>
      <c r="D14" s="189">
        <v>13</v>
      </c>
      <c r="E14" s="285"/>
      <c r="F14" s="285"/>
      <c r="G14" s="277" t="s">
        <v>222</v>
      </c>
    </row>
    <row r="15" spans="1:8" s="17" customFormat="1" x14ac:dyDescent="0.2">
      <c r="A15" s="154">
        <v>3</v>
      </c>
      <c r="B15" s="405" t="s">
        <v>278</v>
      </c>
      <c r="C15" s="285">
        <v>7</v>
      </c>
      <c r="D15" s="285"/>
      <c r="E15" s="285">
        <v>7</v>
      </c>
      <c r="F15" s="285"/>
      <c r="G15" s="277" t="s">
        <v>225</v>
      </c>
    </row>
    <row r="16" spans="1:8" s="17" customFormat="1" x14ac:dyDescent="0.2">
      <c r="A16" s="154">
        <v>4</v>
      </c>
      <c r="B16" s="276" t="s">
        <v>328</v>
      </c>
      <c r="C16" s="189">
        <v>13</v>
      </c>
      <c r="D16" s="285">
        <v>3</v>
      </c>
      <c r="E16" s="285"/>
      <c r="F16" s="189">
        <v>13</v>
      </c>
      <c r="G16" s="277" t="s">
        <v>223</v>
      </c>
    </row>
    <row r="17" spans="1:9" s="17" customFormat="1" x14ac:dyDescent="0.2">
      <c r="A17" s="156"/>
      <c r="B17" s="253"/>
      <c r="C17" s="191"/>
      <c r="D17" s="191"/>
      <c r="E17" s="191"/>
      <c r="F17" s="157"/>
      <c r="G17" s="192"/>
    </row>
    <row r="18" spans="1:9" x14ac:dyDescent="0.2">
      <c r="A18" s="193" t="s">
        <v>193</v>
      </c>
      <c r="B18" s="238" t="s">
        <v>327</v>
      </c>
      <c r="C18" s="271">
        <v>13</v>
      </c>
    </row>
    <row r="19" spans="1:9" x14ac:dyDescent="0.2">
      <c r="A19" s="222"/>
      <c r="B19" s="223"/>
      <c r="C19" s="224" t="s">
        <v>327</v>
      </c>
      <c r="D19" s="236"/>
      <c r="F19" s="271">
        <v>13</v>
      </c>
    </row>
    <row r="20" spans="1:9" x14ac:dyDescent="0.2">
      <c r="A20" s="222" t="s">
        <v>206</v>
      </c>
      <c r="B20" s="236" t="s">
        <v>323</v>
      </c>
      <c r="C20" s="225">
        <v>7</v>
      </c>
      <c r="E20" s="226"/>
    </row>
    <row r="21" spans="1:9" ht="13.5" thickBot="1" x14ac:dyDescent="0.25">
      <c r="A21" s="222"/>
      <c r="B21" s="238"/>
      <c r="D21" s="239"/>
      <c r="E21" s="227"/>
      <c r="G21" s="238" t="s">
        <v>327</v>
      </c>
    </row>
    <row r="22" spans="1:9" x14ac:dyDescent="0.2">
      <c r="A22" s="222" t="s">
        <v>194</v>
      </c>
      <c r="B22" s="238" t="s">
        <v>324</v>
      </c>
      <c r="C22" s="228">
        <v>3</v>
      </c>
      <c r="E22" s="227"/>
      <c r="F22" s="229"/>
      <c r="G22" s="230" t="s">
        <v>195</v>
      </c>
      <c r="H22" s="231"/>
    </row>
    <row r="23" spans="1:9" x14ac:dyDescent="0.2">
      <c r="A23" s="222"/>
      <c r="B23" s="223"/>
      <c r="C23" s="232" t="s">
        <v>328</v>
      </c>
      <c r="E23" s="233"/>
      <c r="F23" s="228">
        <v>10</v>
      </c>
    </row>
    <row r="24" spans="1:9" ht="13.5" thickBot="1" x14ac:dyDescent="0.25">
      <c r="A24" s="222" t="s">
        <v>205</v>
      </c>
      <c r="B24" s="236" t="s">
        <v>328</v>
      </c>
      <c r="C24" s="272">
        <v>13</v>
      </c>
      <c r="D24" s="223"/>
      <c r="F24" s="239"/>
      <c r="G24" s="239" t="s">
        <v>328</v>
      </c>
      <c r="H24" s="240"/>
    </row>
    <row r="25" spans="1:9" x14ac:dyDescent="0.2">
      <c r="A25" s="235"/>
      <c r="B25" s="238"/>
      <c r="F25" s="239"/>
      <c r="G25" s="230" t="s">
        <v>197</v>
      </c>
      <c r="H25" s="239"/>
    </row>
    <row r="26" spans="1:9" x14ac:dyDescent="0.2">
      <c r="A26" s="235"/>
      <c r="B26" s="238"/>
      <c r="C26" s="238" t="s">
        <v>323</v>
      </c>
      <c r="F26" s="273">
        <v>13</v>
      </c>
      <c r="G26" s="239"/>
      <c r="H26" s="239"/>
    </row>
    <row r="27" spans="1:9" ht="13.5" thickBot="1" x14ac:dyDescent="0.25">
      <c r="A27" s="235"/>
      <c r="B27" s="238"/>
      <c r="C27" s="223"/>
      <c r="D27" s="223"/>
      <c r="E27" s="226"/>
      <c r="F27" s="240"/>
      <c r="G27" s="240" t="s">
        <v>323</v>
      </c>
      <c r="H27" s="240"/>
    </row>
    <row r="28" spans="1:9" x14ac:dyDescent="0.2">
      <c r="A28" s="235"/>
      <c r="B28" s="238"/>
      <c r="C28" s="236" t="s">
        <v>324</v>
      </c>
      <c r="D28" s="236"/>
      <c r="E28" s="233"/>
      <c r="F28" s="221">
        <v>12</v>
      </c>
      <c r="G28" s="188" t="s">
        <v>199</v>
      </c>
      <c r="H28" s="239"/>
    </row>
    <row r="29" spans="1:9" x14ac:dyDescent="0.2">
      <c r="A29" s="235"/>
      <c r="B29" s="238"/>
      <c r="G29" s="239"/>
      <c r="H29" s="239"/>
    </row>
    <row r="30" spans="1:9" ht="13.5" thickBot="1" x14ac:dyDescent="0.25">
      <c r="A30" s="235"/>
      <c r="B30" s="238"/>
      <c r="D30" s="239"/>
      <c r="E30" s="239"/>
      <c r="G30" s="240" t="s">
        <v>324</v>
      </c>
      <c r="H30" s="240"/>
    </row>
    <row r="31" spans="1:9" x14ac:dyDescent="0.2">
      <c r="A31" s="235"/>
      <c r="B31" s="238"/>
      <c r="D31" s="239"/>
      <c r="E31" s="239"/>
      <c r="G31" s="235" t="s">
        <v>200</v>
      </c>
    </row>
    <row r="32" spans="1:9" x14ac:dyDescent="0.2">
      <c r="A32" s="188"/>
      <c r="B32" s="239"/>
      <c r="C32" s="191"/>
      <c r="D32" s="192"/>
      <c r="E32" s="192"/>
      <c r="F32" s="157"/>
      <c r="G32" s="192"/>
      <c r="H32" s="191"/>
      <c r="I32" s="192"/>
    </row>
    <row r="33" spans="1:8" x14ac:dyDescent="0.2">
      <c r="A33" s="193" t="s">
        <v>218</v>
      </c>
      <c r="B33" s="238" t="s">
        <v>325</v>
      </c>
      <c r="C33" s="271">
        <v>13</v>
      </c>
    </row>
    <row r="34" spans="1:8" x14ac:dyDescent="0.2">
      <c r="A34" s="222"/>
      <c r="B34" s="223"/>
      <c r="C34" s="224" t="s">
        <v>325</v>
      </c>
      <c r="D34" s="236"/>
      <c r="E34" s="236"/>
      <c r="F34" s="221">
        <v>10</v>
      </c>
    </row>
    <row r="35" spans="1:8" x14ac:dyDescent="0.2">
      <c r="A35" s="222" t="s">
        <v>229</v>
      </c>
      <c r="B35" s="236" t="s">
        <v>278</v>
      </c>
      <c r="C35" s="225">
        <v>9</v>
      </c>
      <c r="E35" s="227"/>
    </row>
    <row r="36" spans="1:8" ht="13.5" thickBot="1" x14ac:dyDescent="0.25">
      <c r="A36" s="222"/>
      <c r="B36" s="238"/>
      <c r="C36" s="239"/>
      <c r="E36" s="227"/>
      <c r="G36" s="238" t="s">
        <v>326</v>
      </c>
    </row>
    <row r="37" spans="1:8" x14ac:dyDescent="0.2">
      <c r="A37" s="222" t="s">
        <v>217</v>
      </c>
      <c r="B37" s="238" t="s">
        <v>326</v>
      </c>
      <c r="C37" s="273">
        <v>13</v>
      </c>
      <c r="E37" s="227"/>
      <c r="F37" s="229"/>
      <c r="G37" s="230" t="s">
        <v>201</v>
      </c>
      <c r="H37" s="231"/>
    </row>
    <row r="38" spans="1:8" x14ac:dyDescent="0.2">
      <c r="A38" s="222"/>
      <c r="B38" s="223"/>
      <c r="C38" s="232" t="s">
        <v>326</v>
      </c>
      <c r="E38" s="233"/>
      <c r="F38" s="273">
        <v>13</v>
      </c>
    </row>
    <row r="39" spans="1:8" ht="13.5" thickBot="1" x14ac:dyDescent="0.25">
      <c r="A39" s="222" t="s">
        <v>226</v>
      </c>
      <c r="B39" s="236" t="s">
        <v>221</v>
      </c>
      <c r="C39" s="234">
        <v>0</v>
      </c>
      <c r="D39" s="223"/>
      <c r="F39" s="239"/>
      <c r="G39" s="239" t="s">
        <v>325</v>
      </c>
      <c r="H39" s="240"/>
    </row>
    <row r="40" spans="1:8" x14ac:dyDescent="0.2">
      <c r="B40" s="238"/>
      <c r="F40" s="239"/>
      <c r="G40" s="230" t="s">
        <v>202</v>
      </c>
      <c r="H40" s="239"/>
    </row>
    <row r="41" spans="1:8" x14ac:dyDescent="0.2">
      <c r="B41" s="238"/>
      <c r="C41" s="238" t="s">
        <v>278</v>
      </c>
      <c r="F41" s="273">
        <v>13</v>
      </c>
      <c r="G41" s="239"/>
      <c r="H41" s="239"/>
    </row>
    <row r="42" spans="1:8" ht="13.5" thickBot="1" x14ac:dyDescent="0.25">
      <c r="B42" s="238"/>
      <c r="C42" s="223"/>
      <c r="D42" s="223"/>
      <c r="E42" s="226"/>
      <c r="F42" s="240"/>
      <c r="G42" s="240" t="s">
        <v>278</v>
      </c>
      <c r="H42" s="240"/>
    </row>
    <row r="43" spans="1:8" x14ac:dyDescent="0.2">
      <c r="B43" s="238"/>
      <c r="C43" s="236" t="s">
        <v>221</v>
      </c>
      <c r="D43" s="236"/>
      <c r="E43" s="233"/>
      <c r="F43" s="221">
        <v>0</v>
      </c>
      <c r="G43" s="188" t="s">
        <v>203</v>
      </c>
      <c r="H43" s="239"/>
    </row>
    <row r="44" spans="1:8" x14ac:dyDescent="0.2">
      <c r="B44" s="238"/>
      <c r="G44" s="239"/>
      <c r="H44" s="239"/>
    </row>
    <row r="45" spans="1:8" ht="13.5" thickBot="1" x14ac:dyDescent="0.25">
      <c r="B45" s="238"/>
      <c r="D45" s="239"/>
      <c r="E45" s="239"/>
      <c r="G45" s="240" t="s">
        <v>221</v>
      </c>
      <c r="H45" s="240"/>
    </row>
    <row r="46" spans="1:8" x14ac:dyDescent="0.2">
      <c r="B46" s="238"/>
      <c r="D46" s="239"/>
      <c r="E46" s="239"/>
      <c r="G46" s="235" t="s">
        <v>204</v>
      </c>
    </row>
    <row r="47" spans="1:8" x14ac:dyDescent="0.2">
      <c r="B47" s="238"/>
    </row>
    <row r="48" spans="1:8" x14ac:dyDescent="0.2">
      <c r="A48" s="154">
        <v>1</v>
      </c>
      <c r="B48" s="154" t="s">
        <v>327</v>
      </c>
    </row>
    <row r="49" spans="1:2" x14ac:dyDescent="0.2">
      <c r="A49" s="154">
        <v>2</v>
      </c>
      <c r="B49" s="252" t="s">
        <v>328</v>
      </c>
    </row>
    <row r="50" spans="1:2" x14ac:dyDescent="0.2">
      <c r="A50" s="154">
        <v>3</v>
      </c>
      <c r="B50" s="252" t="s">
        <v>323</v>
      </c>
    </row>
    <row r="51" spans="1:2" x14ac:dyDescent="0.2">
      <c r="A51" s="154">
        <v>4</v>
      </c>
      <c r="B51" s="252" t="s">
        <v>324</v>
      </c>
    </row>
    <row r="52" spans="1:2" x14ac:dyDescent="0.2">
      <c r="A52" s="154">
        <v>5</v>
      </c>
      <c r="B52" s="252" t="s">
        <v>326</v>
      </c>
    </row>
    <row r="53" spans="1:2" x14ac:dyDescent="0.2">
      <c r="A53" s="154">
        <v>6</v>
      </c>
      <c r="B53" s="252" t="s">
        <v>325</v>
      </c>
    </row>
    <row r="54" spans="1:2" x14ac:dyDescent="0.2">
      <c r="A54" s="154">
        <v>7</v>
      </c>
      <c r="B54" s="252" t="s">
        <v>278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  <pageSetUpPr fitToPage="1"/>
  </sheetPr>
  <dimension ref="A1:L37"/>
  <sheetViews>
    <sheetView showGridLines="0" showRowColHeaders="0" zoomScaleNormal="100" workbookViewId="0">
      <pane ySplit="7" topLeftCell="A8" activePane="bottomLeft" state="frozen"/>
      <selection pane="bottomLeft" activeCell="I1" sqref="I1"/>
    </sheetView>
  </sheetViews>
  <sheetFormatPr defaultRowHeight="12.75" x14ac:dyDescent="0.2"/>
  <cols>
    <col min="1" max="1" width="10.7109375" style="452" customWidth="1"/>
    <col min="2" max="2" width="25.42578125" style="452" customWidth="1"/>
    <col min="3" max="3" width="6.28515625" style="452" bestFit="1" customWidth="1"/>
    <col min="4" max="4" width="7.28515625" style="452" bestFit="1" customWidth="1"/>
    <col min="5" max="5" width="7.28515625" style="452" customWidth="1"/>
    <col min="6" max="6" width="6.28515625" style="452" bestFit="1" customWidth="1"/>
    <col min="7" max="7" width="27.7109375" style="452" customWidth="1"/>
    <col min="8" max="8" width="0.85546875" style="452" customWidth="1"/>
    <col min="9" max="16384" width="9.140625" style="452"/>
  </cols>
  <sheetData>
    <row r="1" spans="1:12" s="238" customFormat="1" x14ac:dyDescent="0.2">
      <c r="A1" s="82" t="str">
        <f>UPPER((Kalend!D25)&amp;" - "&amp;(Kalend!C25))</f>
        <v>SÕ - 8. SHK-MAESTRO SÕPRUSKOHTUMINE</v>
      </c>
      <c r="B1" s="235"/>
      <c r="E1" s="361" t="str">
        <f>HYPERLINK("#'Kalend'!I1","Kalender")</f>
        <v>Kalender</v>
      </c>
      <c r="G1" s="452" t="s">
        <v>338</v>
      </c>
      <c r="H1" s="85"/>
      <c r="K1" s="453"/>
      <c r="L1" s="453"/>
    </row>
    <row r="2" spans="1:12" s="85" customFormat="1" x14ac:dyDescent="0.2">
      <c r="A2" s="85" t="str">
        <f>"Toimumisaeg: "&amp;(Kalend!A25)&amp;" kell "&amp;(Kalend!B25)</f>
        <v>Toimumisaeg: P, 24.01.2016 kell 11:00</v>
      </c>
      <c r="F2" s="454"/>
      <c r="G2" s="452" t="s">
        <v>339</v>
      </c>
    </row>
    <row r="3" spans="1:12" s="85" customFormat="1" x14ac:dyDescent="0.2">
      <c r="A3" s="85" t="str">
        <f>"Toimumiskoht: "&amp;(Kalend!F25)</f>
        <v>Toimumiskoht: K-Järve petangihall</v>
      </c>
      <c r="F3" s="454"/>
      <c r="G3" s="452" t="s">
        <v>341</v>
      </c>
    </row>
    <row r="4" spans="1:12" s="85" customFormat="1" x14ac:dyDescent="0.2">
      <c r="A4" s="85" t="str">
        <f>"Korraldaja: "&amp;(Kalend!G25)</f>
        <v>Korraldaja: K-Järve SHK, Ivar Viljaste</v>
      </c>
      <c r="F4" s="454"/>
      <c r="G4" s="452" t="s">
        <v>340</v>
      </c>
    </row>
    <row r="6" spans="1:12" x14ac:dyDescent="0.2">
      <c r="A6" s="455"/>
      <c r="B6" s="912" t="s">
        <v>72</v>
      </c>
      <c r="C6" s="913"/>
      <c r="D6" s="914"/>
      <c r="E6" s="915" t="s">
        <v>368</v>
      </c>
      <c r="F6" s="916"/>
      <c r="G6" s="917"/>
    </row>
    <row r="7" spans="1:12" x14ac:dyDescent="0.2">
      <c r="A7" s="456" t="s">
        <v>73</v>
      </c>
      <c r="B7" s="457" t="s">
        <v>74</v>
      </c>
      <c r="C7" s="458" t="s">
        <v>75</v>
      </c>
      <c r="D7" s="459" t="s">
        <v>76</v>
      </c>
      <c r="E7" s="460" t="s">
        <v>76</v>
      </c>
      <c r="F7" s="461" t="s">
        <v>75</v>
      </c>
      <c r="G7" s="461" t="s">
        <v>74</v>
      </c>
      <c r="H7" s="462"/>
    </row>
    <row r="8" spans="1:12" s="470" customFormat="1" x14ac:dyDescent="0.2">
      <c r="A8" s="463" t="s">
        <v>77</v>
      </c>
      <c r="B8" s="464" t="s">
        <v>349</v>
      </c>
      <c r="C8" s="465">
        <v>12</v>
      </c>
      <c r="D8" s="466">
        <v>0</v>
      </c>
      <c r="E8" s="467">
        <v>3</v>
      </c>
      <c r="F8" s="468">
        <v>13</v>
      </c>
      <c r="G8" s="469" t="s">
        <v>356</v>
      </c>
    </row>
    <row r="9" spans="1:12" s="470" customFormat="1" x14ac:dyDescent="0.2">
      <c r="A9" s="471" t="s">
        <v>78</v>
      </c>
      <c r="B9" s="848" t="s">
        <v>446</v>
      </c>
      <c r="C9" s="458">
        <v>13</v>
      </c>
      <c r="D9" s="473">
        <v>3</v>
      </c>
      <c r="E9" s="474">
        <v>0</v>
      </c>
      <c r="F9" s="475">
        <v>11</v>
      </c>
      <c r="G9" s="849" t="s">
        <v>445</v>
      </c>
      <c r="H9" s="855" t="s">
        <v>58</v>
      </c>
    </row>
    <row r="10" spans="1:12" s="470" customFormat="1" x14ac:dyDescent="0.2">
      <c r="A10" s="471" t="s">
        <v>79</v>
      </c>
      <c r="B10" s="848" t="s">
        <v>444</v>
      </c>
      <c r="C10" s="458">
        <v>13</v>
      </c>
      <c r="D10" s="473">
        <v>2</v>
      </c>
      <c r="E10" s="474">
        <v>0</v>
      </c>
      <c r="F10" s="475">
        <v>2</v>
      </c>
      <c r="G10" s="849" t="s">
        <v>447</v>
      </c>
    </row>
    <row r="11" spans="1:12" x14ac:dyDescent="0.2">
      <c r="A11" s="254" t="s">
        <v>376</v>
      </c>
      <c r="B11" s="487"/>
      <c r="C11" s="488"/>
      <c r="D11" s="489">
        <f>SUM(D8:D10)</f>
        <v>5</v>
      </c>
      <c r="E11" s="490">
        <f>SUM(E8:E10)</f>
        <v>3</v>
      </c>
      <c r="F11" s="478"/>
      <c r="G11" s="477"/>
    </row>
    <row r="12" spans="1:12" x14ac:dyDescent="0.2">
      <c r="B12" s="479"/>
      <c r="C12" s="480"/>
      <c r="D12" s="481"/>
      <c r="E12" s="481"/>
      <c r="F12" s="480"/>
      <c r="G12" s="479"/>
    </row>
    <row r="13" spans="1:12" x14ac:dyDescent="0.2">
      <c r="A13" s="471" t="s">
        <v>81</v>
      </c>
      <c r="B13" s="851" t="s">
        <v>350</v>
      </c>
      <c r="C13" s="482">
        <v>7</v>
      </c>
      <c r="D13" s="473">
        <v>0</v>
      </c>
      <c r="E13" s="474">
        <v>2</v>
      </c>
      <c r="F13" s="461">
        <v>13</v>
      </c>
      <c r="G13" s="850" t="s">
        <v>357</v>
      </c>
    </row>
    <row r="14" spans="1:12" x14ac:dyDescent="0.2">
      <c r="A14" s="471" t="s">
        <v>80</v>
      </c>
      <c r="B14" s="472" t="s">
        <v>351</v>
      </c>
      <c r="C14" s="458">
        <v>13</v>
      </c>
      <c r="D14" s="473">
        <v>2</v>
      </c>
      <c r="E14" s="474">
        <v>0</v>
      </c>
      <c r="F14" s="475">
        <v>11</v>
      </c>
      <c r="G14" s="476" t="s">
        <v>358</v>
      </c>
    </row>
    <row r="15" spans="1:12" x14ac:dyDescent="0.2">
      <c r="A15" s="471" t="s">
        <v>80</v>
      </c>
      <c r="B15" s="472" t="s">
        <v>352</v>
      </c>
      <c r="C15" s="458">
        <v>13</v>
      </c>
      <c r="D15" s="473">
        <v>2</v>
      </c>
      <c r="E15" s="474">
        <v>0</v>
      </c>
      <c r="F15" s="475">
        <v>12</v>
      </c>
      <c r="G15" s="476" t="s">
        <v>359</v>
      </c>
    </row>
    <row r="16" spans="1:12" x14ac:dyDescent="0.2">
      <c r="A16" s="471" t="s">
        <v>80</v>
      </c>
      <c r="B16" s="472" t="s">
        <v>353</v>
      </c>
      <c r="C16" s="458">
        <v>13</v>
      </c>
      <c r="D16" s="473">
        <v>2</v>
      </c>
      <c r="E16" s="474">
        <v>0</v>
      </c>
      <c r="F16" s="475">
        <v>2</v>
      </c>
      <c r="G16" s="849" t="s">
        <v>447</v>
      </c>
    </row>
    <row r="17" spans="1:8" x14ac:dyDescent="0.2">
      <c r="A17" s="254" t="s">
        <v>377</v>
      </c>
      <c r="B17" s="487"/>
      <c r="C17" s="488"/>
      <c r="D17" s="489">
        <f>SUM(D11:D16)</f>
        <v>11</v>
      </c>
      <c r="E17" s="490">
        <f>SUM(E11:E16)</f>
        <v>5</v>
      </c>
      <c r="F17" s="483"/>
      <c r="G17" s="484"/>
    </row>
    <row r="18" spans="1:8" x14ac:dyDescent="0.2">
      <c r="B18" s="479"/>
      <c r="C18" s="480"/>
      <c r="D18" s="481"/>
      <c r="E18" s="481"/>
      <c r="F18" s="485"/>
      <c r="G18" s="486"/>
    </row>
    <row r="19" spans="1:8" x14ac:dyDescent="0.2">
      <c r="A19" s="471" t="s">
        <v>348</v>
      </c>
      <c r="B19" s="848" t="s">
        <v>448</v>
      </c>
      <c r="C19" s="458">
        <v>13</v>
      </c>
      <c r="D19" s="473">
        <v>3</v>
      </c>
      <c r="E19" s="474">
        <v>0</v>
      </c>
      <c r="F19" s="475">
        <v>11</v>
      </c>
      <c r="G19" s="849" t="s">
        <v>445</v>
      </c>
      <c r="H19" s="856" t="s">
        <v>58</v>
      </c>
    </row>
    <row r="20" spans="1:8" x14ac:dyDescent="0.2">
      <c r="A20" s="471" t="s">
        <v>77</v>
      </c>
      <c r="B20" s="472" t="s">
        <v>354</v>
      </c>
      <c r="C20" s="482">
        <v>11</v>
      </c>
      <c r="D20" s="473">
        <v>0</v>
      </c>
      <c r="E20" s="474">
        <v>3</v>
      </c>
      <c r="F20" s="461">
        <v>13</v>
      </c>
      <c r="G20" s="476" t="s">
        <v>356</v>
      </c>
    </row>
    <row r="21" spans="1:8" x14ac:dyDescent="0.2">
      <c r="A21" s="471" t="s">
        <v>80</v>
      </c>
      <c r="B21" s="472" t="s">
        <v>355</v>
      </c>
      <c r="C21" s="482">
        <v>5</v>
      </c>
      <c r="D21" s="473">
        <v>0</v>
      </c>
      <c r="E21" s="474">
        <v>2</v>
      </c>
      <c r="F21" s="461">
        <v>13</v>
      </c>
      <c r="G21" s="849" t="s">
        <v>447</v>
      </c>
    </row>
    <row r="22" spans="1:8" x14ac:dyDescent="0.2">
      <c r="A22" s="254" t="s">
        <v>378</v>
      </c>
      <c r="B22" s="487"/>
      <c r="C22" s="488"/>
      <c r="D22" s="489">
        <f>SUM(D17:D21)</f>
        <v>14</v>
      </c>
      <c r="E22" s="490">
        <f>SUM(E17:E21)</f>
        <v>10</v>
      </c>
      <c r="F22" s="483"/>
      <c r="G22" s="484"/>
    </row>
    <row r="23" spans="1:8" x14ac:dyDescent="0.2">
      <c r="B23" s="479"/>
      <c r="C23" s="480"/>
      <c r="D23" s="481"/>
      <c r="E23" s="481"/>
      <c r="F23" s="481"/>
      <c r="G23" s="486"/>
    </row>
    <row r="24" spans="1:8" x14ac:dyDescent="0.2">
      <c r="A24" s="471" t="s">
        <v>78</v>
      </c>
      <c r="B24" s="848" t="s">
        <v>449</v>
      </c>
      <c r="C24" s="458">
        <v>13</v>
      </c>
      <c r="D24" s="473">
        <v>3</v>
      </c>
      <c r="E24" s="474">
        <v>0</v>
      </c>
      <c r="F24" s="475">
        <v>10</v>
      </c>
      <c r="G24" s="849" t="s">
        <v>450</v>
      </c>
      <c r="H24" s="856" t="s">
        <v>58</v>
      </c>
    </row>
    <row r="25" spans="1:8" x14ac:dyDescent="0.2">
      <c r="A25" s="471" t="s">
        <v>78</v>
      </c>
      <c r="B25" s="848" t="s">
        <v>446</v>
      </c>
      <c r="C25" s="458">
        <v>13</v>
      </c>
      <c r="D25" s="473">
        <v>3</v>
      </c>
      <c r="E25" s="474">
        <v>0</v>
      </c>
      <c r="F25" s="475">
        <v>6</v>
      </c>
      <c r="G25" s="849" t="s">
        <v>451</v>
      </c>
    </row>
    <row r="26" spans="1:8" x14ac:dyDescent="0.2">
      <c r="A26" s="471" t="s">
        <v>80</v>
      </c>
      <c r="B26" s="472" t="s">
        <v>352</v>
      </c>
      <c r="C26" s="458">
        <v>13</v>
      </c>
      <c r="D26" s="473">
        <v>2</v>
      </c>
      <c r="E26" s="474">
        <v>0</v>
      </c>
      <c r="F26" s="475">
        <v>3</v>
      </c>
      <c r="G26" s="849" t="s">
        <v>447</v>
      </c>
    </row>
    <row r="27" spans="1:8" x14ac:dyDescent="0.2">
      <c r="A27" s="254" t="s">
        <v>379</v>
      </c>
      <c r="B27" s="487"/>
      <c r="C27" s="488"/>
      <c r="D27" s="489">
        <f>SUM(D22:D26)</f>
        <v>22</v>
      </c>
      <c r="E27" s="490">
        <f>SUM(E22:E26)</f>
        <v>10</v>
      </c>
      <c r="F27" s="483"/>
      <c r="G27" s="484"/>
    </row>
    <row r="28" spans="1:8" x14ac:dyDescent="0.2">
      <c r="B28" s="479"/>
      <c r="C28" s="480"/>
      <c r="D28" s="481"/>
      <c r="E28" s="481"/>
      <c r="F28" s="485"/>
      <c r="G28" s="486"/>
    </row>
    <row r="29" spans="1:8" x14ac:dyDescent="0.2">
      <c r="A29" s="471" t="s">
        <v>347</v>
      </c>
      <c r="B29" s="851" t="s">
        <v>141</v>
      </c>
      <c r="C29" s="458">
        <v>13</v>
      </c>
      <c r="D29" s="473">
        <v>1</v>
      </c>
      <c r="E29" s="474">
        <v>0</v>
      </c>
      <c r="F29" s="475">
        <v>7</v>
      </c>
      <c r="G29" s="850" t="s">
        <v>360</v>
      </c>
    </row>
    <row r="30" spans="1:8" x14ac:dyDescent="0.2">
      <c r="A30" s="471" t="s">
        <v>347</v>
      </c>
      <c r="B30" s="851" t="s">
        <v>125</v>
      </c>
      <c r="C30" s="482">
        <v>9</v>
      </c>
      <c r="D30" s="473">
        <v>0</v>
      </c>
      <c r="E30" s="474">
        <v>1</v>
      </c>
      <c r="F30" s="461">
        <v>13</v>
      </c>
      <c r="G30" s="850" t="s">
        <v>361</v>
      </c>
    </row>
    <row r="31" spans="1:8" x14ac:dyDescent="0.2">
      <c r="A31" s="471" t="s">
        <v>82</v>
      </c>
      <c r="B31" s="472" t="s">
        <v>98</v>
      </c>
      <c r="C31" s="482">
        <v>11</v>
      </c>
      <c r="D31" s="473">
        <v>0</v>
      </c>
      <c r="E31" s="474">
        <v>1</v>
      </c>
      <c r="F31" s="461">
        <v>13</v>
      </c>
      <c r="G31" s="850" t="s">
        <v>362</v>
      </c>
    </row>
    <row r="32" spans="1:8" x14ac:dyDescent="0.2">
      <c r="A32" s="471" t="s">
        <v>82</v>
      </c>
      <c r="B32" s="472" t="s">
        <v>104</v>
      </c>
      <c r="C32" s="482">
        <v>12</v>
      </c>
      <c r="D32" s="473">
        <v>0</v>
      </c>
      <c r="E32" s="474">
        <v>1</v>
      </c>
      <c r="F32" s="461">
        <v>13</v>
      </c>
      <c r="G32" s="476" t="s">
        <v>363</v>
      </c>
    </row>
    <row r="33" spans="1:7" x14ac:dyDescent="0.2">
      <c r="A33" s="471" t="s">
        <v>82</v>
      </c>
      <c r="B33" s="472" t="s">
        <v>114</v>
      </c>
      <c r="C33" s="458">
        <v>13</v>
      </c>
      <c r="D33" s="473">
        <v>1</v>
      </c>
      <c r="E33" s="474">
        <v>0</v>
      </c>
      <c r="F33" s="475">
        <v>5</v>
      </c>
      <c r="G33" s="476" t="s">
        <v>364</v>
      </c>
    </row>
    <row r="34" spans="1:7" x14ac:dyDescent="0.2">
      <c r="A34" s="471" t="s">
        <v>82</v>
      </c>
      <c r="B34" s="472" t="s">
        <v>113</v>
      </c>
      <c r="C34" s="458">
        <v>13</v>
      </c>
      <c r="D34" s="473">
        <v>1</v>
      </c>
      <c r="E34" s="474">
        <v>0</v>
      </c>
      <c r="F34" s="475">
        <v>8</v>
      </c>
      <c r="G34" s="476" t="s">
        <v>365</v>
      </c>
    </row>
    <row r="35" spans="1:7" x14ac:dyDescent="0.2">
      <c r="A35" s="471" t="s">
        <v>82</v>
      </c>
      <c r="B35" s="472" t="s">
        <v>90</v>
      </c>
      <c r="C35" s="458">
        <v>13</v>
      </c>
      <c r="D35" s="473">
        <v>1</v>
      </c>
      <c r="E35" s="474">
        <v>0</v>
      </c>
      <c r="F35" s="475">
        <v>12</v>
      </c>
      <c r="G35" s="476" t="s">
        <v>366</v>
      </c>
    </row>
    <row r="36" spans="1:7" x14ac:dyDescent="0.2">
      <c r="A36" s="471" t="s">
        <v>82</v>
      </c>
      <c r="B36" s="472" t="s">
        <v>95</v>
      </c>
      <c r="C36" s="482">
        <v>4</v>
      </c>
      <c r="D36" s="473">
        <v>0</v>
      </c>
      <c r="E36" s="474">
        <v>1</v>
      </c>
      <c r="F36" s="461">
        <v>13</v>
      </c>
      <c r="G36" s="476" t="s">
        <v>367</v>
      </c>
    </row>
    <row r="37" spans="1:7" x14ac:dyDescent="0.2">
      <c r="A37" s="254" t="s">
        <v>83</v>
      </c>
      <c r="B37" s="488"/>
      <c r="C37" s="488"/>
      <c r="D37" s="489">
        <f>SUM(D27:D36)</f>
        <v>26</v>
      </c>
      <c r="E37" s="490">
        <f>SUM(E27:E36)</f>
        <v>14</v>
      </c>
      <c r="F37" s="483"/>
      <c r="G37" s="483"/>
    </row>
  </sheetData>
  <mergeCells count="2">
    <mergeCell ref="B6:D6"/>
    <mergeCell ref="E6:G6"/>
  </mergeCells>
  <pageMargins left="0.78740157480314965" right="0.39370078740157483" top="0.78740157480314965" bottom="0.39370078740157483" header="0.59055118110236227" footer="0"/>
  <pageSetup paperSize="9" fitToHeight="0" orientation="portrait" r:id="rId1"/>
  <headerFooter alignWithMargins="0">
    <oddHeader>&amp;R&amp;9Page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18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L1" sqref="L1"/>
    </sheetView>
  </sheetViews>
  <sheetFormatPr defaultRowHeight="12.75" x14ac:dyDescent="0.2"/>
  <cols>
    <col min="1" max="1" width="3.28515625" style="238" customWidth="1"/>
    <col min="2" max="2" width="18.7109375" style="235" bestFit="1" customWidth="1"/>
    <col min="3" max="3" width="7.28515625" style="238" bestFit="1" customWidth="1"/>
    <col min="4" max="4" width="7.42578125" style="238" bestFit="1" customWidth="1"/>
    <col min="5" max="5" width="9.140625" style="238" bestFit="1" customWidth="1"/>
    <col min="6" max="6" width="6.7109375" style="238" bestFit="1" customWidth="1"/>
    <col min="7" max="7" width="5.140625" style="238" bestFit="1" customWidth="1"/>
    <col min="8" max="9" width="5.85546875" style="238" customWidth="1"/>
    <col min="10" max="16384" width="9.140625" style="238"/>
  </cols>
  <sheetData>
    <row r="1" spans="1:13" x14ac:dyDescent="0.2">
      <c r="A1" s="82" t="str">
        <f>UPPER((Kalend!D26)&amp;" - "&amp;(Kalend!C26)&amp;" - "&amp;(Kalend!E26))</f>
        <v>4 - SHK KV 4. ETAPP - ÜKSIK</v>
      </c>
      <c r="H1" s="361" t="str">
        <f>HYPERLINK("#'Kalend'!I1","Kalender")</f>
        <v>Kalender</v>
      </c>
      <c r="I1" s="85"/>
      <c r="J1" s="361" t="str">
        <f>HYPERLINK("#'Reit'!J1","Reiting")</f>
        <v>Reiting</v>
      </c>
      <c r="K1" s="85"/>
    </row>
    <row r="2" spans="1:13" s="85" customFormat="1" x14ac:dyDescent="0.2">
      <c r="A2" s="85" t="str">
        <f>"Toimumisaeg: "&amp;(Kalend!A26)&amp;" kell "&amp;(Kalend!B26)</f>
        <v>Toimumisaeg: P, 28.02.2016 kell 11:00</v>
      </c>
    </row>
    <row r="3" spans="1:13" s="85" customFormat="1" x14ac:dyDescent="0.2">
      <c r="A3" s="85" t="str">
        <f>"Toimumiskoht: "&amp;(Kalend!F26)</f>
        <v>Toimumiskoht: K-Järve petangihall</v>
      </c>
    </row>
    <row r="4" spans="1:13" s="85" customFormat="1" x14ac:dyDescent="0.2">
      <c r="A4" s="85" t="str">
        <f>"Korraldaja: "&amp;(Kalend!G26)</f>
        <v>Korraldaja: K-Järve SHK, Ivar Viljaste</v>
      </c>
    </row>
    <row r="6" spans="1:13" s="17" customFormat="1" x14ac:dyDescent="0.2">
      <c r="A6" s="154" t="s">
        <v>184</v>
      </c>
      <c r="B6" s="154"/>
      <c r="C6" s="155" t="s">
        <v>185</v>
      </c>
      <c r="D6" s="155" t="s">
        <v>186</v>
      </c>
      <c r="E6" s="155" t="s">
        <v>187</v>
      </c>
      <c r="F6" s="155" t="s">
        <v>188</v>
      </c>
      <c r="G6" s="155" t="s">
        <v>85</v>
      </c>
    </row>
    <row r="7" spans="1:13" s="17" customFormat="1" x14ac:dyDescent="0.2">
      <c r="A7" s="154">
        <v>1</v>
      </c>
      <c r="B7" s="405" t="s">
        <v>98</v>
      </c>
      <c r="C7" s="189">
        <v>13</v>
      </c>
      <c r="D7" s="285">
        <v>11</v>
      </c>
      <c r="E7" s="285"/>
      <c r="F7" s="285">
        <v>7</v>
      </c>
      <c r="G7" s="277" t="s">
        <v>224</v>
      </c>
      <c r="M7" s="253"/>
    </row>
    <row r="8" spans="1:13" s="17" customFormat="1" x14ac:dyDescent="0.2">
      <c r="A8" s="154">
        <v>2</v>
      </c>
      <c r="B8" s="405" t="s">
        <v>143</v>
      </c>
      <c r="C8" s="189">
        <v>13</v>
      </c>
      <c r="D8" s="189">
        <v>13</v>
      </c>
      <c r="E8" s="285"/>
      <c r="F8" s="285"/>
      <c r="G8" s="277" t="s">
        <v>222</v>
      </c>
      <c r="M8" s="253"/>
    </row>
    <row r="9" spans="1:13" s="17" customFormat="1" x14ac:dyDescent="0.2">
      <c r="A9" s="154">
        <v>3</v>
      </c>
      <c r="B9" s="405" t="s">
        <v>114</v>
      </c>
      <c r="C9" s="285">
        <v>12</v>
      </c>
      <c r="D9" s="285"/>
      <c r="E9" s="189">
        <v>13</v>
      </c>
      <c r="F9" s="189">
        <v>13</v>
      </c>
      <c r="G9" s="277" t="s">
        <v>223</v>
      </c>
      <c r="M9" s="253"/>
    </row>
    <row r="10" spans="1:13" s="17" customFormat="1" x14ac:dyDescent="0.2">
      <c r="A10" s="154">
        <v>4</v>
      </c>
      <c r="B10" s="276" t="s">
        <v>125</v>
      </c>
      <c r="C10" s="285">
        <v>8</v>
      </c>
      <c r="D10" s="285"/>
      <c r="E10" s="285">
        <v>9</v>
      </c>
      <c r="F10" s="285"/>
      <c r="G10" s="277" t="s">
        <v>225</v>
      </c>
      <c r="M10" s="253"/>
    </row>
    <row r="11" spans="1:13" s="17" customFormat="1" x14ac:dyDescent="0.2">
      <c r="A11" s="156"/>
      <c r="B11" s="253"/>
      <c r="C11" s="191"/>
      <c r="D11" s="191"/>
      <c r="E11" s="191"/>
      <c r="F11" s="157"/>
      <c r="G11" s="192"/>
      <c r="M11" s="253"/>
    </row>
    <row r="12" spans="1:13" s="17" customFormat="1" x14ac:dyDescent="0.2">
      <c r="A12" s="154" t="s">
        <v>189</v>
      </c>
      <c r="B12" s="154"/>
      <c r="C12" s="155" t="s">
        <v>185</v>
      </c>
      <c r="D12" s="155" t="s">
        <v>186</v>
      </c>
      <c r="E12" s="155" t="s">
        <v>187</v>
      </c>
      <c r="F12" s="155" t="s">
        <v>188</v>
      </c>
      <c r="G12" s="155" t="s">
        <v>85</v>
      </c>
      <c r="M12" s="253"/>
    </row>
    <row r="13" spans="1:13" s="17" customFormat="1" x14ac:dyDescent="0.2">
      <c r="A13" s="154">
        <v>1</v>
      </c>
      <c r="B13" s="405" t="s">
        <v>95</v>
      </c>
      <c r="C13" s="189">
        <v>13</v>
      </c>
      <c r="D13" s="189">
        <v>13</v>
      </c>
      <c r="E13" s="285"/>
      <c r="F13" s="285"/>
      <c r="G13" s="277" t="s">
        <v>222</v>
      </c>
      <c r="M13" s="253"/>
    </row>
    <row r="14" spans="1:13" s="17" customFormat="1" x14ac:dyDescent="0.2">
      <c r="A14" s="154">
        <v>2</v>
      </c>
      <c r="B14" s="405" t="s">
        <v>115</v>
      </c>
      <c r="C14" s="285">
        <v>8</v>
      </c>
      <c r="D14" s="285"/>
      <c r="E14" s="285">
        <v>12</v>
      </c>
      <c r="F14" s="285"/>
      <c r="G14" s="277" t="s">
        <v>225</v>
      </c>
      <c r="M14" s="253"/>
    </row>
    <row r="15" spans="1:13" s="17" customFormat="1" x14ac:dyDescent="0.2">
      <c r="A15" s="154">
        <v>3</v>
      </c>
      <c r="B15" s="405" t="s">
        <v>112</v>
      </c>
      <c r="C15" s="189">
        <v>13</v>
      </c>
      <c r="D15" s="285">
        <v>12</v>
      </c>
      <c r="E15" s="285"/>
      <c r="F15" s="189">
        <v>13</v>
      </c>
      <c r="G15" s="277" t="s">
        <v>223</v>
      </c>
      <c r="M15" s="253"/>
    </row>
    <row r="16" spans="1:13" s="17" customFormat="1" x14ac:dyDescent="0.2">
      <c r="A16" s="154">
        <v>4</v>
      </c>
      <c r="B16" s="276" t="s">
        <v>111</v>
      </c>
      <c r="C16" s="285">
        <v>11</v>
      </c>
      <c r="D16" s="285"/>
      <c r="E16" s="189">
        <v>13</v>
      </c>
      <c r="F16" s="285">
        <v>6</v>
      </c>
      <c r="G16" s="277" t="s">
        <v>224</v>
      </c>
      <c r="M16" s="253"/>
    </row>
    <row r="17" spans="1:13" s="17" customFormat="1" x14ac:dyDescent="0.2">
      <c r="A17" s="156"/>
      <c r="B17" s="253"/>
      <c r="C17" s="191"/>
      <c r="D17" s="191"/>
      <c r="E17" s="191"/>
      <c r="F17" s="157"/>
      <c r="G17" s="192"/>
      <c r="M17" s="253"/>
    </row>
    <row r="18" spans="1:13" s="17" customFormat="1" x14ac:dyDescent="0.2">
      <c r="A18" s="154" t="s">
        <v>190</v>
      </c>
      <c r="B18" s="154"/>
      <c r="C18" s="155" t="s">
        <v>185</v>
      </c>
      <c r="D18" s="155" t="s">
        <v>186</v>
      </c>
      <c r="E18" s="155" t="s">
        <v>187</v>
      </c>
      <c r="F18" s="155" t="s">
        <v>188</v>
      </c>
      <c r="G18" s="155" t="s">
        <v>85</v>
      </c>
      <c r="M18" s="239"/>
    </row>
    <row r="19" spans="1:13" s="17" customFormat="1" x14ac:dyDescent="0.2">
      <c r="A19" s="154">
        <v>1</v>
      </c>
      <c r="B19" s="405" t="s">
        <v>90</v>
      </c>
      <c r="C19" s="189">
        <v>13</v>
      </c>
      <c r="D19" s="189">
        <v>13</v>
      </c>
      <c r="E19" s="285"/>
      <c r="F19" s="285"/>
      <c r="G19" s="277" t="s">
        <v>222</v>
      </c>
      <c r="M19" s="239"/>
    </row>
    <row r="20" spans="1:13" s="17" customFormat="1" x14ac:dyDescent="0.2">
      <c r="A20" s="154">
        <v>2</v>
      </c>
      <c r="B20" s="405" t="s">
        <v>137</v>
      </c>
      <c r="C20" s="285">
        <v>9</v>
      </c>
      <c r="D20" s="285"/>
      <c r="E20" s="285">
        <v>8</v>
      </c>
      <c r="F20" s="285"/>
      <c r="G20" s="277" t="s">
        <v>225</v>
      </c>
      <c r="M20" s="239"/>
    </row>
    <row r="21" spans="1:13" s="17" customFormat="1" x14ac:dyDescent="0.2">
      <c r="A21" s="154">
        <v>3</v>
      </c>
      <c r="B21" s="405" t="s">
        <v>139</v>
      </c>
      <c r="C21" s="189">
        <v>13</v>
      </c>
      <c r="D21" s="285">
        <v>10</v>
      </c>
      <c r="E21" s="285"/>
      <c r="F21" s="189">
        <v>13</v>
      </c>
      <c r="G21" s="277" t="s">
        <v>223</v>
      </c>
      <c r="M21" s="239"/>
    </row>
    <row r="22" spans="1:13" s="17" customFormat="1" x14ac:dyDescent="0.2">
      <c r="A22" s="154">
        <v>4</v>
      </c>
      <c r="B22" s="405" t="s">
        <v>126</v>
      </c>
      <c r="C22" s="285">
        <v>2</v>
      </c>
      <c r="D22" s="285"/>
      <c r="E22" s="189">
        <v>13</v>
      </c>
      <c r="F22" s="285">
        <v>8</v>
      </c>
      <c r="G22" s="277" t="s">
        <v>224</v>
      </c>
    </row>
    <row r="23" spans="1:13" s="17" customFormat="1" x14ac:dyDescent="0.2"/>
    <row r="24" spans="1:13" s="17" customFormat="1" x14ac:dyDescent="0.2">
      <c r="A24" s="154" t="s">
        <v>191</v>
      </c>
      <c r="B24" s="154"/>
      <c r="C24" s="155" t="s">
        <v>185</v>
      </c>
      <c r="D24" s="155" t="s">
        <v>186</v>
      </c>
      <c r="E24" s="155" t="s">
        <v>187</v>
      </c>
      <c r="F24" s="155" t="s">
        <v>188</v>
      </c>
      <c r="G24" s="155" t="s">
        <v>85</v>
      </c>
    </row>
    <row r="25" spans="1:13" s="17" customFormat="1" x14ac:dyDescent="0.2">
      <c r="A25" s="154">
        <v>1</v>
      </c>
      <c r="B25" s="405" t="s">
        <v>113</v>
      </c>
      <c r="C25" s="189">
        <v>13</v>
      </c>
      <c r="D25" s="285">
        <v>11</v>
      </c>
      <c r="E25" s="285"/>
      <c r="F25" s="189">
        <v>13</v>
      </c>
      <c r="G25" s="277" t="s">
        <v>223</v>
      </c>
    </row>
    <row r="26" spans="1:13" s="17" customFormat="1" x14ac:dyDescent="0.2">
      <c r="A26" s="154">
        <v>2</v>
      </c>
      <c r="B26" s="405" t="s">
        <v>104</v>
      </c>
      <c r="C26" s="285">
        <v>1</v>
      </c>
      <c r="D26" s="285"/>
      <c r="E26" s="189">
        <v>13</v>
      </c>
      <c r="F26" s="285">
        <v>8</v>
      </c>
      <c r="G26" s="277" t="s">
        <v>224</v>
      </c>
    </row>
    <row r="27" spans="1:13" s="17" customFormat="1" x14ac:dyDescent="0.2">
      <c r="A27" s="154">
        <v>3</v>
      </c>
      <c r="B27" s="405" t="s">
        <v>108</v>
      </c>
      <c r="C27" s="189">
        <v>13</v>
      </c>
      <c r="D27" s="189">
        <v>13</v>
      </c>
      <c r="E27" s="285"/>
      <c r="F27" s="285"/>
      <c r="G27" s="277" t="s">
        <v>222</v>
      </c>
    </row>
    <row r="28" spans="1:13" s="17" customFormat="1" x14ac:dyDescent="0.2">
      <c r="A28" s="154">
        <v>4</v>
      </c>
      <c r="B28" s="276"/>
      <c r="C28" s="285">
        <v>0</v>
      </c>
      <c r="D28" s="285"/>
      <c r="E28" s="285">
        <v>0</v>
      </c>
      <c r="F28" s="285"/>
      <c r="G28" s="277"/>
    </row>
    <row r="29" spans="1:13" s="17" customFormat="1" x14ac:dyDescent="0.2"/>
    <row r="30" spans="1:13" s="421" customFormat="1" x14ac:dyDescent="0.2">
      <c r="A30" s="420" t="s">
        <v>192</v>
      </c>
    </row>
    <row r="31" spans="1:13" s="421" customFormat="1" x14ac:dyDescent="0.2">
      <c r="A31" s="420"/>
    </row>
    <row r="32" spans="1:13" s="421" customFormat="1" x14ac:dyDescent="0.2">
      <c r="A32" s="422" t="s">
        <v>198</v>
      </c>
      <c r="B32" s="421" t="s">
        <v>90</v>
      </c>
      <c r="C32" s="423">
        <v>13</v>
      </c>
    </row>
    <row r="33" spans="1:11" s="421" customFormat="1" x14ac:dyDescent="0.2">
      <c r="A33" s="424"/>
      <c r="B33" s="425"/>
      <c r="C33" s="426" t="s">
        <v>90</v>
      </c>
      <c r="D33" s="427"/>
      <c r="F33" s="423">
        <v>13</v>
      </c>
    </row>
    <row r="34" spans="1:11" s="421" customFormat="1" x14ac:dyDescent="0.2">
      <c r="A34" s="422" t="s">
        <v>205</v>
      </c>
      <c r="B34" s="428" t="s">
        <v>112</v>
      </c>
      <c r="C34" s="429">
        <v>12</v>
      </c>
      <c r="E34" s="430"/>
    </row>
    <row r="35" spans="1:11" s="421" customFormat="1" x14ac:dyDescent="0.2">
      <c r="A35" s="424"/>
      <c r="D35" s="431"/>
      <c r="E35" s="432"/>
      <c r="F35" s="421" t="s">
        <v>90</v>
      </c>
      <c r="I35" s="439">
        <v>9</v>
      </c>
    </row>
    <row r="36" spans="1:11" s="421" customFormat="1" x14ac:dyDescent="0.2">
      <c r="A36" s="422" t="s">
        <v>196</v>
      </c>
      <c r="B36" s="433" t="s">
        <v>108</v>
      </c>
      <c r="C36" s="434">
        <v>13</v>
      </c>
      <c r="E36" s="432"/>
      <c r="F36" s="425"/>
      <c r="G36" s="425"/>
      <c r="H36" s="430"/>
    </row>
    <row r="37" spans="1:11" s="421" customFormat="1" x14ac:dyDescent="0.2">
      <c r="A37" s="424"/>
      <c r="B37" s="425"/>
      <c r="C37" s="435" t="s">
        <v>108</v>
      </c>
      <c r="E37" s="436"/>
      <c r="F37" s="437">
        <v>2</v>
      </c>
      <c r="G37" s="431"/>
      <c r="H37" s="432"/>
    </row>
    <row r="38" spans="1:11" s="421" customFormat="1" x14ac:dyDescent="0.2">
      <c r="A38" s="422" t="s">
        <v>206</v>
      </c>
      <c r="B38" s="428" t="s">
        <v>114</v>
      </c>
      <c r="C38" s="438">
        <v>11</v>
      </c>
      <c r="D38" s="425"/>
      <c r="F38" s="431"/>
      <c r="G38" s="431"/>
      <c r="H38" s="432"/>
    </row>
    <row r="39" spans="1:11" s="421" customFormat="1" ht="13.5" thickBot="1" x14ac:dyDescent="0.25">
      <c r="A39" s="424"/>
      <c r="F39" s="431"/>
      <c r="G39" s="431"/>
      <c r="H39" s="432"/>
      <c r="J39" s="421" t="s">
        <v>139</v>
      </c>
    </row>
    <row r="40" spans="1:11" s="421" customFormat="1" x14ac:dyDescent="0.2">
      <c r="A40" s="422" t="s">
        <v>194</v>
      </c>
      <c r="B40" s="421" t="s">
        <v>143</v>
      </c>
      <c r="C40" s="423">
        <v>13</v>
      </c>
      <c r="F40" s="431"/>
      <c r="G40" s="431"/>
      <c r="H40" s="432"/>
      <c r="I40" s="440"/>
      <c r="J40" s="441" t="s">
        <v>195</v>
      </c>
      <c r="K40" s="442"/>
    </row>
    <row r="41" spans="1:11" s="421" customFormat="1" x14ac:dyDescent="0.2">
      <c r="A41" s="424"/>
      <c r="B41" s="425"/>
      <c r="C41" s="426" t="s">
        <v>143</v>
      </c>
      <c r="D41" s="427"/>
      <c r="F41" s="437">
        <v>9</v>
      </c>
      <c r="G41" s="431"/>
      <c r="H41" s="432"/>
    </row>
    <row r="42" spans="1:11" s="421" customFormat="1" ht="13.5" thickBot="1" x14ac:dyDescent="0.25">
      <c r="A42" s="422" t="s">
        <v>208</v>
      </c>
      <c r="B42" s="491" t="s">
        <v>113</v>
      </c>
      <c r="C42" s="429">
        <v>5</v>
      </c>
      <c r="E42" s="430"/>
      <c r="F42" s="431"/>
      <c r="G42" s="431"/>
      <c r="H42" s="432"/>
      <c r="J42" s="444" t="s">
        <v>90</v>
      </c>
      <c r="K42" s="444"/>
    </row>
    <row r="43" spans="1:11" s="421" customFormat="1" x14ac:dyDescent="0.2">
      <c r="A43" s="424"/>
      <c r="D43" s="431"/>
      <c r="E43" s="432"/>
      <c r="F43" s="427" t="s">
        <v>139</v>
      </c>
      <c r="G43" s="427"/>
      <c r="H43" s="436"/>
      <c r="I43" s="423">
        <v>13</v>
      </c>
      <c r="J43" s="441" t="s">
        <v>197</v>
      </c>
    </row>
    <row r="44" spans="1:11" s="421" customFormat="1" x14ac:dyDescent="0.2">
      <c r="A44" s="422" t="s">
        <v>193</v>
      </c>
      <c r="B44" s="421" t="s">
        <v>95</v>
      </c>
      <c r="C44" s="437">
        <v>3</v>
      </c>
      <c r="E44" s="432"/>
    </row>
    <row r="45" spans="1:11" s="421" customFormat="1" x14ac:dyDescent="0.2">
      <c r="A45" s="424"/>
      <c r="B45" s="425"/>
      <c r="C45" s="435" t="s">
        <v>139</v>
      </c>
      <c r="E45" s="436"/>
      <c r="F45" s="423">
        <v>13</v>
      </c>
    </row>
    <row r="46" spans="1:11" s="421" customFormat="1" x14ac:dyDescent="0.2">
      <c r="A46" s="422" t="s">
        <v>210</v>
      </c>
      <c r="B46" s="427" t="s">
        <v>139</v>
      </c>
      <c r="C46" s="445">
        <v>13</v>
      </c>
      <c r="D46" s="425"/>
    </row>
    <row r="47" spans="1:11" s="421" customFormat="1" x14ac:dyDescent="0.2">
      <c r="F47" s="421" t="s">
        <v>108</v>
      </c>
      <c r="I47" s="437">
        <v>9</v>
      </c>
      <c r="J47" s="431"/>
      <c r="K47" s="431"/>
    </row>
    <row r="48" spans="1:11" s="421" customFormat="1" ht="13.5" thickBot="1" x14ac:dyDescent="0.25">
      <c r="F48" s="425"/>
      <c r="G48" s="425"/>
      <c r="H48" s="430"/>
      <c r="I48" s="444"/>
      <c r="J48" s="444" t="s">
        <v>143</v>
      </c>
      <c r="K48" s="444"/>
    </row>
    <row r="49" spans="3:11" s="421" customFormat="1" x14ac:dyDescent="0.2">
      <c r="F49" s="427" t="s">
        <v>143</v>
      </c>
      <c r="G49" s="427"/>
      <c r="H49" s="436"/>
      <c r="I49" s="423">
        <v>13</v>
      </c>
      <c r="J49" s="446" t="s">
        <v>199</v>
      </c>
      <c r="K49" s="431"/>
    </row>
    <row r="50" spans="3:11" s="421" customFormat="1" x14ac:dyDescent="0.2">
      <c r="J50" s="431"/>
      <c r="K50" s="431"/>
    </row>
    <row r="51" spans="3:11" s="421" customFormat="1" ht="13.5" thickBot="1" x14ac:dyDescent="0.25">
      <c r="G51" s="431"/>
      <c r="H51" s="431"/>
      <c r="J51" s="444" t="s">
        <v>108</v>
      </c>
      <c r="K51" s="444"/>
    </row>
    <row r="52" spans="3:11" s="421" customFormat="1" x14ac:dyDescent="0.2">
      <c r="C52" s="421" t="s">
        <v>112</v>
      </c>
      <c r="F52" s="423">
        <v>13</v>
      </c>
      <c r="J52" s="447" t="s">
        <v>200</v>
      </c>
    </row>
    <row r="53" spans="3:11" s="421" customFormat="1" x14ac:dyDescent="0.2">
      <c r="C53" s="425"/>
      <c r="D53" s="425"/>
      <c r="E53" s="430"/>
      <c r="F53" s="426" t="s">
        <v>112</v>
      </c>
      <c r="G53" s="427"/>
      <c r="H53" s="427"/>
      <c r="I53" s="439">
        <v>4</v>
      </c>
    </row>
    <row r="54" spans="3:11" s="421" customFormat="1" x14ac:dyDescent="0.2">
      <c r="C54" s="427" t="s">
        <v>114</v>
      </c>
      <c r="D54" s="427"/>
      <c r="E54" s="436"/>
      <c r="F54" s="429">
        <v>12</v>
      </c>
      <c r="H54" s="432"/>
    </row>
    <row r="55" spans="3:11" s="421" customFormat="1" ht="13.5" thickBot="1" x14ac:dyDescent="0.25">
      <c r="F55" s="431"/>
      <c r="H55" s="432"/>
      <c r="J55" s="421" t="s">
        <v>113</v>
      </c>
    </row>
    <row r="56" spans="3:11" s="421" customFormat="1" x14ac:dyDescent="0.2">
      <c r="C56" s="421" t="s">
        <v>113</v>
      </c>
      <c r="F56" s="434">
        <v>13</v>
      </c>
      <c r="H56" s="432"/>
      <c r="I56" s="440"/>
      <c r="J56" s="441" t="s">
        <v>201</v>
      </c>
      <c r="K56" s="442"/>
    </row>
    <row r="57" spans="3:11" s="421" customFormat="1" x14ac:dyDescent="0.2">
      <c r="C57" s="425"/>
      <c r="D57" s="425"/>
      <c r="E57" s="430"/>
      <c r="F57" s="435" t="s">
        <v>113</v>
      </c>
      <c r="H57" s="436"/>
      <c r="I57" s="434">
        <v>13</v>
      </c>
    </row>
    <row r="58" spans="3:11" s="421" customFormat="1" ht="13.5" thickBot="1" x14ac:dyDescent="0.25">
      <c r="C58" s="427" t="s">
        <v>95</v>
      </c>
      <c r="D58" s="427"/>
      <c r="E58" s="436"/>
      <c r="F58" s="438">
        <v>8</v>
      </c>
      <c r="G58" s="425"/>
      <c r="I58" s="431"/>
      <c r="J58" s="431" t="s">
        <v>112</v>
      </c>
      <c r="K58" s="444"/>
    </row>
    <row r="59" spans="3:11" s="421" customFormat="1" x14ac:dyDescent="0.2">
      <c r="I59" s="431"/>
      <c r="J59" s="441" t="s">
        <v>202</v>
      </c>
      <c r="K59" s="431"/>
    </row>
    <row r="60" spans="3:11" s="421" customFormat="1" x14ac:dyDescent="0.2">
      <c r="F60" s="421" t="s">
        <v>114</v>
      </c>
      <c r="I60" s="434">
        <v>13</v>
      </c>
      <c r="J60" s="431"/>
      <c r="K60" s="431"/>
    </row>
    <row r="61" spans="3:11" s="421" customFormat="1" ht="13.5" thickBot="1" x14ac:dyDescent="0.25">
      <c r="F61" s="425"/>
      <c r="G61" s="425"/>
      <c r="H61" s="430"/>
      <c r="I61" s="444"/>
      <c r="J61" s="444" t="s">
        <v>114</v>
      </c>
      <c r="K61" s="444"/>
    </row>
    <row r="62" spans="3:11" s="421" customFormat="1" x14ac:dyDescent="0.2">
      <c r="F62" s="427" t="s">
        <v>95</v>
      </c>
      <c r="G62" s="427"/>
      <c r="H62" s="436"/>
      <c r="I62" s="439">
        <v>8</v>
      </c>
      <c r="J62" s="446" t="s">
        <v>203</v>
      </c>
      <c r="K62" s="431"/>
    </row>
    <row r="63" spans="3:11" s="421" customFormat="1" x14ac:dyDescent="0.2">
      <c r="J63" s="431"/>
      <c r="K63" s="431"/>
    </row>
    <row r="64" spans="3:11" s="421" customFormat="1" ht="13.5" thickBot="1" x14ac:dyDescent="0.25">
      <c r="G64" s="431"/>
      <c r="H64" s="431"/>
      <c r="J64" s="444" t="s">
        <v>95</v>
      </c>
      <c r="K64" s="444"/>
    </row>
    <row r="65" spans="1:11" s="421" customFormat="1" x14ac:dyDescent="0.2">
      <c r="G65" s="431"/>
      <c r="H65" s="431"/>
      <c r="J65" s="447" t="s">
        <v>204</v>
      </c>
    </row>
    <row r="66" spans="1:11" s="421" customFormat="1" x14ac:dyDescent="0.2"/>
    <row r="67" spans="1:11" s="421" customFormat="1" x14ac:dyDescent="0.2">
      <c r="A67" s="420" t="s">
        <v>232</v>
      </c>
    </row>
    <row r="68" spans="1:11" s="421" customFormat="1" x14ac:dyDescent="0.2">
      <c r="A68" s="420"/>
    </row>
    <row r="69" spans="1:11" s="421" customFormat="1" x14ac:dyDescent="0.2">
      <c r="A69" s="422" t="s">
        <v>231</v>
      </c>
      <c r="B69" s="421" t="s">
        <v>137</v>
      </c>
      <c r="C69" s="439">
        <v>13</v>
      </c>
    </row>
    <row r="70" spans="1:11" s="421" customFormat="1" x14ac:dyDescent="0.2">
      <c r="A70" s="424"/>
      <c r="B70" s="425"/>
      <c r="C70" s="426" t="s">
        <v>137</v>
      </c>
      <c r="D70" s="427"/>
      <c r="F70" s="439">
        <v>13</v>
      </c>
    </row>
    <row r="71" spans="1:11" s="421" customFormat="1" x14ac:dyDescent="0.2">
      <c r="A71" s="422" t="s">
        <v>217</v>
      </c>
      <c r="B71" s="428" t="s">
        <v>111</v>
      </c>
      <c r="C71" s="429">
        <v>8</v>
      </c>
      <c r="E71" s="430"/>
    </row>
    <row r="72" spans="1:11" s="421" customFormat="1" x14ac:dyDescent="0.2">
      <c r="A72" s="424"/>
      <c r="D72" s="431"/>
      <c r="E72" s="432"/>
      <c r="F72" s="421" t="s">
        <v>137</v>
      </c>
      <c r="I72" s="439">
        <v>10</v>
      </c>
    </row>
    <row r="73" spans="1:11" s="421" customFormat="1" x14ac:dyDescent="0.2">
      <c r="A73" s="422" t="s">
        <v>226</v>
      </c>
      <c r="B73" s="433" t="s">
        <v>125</v>
      </c>
      <c r="C73" s="437"/>
      <c r="E73" s="432"/>
      <c r="F73" s="425"/>
      <c r="G73" s="425"/>
      <c r="H73" s="430"/>
    </row>
    <row r="74" spans="1:11" s="421" customFormat="1" x14ac:dyDescent="0.2">
      <c r="A74" s="424"/>
      <c r="B74" s="425"/>
      <c r="C74" s="435" t="s">
        <v>125</v>
      </c>
      <c r="E74" s="436"/>
      <c r="F74" s="437">
        <v>9</v>
      </c>
      <c r="G74" s="431"/>
      <c r="H74" s="432"/>
    </row>
    <row r="75" spans="1:11" s="421" customFormat="1" x14ac:dyDescent="0.2">
      <c r="A75" s="422"/>
      <c r="B75" s="428" t="s">
        <v>221</v>
      </c>
      <c r="C75" s="438"/>
      <c r="D75" s="425"/>
      <c r="F75" s="431"/>
      <c r="G75" s="431"/>
      <c r="H75" s="432"/>
    </row>
    <row r="76" spans="1:11" s="421" customFormat="1" ht="13.5" thickBot="1" x14ac:dyDescent="0.25">
      <c r="A76" s="424"/>
      <c r="F76" s="431"/>
      <c r="G76" s="431"/>
      <c r="H76" s="432"/>
      <c r="J76" s="421" t="s">
        <v>126</v>
      </c>
    </row>
    <row r="77" spans="1:11" s="421" customFormat="1" x14ac:dyDescent="0.2">
      <c r="A77" s="422" t="s">
        <v>229</v>
      </c>
      <c r="B77" s="421" t="s">
        <v>115</v>
      </c>
      <c r="C77" s="439" t="s">
        <v>221</v>
      </c>
      <c r="F77" s="431"/>
      <c r="G77" s="431"/>
      <c r="H77" s="432"/>
      <c r="I77" s="440"/>
      <c r="J77" s="441" t="s">
        <v>207</v>
      </c>
      <c r="K77" s="442"/>
    </row>
    <row r="78" spans="1:11" s="421" customFormat="1" x14ac:dyDescent="0.2">
      <c r="A78" s="424"/>
      <c r="B78" s="425"/>
      <c r="C78" s="426" t="s">
        <v>98</v>
      </c>
      <c r="D78" s="427"/>
      <c r="F78" s="437" t="s">
        <v>221</v>
      </c>
      <c r="G78" s="431"/>
      <c r="H78" s="432"/>
    </row>
    <row r="79" spans="1:11" s="421" customFormat="1" ht="13.5" thickBot="1" x14ac:dyDescent="0.25">
      <c r="A79" s="422" t="s">
        <v>218</v>
      </c>
      <c r="B79" s="427" t="s">
        <v>98</v>
      </c>
      <c r="C79" s="429">
        <v>13</v>
      </c>
      <c r="E79" s="430"/>
      <c r="F79" s="431"/>
      <c r="G79" s="431"/>
      <c r="H79" s="432"/>
      <c r="J79" s="444" t="s">
        <v>137</v>
      </c>
      <c r="K79" s="444"/>
    </row>
    <row r="80" spans="1:11" s="421" customFormat="1" x14ac:dyDescent="0.2">
      <c r="A80" s="424"/>
      <c r="D80" s="431"/>
      <c r="E80" s="432"/>
      <c r="F80" s="427" t="s">
        <v>126</v>
      </c>
      <c r="G80" s="427"/>
      <c r="H80" s="436"/>
      <c r="I80" s="439">
        <v>13</v>
      </c>
      <c r="J80" s="441" t="s">
        <v>209</v>
      </c>
    </row>
    <row r="81" spans="1:11" s="421" customFormat="1" x14ac:dyDescent="0.2">
      <c r="A81" s="422" t="s">
        <v>219</v>
      </c>
      <c r="B81" s="421" t="s">
        <v>104</v>
      </c>
      <c r="C81" s="437" t="s">
        <v>221</v>
      </c>
      <c r="E81" s="432"/>
    </row>
    <row r="82" spans="1:11" s="421" customFormat="1" x14ac:dyDescent="0.2">
      <c r="A82" s="424"/>
      <c r="B82" s="425"/>
      <c r="C82" s="435" t="s">
        <v>126</v>
      </c>
      <c r="E82" s="436"/>
      <c r="F82" s="439">
        <v>13</v>
      </c>
    </row>
    <row r="83" spans="1:11" s="421" customFormat="1" x14ac:dyDescent="0.2">
      <c r="A83" s="422" t="s">
        <v>220</v>
      </c>
      <c r="B83" s="427" t="s">
        <v>126</v>
      </c>
      <c r="C83" s="438">
        <v>13</v>
      </c>
      <c r="D83" s="425"/>
    </row>
    <row r="84" spans="1:11" s="421" customFormat="1" x14ac:dyDescent="0.2">
      <c r="F84" s="421" t="s">
        <v>125</v>
      </c>
      <c r="I84" s="437">
        <v>13</v>
      </c>
      <c r="J84" s="431"/>
      <c r="K84" s="431"/>
    </row>
    <row r="85" spans="1:11" s="421" customFormat="1" ht="13.5" thickBot="1" x14ac:dyDescent="0.25">
      <c r="F85" s="425"/>
      <c r="G85" s="425"/>
      <c r="H85" s="430"/>
      <c r="I85" s="444"/>
      <c r="J85" s="444" t="s">
        <v>125</v>
      </c>
      <c r="K85" s="444"/>
    </row>
    <row r="86" spans="1:11" s="421" customFormat="1" x14ac:dyDescent="0.2">
      <c r="F86" s="427" t="s">
        <v>98</v>
      </c>
      <c r="G86" s="427"/>
      <c r="H86" s="436"/>
      <c r="I86" s="439" t="s">
        <v>221</v>
      </c>
      <c r="J86" s="446" t="s">
        <v>211</v>
      </c>
      <c r="K86" s="431"/>
    </row>
    <row r="87" spans="1:11" s="421" customFormat="1" x14ac:dyDescent="0.2">
      <c r="J87" s="431"/>
      <c r="K87" s="431"/>
    </row>
    <row r="88" spans="1:11" s="421" customFormat="1" ht="13.5" thickBot="1" x14ac:dyDescent="0.25">
      <c r="G88" s="431"/>
      <c r="H88" s="431"/>
      <c r="J88" s="444" t="s">
        <v>98</v>
      </c>
      <c r="K88" s="444"/>
    </row>
    <row r="89" spans="1:11" s="421" customFormat="1" x14ac:dyDescent="0.2">
      <c r="C89" s="421" t="s">
        <v>111</v>
      </c>
      <c r="F89" s="439"/>
      <c r="J89" s="447" t="s">
        <v>212</v>
      </c>
    </row>
    <row r="90" spans="1:11" s="421" customFormat="1" x14ac:dyDescent="0.2">
      <c r="C90" s="425"/>
      <c r="D90" s="425"/>
      <c r="E90" s="430"/>
      <c r="F90" s="426" t="s">
        <v>111</v>
      </c>
      <c r="G90" s="427"/>
      <c r="H90" s="427"/>
      <c r="I90" s="439">
        <v>13</v>
      </c>
    </row>
    <row r="91" spans="1:11" s="421" customFormat="1" x14ac:dyDescent="0.2">
      <c r="C91" s="427" t="s">
        <v>221</v>
      </c>
      <c r="D91" s="427"/>
      <c r="E91" s="436"/>
      <c r="F91" s="429"/>
      <c r="H91" s="432"/>
    </row>
    <row r="92" spans="1:11" s="421" customFormat="1" ht="13.5" thickBot="1" x14ac:dyDescent="0.25">
      <c r="F92" s="431"/>
      <c r="H92" s="432"/>
      <c r="J92" s="421" t="s">
        <v>111</v>
      </c>
    </row>
    <row r="93" spans="1:11" s="421" customFormat="1" x14ac:dyDescent="0.2">
      <c r="C93" s="421" t="s">
        <v>115</v>
      </c>
      <c r="F93" s="437" t="s">
        <v>221</v>
      </c>
      <c r="H93" s="432"/>
      <c r="I93" s="440"/>
      <c r="J93" s="441" t="s">
        <v>213</v>
      </c>
      <c r="K93" s="442"/>
    </row>
    <row r="94" spans="1:11" s="421" customFormat="1" x14ac:dyDescent="0.2">
      <c r="C94" s="425"/>
      <c r="D94" s="425"/>
      <c r="E94" s="430"/>
      <c r="F94" s="435" t="s">
        <v>104</v>
      </c>
      <c r="H94" s="436"/>
      <c r="I94" s="437" t="s">
        <v>221</v>
      </c>
    </row>
    <row r="95" spans="1:11" s="421" customFormat="1" ht="13.5" thickBot="1" x14ac:dyDescent="0.25">
      <c r="C95" s="427" t="s">
        <v>104</v>
      </c>
      <c r="D95" s="427"/>
      <c r="E95" s="436"/>
      <c r="F95" s="438">
        <v>13</v>
      </c>
      <c r="G95" s="425"/>
      <c r="I95" s="431"/>
      <c r="J95" s="431" t="s">
        <v>104</v>
      </c>
      <c r="K95" s="444"/>
    </row>
    <row r="96" spans="1:11" s="421" customFormat="1" x14ac:dyDescent="0.2">
      <c r="I96" s="431"/>
      <c r="J96" s="441" t="s">
        <v>214</v>
      </c>
      <c r="K96" s="431"/>
    </row>
    <row r="97" spans="1:11" s="421" customFormat="1" x14ac:dyDescent="0.2">
      <c r="F97" s="421" t="s">
        <v>221</v>
      </c>
      <c r="I97" s="437"/>
      <c r="J97" s="431"/>
      <c r="K97" s="431"/>
    </row>
    <row r="98" spans="1:11" s="421" customFormat="1" ht="13.5" thickBot="1" x14ac:dyDescent="0.25">
      <c r="F98" s="425"/>
      <c r="G98" s="425"/>
      <c r="H98" s="430"/>
      <c r="I98" s="444"/>
      <c r="J98" s="444" t="s">
        <v>115</v>
      </c>
      <c r="K98" s="444"/>
    </row>
    <row r="99" spans="1:11" s="421" customFormat="1" x14ac:dyDescent="0.2">
      <c r="F99" s="427" t="s">
        <v>115</v>
      </c>
      <c r="G99" s="427"/>
      <c r="H99" s="436"/>
      <c r="I99" s="439"/>
      <c r="J99" s="446" t="s">
        <v>215</v>
      </c>
      <c r="K99" s="431"/>
    </row>
    <row r="100" spans="1:11" s="421" customFormat="1" x14ac:dyDescent="0.2">
      <c r="J100" s="431"/>
      <c r="K100" s="431"/>
    </row>
    <row r="101" spans="1:11" s="421" customFormat="1" ht="13.5" thickBot="1" x14ac:dyDescent="0.25">
      <c r="G101" s="431"/>
      <c r="H101" s="431"/>
      <c r="J101" s="444"/>
      <c r="K101" s="444"/>
    </row>
    <row r="102" spans="1:11" s="421" customFormat="1" x14ac:dyDescent="0.2">
      <c r="G102" s="431"/>
      <c r="H102" s="431"/>
      <c r="J102" s="447" t="s">
        <v>216</v>
      </c>
    </row>
    <row r="103" spans="1:11" s="421" customFormat="1" x14ac:dyDescent="0.2">
      <c r="F103" s="17"/>
      <c r="G103" s="17"/>
      <c r="H103" s="17"/>
      <c r="I103" s="17"/>
      <c r="J103" s="17"/>
      <c r="K103" s="17"/>
    </row>
    <row r="104" spans="1:11" s="17" customFormat="1" x14ac:dyDescent="0.2">
      <c r="A104" s="154">
        <v>1</v>
      </c>
      <c r="B104" s="154" t="s">
        <v>139</v>
      </c>
    </row>
    <row r="105" spans="1:11" s="17" customFormat="1" x14ac:dyDescent="0.2">
      <c r="A105" s="154">
        <v>2</v>
      </c>
      <c r="B105" s="252" t="s">
        <v>90</v>
      </c>
    </row>
    <row r="106" spans="1:11" s="17" customFormat="1" x14ac:dyDescent="0.2">
      <c r="A106" s="154">
        <v>3</v>
      </c>
      <c r="B106" s="252" t="s">
        <v>143</v>
      </c>
    </row>
    <row r="107" spans="1:11" s="17" customFormat="1" x14ac:dyDescent="0.2">
      <c r="A107" s="154">
        <v>4</v>
      </c>
      <c r="B107" s="252" t="s">
        <v>108</v>
      </c>
    </row>
    <row r="108" spans="1:11" s="17" customFormat="1" x14ac:dyDescent="0.2">
      <c r="A108" s="154">
        <v>5</v>
      </c>
      <c r="B108" s="252" t="s">
        <v>113</v>
      </c>
    </row>
    <row r="109" spans="1:11" s="17" customFormat="1" x14ac:dyDescent="0.2">
      <c r="A109" s="154">
        <v>6</v>
      </c>
      <c r="B109" s="252" t="s">
        <v>112</v>
      </c>
    </row>
    <row r="110" spans="1:11" s="17" customFormat="1" x14ac:dyDescent="0.2">
      <c r="A110" s="154">
        <v>7</v>
      </c>
      <c r="B110" s="252" t="s">
        <v>114</v>
      </c>
    </row>
    <row r="111" spans="1:11" s="17" customFormat="1" x14ac:dyDescent="0.2">
      <c r="A111" s="154">
        <v>8</v>
      </c>
      <c r="B111" s="252" t="s">
        <v>95</v>
      </c>
    </row>
    <row r="112" spans="1:11" s="17" customFormat="1" x14ac:dyDescent="0.2">
      <c r="A112" s="154">
        <v>9</v>
      </c>
      <c r="B112" s="252" t="s">
        <v>126</v>
      </c>
    </row>
    <row r="113" spans="1:2" s="17" customFormat="1" x14ac:dyDescent="0.2">
      <c r="A113" s="154">
        <v>10</v>
      </c>
      <c r="B113" s="252" t="s">
        <v>137</v>
      </c>
    </row>
    <row r="114" spans="1:2" s="17" customFormat="1" x14ac:dyDescent="0.2">
      <c r="A114" s="154">
        <v>11</v>
      </c>
      <c r="B114" s="252" t="s">
        <v>125</v>
      </c>
    </row>
    <row r="115" spans="1:2" x14ac:dyDescent="0.2">
      <c r="A115" s="154">
        <v>12</v>
      </c>
      <c r="B115" s="120" t="s">
        <v>98</v>
      </c>
    </row>
    <row r="116" spans="1:2" x14ac:dyDescent="0.2">
      <c r="A116" s="154">
        <v>13</v>
      </c>
      <c r="B116" s="120" t="s">
        <v>111</v>
      </c>
    </row>
    <row r="117" spans="1:2" x14ac:dyDescent="0.2">
      <c r="A117" s="154">
        <v>14</v>
      </c>
      <c r="B117" s="120" t="s">
        <v>104</v>
      </c>
    </row>
    <row r="118" spans="1:2" x14ac:dyDescent="0.2">
      <c r="A118" s="154">
        <v>15</v>
      </c>
      <c r="B118" s="120" t="s">
        <v>115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rowBreaks count="2" manualBreakCount="2">
    <brk id="28" max="16383" man="1"/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3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K1" sqref="K1"/>
    </sheetView>
  </sheetViews>
  <sheetFormatPr defaultRowHeight="12.75" x14ac:dyDescent="0.2"/>
  <cols>
    <col min="1" max="1" width="3.28515625" style="238" customWidth="1"/>
    <col min="2" max="2" width="28.85546875" style="238" bestFit="1" customWidth="1"/>
    <col min="3" max="8" width="7.28515625" style="238" customWidth="1"/>
    <col min="9" max="11" width="4.7109375" style="238" customWidth="1"/>
    <col min="12" max="16384" width="9.140625" style="238"/>
  </cols>
  <sheetData>
    <row r="1" spans="1:10" x14ac:dyDescent="0.2">
      <c r="A1" s="82" t="str">
        <f>UPPER((Kalend!D31)&amp;" - "&amp;(Kalend!C31)&amp;" - "&amp;(Kalend!E31))</f>
        <v>5 - SHK KV 5. ETAPP - DUO</v>
      </c>
      <c r="G1" s="361" t="str">
        <f>HYPERLINK("#'Kalend'!I1","Kalender")</f>
        <v>Kalender</v>
      </c>
      <c r="H1" s="85"/>
      <c r="I1" s="361" t="str">
        <f>HYPERLINK("#'Reit'!J1","Reiting")</f>
        <v>Reiting</v>
      </c>
      <c r="J1" s="85"/>
    </row>
    <row r="2" spans="1:10" s="85" customFormat="1" x14ac:dyDescent="0.2">
      <c r="A2" s="85" t="str">
        <f>"Toimumisaeg: "&amp;(Kalend!A31)&amp;" kell "&amp;(Kalend!B31)</f>
        <v>Toimumisaeg: P, 27.03.2016 kell 11:00</v>
      </c>
    </row>
    <row r="3" spans="1:10" s="85" customFormat="1" x14ac:dyDescent="0.2">
      <c r="A3" s="85" t="str">
        <f>"Toimumiskoht: "&amp;(Kalend!F31)</f>
        <v>Toimumiskoht: K-Järve petangihall</v>
      </c>
    </row>
    <row r="4" spans="1:10" s="85" customFormat="1" x14ac:dyDescent="0.2">
      <c r="A4" s="85" t="str">
        <f>"Korraldaja: "&amp;(Kalend!G31)</f>
        <v>Korraldaja: K-Järve SHK, Ivar Viljaste</v>
      </c>
    </row>
    <row r="6" spans="1:10" s="17" customFormat="1" x14ac:dyDescent="0.2">
      <c r="A6" s="154" t="s">
        <v>184</v>
      </c>
      <c r="B6" s="252"/>
      <c r="C6" s="155" t="s">
        <v>185</v>
      </c>
      <c r="D6" s="155" t="s">
        <v>186</v>
      </c>
      <c r="E6" s="155" t="s">
        <v>187</v>
      </c>
      <c r="F6" s="155" t="s">
        <v>188</v>
      </c>
      <c r="G6" s="155" t="s">
        <v>85</v>
      </c>
    </row>
    <row r="7" spans="1:10" s="17" customFormat="1" x14ac:dyDescent="0.2">
      <c r="A7" s="154">
        <v>1</v>
      </c>
      <c r="B7" s="405" t="s">
        <v>274</v>
      </c>
      <c r="C7" s="189">
        <v>13</v>
      </c>
      <c r="D7" s="189">
        <v>13</v>
      </c>
      <c r="E7" s="285"/>
      <c r="F7" s="285"/>
      <c r="G7" s="277" t="s">
        <v>222</v>
      </c>
    </row>
    <row r="8" spans="1:10" s="17" customFormat="1" x14ac:dyDescent="0.2">
      <c r="A8" s="154">
        <v>2</v>
      </c>
      <c r="B8" s="405" t="s">
        <v>390</v>
      </c>
      <c r="C8" s="189">
        <v>13</v>
      </c>
      <c r="D8" s="285">
        <v>12</v>
      </c>
      <c r="E8" s="285"/>
      <c r="F8" s="189">
        <v>13</v>
      </c>
      <c r="G8" s="277" t="s">
        <v>223</v>
      </c>
    </row>
    <row r="9" spans="1:10" s="17" customFormat="1" x14ac:dyDescent="0.2">
      <c r="A9" s="154">
        <v>3</v>
      </c>
      <c r="B9" s="405" t="s">
        <v>391</v>
      </c>
      <c r="C9" s="285">
        <v>8</v>
      </c>
      <c r="D9" s="285"/>
      <c r="E9" s="189">
        <v>13</v>
      </c>
      <c r="F9" s="285">
        <v>3</v>
      </c>
      <c r="G9" s="277" t="s">
        <v>224</v>
      </c>
    </row>
    <row r="10" spans="1:10" s="17" customFormat="1" x14ac:dyDescent="0.2">
      <c r="A10" s="154">
        <v>4</v>
      </c>
      <c r="B10" s="276"/>
      <c r="C10" s="285">
        <v>0</v>
      </c>
      <c r="D10" s="285"/>
      <c r="E10" s="285">
        <v>0</v>
      </c>
      <c r="F10" s="285"/>
      <c r="G10" s="277"/>
    </row>
    <row r="11" spans="1:10" s="17" customFormat="1" x14ac:dyDescent="0.2">
      <c r="A11" s="156"/>
      <c r="B11" s="253"/>
      <c r="C11" s="191"/>
      <c r="D11" s="191"/>
      <c r="E11" s="191"/>
      <c r="F11" s="157"/>
      <c r="G11" s="192"/>
    </row>
    <row r="12" spans="1:10" s="17" customFormat="1" x14ac:dyDescent="0.2">
      <c r="A12" s="154" t="s">
        <v>189</v>
      </c>
      <c r="B12" s="252"/>
      <c r="C12" s="155" t="s">
        <v>185</v>
      </c>
      <c r="D12" s="155" t="s">
        <v>186</v>
      </c>
      <c r="E12" s="155" t="s">
        <v>187</v>
      </c>
      <c r="F12" s="155" t="s">
        <v>188</v>
      </c>
      <c r="G12" s="155" t="s">
        <v>85</v>
      </c>
    </row>
    <row r="13" spans="1:10" s="17" customFormat="1" x14ac:dyDescent="0.2">
      <c r="A13" s="154">
        <v>1</v>
      </c>
      <c r="B13" s="276" t="s">
        <v>273</v>
      </c>
      <c r="C13" s="189">
        <v>13</v>
      </c>
      <c r="D13" s="189">
        <v>13</v>
      </c>
      <c r="E13" s="285"/>
      <c r="F13" s="285"/>
      <c r="G13" s="277" t="s">
        <v>222</v>
      </c>
    </row>
    <row r="14" spans="1:10" s="17" customFormat="1" x14ac:dyDescent="0.2">
      <c r="A14" s="154">
        <v>2</v>
      </c>
      <c r="B14" s="405" t="s">
        <v>263</v>
      </c>
      <c r="C14" s="285">
        <v>12</v>
      </c>
      <c r="D14" s="285"/>
      <c r="E14" s="189">
        <v>13</v>
      </c>
      <c r="F14" s="189">
        <v>13</v>
      </c>
      <c r="G14" s="277" t="s">
        <v>223</v>
      </c>
    </row>
    <row r="15" spans="1:10" s="17" customFormat="1" x14ac:dyDescent="0.2">
      <c r="A15" s="154">
        <v>3</v>
      </c>
      <c r="B15" s="405" t="s">
        <v>392</v>
      </c>
      <c r="C15" s="189">
        <v>13</v>
      </c>
      <c r="D15" s="285">
        <v>11</v>
      </c>
      <c r="E15" s="285"/>
      <c r="F15" s="285">
        <v>10</v>
      </c>
      <c r="G15" s="277" t="s">
        <v>224</v>
      </c>
    </row>
    <row r="16" spans="1:10" s="17" customFormat="1" x14ac:dyDescent="0.2">
      <c r="A16" s="154">
        <v>4</v>
      </c>
      <c r="B16" s="276" t="s">
        <v>396</v>
      </c>
      <c r="C16" s="285">
        <v>3</v>
      </c>
      <c r="D16" s="285"/>
      <c r="E16" s="285">
        <v>4</v>
      </c>
      <c r="F16" s="285"/>
      <c r="G16" s="277" t="s">
        <v>225</v>
      </c>
    </row>
    <row r="17" spans="1:9" s="17" customFormat="1" x14ac:dyDescent="0.2">
      <c r="A17" s="156"/>
      <c r="B17" s="253"/>
      <c r="C17" s="191"/>
      <c r="D17" s="191"/>
      <c r="E17" s="191"/>
      <c r="F17" s="157"/>
      <c r="G17" s="192"/>
    </row>
    <row r="18" spans="1:9" s="17" customFormat="1" x14ac:dyDescent="0.2">
      <c r="A18" s="154" t="s">
        <v>190</v>
      </c>
      <c r="B18" s="252"/>
      <c r="C18" s="155" t="s">
        <v>185</v>
      </c>
      <c r="D18" s="155" t="s">
        <v>186</v>
      </c>
      <c r="E18" s="155" t="s">
        <v>187</v>
      </c>
      <c r="F18" s="155" t="s">
        <v>188</v>
      </c>
      <c r="G18" s="155" t="s">
        <v>85</v>
      </c>
    </row>
    <row r="19" spans="1:9" s="17" customFormat="1" x14ac:dyDescent="0.2">
      <c r="A19" s="154">
        <v>1</v>
      </c>
      <c r="B19" s="405" t="s">
        <v>397</v>
      </c>
      <c r="C19" s="189">
        <v>13</v>
      </c>
      <c r="D19" s="189">
        <v>13</v>
      </c>
      <c r="E19" s="285"/>
      <c r="F19" s="285"/>
      <c r="G19" s="277" t="s">
        <v>222</v>
      </c>
    </row>
    <row r="20" spans="1:9" s="17" customFormat="1" x14ac:dyDescent="0.2">
      <c r="A20" s="154">
        <v>2</v>
      </c>
      <c r="B20" s="405" t="s">
        <v>326</v>
      </c>
      <c r="C20" s="189">
        <v>13</v>
      </c>
      <c r="D20" s="285">
        <v>5</v>
      </c>
      <c r="E20" s="285"/>
      <c r="F20" s="189">
        <v>13</v>
      </c>
      <c r="G20" s="277" t="s">
        <v>223</v>
      </c>
    </row>
    <row r="21" spans="1:9" s="17" customFormat="1" x14ac:dyDescent="0.2">
      <c r="A21" s="154">
        <v>3</v>
      </c>
      <c r="B21" s="405" t="s">
        <v>398</v>
      </c>
      <c r="C21" s="285">
        <v>6</v>
      </c>
      <c r="D21" s="285"/>
      <c r="E21" s="189">
        <v>13</v>
      </c>
      <c r="F21" s="285">
        <v>0</v>
      </c>
      <c r="G21" s="277" t="s">
        <v>224</v>
      </c>
    </row>
    <row r="22" spans="1:9" s="17" customFormat="1" x14ac:dyDescent="0.2">
      <c r="A22" s="154">
        <v>4</v>
      </c>
      <c r="B22" s="405"/>
      <c r="C22" s="285">
        <v>0</v>
      </c>
      <c r="D22" s="285"/>
      <c r="E22" s="285">
        <v>0</v>
      </c>
      <c r="F22" s="285"/>
      <c r="G22" s="277"/>
    </row>
    <row r="23" spans="1:9" s="17" customFormat="1" x14ac:dyDescent="0.2"/>
    <row r="24" spans="1:9" s="421" customFormat="1" x14ac:dyDescent="0.2">
      <c r="A24" s="420" t="s">
        <v>261</v>
      </c>
    </row>
    <row r="25" spans="1:9" s="421" customFormat="1" x14ac:dyDescent="0.2">
      <c r="A25" s="420"/>
    </row>
    <row r="26" spans="1:9" s="421" customFormat="1" x14ac:dyDescent="0.2">
      <c r="A26" s="422" t="s">
        <v>198</v>
      </c>
      <c r="B26" s="421" t="s">
        <v>397</v>
      </c>
      <c r="C26" s="439">
        <v>4</v>
      </c>
    </row>
    <row r="27" spans="1:9" s="421" customFormat="1" x14ac:dyDescent="0.2">
      <c r="A27" s="424"/>
      <c r="B27" s="425"/>
      <c r="C27" s="426" t="s">
        <v>263</v>
      </c>
      <c r="D27" s="427"/>
      <c r="F27" s="439">
        <v>4</v>
      </c>
    </row>
    <row r="28" spans="1:9" s="421" customFormat="1" x14ac:dyDescent="0.2">
      <c r="A28" s="422" t="s">
        <v>205</v>
      </c>
      <c r="B28" s="428" t="s">
        <v>263</v>
      </c>
      <c r="C28" s="443">
        <v>13</v>
      </c>
      <c r="E28" s="430"/>
    </row>
    <row r="29" spans="1:9" s="421" customFormat="1" x14ac:dyDescent="0.2">
      <c r="A29" s="424"/>
      <c r="D29" s="431"/>
      <c r="E29" s="432"/>
      <c r="F29" s="421" t="s">
        <v>274</v>
      </c>
      <c r="I29" s="439">
        <v>12</v>
      </c>
    </row>
    <row r="30" spans="1:9" s="421" customFormat="1" x14ac:dyDescent="0.2">
      <c r="A30" s="422" t="s">
        <v>194</v>
      </c>
      <c r="B30" s="433" t="s">
        <v>274</v>
      </c>
      <c r="C30" s="434">
        <v>13</v>
      </c>
      <c r="E30" s="432"/>
      <c r="F30" s="425"/>
      <c r="G30" s="425"/>
      <c r="H30" s="430"/>
    </row>
    <row r="31" spans="1:9" s="421" customFormat="1" x14ac:dyDescent="0.2">
      <c r="B31" s="425"/>
      <c r="C31" s="435" t="s">
        <v>274</v>
      </c>
      <c r="E31" s="436"/>
      <c r="F31" s="434">
        <v>13</v>
      </c>
      <c r="G31" s="431"/>
      <c r="H31" s="432"/>
    </row>
    <row r="32" spans="1:9" s="421" customFormat="1" x14ac:dyDescent="0.2">
      <c r="B32" s="428" t="s">
        <v>221</v>
      </c>
      <c r="C32" s="438">
        <v>0</v>
      </c>
      <c r="D32" s="425"/>
      <c r="F32" s="431"/>
      <c r="G32" s="431"/>
      <c r="H32" s="432"/>
    </row>
    <row r="33" spans="1:11" s="421" customFormat="1" ht="13.5" thickBot="1" x14ac:dyDescent="0.25">
      <c r="A33" s="424"/>
      <c r="F33" s="431"/>
      <c r="G33" s="431"/>
      <c r="H33" s="432"/>
      <c r="J33" s="421" t="s">
        <v>390</v>
      </c>
    </row>
    <row r="34" spans="1:11" s="421" customFormat="1" x14ac:dyDescent="0.2">
      <c r="A34" s="422" t="s">
        <v>210</v>
      </c>
      <c r="B34" s="421" t="s">
        <v>326</v>
      </c>
      <c r="C34" s="439">
        <v>0</v>
      </c>
      <c r="F34" s="431"/>
      <c r="G34" s="431"/>
      <c r="H34" s="432"/>
      <c r="I34" s="440"/>
      <c r="J34" s="441" t="s">
        <v>195</v>
      </c>
      <c r="K34" s="442"/>
    </row>
    <row r="35" spans="1:11" s="421" customFormat="1" x14ac:dyDescent="0.2">
      <c r="A35" s="424"/>
      <c r="B35" s="425"/>
      <c r="C35" s="426" t="s">
        <v>390</v>
      </c>
      <c r="D35" s="427"/>
      <c r="F35" s="434">
        <v>13</v>
      </c>
      <c r="G35" s="431"/>
      <c r="H35" s="432"/>
    </row>
    <row r="36" spans="1:11" s="421" customFormat="1" ht="13.5" thickBot="1" x14ac:dyDescent="0.25">
      <c r="A36" s="422" t="s">
        <v>206</v>
      </c>
      <c r="B36" s="427" t="s">
        <v>390</v>
      </c>
      <c r="C36" s="443">
        <v>13</v>
      </c>
      <c r="E36" s="430"/>
      <c r="F36" s="431"/>
      <c r="G36" s="431"/>
      <c r="H36" s="432"/>
      <c r="J36" s="444" t="s">
        <v>274</v>
      </c>
      <c r="K36" s="444"/>
    </row>
    <row r="37" spans="1:11" s="421" customFormat="1" x14ac:dyDescent="0.2">
      <c r="A37" s="424"/>
      <c r="D37" s="431"/>
      <c r="E37" s="432"/>
      <c r="F37" s="427" t="s">
        <v>390</v>
      </c>
      <c r="G37" s="427"/>
      <c r="H37" s="436"/>
      <c r="I37" s="423">
        <v>13</v>
      </c>
      <c r="J37" s="441" t="s">
        <v>197</v>
      </c>
    </row>
    <row r="38" spans="1:11" s="421" customFormat="1" x14ac:dyDescent="0.2">
      <c r="A38" s="422" t="s">
        <v>193</v>
      </c>
      <c r="B38" s="421" t="s">
        <v>273</v>
      </c>
      <c r="C38" s="434">
        <v>13</v>
      </c>
      <c r="E38" s="432"/>
    </row>
    <row r="39" spans="1:11" s="421" customFormat="1" x14ac:dyDescent="0.2">
      <c r="B39" s="425"/>
      <c r="C39" s="435" t="s">
        <v>273</v>
      </c>
      <c r="E39" s="436"/>
      <c r="F39" s="439"/>
    </row>
    <row r="40" spans="1:11" s="421" customFormat="1" x14ac:dyDescent="0.2">
      <c r="B40" s="427" t="s">
        <v>221</v>
      </c>
      <c r="C40" s="438">
        <v>0</v>
      </c>
      <c r="D40" s="425"/>
    </row>
    <row r="41" spans="1:11" s="421" customFormat="1" x14ac:dyDescent="0.2">
      <c r="F41" s="421" t="s">
        <v>263</v>
      </c>
      <c r="I41" s="434">
        <v>13</v>
      </c>
      <c r="J41" s="431"/>
      <c r="K41" s="431"/>
    </row>
    <row r="42" spans="1:11" s="421" customFormat="1" ht="13.5" thickBot="1" x14ac:dyDescent="0.25">
      <c r="F42" s="425"/>
      <c r="G42" s="425"/>
      <c r="H42" s="430"/>
      <c r="I42" s="444"/>
      <c r="J42" s="444" t="s">
        <v>263</v>
      </c>
      <c r="K42" s="444"/>
    </row>
    <row r="43" spans="1:11" s="421" customFormat="1" x14ac:dyDescent="0.2">
      <c r="F43" s="427" t="s">
        <v>273</v>
      </c>
      <c r="G43" s="427"/>
      <c r="H43" s="436"/>
      <c r="I43" s="439">
        <v>10</v>
      </c>
      <c r="J43" s="446" t="s">
        <v>199</v>
      </c>
      <c r="K43" s="431"/>
    </row>
    <row r="44" spans="1:11" s="421" customFormat="1" x14ac:dyDescent="0.2">
      <c r="J44" s="431"/>
      <c r="K44" s="431"/>
    </row>
    <row r="45" spans="1:11" s="421" customFormat="1" ht="13.5" thickBot="1" x14ac:dyDescent="0.25">
      <c r="G45" s="431"/>
      <c r="H45" s="431"/>
      <c r="J45" s="444" t="s">
        <v>273</v>
      </c>
      <c r="K45" s="444"/>
    </row>
    <row r="46" spans="1:11" s="421" customFormat="1" x14ac:dyDescent="0.2">
      <c r="G46" s="431"/>
      <c r="H46" s="431"/>
      <c r="J46" s="447" t="s">
        <v>200</v>
      </c>
      <c r="K46" s="431"/>
    </row>
    <row r="47" spans="1:11" s="421" customFormat="1" x14ac:dyDescent="0.2">
      <c r="G47" s="431"/>
      <c r="H47" s="431"/>
      <c r="J47" s="431"/>
      <c r="K47" s="431"/>
    </row>
    <row r="48" spans="1:11" s="421" customFormat="1" x14ac:dyDescent="0.2">
      <c r="C48" s="421" t="s">
        <v>397</v>
      </c>
      <c r="F48" s="423">
        <v>13</v>
      </c>
    </row>
    <row r="49" spans="1:11" s="421" customFormat="1" x14ac:dyDescent="0.2">
      <c r="C49" s="425"/>
      <c r="D49" s="425"/>
      <c r="E49" s="430"/>
      <c r="F49" s="426" t="s">
        <v>397</v>
      </c>
      <c r="G49" s="427"/>
      <c r="H49" s="427"/>
      <c r="I49" s="730" t="s">
        <v>58</v>
      </c>
    </row>
    <row r="50" spans="1:11" s="421" customFormat="1" x14ac:dyDescent="0.2">
      <c r="C50" s="427" t="s">
        <v>221</v>
      </c>
      <c r="D50" s="427"/>
      <c r="E50" s="436"/>
      <c r="F50" s="429">
        <v>0</v>
      </c>
      <c r="H50" s="432"/>
    </row>
    <row r="51" spans="1:11" s="421" customFormat="1" ht="13.5" thickBot="1" x14ac:dyDescent="0.25">
      <c r="F51" s="431"/>
      <c r="H51" s="432"/>
      <c r="J51" s="421" t="s">
        <v>326</v>
      </c>
    </row>
    <row r="52" spans="1:11" s="421" customFormat="1" x14ac:dyDescent="0.2">
      <c r="C52" s="421" t="s">
        <v>326</v>
      </c>
      <c r="F52" s="434">
        <v>13</v>
      </c>
      <c r="H52" s="432"/>
      <c r="I52" s="440"/>
      <c r="J52" s="441" t="s">
        <v>201</v>
      </c>
      <c r="K52" s="442"/>
    </row>
    <row r="53" spans="1:11" s="421" customFormat="1" x14ac:dyDescent="0.2">
      <c r="C53" s="425"/>
      <c r="D53" s="425"/>
      <c r="E53" s="430"/>
      <c r="F53" s="435" t="s">
        <v>326</v>
      </c>
      <c r="H53" s="436"/>
      <c r="I53" s="434">
        <v>13</v>
      </c>
    </row>
    <row r="54" spans="1:11" s="421" customFormat="1" ht="13.5" thickBot="1" x14ac:dyDescent="0.25">
      <c r="C54" s="427" t="s">
        <v>221</v>
      </c>
      <c r="D54" s="427"/>
      <c r="E54" s="436"/>
      <c r="F54" s="438">
        <v>0</v>
      </c>
      <c r="G54" s="425"/>
      <c r="I54" s="431"/>
      <c r="J54" s="431" t="s">
        <v>397</v>
      </c>
      <c r="K54" s="444"/>
    </row>
    <row r="55" spans="1:11" s="421" customFormat="1" x14ac:dyDescent="0.2">
      <c r="I55" s="431"/>
      <c r="J55" s="441" t="s">
        <v>202</v>
      </c>
      <c r="K55" s="431"/>
    </row>
    <row r="56" spans="1:11" x14ac:dyDescent="0.2">
      <c r="F56" s="439"/>
      <c r="G56" s="421"/>
      <c r="H56" s="421"/>
      <c r="I56" s="421"/>
      <c r="J56" s="447"/>
      <c r="K56" s="421"/>
    </row>
    <row r="57" spans="1:11" x14ac:dyDescent="0.2">
      <c r="A57" s="420" t="s">
        <v>389</v>
      </c>
    </row>
    <row r="58" spans="1:11" s="421" customFormat="1" x14ac:dyDescent="0.2">
      <c r="B58" s="422" t="s">
        <v>229</v>
      </c>
      <c r="C58" s="421" t="s">
        <v>396</v>
      </c>
      <c r="F58" s="439">
        <v>0</v>
      </c>
    </row>
    <row r="59" spans="1:11" s="421" customFormat="1" x14ac:dyDescent="0.2">
      <c r="C59" s="425"/>
      <c r="D59" s="425"/>
      <c r="E59" s="430"/>
      <c r="F59" s="426" t="s">
        <v>398</v>
      </c>
      <c r="G59" s="427"/>
      <c r="H59" s="427"/>
      <c r="I59" s="439">
        <v>12</v>
      </c>
    </row>
    <row r="60" spans="1:11" s="421" customFormat="1" x14ac:dyDescent="0.2">
      <c r="B60" s="422" t="s">
        <v>220</v>
      </c>
      <c r="C60" s="427" t="s">
        <v>398</v>
      </c>
      <c r="D60" s="427"/>
      <c r="E60" s="436"/>
      <c r="F60" s="443">
        <v>13</v>
      </c>
      <c r="H60" s="432"/>
    </row>
    <row r="61" spans="1:11" s="421" customFormat="1" ht="13.5" thickBot="1" x14ac:dyDescent="0.25">
      <c r="F61" s="431"/>
      <c r="H61" s="432"/>
      <c r="J61" s="421" t="s">
        <v>391</v>
      </c>
    </row>
    <row r="62" spans="1:11" s="421" customFormat="1" x14ac:dyDescent="0.2">
      <c r="B62" s="422" t="s">
        <v>218</v>
      </c>
      <c r="C62" s="421" t="s">
        <v>391</v>
      </c>
      <c r="F62" s="434">
        <v>13</v>
      </c>
      <c r="H62" s="432"/>
      <c r="I62" s="440"/>
      <c r="J62" s="441" t="s">
        <v>203</v>
      </c>
      <c r="K62" s="442"/>
    </row>
    <row r="63" spans="1:11" s="421" customFormat="1" x14ac:dyDescent="0.2">
      <c r="C63" s="425"/>
      <c r="D63" s="425"/>
      <c r="E63" s="430"/>
      <c r="F63" s="435" t="s">
        <v>391</v>
      </c>
      <c r="H63" s="436"/>
      <c r="I63" s="434">
        <v>13</v>
      </c>
    </row>
    <row r="64" spans="1:11" s="421" customFormat="1" ht="13.5" thickBot="1" x14ac:dyDescent="0.25">
      <c r="B64" s="422" t="s">
        <v>217</v>
      </c>
      <c r="C64" s="427" t="s">
        <v>392</v>
      </c>
      <c r="D64" s="427"/>
      <c r="E64" s="436"/>
      <c r="F64" s="438">
        <v>6</v>
      </c>
      <c r="G64" s="425"/>
      <c r="I64" s="431"/>
      <c r="J64" s="431" t="s">
        <v>398</v>
      </c>
      <c r="K64" s="444"/>
    </row>
    <row r="65" spans="1:11" s="421" customFormat="1" x14ac:dyDescent="0.2">
      <c r="I65" s="431"/>
      <c r="J65" s="441" t="s">
        <v>204</v>
      </c>
      <c r="K65" s="431"/>
    </row>
    <row r="66" spans="1:11" s="421" customFormat="1" x14ac:dyDescent="0.2">
      <c r="I66" s="431"/>
      <c r="J66" s="446"/>
      <c r="K66" s="431"/>
    </row>
    <row r="67" spans="1:11" x14ac:dyDescent="0.2">
      <c r="A67" s="188"/>
      <c r="B67" s="253"/>
      <c r="C67" s="191"/>
      <c r="D67" s="191"/>
      <c r="E67" s="274"/>
      <c r="F67" s="421" t="s">
        <v>396</v>
      </c>
      <c r="G67" s="421"/>
      <c r="H67" s="421"/>
      <c r="I67" s="437">
        <v>7</v>
      </c>
      <c r="J67" s="431"/>
      <c r="K67" s="431"/>
    </row>
    <row r="68" spans="1:11" ht="13.5" thickBot="1" x14ac:dyDescent="0.25">
      <c r="A68" s="188"/>
      <c r="B68" s="253"/>
      <c r="C68" s="191"/>
      <c r="D68" s="191"/>
      <c r="E68" s="157"/>
      <c r="F68" s="425"/>
      <c r="G68" s="425"/>
      <c r="H68" s="430"/>
      <c r="I68" s="444"/>
      <c r="J68" s="444" t="s">
        <v>392</v>
      </c>
      <c r="K68" s="444"/>
    </row>
    <row r="69" spans="1:11" x14ac:dyDescent="0.2">
      <c r="A69" s="188"/>
      <c r="B69" s="253"/>
      <c r="C69" s="191"/>
      <c r="D69" s="191"/>
      <c r="E69" s="274"/>
      <c r="F69" s="427" t="s">
        <v>392</v>
      </c>
      <c r="G69" s="427"/>
      <c r="H69" s="436"/>
      <c r="I69" s="423">
        <v>13</v>
      </c>
      <c r="J69" s="446" t="s">
        <v>207</v>
      </c>
      <c r="K69" s="431"/>
    </row>
    <row r="70" spans="1:11" x14ac:dyDescent="0.2">
      <c r="A70" s="188"/>
      <c r="B70" s="253"/>
      <c r="C70" s="191"/>
      <c r="D70" s="191"/>
      <c r="E70" s="157"/>
      <c r="F70" s="421"/>
      <c r="G70" s="421"/>
      <c r="H70" s="421"/>
      <c r="I70" s="421"/>
      <c r="J70" s="431"/>
      <c r="K70" s="431"/>
    </row>
    <row r="71" spans="1:11" ht="13.5" thickBot="1" x14ac:dyDescent="0.25">
      <c r="F71" s="421"/>
      <c r="G71" s="431"/>
      <c r="H71" s="431"/>
      <c r="I71" s="421"/>
      <c r="J71" s="444" t="s">
        <v>396</v>
      </c>
      <c r="K71" s="444"/>
    </row>
    <row r="72" spans="1:11" x14ac:dyDescent="0.2">
      <c r="F72" s="439"/>
      <c r="G72" s="421"/>
      <c r="H72" s="421"/>
      <c r="I72" s="421"/>
      <c r="J72" s="447" t="s">
        <v>209</v>
      </c>
      <c r="K72" s="421"/>
    </row>
    <row r="74" spans="1:11" x14ac:dyDescent="0.2">
      <c r="A74" s="154">
        <v>1</v>
      </c>
      <c r="B74" s="154" t="s">
        <v>390</v>
      </c>
    </row>
    <row r="75" spans="1:11" x14ac:dyDescent="0.2">
      <c r="A75" s="154">
        <v>2</v>
      </c>
      <c r="B75" s="252" t="s">
        <v>274</v>
      </c>
    </row>
    <row r="76" spans="1:11" x14ac:dyDescent="0.2">
      <c r="A76" s="154">
        <v>3</v>
      </c>
      <c r="B76" s="252" t="s">
        <v>263</v>
      </c>
    </row>
    <row r="77" spans="1:11" x14ac:dyDescent="0.2">
      <c r="A77" s="154">
        <v>4</v>
      </c>
      <c r="B77" s="252" t="s">
        <v>273</v>
      </c>
    </row>
    <row r="78" spans="1:11" x14ac:dyDescent="0.2">
      <c r="A78" s="154">
        <v>5</v>
      </c>
      <c r="B78" s="252" t="s">
        <v>326</v>
      </c>
    </row>
    <row r="79" spans="1:11" x14ac:dyDescent="0.2">
      <c r="A79" s="154">
        <v>6</v>
      </c>
      <c r="B79" s="252" t="s">
        <v>397</v>
      </c>
    </row>
    <row r="80" spans="1:11" x14ac:dyDescent="0.2">
      <c r="A80" s="154">
        <v>7</v>
      </c>
      <c r="B80" s="252" t="s">
        <v>391</v>
      </c>
    </row>
    <row r="81" spans="1:2" x14ac:dyDescent="0.2">
      <c r="A81" s="154">
        <v>8</v>
      </c>
      <c r="B81" s="252" t="s">
        <v>398</v>
      </c>
    </row>
    <row r="82" spans="1:2" x14ac:dyDescent="0.2">
      <c r="A82" s="154">
        <v>9</v>
      </c>
      <c r="B82" s="252" t="s">
        <v>392</v>
      </c>
    </row>
    <row r="83" spans="1:2" x14ac:dyDescent="0.2">
      <c r="A83" s="154">
        <v>10</v>
      </c>
      <c r="B83" s="252" t="s">
        <v>396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  <rowBreaks count="2" manualBreakCount="2">
    <brk id="22" max="16383" man="1"/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7"/>
  <sheetViews>
    <sheetView showGridLines="0" showRowColHeaders="0" zoomScaleNormal="100" workbookViewId="0">
      <pane ySplit="2" topLeftCell="A3" activePane="bottomLeft" state="frozen"/>
      <selection activeCell="M1" sqref="M1"/>
      <selection pane="bottomLeft" activeCell="I1" sqref="I1"/>
    </sheetView>
  </sheetViews>
  <sheetFormatPr defaultRowHeight="12.75" x14ac:dyDescent="0.2"/>
  <cols>
    <col min="1" max="1" width="3.28515625" style="238" customWidth="1"/>
    <col min="2" max="2" width="43.140625" style="235" bestFit="1" customWidth="1"/>
    <col min="3" max="9" width="5.85546875" style="238" customWidth="1"/>
    <col min="10" max="16384" width="9.140625" style="238"/>
  </cols>
  <sheetData>
    <row r="1" spans="1:12" x14ac:dyDescent="0.2">
      <c r="A1" s="82" t="str">
        <f>UPPER((Kalend!D35)&amp;" - "&amp;(Kalend!C35)&amp;" - "&amp;(Kalend!E35))</f>
        <v>6 - SHK KV 6. ETAPP - TRIO</v>
      </c>
      <c r="E1" s="361" t="str">
        <f>HYPERLINK("#'Kalend'!I1","Kalender")</f>
        <v>Kalender</v>
      </c>
      <c r="F1" s="85"/>
      <c r="G1" s="361" t="str">
        <f>HYPERLINK("#'Reit'!J1","Reiting")</f>
        <v>Reiting</v>
      </c>
      <c r="H1" s="85"/>
      <c r="K1" s="453"/>
      <c r="L1" s="453"/>
    </row>
    <row r="2" spans="1:12" s="85" customFormat="1" x14ac:dyDescent="0.2">
      <c r="A2" s="85" t="str">
        <f>"Toimumisaeg: "&amp;(Kalend!A35)&amp;" kell "&amp;(Kalend!B35)</f>
        <v>Toimumisaeg: P, 10.04.2016 kell 11:00</v>
      </c>
    </row>
    <row r="3" spans="1:12" s="85" customFormat="1" x14ac:dyDescent="0.2">
      <c r="A3" s="85" t="str">
        <f>"Toimumiskoht: "&amp;(Kalend!F35)</f>
        <v>Toimumiskoht: K-Järve petangihall</v>
      </c>
    </row>
    <row r="4" spans="1:12" s="85" customFormat="1" x14ac:dyDescent="0.2">
      <c r="A4" s="85" t="str">
        <f>"Korraldaja: "&amp;(Kalend!G35)</f>
        <v>Korraldaja: K-Järve SHK, Ivar Viljaste</v>
      </c>
    </row>
    <row r="6" spans="1:12" x14ac:dyDescent="0.2">
      <c r="A6" s="185" t="s">
        <v>295</v>
      </c>
      <c r="B6" s="185"/>
      <c r="C6" s="155">
        <v>1</v>
      </c>
      <c r="D6" s="155">
        <v>2</v>
      </c>
      <c r="E6" s="155">
        <v>3</v>
      </c>
      <c r="F6" s="155">
        <v>4</v>
      </c>
      <c r="G6" s="155">
        <v>5</v>
      </c>
      <c r="H6" s="155" t="s">
        <v>259</v>
      </c>
      <c r="I6" s="155" t="s">
        <v>85</v>
      </c>
    </row>
    <row r="7" spans="1:12" x14ac:dyDescent="0.2">
      <c r="A7" s="185">
        <v>1</v>
      </c>
      <c r="B7" s="619" t="s">
        <v>420</v>
      </c>
      <c r="C7" s="186"/>
      <c r="D7" s="363">
        <v>13</v>
      </c>
      <c r="E7" s="363">
        <v>10</v>
      </c>
      <c r="F7" s="363">
        <v>2</v>
      </c>
      <c r="G7" s="363">
        <v>3</v>
      </c>
      <c r="H7" s="621" t="s">
        <v>312</v>
      </c>
      <c r="I7" s="622" t="s">
        <v>225</v>
      </c>
    </row>
    <row r="8" spans="1:12" x14ac:dyDescent="0.2">
      <c r="A8" s="185">
        <v>2</v>
      </c>
      <c r="B8" s="619" t="s">
        <v>323</v>
      </c>
      <c r="C8" s="363">
        <v>0</v>
      </c>
      <c r="D8" s="186"/>
      <c r="E8" s="363">
        <v>0</v>
      </c>
      <c r="F8" s="363">
        <v>10</v>
      </c>
      <c r="G8" s="363">
        <v>7</v>
      </c>
      <c r="H8" s="621" t="s">
        <v>422</v>
      </c>
      <c r="I8" s="622" t="s">
        <v>321</v>
      </c>
    </row>
    <row r="9" spans="1:12" x14ac:dyDescent="0.2">
      <c r="A9" s="185">
        <v>3</v>
      </c>
      <c r="B9" s="405" t="s">
        <v>324</v>
      </c>
      <c r="C9" s="363">
        <v>13</v>
      </c>
      <c r="D9" s="363">
        <v>13</v>
      </c>
      <c r="E9" s="186"/>
      <c r="F9" s="363">
        <v>6</v>
      </c>
      <c r="G9" s="363">
        <v>11</v>
      </c>
      <c r="H9" s="621" t="s">
        <v>423</v>
      </c>
      <c r="I9" s="622" t="s">
        <v>224</v>
      </c>
    </row>
    <row r="10" spans="1:12" x14ac:dyDescent="0.2">
      <c r="A10" s="185">
        <v>4</v>
      </c>
      <c r="B10" s="405" t="s">
        <v>326</v>
      </c>
      <c r="C10" s="363">
        <v>13</v>
      </c>
      <c r="D10" s="363">
        <v>13</v>
      </c>
      <c r="E10" s="363">
        <v>13</v>
      </c>
      <c r="F10" s="186"/>
      <c r="G10" s="363">
        <v>13</v>
      </c>
      <c r="H10" s="621" t="s">
        <v>424</v>
      </c>
      <c r="I10" s="622" t="s">
        <v>222</v>
      </c>
    </row>
    <row r="11" spans="1:12" x14ac:dyDescent="0.2">
      <c r="A11" s="185">
        <v>5</v>
      </c>
      <c r="B11" s="620" t="s">
        <v>421</v>
      </c>
      <c r="C11" s="363">
        <v>13</v>
      </c>
      <c r="D11" s="363">
        <v>13</v>
      </c>
      <c r="E11" s="363">
        <v>13</v>
      </c>
      <c r="F11" s="363">
        <v>11</v>
      </c>
      <c r="G11" s="186"/>
      <c r="H11" s="621" t="s">
        <v>425</v>
      </c>
      <c r="I11" s="622" t="s">
        <v>223</v>
      </c>
    </row>
    <row r="13" spans="1:12" x14ac:dyDescent="0.2">
      <c r="A13" s="154">
        <v>1</v>
      </c>
      <c r="B13" s="404" t="s">
        <v>326</v>
      </c>
    </row>
    <row r="14" spans="1:12" x14ac:dyDescent="0.2">
      <c r="A14" s="154">
        <v>2</v>
      </c>
      <c r="B14" s="620" t="s">
        <v>421</v>
      </c>
    </row>
    <row r="15" spans="1:12" x14ac:dyDescent="0.2">
      <c r="A15" s="154">
        <v>3</v>
      </c>
      <c r="B15" s="405" t="s">
        <v>324</v>
      </c>
    </row>
    <row r="16" spans="1:12" x14ac:dyDescent="0.2">
      <c r="A16" s="154">
        <v>4</v>
      </c>
      <c r="B16" s="619" t="s">
        <v>420</v>
      </c>
    </row>
    <row r="17" spans="1:2" x14ac:dyDescent="0.2">
      <c r="A17" s="154">
        <v>5</v>
      </c>
      <c r="B17" s="619" t="s">
        <v>323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68"/>
  <sheetViews>
    <sheetView showGridLines="0" showRowColHeaders="0" zoomScaleNormal="100" workbookViewId="0">
      <pane ySplit="5" topLeftCell="A6" activePane="bottomLeft" state="frozen"/>
      <selection activeCell="O1" sqref="O1"/>
      <selection pane="bottomLeft" activeCell="O1" sqref="O1"/>
    </sheetView>
  </sheetViews>
  <sheetFormatPr defaultRowHeight="12.75" x14ac:dyDescent="0.2"/>
  <cols>
    <col min="1" max="1" width="3.28515625" style="500" customWidth="1"/>
    <col min="2" max="2" width="19.42578125" style="500" customWidth="1"/>
    <col min="3" max="3" width="6.28515625" style="500" bestFit="1" customWidth="1"/>
    <col min="4" max="4" width="7.85546875" style="500" bestFit="1" customWidth="1"/>
    <col min="5" max="8" width="4.28515625" style="500" customWidth="1"/>
    <col min="9" max="9" width="6.5703125" style="500" bestFit="1" customWidth="1"/>
    <col min="10" max="10" width="5.140625" style="500" bestFit="1" customWidth="1"/>
    <col min="11" max="14" width="4.28515625" style="500" customWidth="1"/>
    <col min="15" max="15" width="6.5703125" style="500" bestFit="1" customWidth="1"/>
    <col min="16" max="16" width="5.140625" style="500" bestFit="1" customWidth="1"/>
    <col min="17" max="20" width="4.28515625" style="500" customWidth="1"/>
    <col min="21" max="21" width="6.5703125" style="500" bestFit="1" customWidth="1"/>
    <col min="22" max="22" width="5.140625" style="500" bestFit="1" customWidth="1"/>
    <col min="23" max="16384" width="9.140625" style="500"/>
  </cols>
  <sheetData>
    <row r="1" spans="1:22" s="238" customFormat="1" x14ac:dyDescent="0.2">
      <c r="A1" s="81" t="s">
        <v>164</v>
      </c>
      <c r="I1" s="361" t="str">
        <f>HYPERLINK("#'Kalend'!I1","Kalender")</f>
        <v>Kalender</v>
      </c>
      <c r="K1" s="361" t="str">
        <f>HYPERLINK("#'Reit'!J1","Reiting")</f>
        <v>Reiting</v>
      </c>
      <c r="L1" s="85"/>
      <c r="V1" s="492"/>
    </row>
    <row r="2" spans="1:22" s="238" customFormat="1" x14ac:dyDescent="0.2"/>
    <row r="3" spans="1:22" ht="63.75" customHeight="1" x14ac:dyDescent="0.2">
      <c r="A3" s="493"/>
      <c r="B3" s="494"/>
      <c r="C3" s="495"/>
      <c r="D3" s="495"/>
      <c r="E3" s="496"/>
      <c r="F3" s="496"/>
      <c r="G3" s="496"/>
      <c r="H3" s="496"/>
      <c r="I3" s="497"/>
      <c r="J3" s="498"/>
      <c r="K3" s="499"/>
      <c r="L3" s="496"/>
      <c r="M3" s="496"/>
      <c r="N3" s="496"/>
      <c r="O3" s="497"/>
      <c r="P3" s="498"/>
      <c r="Q3" s="496"/>
      <c r="R3" s="496"/>
      <c r="S3" s="496"/>
      <c r="T3" s="496"/>
      <c r="U3" s="497"/>
      <c r="V3" s="498"/>
    </row>
    <row r="4" spans="1:22" x14ac:dyDescent="0.2">
      <c r="A4" s="501"/>
      <c r="B4" s="502"/>
      <c r="C4" s="718"/>
      <c r="D4" s="718"/>
      <c r="E4" s="503" t="s">
        <v>122</v>
      </c>
      <c r="F4" s="503"/>
      <c r="G4" s="503"/>
      <c r="H4" s="503"/>
      <c r="I4" s="503"/>
      <c r="J4" s="504"/>
      <c r="K4" s="711" t="s">
        <v>248</v>
      </c>
      <c r="L4" s="712"/>
      <c r="M4" s="712"/>
      <c r="N4" s="712"/>
      <c r="O4" s="713"/>
      <c r="P4" s="714"/>
      <c r="Q4" s="503" t="s">
        <v>249</v>
      </c>
      <c r="R4" s="503"/>
      <c r="S4" s="503"/>
      <c r="T4" s="503"/>
      <c r="U4" s="505"/>
      <c r="V4" s="506"/>
    </row>
    <row r="5" spans="1:22" s="512" customFormat="1" x14ac:dyDescent="0.2">
      <c r="A5" s="576" t="s">
        <v>253</v>
      </c>
      <c r="B5" s="508" t="s">
        <v>84</v>
      </c>
      <c r="C5" s="719" t="s">
        <v>121</v>
      </c>
      <c r="D5" s="719" t="s">
        <v>234</v>
      </c>
      <c r="E5" s="509">
        <v>6.5</v>
      </c>
      <c r="F5" s="510">
        <v>7.5</v>
      </c>
      <c r="G5" s="510">
        <v>8.5</v>
      </c>
      <c r="H5" s="510">
        <v>9.5</v>
      </c>
      <c r="I5" s="510" t="s">
        <v>123</v>
      </c>
      <c r="J5" s="511" t="s">
        <v>85</v>
      </c>
      <c r="K5" s="715">
        <v>6.5</v>
      </c>
      <c r="L5" s="716">
        <v>7.5</v>
      </c>
      <c r="M5" s="716">
        <v>8.5</v>
      </c>
      <c r="N5" s="716">
        <v>9.5</v>
      </c>
      <c r="O5" s="716" t="s">
        <v>123</v>
      </c>
      <c r="P5" s="717" t="s">
        <v>85</v>
      </c>
      <c r="Q5" s="509">
        <v>6.5</v>
      </c>
      <c r="R5" s="510">
        <v>7.5</v>
      </c>
      <c r="S5" s="510">
        <v>8.5</v>
      </c>
      <c r="T5" s="510">
        <v>9.5</v>
      </c>
      <c r="U5" s="510" t="s">
        <v>123</v>
      </c>
      <c r="V5" s="511" t="s">
        <v>85</v>
      </c>
    </row>
    <row r="6" spans="1:22" s="515" customFormat="1" x14ac:dyDescent="0.2">
      <c r="A6" s="513"/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</row>
    <row r="7" spans="1:22" s="515" customFormat="1" x14ac:dyDescent="0.2">
      <c r="A7" s="82" t="str">
        <f>UPPER((Kalend!D7)&amp;" "&amp;(Kalend!C7)&amp;" - "&amp;(Kalend!A7))</f>
        <v>AS1 ASETAMISE 1. EELVOOR - P, 22.11.2015</v>
      </c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</row>
    <row r="8" spans="1:22" s="515" customFormat="1" x14ac:dyDescent="0.2">
      <c r="A8" s="517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</row>
    <row r="9" spans="1:22" x14ac:dyDescent="0.2">
      <c r="A9" s="577">
        <v>10</v>
      </c>
      <c r="B9" s="519" t="s">
        <v>90</v>
      </c>
      <c r="C9" s="520">
        <f t="shared" ref="C9:C23" si="0">RANK(D9,$D$9:$D$23,1)</f>
        <v>1</v>
      </c>
      <c r="D9" s="521">
        <f t="shared" ref="D9:D23" si="1">SUM(I9,O9,U9)</f>
        <v>479</v>
      </c>
      <c r="E9" s="522">
        <v>6</v>
      </c>
      <c r="F9" s="523">
        <v>36</v>
      </c>
      <c r="G9" s="523">
        <v>69</v>
      </c>
      <c r="H9" s="523">
        <v>11</v>
      </c>
      <c r="I9" s="524">
        <f t="shared" ref="I9:I23" si="2">SUM(E9:H9)</f>
        <v>122</v>
      </c>
      <c r="J9" s="525">
        <f t="shared" ref="J9:J23" si="3">RANK(I9,$I$9:$I$23,1)</f>
        <v>1</v>
      </c>
      <c r="K9" s="522">
        <v>15</v>
      </c>
      <c r="L9" s="523">
        <v>48</v>
      </c>
      <c r="M9" s="523">
        <v>58</v>
      </c>
      <c r="N9" s="523">
        <v>74</v>
      </c>
      <c r="O9" s="524">
        <f t="shared" ref="O9:O23" si="4">SUM(K9:N9)</f>
        <v>195</v>
      </c>
      <c r="P9" s="525">
        <f t="shared" ref="P9:P23" si="5">RANK(O9,$O$9:$O$23,1)</f>
        <v>2</v>
      </c>
      <c r="Q9" s="522">
        <v>44</v>
      </c>
      <c r="R9" s="523">
        <v>45</v>
      </c>
      <c r="S9" s="523">
        <v>3</v>
      </c>
      <c r="T9" s="523">
        <v>70</v>
      </c>
      <c r="U9" s="524">
        <f t="shared" ref="U9:U23" si="6">SUM(Q9:T9)</f>
        <v>162</v>
      </c>
      <c r="V9" s="525">
        <f t="shared" ref="V9:V23" si="7">RANK(U9,$U$9:$U$23,1)</f>
        <v>1</v>
      </c>
    </row>
    <row r="10" spans="1:22" x14ac:dyDescent="0.2">
      <c r="A10" s="577">
        <v>6</v>
      </c>
      <c r="B10" s="526" t="s">
        <v>98</v>
      </c>
      <c r="C10" s="520">
        <f t="shared" si="0"/>
        <v>2</v>
      </c>
      <c r="D10" s="521">
        <f t="shared" si="1"/>
        <v>595</v>
      </c>
      <c r="E10" s="522">
        <v>7</v>
      </c>
      <c r="F10" s="523">
        <v>70</v>
      </c>
      <c r="G10" s="523">
        <v>83</v>
      </c>
      <c r="H10" s="523">
        <v>9</v>
      </c>
      <c r="I10" s="524">
        <f t="shared" si="2"/>
        <v>169</v>
      </c>
      <c r="J10" s="525">
        <f t="shared" si="3"/>
        <v>3</v>
      </c>
      <c r="K10" s="522">
        <v>15</v>
      </c>
      <c r="L10" s="523">
        <v>52</v>
      </c>
      <c r="M10" s="527">
        <v>97</v>
      </c>
      <c r="N10" s="527">
        <v>60</v>
      </c>
      <c r="O10" s="524">
        <f t="shared" si="4"/>
        <v>224</v>
      </c>
      <c r="P10" s="525">
        <f t="shared" si="5"/>
        <v>4</v>
      </c>
      <c r="Q10" s="522">
        <v>33</v>
      </c>
      <c r="R10" s="523">
        <v>101</v>
      </c>
      <c r="S10" s="523">
        <v>42</v>
      </c>
      <c r="T10" s="523">
        <v>26</v>
      </c>
      <c r="U10" s="524">
        <f t="shared" si="6"/>
        <v>202</v>
      </c>
      <c r="V10" s="525">
        <f t="shared" si="7"/>
        <v>5</v>
      </c>
    </row>
    <row r="11" spans="1:22" x14ac:dyDescent="0.2">
      <c r="A11" s="577">
        <v>2</v>
      </c>
      <c r="B11" s="528" t="s">
        <v>113</v>
      </c>
      <c r="C11" s="520">
        <f t="shared" si="0"/>
        <v>3</v>
      </c>
      <c r="D11" s="521">
        <f t="shared" si="1"/>
        <v>677</v>
      </c>
      <c r="E11" s="522">
        <v>7</v>
      </c>
      <c r="F11" s="523">
        <v>8</v>
      </c>
      <c r="G11" s="523">
        <v>48</v>
      </c>
      <c r="H11" s="523">
        <v>113</v>
      </c>
      <c r="I11" s="524">
        <f t="shared" si="2"/>
        <v>176</v>
      </c>
      <c r="J11" s="525">
        <f t="shared" si="3"/>
        <v>5</v>
      </c>
      <c r="K11" s="522">
        <v>0</v>
      </c>
      <c r="L11" s="523">
        <v>25</v>
      </c>
      <c r="M11" s="523">
        <v>90</v>
      </c>
      <c r="N11" s="523">
        <v>90</v>
      </c>
      <c r="O11" s="524">
        <f t="shared" si="4"/>
        <v>205</v>
      </c>
      <c r="P11" s="525">
        <f t="shared" si="5"/>
        <v>3</v>
      </c>
      <c r="Q11" s="522">
        <v>10</v>
      </c>
      <c r="R11" s="523">
        <v>90</v>
      </c>
      <c r="S11" s="523">
        <v>149</v>
      </c>
      <c r="T11" s="523">
        <v>47</v>
      </c>
      <c r="U11" s="524">
        <f t="shared" si="6"/>
        <v>296</v>
      </c>
      <c r="V11" s="525">
        <f t="shared" si="7"/>
        <v>7</v>
      </c>
    </row>
    <row r="12" spans="1:22" x14ac:dyDescent="0.2">
      <c r="A12" s="577">
        <v>1</v>
      </c>
      <c r="B12" s="526" t="s">
        <v>114</v>
      </c>
      <c r="C12" s="520">
        <f t="shared" si="0"/>
        <v>4</v>
      </c>
      <c r="D12" s="521">
        <f t="shared" si="1"/>
        <v>692</v>
      </c>
      <c r="E12" s="522">
        <v>46</v>
      </c>
      <c r="F12" s="523">
        <v>11</v>
      </c>
      <c r="G12" s="523">
        <v>113</v>
      </c>
      <c r="H12" s="523">
        <v>85</v>
      </c>
      <c r="I12" s="524">
        <f t="shared" si="2"/>
        <v>255</v>
      </c>
      <c r="J12" s="525">
        <f t="shared" si="3"/>
        <v>10</v>
      </c>
      <c r="K12" s="522">
        <v>7</v>
      </c>
      <c r="L12" s="523">
        <v>81</v>
      </c>
      <c r="M12" s="523">
        <v>87</v>
      </c>
      <c r="N12" s="523">
        <v>88</v>
      </c>
      <c r="O12" s="524">
        <f t="shared" si="4"/>
        <v>263</v>
      </c>
      <c r="P12" s="525">
        <f t="shared" si="5"/>
        <v>6</v>
      </c>
      <c r="Q12" s="522">
        <v>69</v>
      </c>
      <c r="R12" s="523">
        <v>30</v>
      </c>
      <c r="S12" s="523">
        <v>62</v>
      </c>
      <c r="T12" s="523">
        <v>13</v>
      </c>
      <c r="U12" s="524">
        <f t="shared" si="6"/>
        <v>174</v>
      </c>
      <c r="V12" s="525">
        <f t="shared" si="7"/>
        <v>3</v>
      </c>
    </row>
    <row r="13" spans="1:22" x14ac:dyDescent="0.2">
      <c r="A13" s="577">
        <v>8</v>
      </c>
      <c r="B13" s="529" t="s">
        <v>143</v>
      </c>
      <c r="C13" s="520">
        <f t="shared" si="0"/>
        <v>5</v>
      </c>
      <c r="D13" s="521">
        <f t="shared" si="1"/>
        <v>700</v>
      </c>
      <c r="E13" s="522">
        <v>72</v>
      </c>
      <c r="F13" s="523">
        <v>52</v>
      </c>
      <c r="G13" s="523">
        <v>78</v>
      </c>
      <c r="H13" s="523">
        <v>81</v>
      </c>
      <c r="I13" s="524">
        <f t="shared" si="2"/>
        <v>283</v>
      </c>
      <c r="J13" s="525">
        <f t="shared" si="3"/>
        <v>11</v>
      </c>
      <c r="K13" s="522">
        <v>69</v>
      </c>
      <c r="L13" s="523">
        <v>69</v>
      </c>
      <c r="M13" s="527">
        <v>43</v>
      </c>
      <c r="N13" s="527">
        <v>73</v>
      </c>
      <c r="O13" s="524">
        <f t="shared" si="4"/>
        <v>254</v>
      </c>
      <c r="P13" s="525">
        <f t="shared" si="5"/>
        <v>5</v>
      </c>
      <c r="Q13" s="522">
        <v>97</v>
      </c>
      <c r="R13" s="523">
        <v>3</v>
      </c>
      <c r="S13" s="523">
        <v>62</v>
      </c>
      <c r="T13" s="523">
        <v>1</v>
      </c>
      <c r="U13" s="524">
        <f t="shared" si="6"/>
        <v>163</v>
      </c>
      <c r="V13" s="525">
        <f t="shared" si="7"/>
        <v>2</v>
      </c>
    </row>
    <row r="14" spans="1:22" x14ac:dyDescent="0.2">
      <c r="A14" s="577">
        <v>14</v>
      </c>
      <c r="B14" s="528" t="s">
        <v>104</v>
      </c>
      <c r="C14" s="520">
        <f t="shared" si="0"/>
        <v>6</v>
      </c>
      <c r="D14" s="521">
        <f t="shared" si="1"/>
        <v>715</v>
      </c>
      <c r="E14" s="522">
        <v>51</v>
      </c>
      <c r="F14" s="523">
        <v>23</v>
      </c>
      <c r="G14" s="523">
        <v>21</v>
      </c>
      <c r="H14" s="523">
        <v>35</v>
      </c>
      <c r="I14" s="524">
        <f t="shared" si="2"/>
        <v>130</v>
      </c>
      <c r="J14" s="525">
        <f t="shared" si="3"/>
        <v>2</v>
      </c>
      <c r="K14" s="522">
        <v>51</v>
      </c>
      <c r="L14" s="523">
        <v>110</v>
      </c>
      <c r="M14" s="523">
        <v>122</v>
      </c>
      <c r="N14" s="523">
        <v>103</v>
      </c>
      <c r="O14" s="524">
        <f t="shared" si="4"/>
        <v>386</v>
      </c>
      <c r="P14" s="525">
        <f t="shared" si="5"/>
        <v>14</v>
      </c>
      <c r="Q14" s="522">
        <v>83</v>
      </c>
      <c r="R14" s="523">
        <v>19</v>
      </c>
      <c r="S14" s="523">
        <v>29</v>
      </c>
      <c r="T14" s="523">
        <v>68</v>
      </c>
      <c r="U14" s="524">
        <f t="shared" si="6"/>
        <v>199</v>
      </c>
      <c r="V14" s="525">
        <f t="shared" si="7"/>
        <v>4</v>
      </c>
    </row>
    <row r="15" spans="1:22" x14ac:dyDescent="0.2">
      <c r="A15" s="577">
        <v>4</v>
      </c>
      <c r="B15" s="528" t="s">
        <v>126</v>
      </c>
      <c r="C15" s="520">
        <f t="shared" si="0"/>
        <v>7</v>
      </c>
      <c r="D15" s="521">
        <f t="shared" si="1"/>
        <v>716</v>
      </c>
      <c r="E15" s="522">
        <v>5</v>
      </c>
      <c r="F15" s="523">
        <v>77</v>
      </c>
      <c r="G15" s="523">
        <v>71</v>
      </c>
      <c r="H15" s="523">
        <v>70</v>
      </c>
      <c r="I15" s="524">
        <f t="shared" si="2"/>
        <v>223</v>
      </c>
      <c r="J15" s="525">
        <f t="shared" si="3"/>
        <v>6</v>
      </c>
      <c r="K15" s="522">
        <v>19</v>
      </c>
      <c r="L15" s="523">
        <v>70</v>
      </c>
      <c r="M15" s="523">
        <v>57</v>
      </c>
      <c r="N15" s="523">
        <v>13</v>
      </c>
      <c r="O15" s="524">
        <f t="shared" si="4"/>
        <v>159</v>
      </c>
      <c r="P15" s="525">
        <f t="shared" si="5"/>
        <v>1</v>
      </c>
      <c r="Q15" s="522">
        <v>52</v>
      </c>
      <c r="R15" s="523">
        <v>149</v>
      </c>
      <c r="S15" s="523">
        <v>91</v>
      </c>
      <c r="T15" s="523">
        <v>42</v>
      </c>
      <c r="U15" s="524">
        <f t="shared" si="6"/>
        <v>334</v>
      </c>
      <c r="V15" s="525">
        <f t="shared" si="7"/>
        <v>11</v>
      </c>
    </row>
    <row r="16" spans="1:22" x14ac:dyDescent="0.2">
      <c r="A16" s="577">
        <v>12</v>
      </c>
      <c r="B16" s="530" t="s">
        <v>115</v>
      </c>
      <c r="C16" s="520">
        <f t="shared" si="0"/>
        <v>8</v>
      </c>
      <c r="D16" s="521">
        <f t="shared" si="1"/>
        <v>837</v>
      </c>
      <c r="E16" s="522">
        <v>70</v>
      </c>
      <c r="F16" s="523">
        <v>110</v>
      </c>
      <c r="G16" s="523">
        <v>53</v>
      </c>
      <c r="H16" s="523">
        <v>20</v>
      </c>
      <c r="I16" s="524">
        <f t="shared" si="2"/>
        <v>253</v>
      </c>
      <c r="J16" s="525">
        <f t="shared" si="3"/>
        <v>9</v>
      </c>
      <c r="K16" s="522">
        <v>86</v>
      </c>
      <c r="L16" s="523">
        <v>75</v>
      </c>
      <c r="M16" s="523">
        <v>116</v>
      </c>
      <c r="N16" s="523">
        <v>91</v>
      </c>
      <c r="O16" s="524">
        <f t="shared" si="4"/>
        <v>368</v>
      </c>
      <c r="P16" s="525">
        <f t="shared" si="5"/>
        <v>12</v>
      </c>
      <c r="Q16" s="522">
        <v>100</v>
      </c>
      <c r="R16" s="523">
        <v>74</v>
      </c>
      <c r="S16" s="523">
        <v>41</v>
      </c>
      <c r="T16" s="523">
        <v>1</v>
      </c>
      <c r="U16" s="524">
        <f t="shared" si="6"/>
        <v>216</v>
      </c>
      <c r="V16" s="525">
        <f t="shared" si="7"/>
        <v>6</v>
      </c>
    </row>
    <row r="17" spans="1:22" x14ac:dyDescent="0.2">
      <c r="A17" s="577">
        <v>11</v>
      </c>
      <c r="B17" s="530" t="s">
        <v>125</v>
      </c>
      <c r="C17" s="520">
        <f t="shared" si="0"/>
        <v>9</v>
      </c>
      <c r="D17" s="521">
        <f t="shared" si="1"/>
        <v>865</v>
      </c>
      <c r="E17" s="522">
        <v>11</v>
      </c>
      <c r="F17" s="523">
        <v>61</v>
      </c>
      <c r="G17" s="523">
        <v>2</v>
      </c>
      <c r="H17" s="523">
        <v>99</v>
      </c>
      <c r="I17" s="524">
        <f t="shared" si="2"/>
        <v>173</v>
      </c>
      <c r="J17" s="525">
        <f t="shared" si="3"/>
        <v>4</v>
      </c>
      <c r="K17" s="522">
        <v>29</v>
      </c>
      <c r="L17" s="523">
        <v>71</v>
      </c>
      <c r="M17" s="523">
        <v>131</v>
      </c>
      <c r="N17" s="523">
        <v>80</v>
      </c>
      <c r="O17" s="524">
        <f t="shared" si="4"/>
        <v>311</v>
      </c>
      <c r="P17" s="525">
        <f t="shared" si="5"/>
        <v>9</v>
      </c>
      <c r="Q17" s="522">
        <v>93</v>
      </c>
      <c r="R17" s="523">
        <v>55</v>
      </c>
      <c r="S17" s="523">
        <v>33</v>
      </c>
      <c r="T17" s="523">
        <v>200</v>
      </c>
      <c r="U17" s="524">
        <f t="shared" si="6"/>
        <v>381</v>
      </c>
      <c r="V17" s="525">
        <f t="shared" si="7"/>
        <v>13</v>
      </c>
    </row>
    <row r="18" spans="1:22" x14ac:dyDescent="0.2">
      <c r="A18" s="577">
        <v>5</v>
      </c>
      <c r="B18" s="531" t="s">
        <v>95</v>
      </c>
      <c r="C18" s="520">
        <f t="shared" si="0"/>
        <v>10</v>
      </c>
      <c r="D18" s="521">
        <f t="shared" si="1"/>
        <v>932</v>
      </c>
      <c r="E18" s="522">
        <v>123</v>
      </c>
      <c r="F18" s="523">
        <v>74</v>
      </c>
      <c r="G18" s="523">
        <v>10</v>
      </c>
      <c r="H18" s="523">
        <v>104</v>
      </c>
      <c r="I18" s="524">
        <f t="shared" si="2"/>
        <v>311</v>
      </c>
      <c r="J18" s="525">
        <f t="shared" si="3"/>
        <v>12</v>
      </c>
      <c r="K18" s="522">
        <v>99</v>
      </c>
      <c r="L18" s="523">
        <v>107</v>
      </c>
      <c r="M18" s="527">
        <v>91</v>
      </c>
      <c r="N18" s="527">
        <v>4</v>
      </c>
      <c r="O18" s="524">
        <f t="shared" si="4"/>
        <v>301</v>
      </c>
      <c r="P18" s="525">
        <f t="shared" si="5"/>
        <v>8</v>
      </c>
      <c r="Q18" s="522">
        <v>72</v>
      </c>
      <c r="R18" s="523">
        <v>83</v>
      </c>
      <c r="S18" s="523">
        <v>91</v>
      </c>
      <c r="T18" s="523">
        <v>74</v>
      </c>
      <c r="U18" s="524">
        <f t="shared" si="6"/>
        <v>320</v>
      </c>
      <c r="V18" s="525">
        <f t="shared" si="7"/>
        <v>8</v>
      </c>
    </row>
    <row r="19" spans="1:22" x14ac:dyDescent="0.2">
      <c r="A19" s="577">
        <v>13</v>
      </c>
      <c r="B19" s="531" t="s">
        <v>112</v>
      </c>
      <c r="C19" s="520">
        <f t="shared" si="0"/>
        <v>11</v>
      </c>
      <c r="D19" s="521">
        <f t="shared" si="1"/>
        <v>937</v>
      </c>
      <c r="E19" s="522">
        <v>78</v>
      </c>
      <c r="F19" s="523">
        <v>81</v>
      </c>
      <c r="G19" s="523">
        <v>118</v>
      </c>
      <c r="H19" s="523">
        <v>55</v>
      </c>
      <c r="I19" s="524">
        <f t="shared" si="2"/>
        <v>332</v>
      </c>
      <c r="J19" s="525">
        <f t="shared" si="3"/>
        <v>13</v>
      </c>
      <c r="K19" s="522">
        <v>122</v>
      </c>
      <c r="L19" s="523">
        <v>69</v>
      </c>
      <c r="M19" s="523">
        <v>57</v>
      </c>
      <c r="N19" s="523">
        <v>21</v>
      </c>
      <c r="O19" s="524">
        <f t="shared" si="4"/>
        <v>269</v>
      </c>
      <c r="P19" s="525">
        <f t="shared" si="5"/>
        <v>7</v>
      </c>
      <c r="Q19" s="522">
        <v>110</v>
      </c>
      <c r="R19" s="523">
        <v>10</v>
      </c>
      <c r="S19" s="523">
        <v>172</v>
      </c>
      <c r="T19" s="523">
        <v>44</v>
      </c>
      <c r="U19" s="524">
        <f t="shared" si="6"/>
        <v>336</v>
      </c>
      <c r="V19" s="525">
        <f t="shared" si="7"/>
        <v>12</v>
      </c>
    </row>
    <row r="20" spans="1:22" x14ac:dyDescent="0.2">
      <c r="A20" s="577">
        <v>9</v>
      </c>
      <c r="B20" s="531" t="s">
        <v>106</v>
      </c>
      <c r="C20" s="520">
        <f t="shared" si="0"/>
        <v>12</v>
      </c>
      <c r="D20" s="521">
        <f t="shared" si="1"/>
        <v>944</v>
      </c>
      <c r="E20" s="522">
        <v>58</v>
      </c>
      <c r="F20" s="523">
        <v>69</v>
      </c>
      <c r="G20" s="523">
        <v>88</v>
      </c>
      <c r="H20" s="523">
        <v>17</v>
      </c>
      <c r="I20" s="524">
        <f t="shared" si="2"/>
        <v>232</v>
      </c>
      <c r="J20" s="525">
        <f t="shared" si="3"/>
        <v>7</v>
      </c>
      <c r="K20" s="522">
        <v>69</v>
      </c>
      <c r="L20" s="523">
        <v>69</v>
      </c>
      <c r="M20" s="527">
        <v>69</v>
      </c>
      <c r="N20" s="527">
        <v>183</v>
      </c>
      <c r="O20" s="524">
        <f t="shared" si="4"/>
        <v>390</v>
      </c>
      <c r="P20" s="525">
        <f t="shared" si="5"/>
        <v>15</v>
      </c>
      <c r="Q20" s="522">
        <v>88</v>
      </c>
      <c r="R20" s="523">
        <v>47</v>
      </c>
      <c r="S20" s="523">
        <v>86</v>
      </c>
      <c r="T20" s="523">
        <v>101</v>
      </c>
      <c r="U20" s="524">
        <f t="shared" si="6"/>
        <v>322</v>
      </c>
      <c r="V20" s="525">
        <f t="shared" si="7"/>
        <v>9</v>
      </c>
    </row>
    <row r="21" spans="1:22" x14ac:dyDescent="0.2">
      <c r="A21" s="577">
        <v>7</v>
      </c>
      <c r="B21" s="529" t="s">
        <v>137</v>
      </c>
      <c r="C21" s="520">
        <f t="shared" si="0"/>
        <v>13</v>
      </c>
      <c r="D21" s="521">
        <f t="shared" si="1"/>
        <v>1066</v>
      </c>
      <c r="E21" s="522">
        <v>40</v>
      </c>
      <c r="F21" s="523">
        <v>96</v>
      </c>
      <c r="G21" s="523">
        <v>55</v>
      </c>
      <c r="H21" s="523">
        <v>41</v>
      </c>
      <c r="I21" s="524">
        <f t="shared" si="2"/>
        <v>232</v>
      </c>
      <c r="J21" s="525">
        <f t="shared" si="3"/>
        <v>7</v>
      </c>
      <c r="K21" s="522">
        <v>92</v>
      </c>
      <c r="L21" s="523">
        <v>57</v>
      </c>
      <c r="M21" s="527">
        <v>87</v>
      </c>
      <c r="N21" s="527">
        <v>116</v>
      </c>
      <c r="O21" s="524">
        <f t="shared" si="4"/>
        <v>352</v>
      </c>
      <c r="P21" s="525">
        <f t="shared" si="5"/>
        <v>11</v>
      </c>
      <c r="Q21" s="522">
        <v>61</v>
      </c>
      <c r="R21" s="523">
        <v>123</v>
      </c>
      <c r="S21" s="523">
        <v>98</v>
      </c>
      <c r="T21" s="523">
        <v>200</v>
      </c>
      <c r="U21" s="524">
        <f t="shared" si="6"/>
        <v>482</v>
      </c>
      <c r="V21" s="525">
        <f t="shared" si="7"/>
        <v>15</v>
      </c>
    </row>
    <row r="22" spans="1:22" x14ac:dyDescent="0.2">
      <c r="A22" s="577">
        <v>3</v>
      </c>
      <c r="B22" s="528" t="s">
        <v>105</v>
      </c>
      <c r="C22" s="520">
        <f t="shared" si="0"/>
        <v>14</v>
      </c>
      <c r="D22" s="521">
        <f t="shared" si="1"/>
        <v>1146</v>
      </c>
      <c r="E22" s="522">
        <v>151</v>
      </c>
      <c r="F22" s="523">
        <v>14</v>
      </c>
      <c r="G22" s="523">
        <v>5</v>
      </c>
      <c r="H22" s="523">
        <v>183</v>
      </c>
      <c r="I22" s="524">
        <f t="shared" si="2"/>
        <v>353</v>
      </c>
      <c r="J22" s="525">
        <f t="shared" si="3"/>
        <v>14</v>
      </c>
      <c r="K22" s="522">
        <v>43</v>
      </c>
      <c r="L22" s="523">
        <v>96</v>
      </c>
      <c r="M22" s="523">
        <v>174</v>
      </c>
      <c r="N22" s="523">
        <v>59</v>
      </c>
      <c r="O22" s="524">
        <f t="shared" si="4"/>
        <v>372</v>
      </c>
      <c r="P22" s="525">
        <f t="shared" si="5"/>
        <v>13</v>
      </c>
      <c r="Q22" s="522">
        <v>52</v>
      </c>
      <c r="R22" s="523">
        <v>166</v>
      </c>
      <c r="S22" s="523">
        <v>122</v>
      </c>
      <c r="T22" s="523">
        <v>81</v>
      </c>
      <c r="U22" s="524">
        <f t="shared" si="6"/>
        <v>421</v>
      </c>
      <c r="V22" s="525">
        <f t="shared" si="7"/>
        <v>14</v>
      </c>
    </row>
    <row r="23" spans="1:22" x14ac:dyDescent="0.2">
      <c r="A23" s="577">
        <v>15</v>
      </c>
      <c r="B23" s="528" t="s">
        <v>108</v>
      </c>
      <c r="C23" s="520">
        <f t="shared" si="0"/>
        <v>15</v>
      </c>
      <c r="D23" s="521">
        <f t="shared" si="1"/>
        <v>1175</v>
      </c>
      <c r="E23" s="522">
        <v>200</v>
      </c>
      <c r="F23" s="523">
        <v>114</v>
      </c>
      <c r="G23" s="523">
        <v>76</v>
      </c>
      <c r="H23" s="523">
        <v>124</v>
      </c>
      <c r="I23" s="524">
        <f t="shared" si="2"/>
        <v>514</v>
      </c>
      <c r="J23" s="525">
        <f t="shared" si="3"/>
        <v>15</v>
      </c>
      <c r="K23" s="522">
        <v>51</v>
      </c>
      <c r="L23" s="523">
        <v>91</v>
      </c>
      <c r="M23" s="523">
        <v>96</v>
      </c>
      <c r="N23" s="523">
        <v>94</v>
      </c>
      <c r="O23" s="524">
        <f t="shared" si="4"/>
        <v>332</v>
      </c>
      <c r="P23" s="525">
        <f t="shared" si="5"/>
        <v>10</v>
      </c>
      <c r="Q23" s="522">
        <v>89</v>
      </c>
      <c r="R23" s="523">
        <v>74</v>
      </c>
      <c r="S23" s="523">
        <v>67</v>
      </c>
      <c r="T23" s="523">
        <v>99</v>
      </c>
      <c r="U23" s="524">
        <f t="shared" si="6"/>
        <v>329</v>
      </c>
      <c r="V23" s="525">
        <f t="shared" si="7"/>
        <v>10</v>
      </c>
    </row>
    <row r="24" spans="1:22" x14ac:dyDescent="0.2">
      <c r="B24" s="532" t="s">
        <v>252</v>
      </c>
      <c r="C24" s="533"/>
      <c r="D24" s="534">
        <f t="shared" ref="D24:I24" si="8">MIN(D9:D23)</f>
        <v>479</v>
      </c>
      <c r="E24" s="534">
        <f t="shared" si="8"/>
        <v>5</v>
      </c>
      <c r="F24" s="534">
        <f t="shared" si="8"/>
        <v>8</v>
      </c>
      <c r="G24" s="534">
        <f t="shared" si="8"/>
        <v>2</v>
      </c>
      <c r="H24" s="534">
        <f t="shared" si="8"/>
        <v>9</v>
      </c>
      <c r="I24" s="534">
        <f t="shared" si="8"/>
        <v>122</v>
      </c>
      <c r="J24" s="534"/>
      <c r="K24" s="534">
        <f>MIN(K9:K23)</f>
        <v>0</v>
      </c>
      <c r="L24" s="534">
        <f>MIN(L9:L23)</f>
        <v>25</v>
      </c>
      <c r="M24" s="534">
        <f>MIN(M9:M23)</f>
        <v>43</v>
      </c>
      <c r="N24" s="534">
        <f>MIN(N9:N23)</f>
        <v>4</v>
      </c>
      <c r="O24" s="534">
        <f>MIN(O9:O23)</f>
        <v>159</v>
      </c>
      <c r="P24" s="534"/>
      <c r="Q24" s="534">
        <f>MIN(Q9:Q23)</f>
        <v>10</v>
      </c>
      <c r="R24" s="534">
        <f>MIN(R9:R23)</f>
        <v>3</v>
      </c>
      <c r="S24" s="534">
        <f>MIN(S9:S23)</f>
        <v>3</v>
      </c>
      <c r="T24" s="534">
        <f>MIN(T9:T23)</f>
        <v>1</v>
      </c>
      <c r="U24" s="534">
        <f>MIN(U9:U23)</f>
        <v>162</v>
      </c>
      <c r="V24" s="533"/>
    </row>
    <row r="25" spans="1:22" s="540" customFormat="1" x14ac:dyDescent="0.2">
      <c r="A25" s="535"/>
      <c r="B25" s="536" t="s">
        <v>251</v>
      </c>
      <c r="C25" s="537"/>
      <c r="D25" s="538">
        <f>AVERAGE(D9:D23)</f>
        <v>831.73333333333335</v>
      </c>
      <c r="E25" s="537">
        <f>AVERAGE(E9:E23)</f>
        <v>61.666666666666664</v>
      </c>
      <c r="F25" s="537">
        <f>AVERAGE(F9:F23)</f>
        <v>59.733333333333334</v>
      </c>
      <c r="G25" s="537">
        <f>AVERAGE(G9:G23)</f>
        <v>59.333333333333336</v>
      </c>
      <c r="H25" s="537">
        <f>AVERAGE(H9:H23)</f>
        <v>69.8</v>
      </c>
      <c r="I25" s="539">
        <f>AVERAGE(I9:I24)</f>
        <v>242.5</v>
      </c>
      <c r="J25" s="537"/>
      <c r="K25" s="537">
        <f>AVERAGE(K9:K23)</f>
        <v>51.133333333333333</v>
      </c>
      <c r="L25" s="537">
        <f>AVERAGE(L9:L23)</f>
        <v>72.666666666666671</v>
      </c>
      <c r="M25" s="537">
        <f>AVERAGE(M9:M23)</f>
        <v>91.666666666666671</v>
      </c>
      <c r="N25" s="537">
        <f>AVERAGE(N9:N23)</f>
        <v>76.599999999999994</v>
      </c>
      <c r="O25" s="539">
        <f>AVERAGE(O9:O24)</f>
        <v>283.75</v>
      </c>
      <c r="P25" s="537"/>
      <c r="Q25" s="537">
        <f>AVERAGE(Q9:Q23)</f>
        <v>70.2</v>
      </c>
      <c r="R25" s="537">
        <f>AVERAGE(R9:R23)</f>
        <v>71.266666666666666</v>
      </c>
      <c r="S25" s="537">
        <f>AVERAGE(S9:S23)</f>
        <v>76.533333333333331</v>
      </c>
      <c r="T25" s="537">
        <f>AVERAGE(T9:T23)</f>
        <v>71.13333333333334</v>
      </c>
      <c r="U25" s="539">
        <f>AVERAGE(U9:U24)</f>
        <v>281.1875</v>
      </c>
      <c r="V25" s="537"/>
    </row>
    <row r="26" spans="1:22" s="540" customFormat="1" x14ac:dyDescent="0.2">
      <c r="A26" s="535"/>
      <c r="B26" s="541"/>
      <c r="C26" s="542"/>
      <c r="D26" s="543"/>
      <c r="E26" s="542"/>
      <c r="F26" s="542"/>
      <c r="G26" s="542"/>
      <c r="H26" s="542"/>
      <c r="I26" s="544"/>
      <c r="J26" s="542"/>
      <c r="K26" s="542"/>
      <c r="L26" s="542"/>
      <c r="M26" s="542"/>
      <c r="N26" s="542"/>
      <c r="O26" s="544"/>
      <c r="P26" s="542"/>
      <c r="Q26" s="542"/>
      <c r="R26" s="542"/>
      <c r="S26" s="542"/>
      <c r="T26" s="542"/>
      <c r="U26" s="544"/>
      <c r="V26" s="542"/>
    </row>
    <row r="27" spans="1:22" x14ac:dyDescent="0.2">
      <c r="A27" s="500" t="s">
        <v>256</v>
      </c>
    </row>
    <row r="28" spans="1:22" x14ac:dyDescent="0.2">
      <c r="A28" s="547" t="s">
        <v>412</v>
      </c>
    </row>
    <row r="29" spans="1:22" x14ac:dyDescent="0.2">
      <c r="A29" s="547" t="s">
        <v>413</v>
      </c>
    </row>
    <row r="30" spans="1:22" x14ac:dyDescent="0.2">
      <c r="A30" s="500" t="s">
        <v>255</v>
      </c>
    </row>
    <row r="31" spans="1:22" x14ac:dyDescent="0.2">
      <c r="A31" s="500" t="s">
        <v>257</v>
      </c>
    </row>
    <row r="32" spans="1:22" x14ac:dyDescent="0.2">
      <c r="A32" s="500" t="s">
        <v>388</v>
      </c>
    </row>
    <row r="34" spans="1:22" s="515" customFormat="1" x14ac:dyDescent="0.2">
      <c r="A34" s="82" t="str">
        <f>UPPER((Kalend!D17)&amp;" "&amp;(Kalend!C17)&amp;" - "&amp;(Kalend!A17))</f>
        <v>AS2 ASETAMISE 2. EELVOOR - P, 10.01.2016</v>
      </c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</row>
    <row r="35" spans="1:22" s="540" customFormat="1" x14ac:dyDescent="0.2">
      <c r="A35" s="535"/>
      <c r="B35" s="541"/>
      <c r="C35" s="542"/>
      <c r="D35" s="543"/>
      <c r="E35" s="542"/>
      <c r="F35" s="542"/>
      <c r="G35" s="542"/>
      <c r="H35" s="542"/>
      <c r="I35" s="544"/>
      <c r="J35" s="542"/>
      <c r="K35" s="542"/>
      <c r="L35" s="542"/>
      <c r="M35" s="542"/>
      <c r="N35" s="542"/>
      <c r="O35" s="544"/>
      <c r="P35" s="542"/>
      <c r="Q35" s="542"/>
      <c r="R35" s="542"/>
      <c r="S35" s="542"/>
      <c r="T35" s="542"/>
      <c r="U35" s="544"/>
      <c r="V35" s="542"/>
    </row>
    <row r="36" spans="1:22" x14ac:dyDescent="0.2">
      <c r="A36" s="577">
        <v>6</v>
      </c>
      <c r="B36" s="545" t="s">
        <v>108</v>
      </c>
      <c r="C36" s="520">
        <f>RANK(D36,$D$36:$D$47,1)</f>
        <v>1</v>
      </c>
      <c r="D36" s="521">
        <f t="shared" ref="D36:D47" si="9">SUM(I36,O36,U36)</f>
        <v>660</v>
      </c>
      <c r="E36" s="522">
        <v>60</v>
      </c>
      <c r="F36" s="523">
        <v>61</v>
      </c>
      <c r="G36" s="523">
        <v>110</v>
      </c>
      <c r="H36" s="523">
        <v>32</v>
      </c>
      <c r="I36" s="524">
        <f t="shared" ref="I36:I47" si="10">SUM(E36:H36)</f>
        <v>263</v>
      </c>
      <c r="J36" s="525">
        <f>RANK(I36,$I$36:$I$47,1)</f>
        <v>4</v>
      </c>
      <c r="K36" s="522">
        <v>56</v>
      </c>
      <c r="L36" s="523">
        <v>54</v>
      </c>
      <c r="M36" s="523">
        <v>10</v>
      </c>
      <c r="N36" s="523">
        <v>107</v>
      </c>
      <c r="O36" s="524">
        <f t="shared" ref="O36:O47" si="11">SUM(K36:N36)</f>
        <v>227</v>
      </c>
      <c r="P36" s="525">
        <f>RANK(O36,$O$36:$O$47,1)</f>
        <v>4</v>
      </c>
      <c r="Q36" s="522">
        <v>7</v>
      </c>
      <c r="R36" s="523">
        <v>47</v>
      </c>
      <c r="S36" s="523">
        <v>78</v>
      </c>
      <c r="T36" s="523">
        <v>38</v>
      </c>
      <c r="U36" s="524">
        <f t="shared" ref="U36:U47" si="12">SUM(Q36:T36)</f>
        <v>170</v>
      </c>
      <c r="V36" s="525">
        <f>RANK(U36,$U$36:$U$47,1)</f>
        <v>2</v>
      </c>
    </row>
    <row r="37" spans="1:22" x14ac:dyDescent="0.2">
      <c r="A37" s="577">
        <v>10</v>
      </c>
      <c r="B37" s="531" t="s">
        <v>95</v>
      </c>
      <c r="C37" s="520">
        <f t="shared" ref="C37:C47" si="13">RANK(D37,$D$36:$D$47,1)</f>
        <v>2</v>
      </c>
      <c r="D37" s="521">
        <f t="shared" si="9"/>
        <v>674</v>
      </c>
      <c r="E37" s="522">
        <v>32</v>
      </c>
      <c r="F37" s="523">
        <v>7</v>
      </c>
      <c r="G37" s="523">
        <v>91</v>
      </c>
      <c r="H37" s="523">
        <v>76</v>
      </c>
      <c r="I37" s="524">
        <f t="shared" si="10"/>
        <v>206</v>
      </c>
      <c r="J37" s="525">
        <f t="shared" ref="J37:J47" si="14">RANK(I37,$I$36:$I$47,1)</f>
        <v>2</v>
      </c>
      <c r="K37" s="522">
        <v>11</v>
      </c>
      <c r="L37" s="523">
        <v>50</v>
      </c>
      <c r="M37" s="527">
        <v>67</v>
      </c>
      <c r="N37" s="527">
        <v>87</v>
      </c>
      <c r="O37" s="524">
        <f t="shared" si="11"/>
        <v>215</v>
      </c>
      <c r="P37" s="525">
        <f t="shared" ref="P37:P47" si="15">RANK(O37,$O$36:$O$47,1)</f>
        <v>3</v>
      </c>
      <c r="Q37" s="522">
        <v>47</v>
      </c>
      <c r="R37" s="523">
        <v>47</v>
      </c>
      <c r="S37" s="523">
        <v>46</v>
      </c>
      <c r="T37" s="523">
        <v>113</v>
      </c>
      <c r="U37" s="524">
        <f t="shared" si="12"/>
        <v>253</v>
      </c>
      <c r="V37" s="525">
        <f t="shared" ref="V37:V46" si="16">RANK(U37,$U$36:$U$47,1)</f>
        <v>6</v>
      </c>
    </row>
    <row r="38" spans="1:22" x14ac:dyDescent="0.2">
      <c r="A38" s="577">
        <v>11</v>
      </c>
      <c r="B38" s="528" t="s">
        <v>113</v>
      </c>
      <c r="C38" s="520">
        <f t="shared" si="13"/>
        <v>3</v>
      </c>
      <c r="D38" s="521">
        <f t="shared" si="9"/>
        <v>781</v>
      </c>
      <c r="E38" s="522">
        <v>77</v>
      </c>
      <c r="F38" s="523">
        <v>56</v>
      </c>
      <c r="G38" s="523">
        <v>130</v>
      </c>
      <c r="H38" s="523">
        <v>155</v>
      </c>
      <c r="I38" s="524">
        <f t="shared" si="10"/>
        <v>418</v>
      </c>
      <c r="J38" s="525">
        <f t="shared" si="14"/>
        <v>10</v>
      </c>
      <c r="K38" s="522">
        <v>9</v>
      </c>
      <c r="L38" s="523">
        <v>61</v>
      </c>
      <c r="M38" s="523">
        <v>46</v>
      </c>
      <c r="N38" s="523">
        <v>56</v>
      </c>
      <c r="O38" s="524">
        <f t="shared" si="11"/>
        <v>172</v>
      </c>
      <c r="P38" s="525">
        <f t="shared" si="15"/>
        <v>1</v>
      </c>
      <c r="Q38" s="522">
        <v>34</v>
      </c>
      <c r="R38" s="523">
        <v>45</v>
      </c>
      <c r="S38" s="523">
        <v>43</v>
      </c>
      <c r="T38" s="523">
        <v>69</v>
      </c>
      <c r="U38" s="524">
        <f t="shared" si="12"/>
        <v>191</v>
      </c>
      <c r="V38" s="525">
        <f t="shared" si="16"/>
        <v>3</v>
      </c>
    </row>
    <row r="39" spans="1:22" x14ac:dyDescent="0.2">
      <c r="A39" s="577">
        <v>12</v>
      </c>
      <c r="B39" s="526" t="s">
        <v>98</v>
      </c>
      <c r="C39" s="520">
        <f t="shared" si="13"/>
        <v>4</v>
      </c>
      <c r="D39" s="521">
        <f t="shared" si="9"/>
        <v>795</v>
      </c>
      <c r="E39" s="522">
        <v>31</v>
      </c>
      <c r="F39" s="523">
        <v>49</v>
      </c>
      <c r="G39" s="523">
        <v>60</v>
      </c>
      <c r="H39" s="523">
        <v>174</v>
      </c>
      <c r="I39" s="524">
        <f t="shared" si="10"/>
        <v>314</v>
      </c>
      <c r="J39" s="525">
        <f t="shared" si="14"/>
        <v>7</v>
      </c>
      <c r="K39" s="522">
        <v>78</v>
      </c>
      <c r="L39" s="523">
        <v>112</v>
      </c>
      <c r="M39" s="527">
        <v>41</v>
      </c>
      <c r="N39" s="527">
        <v>98</v>
      </c>
      <c r="O39" s="524">
        <f t="shared" si="11"/>
        <v>329</v>
      </c>
      <c r="P39" s="525">
        <f t="shared" si="15"/>
        <v>9</v>
      </c>
      <c r="Q39" s="522">
        <v>40</v>
      </c>
      <c r="R39" s="523">
        <v>55</v>
      </c>
      <c r="S39" s="523">
        <v>10</v>
      </c>
      <c r="T39" s="523">
        <v>47</v>
      </c>
      <c r="U39" s="524">
        <f t="shared" si="12"/>
        <v>152</v>
      </c>
      <c r="V39" s="525">
        <f t="shared" si="16"/>
        <v>1</v>
      </c>
    </row>
    <row r="40" spans="1:22" x14ac:dyDescent="0.2">
      <c r="A40" s="577">
        <v>2</v>
      </c>
      <c r="B40" s="530" t="s">
        <v>125</v>
      </c>
      <c r="C40" s="520">
        <f t="shared" si="13"/>
        <v>5</v>
      </c>
      <c r="D40" s="521">
        <f t="shared" si="9"/>
        <v>803</v>
      </c>
      <c r="E40" s="522">
        <v>62</v>
      </c>
      <c r="F40" s="523">
        <v>80</v>
      </c>
      <c r="G40" s="523">
        <v>59</v>
      </c>
      <c r="H40" s="523">
        <v>112</v>
      </c>
      <c r="I40" s="524">
        <f t="shared" si="10"/>
        <v>313</v>
      </c>
      <c r="J40" s="525">
        <f t="shared" si="14"/>
        <v>6</v>
      </c>
      <c r="K40" s="522">
        <v>98</v>
      </c>
      <c r="L40" s="523">
        <v>100</v>
      </c>
      <c r="M40" s="527">
        <v>42</v>
      </c>
      <c r="N40" s="527">
        <v>0</v>
      </c>
      <c r="O40" s="524">
        <f t="shared" si="11"/>
        <v>240</v>
      </c>
      <c r="P40" s="525">
        <f t="shared" si="15"/>
        <v>5</v>
      </c>
      <c r="Q40" s="522">
        <v>38</v>
      </c>
      <c r="R40" s="523">
        <v>26</v>
      </c>
      <c r="S40" s="523">
        <v>59</v>
      </c>
      <c r="T40" s="523">
        <v>127</v>
      </c>
      <c r="U40" s="524">
        <f t="shared" si="12"/>
        <v>250</v>
      </c>
      <c r="V40" s="525">
        <f t="shared" si="16"/>
        <v>5</v>
      </c>
    </row>
    <row r="41" spans="1:22" x14ac:dyDescent="0.2">
      <c r="A41" s="577">
        <v>9</v>
      </c>
      <c r="B41" s="531" t="s">
        <v>90</v>
      </c>
      <c r="C41" s="520">
        <f t="shared" si="13"/>
        <v>6</v>
      </c>
      <c r="D41" s="521">
        <f t="shared" si="9"/>
        <v>895</v>
      </c>
      <c r="E41" s="522">
        <v>46</v>
      </c>
      <c r="F41" s="523">
        <v>105</v>
      </c>
      <c r="G41" s="523">
        <v>54</v>
      </c>
      <c r="H41" s="523">
        <v>99</v>
      </c>
      <c r="I41" s="524">
        <f t="shared" si="10"/>
        <v>304</v>
      </c>
      <c r="J41" s="525">
        <f t="shared" si="14"/>
        <v>5</v>
      </c>
      <c r="K41" s="522">
        <v>101</v>
      </c>
      <c r="L41" s="523">
        <v>107</v>
      </c>
      <c r="M41" s="523">
        <v>57</v>
      </c>
      <c r="N41" s="523">
        <v>22</v>
      </c>
      <c r="O41" s="524">
        <f t="shared" si="11"/>
        <v>287</v>
      </c>
      <c r="P41" s="525">
        <f t="shared" si="15"/>
        <v>7</v>
      </c>
      <c r="Q41" s="522">
        <v>53</v>
      </c>
      <c r="R41" s="523">
        <v>96</v>
      </c>
      <c r="S41" s="523">
        <v>92</v>
      </c>
      <c r="T41" s="523">
        <v>63</v>
      </c>
      <c r="U41" s="524">
        <f t="shared" si="12"/>
        <v>304</v>
      </c>
      <c r="V41" s="525">
        <f t="shared" si="16"/>
        <v>8</v>
      </c>
    </row>
    <row r="42" spans="1:22" x14ac:dyDescent="0.2">
      <c r="A42" s="577">
        <v>1</v>
      </c>
      <c r="B42" s="528" t="s">
        <v>104</v>
      </c>
      <c r="C42" s="520">
        <f t="shared" si="13"/>
        <v>7</v>
      </c>
      <c r="D42" s="521">
        <f t="shared" si="9"/>
        <v>919</v>
      </c>
      <c r="E42" s="522">
        <v>48</v>
      </c>
      <c r="F42" s="523">
        <v>49</v>
      </c>
      <c r="G42" s="523">
        <v>94</v>
      </c>
      <c r="H42" s="523">
        <v>200</v>
      </c>
      <c r="I42" s="524">
        <f t="shared" si="10"/>
        <v>391</v>
      </c>
      <c r="J42" s="525">
        <f t="shared" si="14"/>
        <v>9</v>
      </c>
      <c r="K42" s="522">
        <v>88</v>
      </c>
      <c r="L42" s="523">
        <v>54</v>
      </c>
      <c r="M42" s="523">
        <v>24</v>
      </c>
      <c r="N42" s="523">
        <v>47</v>
      </c>
      <c r="O42" s="524">
        <f t="shared" si="11"/>
        <v>213</v>
      </c>
      <c r="P42" s="525">
        <f t="shared" si="15"/>
        <v>2</v>
      </c>
      <c r="Q42" s="522">
        <v>48</v>
      </c>
      <c r="R42" s="523">
        <v>89</v>
      </c>
      <c r="S42" s="523">
        <v>48</v>
      </c>
      <c r="T42" s="523">
        <v>130</v>
      </c>
      <c r="U42" s="524">
        <f t="shared" si="12"/>
        <v>315</v>
      </c>
      <c r="V42" s="525">
        <f t="shared" si="16"/>
        <v>9</v>
      </c>
    </row>
    <row r="43" spans="1:22" x14ac:dyDescent="0.2">
      <c r="A43" s="577">
        <v>8</v>
      </c>
      <c r="B43" s="530" t="s">
        <v>115</v>
      </c>
      <c r="C43" s="520">
        <f t="shared" si="13"/>
        <v>8</v>
      </c>
      <c r="D43" s="521">
        <f t="shared" si="9"/>
        <v>939</v>
      </c>
      <c r="E43" s="522">
        <v>124</v>
      </c>
      <c r="F43" s="523">
        <v>65</v>
      </c>
      <c r="G43" s="523">
        <v>92</v>
      </c>
      <c r="H43" s="523">
        <v>60</v>
      </c>
      <c r="I43" s="524">
        <f t="shared" si="10"/>
        <v>341</v>
      </c>
      <c r="J43" s="525">
        <f t="shared" si="14"/>
        <v>8</v>
      </c>
      <c r="K43" s="522">
        <v>36</v>
      </c>
      <c r="L43" s="523">
        <v>127</v>
      </c>
      <c r="M43" s="523">
        <v>72</v>
      </c>
      <c r="N43" s="523">
        <v>46</v>
      </c>
      <c r="O43" s="524">
        <f t="shared" si="11"/>
        <v>281</v>
      </c>
      <c r="P43" s="525">
        <f t="shared" si="15"/>
        <v>6</v>
      </c>
      <c r="Q43" s="522">
        <v>87</v>
      </c>
      <c r="R43" s="523">
        <v>41</v>
      </c>
      <c r="S43" s="523">
        <v>91</v>
      </c>
      <c r="T43" s="523">
        <v>98</v>
      </c>
      <c r="U43" s="524">
        <f t="shared" si="12"/>
        <v>317</v>
      </c>
      <c r="V43" s="525">
        <f t="shared" si="16"/>
        <v>10</v>
      </c>
    </row>
    <row r="44" spans="1:22" x14ac:dyDescent="0.2">
      <c r="A44" s="577">
        <v>5</v>
      </c>
      <c r="B44" s="531" t="s">
        <v>106</v>
      </c>
      <c r="C44" s="520">
        <f t="shared" si="13"/>
        <v>9</v>
      </c>
      <c r="D44" s="521">
        <f t="shared" si="9"/>
        <v>962</v>
      </c>
      <c r="E44" s="522">
        <v>89</v>
      </c>
      <c r="F44" s="523">
        <v>44</v>
      </c>
      <c r="G44" s="523">
        <v>42</v>
      </c>
      <c r="H44" s="523">
        <v>42</v>
      </c>
      <c r="I44" s="524">
        <f t="shared" si="10"/>
        <v>217</v>
      </c>
      <c r="J44" s="525">
        <f t="shared" si="14"/>
        <v>3</v>
      </c>
      <c r="K44" s="522">
        <v>87</v>
      </c>
      <c r="L44" s="523">
        <v>104</v>
      </c>
      <c r="M44" s="527">
        <v>95</v>
      </c>
      <c r="N44" s="527">
        <v>131</v>
      </c>
      <c r="O44" s="524">
        <f t="shared" si="11"/>
        <v>417</v>
      </c>
      <c r="P44" s="525">
        <f t="shared" si="15"/>
        <v>11</v>
      </c>
      <c r="Q44" s="522">
        <v>106</v>
      </c>
      <c r="R44" s="523">
        <v>87</v>
      </c>
      <c r="S44" s="523">
        <v>43</v>
      </c>
      <c r="T44" s="523">
        <v>92</v>
      </c>
      <c r="U44" s="524">
        <f t="shared" si="12"/>
        <v>328</v>
      </c>
      <c r="V44" s="525">
        <f t="shared" si="16"/>
        <v>11</v>
      </c>
    </row>
    <row r="45" spans="1:22" x14ac:dyDescent="0.2">
      <c r="A45" s="577">
        <v>7</v>
      </c>
      <c r="B45" s="531" t="s">
        <v>112</v>
      </c>
      <c r="C45" s="520">
        <f t="shared" si="13"/>
        <v>10</v>
      </c>
      <c r="D45" s="521">
        <f t="shared" si="9"/>
        <v>1006</v>
      </c>
      <c r="E45" s="522">
        <v>69</v>
      </c>
      <c r="F45" s="523">
        <v>167</v>
      </c>
      <c r="G45" s="523">
        <v>151</v>
      </c>
      <c r="H45" s="523">
        <v>75</v>
      </c>
      <c r="I45" s="524">
        <f t="shared" si="10"/>
        <v>462</v>
      </c>
      <c r="J45" s="525">
        <f t="shared" si="14"/>
        <v>12</v>
      </c>
      <c r="K45" s="522">
        <v>77</v>
      </c>
      <c r="L45" s="523">
        <v>61</v>
      </c>
      <c r="M45" s="523">
        <v>73</v>
      </c>
      <c r="N45" s="523">
        <v>85</v>
      </c>
      <c r="O45" s="524">
        <f t="shared" si="11"/>
        <v>296</v>
      </c>
      <c r="P45" s="525">
        <f t="shared" si="15"/>
        <v>8</v>
      </c>
      <c r="Q45" s="522">
        <v>48</v>
      </c>
      <c r="R45" s="523">
        <v>96</v>
      </c>
      <c r="S45" s="523">
        <v>41</v>
      </c>
      <c r="T45" s="523">
        <v>63</v>
      </c>
      <c r="U45" s="524">
        <f t="shared" si="12"/>
        <v>248</v>
      </c>
      <c r="V45" s="525">
        <f t="shared" si="16"/>
        <v>4</v>
      </c>
    </row>
    <row r="46" spans="1:22" x14ac:dyDescent="0.2">
      <c r="A46" s="577">
        <v>3</v>
      </c>
      <c r="B46" s="526" t="s">
        <v>114</v>
      </c>
      <c r="C46" s="520">
        <f t="shared" si="13"/>
        <v>11</v>
      </c>
      <c r="D46" s="521">
        <f t="shared" si="9"/>
        <v>1051</v>
      </c>
      <c r="E46" s="522">
        <v>74</v>
      </c>
      <c r="F46" s="523">
        <v>23</v>
      </c>
      <c r="G46" s="523">
        <v>63</v>
      </c>
      <c r="H46" s="523">
        <v>10</v>
      </c>
      <c r="I46" s="524">
        <f t="shared" si="10"/>
        <v>170</v>
      </c>
      <c r="J46" s="525">
        <f t="shared" si="14"/>
        <v>1</v>
      </c>
      <c r="K46" s="522">
        <v>120</v>
      </c>
      <c r="L46" s="523">
        <v>87</v>
      </c>
      <c r="M46" s="523">
        <v>122</v>
      </c>
      <c r="N46" s="523">
        <v>100</v>
      </c>
      <c r="O46" s="524">
        <f t="shared" si="11"/>
        <v>429</v>
      </c>
      <c r="P46" s="525">
        <f t="shared" si="15"/>
        <v>12</v>
      </c>
      <c r="Q46" s="522">
        <v>121</v>
      </c>
      <c r="R46" s="523">
        <v>102</v>
      </c>
      <c r="S46" s="523">
        <v>168</v>
      </c>
      <c r="T46" s="523">
        <v>61</v>
      </c>
      <c r="U46" s="524">
        <f t="shared" si="12"/>
        <v>452</v>
      </c>
      <c r="V46" s="525">
        <f t="shared" si="16"/>
        <v>12</v>
      </c>
    </row>
    <row r="47" spans="1:22" x14ac:dyDescent="0.2">
      <c r="A47" s="577">
        <v>4</v>
      </c>
      <c r="B47" s="528" t="s">
        <v>105</v>
      </c>
      <c r="C47" s="520">
        <f t="shared" si="13"/>
        <v>12</v>
      </c>
      <c r="D47" s="521">
        <f t="shared" si="9"/>
        <v>1126</v>
      </c>
      <c r="E47" s="522">
        <v>149</v>
      </c>
      <c r="F47" s="523">
        <v>118</v>
      </c>
      <c r="G47" s="523">
        <v>76</v>
      </c>
      <c r="H47" s="523">
        <v>116</v>
      </c>
      <c r="I47" s="524">
        <f t="shared" si="10"/>
        <v>459</v>
      </c>
      <c r="J47" s="525">
        <f t="shared" si="14"/>
        <v>11</v>
      </c>
      <c r="K47" s="522">
        <v>58</v>
      </c>
      <c r="L47" s="523">
        <v>94</v>
      </c>
      <c r="M47" s="523">
        <v>200</v>
      </c>
      <c r="N47" s="523">
        <v>26</v>
      </c>
      <c r="O47" s="524">
        <f t="shared" si="11"/>
        <v>378</v>
      </c>
      <c r="P47" s="525">
        <f t="shared" si="15"/>
        <v>10</v>
      </c>
      <c r="Q47" s="522">
        <v>45</v>
      </c>
      <c r="R47" s="523">
        <v>75</v>
      </c>
      <c r="S47" s="523">
        <v>99</v>
      </c>
      <c r="T47" s="523">
        <v>70</v>
      </c>
      <c r="U47" s="524">
        <f t="shared" si="12"/>
        <v>289</v>
      </c>
      <c r="V47" s="525">
        <f>RANK(U47,$U$36:$U$47,1)</f>
        <v>7</v>
      </c>
    </row>
    <row r="48" spans="1:22" x14ac:dyDescent="0.2">
      <c r="B48" s="532" t="s">
        <v>252</v>
      </c>
      <c r="C48" s="533"/>
      <c r="D48" s="534">
        <f t="shared" ref="D48:I48" si="17">MIN(D36:D47)</f>
        <v>660</v>
      </c>
      <c r="E48" s="534">
        <f t="shared" si="17"/>
        <v>31</v>
      </c>
      <c r="F48" s="534">
        <f t="shared" si="17"/>
        <v>7</v>
      </c>
      <c r="G48" s="534">
        <f t="shared" si="17"/>
        <v>42</v>
      </c>
      <c r="H48" s="534">
        <f t="shared" si="17"/>
        <v>10</v>
      </c>
      <c r="I48" s="534">
        <f t="shared" si="17"/>
        <v>170</v>
      </c>
      <c r="J48" s="534"/>
      <c r="K48" s="534">
        <f>MIN(K36:K47)</f>
        <v>9</v>
      </c>
      <c r="L48" s="534">
        <f>MIN(L36:L47)</f>
        <v>50</v>
      </c>
      <c r="M48" s="534">
        <f>MIN(M36:M47)</f>
        <v>10</v>
      </c>
      <c r="N48" s="534">
        <f>MIN(N36:N47)</f>
        <v>0</v>
      </c>
      <c r="O48" s="534">
        <f>MIN(O36:O47)</f>
        <v>172</v>
      </c>
      <c r="P48" s="534"/>
      <c r="Q48" s="534">
        <f>MIN(Q36:Q47)</f>
        <v>7</v>
      </c>
      <c r="R48" s="534">
        <f>MIN(R36:R47)</f>
        <v>26</v>
      </c>
      <c r="S48" s="534">
        <f>MIN(S36:S47)</f>
        <v>10</v>
      </c>
      <c r="T48" s="534">
        <f>MIN(T36:T47)</f>
        <v>38</v>
      </c>
      <c r="U48" s="534">
        <f>MIN(U36:U47)</f>
        <v>152</v>
      </c>
      <c r="V48" s="533"/>
    </row>
    <row r="49" spans="1:22" s="540" customFormat="1" x14ac:dyDescent="0.2">
      <c r="A49" s="535"/>
      <c r="B49" s="536" t="s">
        <v>251</v>
      </c>
      <c r="C49" s="537"/>
      <c r="D49" s="538">
        <f>AVERAGE(D36:D47)</f>
        <v>884.25</v>
      </c>
      <c r="E49" s="537">
        <f>AVERAGE(E36:E47)</f>
        <v>71.75</v>
      </c>
      <c r="F49" s="537">
        <f>AVERAGE(F36:F47)</f>
        <v>68.666666666666671</v>
      </c>
      <c r="G49" s="537">
        <f>AVERAGE(G36:G47)</f>
        <v>85.166666666666671</v>
      </c>
      <c r="H49" s="537">
        <f>AVERAGE(H36:H47)</f>
        <v>95.916666666666671</v>
      </c>
      <c r="I49" s="539">
        <f>AVERAGE(I36:I48)</f>
        <v>309.84615384615387</v>
      </c>
      <c r="J49" s="537"/>
      <c r="K49" s="537">
        <f>AVERAGE(K36:K47)</f>
        <v>68.25</v>
      </c>
      <c r="L49" s="537">
        <f>AVERAGE(L36:L47)</f>
        <v>84.25</v>
      </c>
      <c r="M49" s="537">
        <f>AVERAGE(M36:M47)</f>
        <v>70.75</v>
      </c>
      <c r="N49" s="537">
        <f>AVERAGE(N36:N47)</f>
        <v>67.083333333333329</v>
      </c>
      <c r="O49" s="539">
        <f>AVERAGE(O36:O48)</f>
        <v>281.23076923076923</v>
      </c>
      <c r="P49" s="537"/>
      <c r="Q49" s="537">
        <f>AVERAGE(Q36:Q47)</f>
        <v>56.166666666666664</v>
      </c>
      <c r="R49" s="537">
        <f>AVERAGE(R36:R47)</f>
        <v>67.166666666666671</v>
      </c>
      <c r="S49" s="537">
        <f>AVERAGE(S36:S47)</f>
        <v>68.166666666666671</v>
      </c>
      <c r="T49" s="537">
        <f>AVERAGE(T36:T47)</f>
        <v>80.916666666666671</v>
      </c>
      <c r="U49" s="539">
        <f>AVERAGE(U36:U48)</f>
        <v>263.15384615384613</v>
      </c>
      <c r="V49" s="537"/>
    </row>
    <row r="50" spans="1:22" s="540" customFormat="1" x14ac:dyDescent="0.2">
      <c r="A50" s="535"/>
      <c r="B50" s="541"/>
      <c r="C50" s="542"/>
      <c r="D50" s="543"/>
      <c r="E50" s="542"/>
      <c r="F50" s="542"/>
      <c r="G50" s="542"/>
      <c r="H50" s="542"/>
      <c r="I50" s="544"/>
      <c r="J50" s="542"/>
      <c r="K50" s="542"/>
      <c r="L50" s="542"/>
      <c r="M50" s="542"/>
      <c r="N50" s="542"/>
      <c r="O50" s="544"/>
      <c r="P50" s="542"/>
      <c r="Q50" s="542"/>
      <c r="R50" s="542"/>
      <c r="S50" s="542"/>
      <c r="T50" s="542"/>
      <c r="U50" s="544"/>
      <c r="V50" s="542"/>
    </row>
    <row r="51" spans="1:22" s="515" customFormat="1" x14ac:dyDescent="0.2">
      <c r="A51" s="82" t="str">
        <f>UPPER((Kalend!D29)&amp;" "&amp;(Kalend!C29)&amp;" - "&amp;(Kalend!A29))</f>
        <v>AS3 ASETAMISE 3. EELVOOR - P, 13.03.2016</v>
      </c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</row>
    <row r="52" spans="1:22" s="540" customFormat="1" x14ac:dyDescent="0.2">
      <c r="A52" s="535"/>
      <c r="B52" s="541"/>
      <c r="C52" s="542"/>
      <c r="D52" s="543"/>
      <c r="E52" s="542"/>
      <c r="F52" s="542"/>
      <c r="G52" s="542"/>
      <c r="H52" s="542"/>
      <c r="I52" s="544"/>
      <c r="J52" s="542"/>
      <c r="K52" s="542"/>
      <c r="L52" s="542"/>
      <c r="M52" s="542"/>
      <c r="N52" s="542"/>
      <c r="O52" s="544"/>
      <c r="P52" s="542"/>
      <c r="Q52" s="542"/>
      <c r="R52" s="542"/>
      <c r="S52" s="542"/>
      <c r="T52" s="542"/>
      <c r="U52" s="544"/>
      <c r="V52" s="542"/>
    </row>
    <row r="53" spans="1:22" x14ac:dyDescent="0.2">
      <c r="A53" s="577">
        <v>13</v>
      </c>
      <c r="B53" s="545" t="s">
        <v>114</v>
      </c>
      <c r="C53" s="520">
        <f t="shared" ref="C53:C65" si="18">RANK(D53,$D$53:$D$65,1)</f>
        <v>1</v>
      </c>
      <c r="D53" s="521">
        <f t="shared" ref="D53:D65" si="19">SUM(I53,O53,U53)</f>
        <v>641</v>
      </c>
      <c r="E53" s="522">
        <v>60</v>
      </c>
      <c r="F53" s="523">
        <v>72</v>
      </c>
      <c r="G53" s="523">
        <v>50</v>
      </c>
      <c r="H53" s="523">
        <v>119</v>
      </c>
      <c r="I53" s="524">
        <f t="shared" ref="I53:I65" si="20">SUM(E53:H53)</f>
        <v>301</v>
      </c>
      <c r="J53" s="525">
        <f t="shared" ref="J53:J65" si="21">RANK(I53,$I$53:$I$65,1)</f>
        <v>9</v>
      </c>
      <c r="K53" s="522">
        <v>51</v>
      </c>
      <c r="L53" s="523">
        <v>69</v>
      </c>
      <c r="M53" s="523">
        <v>37</v>
      </c>
      <c r="N53" s="523">
        <v>86</v>
      </c>
      <c r="O53" s="524">
        <f t="shared" ref="O53:O65" si="22">SUM(K53:N53)</f>
        <v>243</v>
      </c>
      <c r="P53" s="525">
        <f t="shared" ref="P53:P65" si="23">RANK(O53,$O$53:$O$65,1)</f>
        <v>5</v>
      </c>
      <c r="Q53" s="522">
        <v>33</v>
      </c>
      <c r="R53" s="523">
        <v>13</v>
      </c>
      <c r="S53" s="523">
        <v>45</v>
      </c>
      <c r="T53" s="523">
        <v>6</v>
      </c>
      <c r="U53" s="524">
        <f t="shared" ref="U53:U65" si="24">SUM(Q53:T53)</f>
        <v>97</v>
      </c>
      <c r="V53" s="525">
        <f t="shared" ref="V53:V65" si="25">RANK(U53,$U$53:$U$65,1)</f>
        <v>1</v>
      </c>
    </row>
    <row r="54" spans="1:22" x14ac:dyDescent="0.2">
      <c r="A54" s="577">
        <v>10</v>
      </c>
      <c r="B54" s="526" t="s">
        <v>106</v>
      </c>
      <c r="C54" s="520">
        <f t="shared" si="18"/>
        <v>2</v>
      </c>
      <c r="D54" s="521">
        <f t="shared" si="19"/>
        <v>679</v>
      </c>
      <c r="E54" s="522">
        <v>36</v>
      </c>
      <c r="F54" s="523">
        <v>25</v>
      </c>
      <c r="G54" s="523">
        <v>16</v>
      </c>
      <c r="H54" s="523">
        <v>50</v>
      </c>
      <c r="I54" s="524">
        <f t="shared" si="20"/>
        <v>127</v>
      </c>
      <c r="J54" s="525">
        <f t="shared" si="21"/>
        <v>1</v>
      </c>
      <c r="K54" s="522">
        <v>56</v>
      </c>
      <c r="L54" s="523">
        <v>16</v>
      </c>
      <c r="M54" s="523">
        <v>70</v>
      </c>
      <c r="N54" s="523">
        <v>67</v>
      </c>
      <c r="O54" s="524">
        <f t="shared" si="22"/>
        <v>209</v>
      </c>
      <c r="P54" s="525">
        <f t="shared" si="23"/>
        <v>4</v>
      </c>
      <c r="Q54" s="522">
        <v>46</v>
      </c>
      <c r="R54" s="523">
        <v>100</v>
      </c>
      <c r="S54" s="523">
        <v>93</v>
      </c>
      <c r="T54" s="523">
        <v>104</v>
      </c>
      <c r="U54" s="524">
        <f t="shared" si="24"/>
        <v>343</v>
      </c>
      <c r="V54" s="525">
        <f t="shared" si="25"/>
        <v>10</v>
      </c>
    </row>
    <row r="55" spans="1:22" x14ac:dyDescent="0.2">
      <c r="A55" s="577">
        <v>9</v>
      </c>
      <c r="B55" s="528" t="s">
        <v>108</v>
      </c>
      <c r="C55" s="520">
        <f t="shared" si="18"/>
        <v>3</v>
      </c>
      <c r="D55" s="521">
        <f t="shared" si="19"/>
        <v>704</v>
      </c>
      <c r="E55" s="522">
        <v>41</v>
      </c>
      <c r="F55" s="523">
        <v>114</v>
      </c>
      <c r="G55" s="523">
        <v>53</v>
      </c>
      <c r="H55" s="523">
        <v>86</v>
      </c>
      <c r="I55" s="524">
        <f t="shared" si="20"/>
        <v>294</v>
      </c>
      <c r="J55" s="525">
        <f t="shared" si="21"/>
        <v>7</v>
      </c>
      <c r="K55" s="522">
        <v>7</v>
      </c>
      <c r="L55" s="523">
        <v>90</v>
      </c>
      <c r="M55" s="523">
        <v>59</v>
      </c>
      <c r="N55" s="523">
        <v>28</v>
      </c>
      <c r="O55" s="524">
        <f t="shared" si="22"/>
        <v>184</v>
      </c>
      <c r="P55" s="525">
        <f t="shared" si="23"/>
        <v>3</v>
      </c>
      <c r="Q55" s="522">
        <v>76</v>
      </c>
      <c r="R55" s="523">
        <v>12</v>
      </c>
      <c r="S55" s="523">
        <v>98</v>
      </c>
      <c r="T55" s="523">
        <v>40</v>
      </c>
      <c r="U55" s="524">
        <f t="shared" si="24"/>
        <v>226</v>
      </c>
      <c r="V55" s="525">
        <f t="shared" si="25"/>
        <v>4</v>
      </c>
    </row>
    <row r="56" spans="1:22" x14ac:dyDescent="0.2">
      <c r="A56" s="577">
        <v>7</v>
      </c>
      <c r="B56" s="528" t="s">
        <v>112</v>
      </c>
      <c r="C56" s="520">
        <f t="shared" si="18"/>
        <v>4</v>
      </c>
      <c r="D56" s="521">
        <f t="shared" si="19"/>
        <v>707</v>
      </c>
      <c r="E56" s="522">
        <v>38</v>
      </c>
      <c r="F56" s="523">
        <v>28</v>
      </c>
      <c r="G56" s="523">
        <v>128</v>
      </c>
      <c r="H56" s="523">
        <v>39</v>
      </c>
      <c r="I56" s="524">
        <f t="shared" si="20"/>
        <v>233</v>
      </c>
      <c r="J56" s="525">
        <f t="shared" si="21"/>
        <v>5</v>
      </c>
      <c r="K56" s="522">
        <v>58</v>
      </c>
      <c r="L56" s="523">
        <v>65</v>
      </c>
      <c r="M56" s="523">
        <v>91</v>
      </c>
      <c r="N56" s="523">
        <v>95</v>
      </c>
      <c r="O56" s="524">
        <f t="shared" si="22"/>
        <v>309</v>
      </c>
      <c r="P56" s="525">
        <f t="shared" si="23"/>
        <v>7</v>
      </c>
      <c r="Q56" s="522">
        <v>39</v>
      </c>
      <c r="R56" s="523">
        <v>19</v>
      </c>
      <c r="S56" s="523">
        <v>12</v>
      </c>
      <c r="T56" s="523">
        <v>95</v>
      </c>
      <c r="U56" s="524">
        <f t="shared" si="24"/>
        <v>165</v>
      </c>
      <c r="V56" s="525">
        <f t="shared" si="25"/>
        <v>2</v>
      </c>
    </row>
    <row r="57" spans="1:22" x14ac:dyDescent="0.2">
      <c r="A57" s="577">
        <v>1</v>
      </c>
      <c r="B57" s="531" t="s">
        <v>111</v>
      </c>
      <c r="C57" s="520">
        <f t="shared" si="18"/>
        <v>5</v>
      </c>
      <c r="D57" s="521">
        <f t="shared" si="19"/>
        <v>828</v>
      </c>
      <c r="E57" s="522">
        <v>47</v>
      </c>
      <c r="F57" s="523">
        <v>58</v>
      </c>
      <c r="G57" s="523">
        <v>45</v>
      </c>
      <c r="H57" s="523">
        <v>31</v>
      </c>
      <c r="I57" s="524">
        <f t="shared" si="20"/>
        <v>181</v>
      </c>
      <c r="J57" s="525">
        <f t="shared" si="21"/>
        <v>3</v>
      </c>
      <c r="K57" s="522">
        <v>108</v>
      </c>
      <c r="L57" s="523">
        <v>105</v>
      </c>
      <c r="M57" s="523">
        <v>83</v>
      </c>
      <c r="N57" s="523">
        <v>100</v>
      </c>
      <c r="O57" s="524">
        <f t="shared" si="22"/>
        <v>396</v>
      </c>
      <c r="P57" s="525">
        <f t="shared" si="23"/>
        <v>13</v>
      </c>
      <c r="Q57" s="522">
        <v>26</v>
      </c>
      <c r="R57" s="523">
        <v>104</v>
      </c>
      <c r="S57" s="523">
        <v>80</v>
      </c>
      <c r="T57" s="523">
        <v>41</v>
      </c>
      <c r="U57" s="524">
        <f t="shared" si="24"/>
        <v>251</v>
      </c>
      <c r="V57" s="525">
        <f t="shared" si="25"/>
        <v>8</v>
      </c>
    </row>
    <row r="58" spans="1:22" x14ac:dyDescent="0.2">
      <c r="A58" s="577">
        <v>5</v>
      </c>
      <c r="B58" s="528" t="s">
        <v>113</v>
      </c>
      <c r="C58" s="520">
        <f t="shared" si="18"/>
        <v>6</v>
      </c>
      <c r="D58" s="521">
        <f t="shared" si="19"/>
        <v>856</v>
      </c>
      <c r="E58" s="522">
        <v>39</v>
      </c>
      <c r="F58" s="523">
        <v>134</v>
      </c>
      <c r="G58" s="523">
        <v>176</v>
      </c>
      <c r="H58" s="523">
        <v>109</v>
      </c>
      <c r="I58" s="524">
        <f t="shared" si="20"/>
        <v>458</v>
      </c>
      <c r="J58" s="525">
        <f t="shared" si="21"/>
        <v>13</v>
      </c>
      <c r="K58" s="522">
        <v>32</v>
      </c>
      <c r="L58" s="523">
        <v>5</v>
      </c>
      <c r="M58" s="523">
        <v>63</v>
      </c>
      <c r="N58" s="523">
        <v>68</v>
      </c>
      <c r="O58" s="524">
        <f t="shared" si="22"/>
        <v>168</v>
      </c>
      <c r="P58" s="525">
        <f t="shared" si="23"/>
        <v>1</v>
      </c>
      <c r="Q58" s="522">
        <v>40</v>
      </c>
      <c r="R58" s="523">
        <v>72</v>
      </c>
      <c r="S58" s="523">
        <v>87</v>
      </c>
      <c r="T58" s="523">
        <v>31</v>
      </c>
      <c r="U58" s="524">
        <f t="shared" si="24"/>
        <v>230</v>
      </c>
      <c r="V58" s="525">
        <f t="shared" si="25"/>
        <v>6</v>
      </c>
    </row>
    <row r="59" spans="1:22" x14ac:dyDescent="0.2">
      <c r="A59" s="577">
        <v>4</v>
      </c>
      <c r="B59" s="528" t="s">
        <v>90</v>
      </c>
      <c r="C59" s="520">
        <f t="shared" si="18"/>
        <v>7</v>
      </c>
      <c r="D59" s="521">
        <f t="shared" si="19"/>
        <v>861</v>
      </c>
      <c r="E59" s="522">
        <v>41</v>
      </c>
      <c r="F59" s="523">
        <v>62</v>
      </c>
      <c r="G59" s="523">
        <v>78</v>
      </c>
      <c r="H59" s="523">
        <v>19</v>
      </c>
      <c r="I59" s="524">
        <f t="shared" si="20"/>
        <v>200</v>
      </c>
      <c r="J59" s="525">
        <f t="shared" si="21"/>
        <v>4</v>
      </c>
      <c r="K59" s="522">
        <v>77</v>
      </c>
      <c r="L59" s="523">
        <v>82</v>
      </c>
      <c r="M59" s="523">
        <v>90</v>
      </c>
      <c r="N59" s="523">
        <v>41</v>
      </c>
      <c r="O59" s="524">
        <f t="shared" si="22"/>
        <v>290</v>
      </c>
      <c r="P59" s="525">
        <f t="shared" si="23"/>
        <v>6</v>
      </c>
      <c r="Q59" s="522">
        <v>74</v>
      </c>
      <c r="R59" s="523">
        <v>19</v>
      </c>
      <c r="S59" s="523">
        <v>84</v>
      </c>
      <c r="T59" s="523">
        <v>194</v>
      </c>
      <c r="U59" s="524">
        <f t="shared" si="24"/>
        <v>371</v>
      </c>
      <c r="V59" s="525">
        <f t="shared" si="25"/>
        <v>11</v>
      </c>
    </row>
    <row r="60" spans="1:22" x14ac:dyDescent="0.2">
      <c r="A60" s="577">
        <v>6</v>
      </c>
      <c r="B60" s="528" t="s">
        <v>143</v>
      </c>
      <c r="C60" s="520">
        <f t="shared" si="18"/>
        <v>8</v>
      </c>
      <c r="D60" s="521">
        <f t="shared" si="19"/>
        <v>863</v>
      </c>
      <c r="E60" s="522">
        <v>39</v>
      </c>
      <c r="F60" s="523">
        <v>72</v>
      </c>
      <c r="G60" s="523">
        <v>79</v>
      </c>
      <c r="H60" s="523">
        <v>105</v>
      </c>
      <c r="I60" s="524">
        <f t="shared" si="20"/>
        <v>295</v>
      </c>
      <c r="J60" s="525">
        <f t="shared" si="21"/>
        <v>8</v>
      </c>
      <c r="K60" s="522">
        <v>58</v>
      </c>
      <c r="L60" s="523">
        <v>37</v>
      </c>
      <c r="M60" s="523">
        <v>54</v>
      </c>
      <c r="N60" s="523">
        <v>190</v>
      </c>
      <c r="O60" s="524">
        <f t="shared" si="22"/>
        <v>339</v>
      </c>
      <c r="P60" s="525">
        <f t="shared" si="23"/>
        <v>9</v>
      </c>
      <c r="Q60" s="522">
        <v>79</v>
      </c>
      <c r="R60" s="523">
        <v>50</v>
      </c>
      <c r="S60" s="523">
        <v>25</v>
      </c>
      <c r="T60" s="523">
        <v>75</v>
      </c>
      <c r="U60" s="524">
        <f t="shared" si="24"/>
        <v>229</v>
      </c>
      <c r="V60" s="525">
        <f t="shared" si="25"/>
        <v>5</v>
      </c>
    </row>
    <row r="61" spans="1:22" x14ac:dyDescent="0.2">
      <c r="A61" s="577">
        <v>11</v>
      </c>
      <c r="B61" s="526" t="s">
        <v>98</v>
      </c>
      <c r="C61" s="520">
        <f t="shared" si="18"/>
        <v>9</v>
      </c>
      <c r="D61" s="521">
        <f t="shared" si="19"/>
        <v>893</v>
      </c>
      <c r="E61" s="522">
        <v>120</v>
      </c>
      <c r="F61" s="523">
        <v>68</v>
      </c>
      <c r="G61" s="523">
        <v>39</v>
      </c>
      <c r="H61" s="523">
        <v>111</v>
      </c>
      <c r="I61" s="524">
        <f t="shared" si="20"/>
        <v>338</v>
      </c>
      <c r="J61" s="525">
        <f t="shared" si="21"/>
        <v>10</v>
      </c>
      <c r="K61" s="522">
        <v>200</v>
      </c>
      <c r="L61" s="523">
        <v>19</v>
      </c>
      <c r="M61" s="527">
        <v>106</v>
      </c>
      <c r="N61" s="527">
        <v>46</v>
      </c>
      <c r="O61" s="524">
        <f t="shared" si="22"/>
        <v>371</v>
      </c>
      <c r="P61" s="525">
        <f t="shared" si="23"/>
        <v>11</v>
      </c>
      <c r="Q61" s="522">
        <v>46</v>
      </c>
      <c r="R61" s="523">
        <v>20</v>
      </c>
      <c r="S61" s="523">
        <v>50</v>
      </c>
      <c r="T61" s="523">
        <v>68</v>
      </c>
      <c r="U61" s="524">
        <f t="shared" si="24"/>
        <v>184</v>
      </c>
      <c r="V61" s="525">
        <f t="shared" si="25"/>
        <v>3</v>
      </c>
    </row>
    <row r="62" spans="1:22" x14ac:dyDescent="0.2">
      <c r="A62" s="577">
        <v>2</v>
      </c>
      <c r="B62" s="526" t="s">
        <v>141</v>
      </c>
      <c r="C62" s="520">
        <f t="shared" si="18"/>
        <v>10</v>
      </c>
      <c r="D62" s="521">
        <f t="shared" si="19"/>
        <v>897</v>
      </c>
      <c r="E62" s="522">
        <v>15</v>
      </c>
      <c r="F62" s="523">
        <v>83</v>
      </c>
      <c r="G62" s="523">
        <v>125</v>
      </c>
      <c r="H62" s="523">
        <v>41</v>
      </c>
      <c r="I62" s="524">
        <f t="shared" si="20"/>
        <v>264</v>
      </c>
      <c r="J62" s="525">
        <f t="shared" si="21"/>
        <v>6</v>
      </c>
      <c r="K62" s="522">
        <v>82</v>
      </c>
      <c r="L62" s="523">
        <v>76</v>
      </c>
      <c r="M62" s="527">
        <v>99</v>
      </c>
      <c r="N62" s="527">
        <v>55</v>
      </c>
      <c r="O62" s="524">
        <f t="shared" si="22"/>
        <v>312</v>
      </c>
      <c r="P62" s="525">
        <f t="shared" si="23"/>
        <v>8</v>
      </c>
      <c r="Q62" s="522">
        <v>38</v>
      </c>
      <c r="R62" s="523">
        <v>22</v>
      </c>
      <c r="S62" s="523">
        <v>200</v>
      </c>
      <c r="T62" s="523">
        <v>61</v>
      </c>
      <c r="U62" s="524">
        <f t="shared" si="24"/>
        <v>321</v>
      </c>
      <c r="V62" s="525">
        <f t="shared" si="25"/>
        <v>9</v>
      </c>
    </row>
    <row r="63" spans="1:22" x14ac:dyDescent="0.2">
      <c r="A63" s="577">
        <v>3</v>
      </c>
      <c r="B63" s="546" t="s">
        <v>135</v>
      </c>
      <c r="C63" s="520">
        <f t="shared" si="18"/>
        <v>11</v>
      </c>
      <c r="D63" s="521">
        <f t="shared" si="19"/>
        <v>977</v>
      </c>
      <c r="E63" s="522">
        <v>79</v>
      </c>
      <c r="F63" s="523">
        <v>81</v>
      </c>
      <c r="G63" s="523">
        <v>66</v>
      </c>
      <c r="H63" s="523">
        <v>150</v>
      </c>
      <c r="I63" s="524">
        <f t="shared" si="20"/>
        <v>376</v>
      </c>
      <c r="J63" s="525">
        <f t="shared" si="21"/>
        <v>11</v>
      </c>
      <c r="K63" s="522">
        <v>35</v>
      </c>
      <c r="L63" s="523">
        <v>64</v>
      </c>
      <c r="M63" s="523">
        <v>9</v>
      </c>
      <c r="N63" s="523">
        <v>72</v>
      </c>
      <c r="O63" s="524">
        <f t="shared" si="22"/>
        <v>180</v>
      </c>
      <c r="P63" s="525">
        <f t="shared" si="23"/>
        <v>2</v>
      </c>
      <c r="Q63" s="522">
        <v>88</v>
      </c>
      <c r="R63" s="523">
        <v>134</v>
      </c>
      <c r="S63" s="523">
        <v>119</v>
      </c>
      <c r="T63" s="523">
        <v>80</v>
      </c>
      <c r="U63" s="524">
        <f t="shared" si="24"/>
        <v>421</v>
      </c>
      <c r="V63" s="525">
        <f t="shared" si="25"/>
        <v>12</v>
      </c>
    </row>
    <row r="64" spans="1:22" x14ac:dyDescent="0.2">
      <c r="A64" s="577">
        <v>8</v>
      </c>
      <c r="B64" s="528" t="s">
        <v>105</v>
      </c>
      <c r="C64" s="520">
        <f t="shared" si="18"/>
        <v>12</v>
      </c>
      <c r="D64" s="521">
        <f t="shared" si="19"/>
        <v>982</v>
      </c>
      <c r="E64" s="522">
        <v>52</v>
      </c>
      <c r="F64" s="523">
        <v>133</v>
      </c>
      <c r="G64" s="523">
        <v>141</v>
      </c>
      <c r="H64" s="523">
        <v>59</v>
      </c>
      <c r="I64" s="524">
        <f t="shared" si="20"/>
        <v>385</v>
      </c>
      <c r="J64" s="525">
        <f t="shared" si="21"/>
        <v>12</v>
      </c>
      <c r="K64" s="522">
        <v>101</v>
      </c>
      <c r="L64" s="523">
        <v>34</v>
      </c>
      <c r="M64" s="523">
        <v>68</v>
      </c>
      <c r="N64" s="523">
        <v>156</v>
      </c>
      <c r="O64" s="524">
        <f t="shared" si="22"/>
        <v>359</v>
      </c>
      <c r="P64" s="525">
        <f t="shared" si="23"/>
        <v>10</v>
      </c>
      <c r="Q64" s="522">
        <v>133</v>
      </c>
      <c r="R64" s="523">
        <v>23</v>
      </c>
      <c r="S64" s="523">
        <v>49</v>
      </c>
      <c r="T64" s="523">
        <v>33</v>
      </c>
      <c r="U64" s="524">
        <f t="shared" si="24"/>
        <v>238</v>
      </c>
      <c r="V64" s="525">
        <f t="shared" si="25"/>
        <v>7</v>
      </c>
    </row>
    <row r="65" spans="1:22" x14ac:dyDescent="0.2">
      <c r="A65" s="577">
        <v>12</v>
      </c>
      <c r="B65" s="528" t="s">
        <v>95</v>
      </c>
      <c r="C65" s="520">
        <f t="shared" si="18"/>
        <v>13</v>
      </c>
      <c r="D65" s="521">
        <f t="shared" si="19"/>
        <v>983</v>
      </c>
      <c r="E65" s="522">
        <v>55</v>
      </c>
      <c r="F65" s="523">
        <v>30</v>
      </c>
      <c r="G65" s="523">
        <v>15</v>
      </c>
      <c r="H65" s="523">
        <v>70</v>
      </c>
      <c r="I65" s="524">
        <f t="shared" si="20"/>
        <v>170</v>
      </c>
      <c r="J65" s="525">
        <f t="shared" si="21"/>
        <v>2</v>
      </c>
      <c r="K65" s="522">
        <v>63</v>
      </c>
      <c r="L65" s="523">
        <v>172</v>
      </c>
      <c r="M65" s="523">
        <v>67</v>
      </c>
      <c r="N65" s="523">
        <v>89</v>
      </c>
      <c r="O65" s="524">
        <f t="shared" si="22"/>
        <v>391</v>
      </c>
      <c r="P65" s="525">
        <f t="shared" si="23"/>
        <v>12</v>
      </c>
      <c r="Q65" s="522">
        <v>43</v>
      </c>
      <c r="R65" s="523">
        <v>114</v>
      </c>
      <c r="S65" s="523">
        <v>93</v>
      </c>
      <c r="T65" s="523">
        <v>172</v>
      </c>
      <c r="U65" s="524">
        <f t="shared" si="24"/>
        <v>422</v>
      </c>
      <c r="V65" s="525">
        <f t="shared" si="25"/>
        <v>13</v>
      </c>
    </row>
    <row r="66" spans="1:22" x14ac:dyDescent="0.2">
      <c r="B66" s="532" t="s">
        <v>252</v>
      </c>
      <c r="C66" s="533"/>
      <c r="D66" s="534">
        <f t="shared" ref="D66:I66" si="26">MIN(D53:D65)</f>
        <v>641</v>
      </c>
      <c r="E66" s="534">
        <f t="shared" si="26"/>
        <v>15</v>
      </c>
      <c r="F66" s="534">
        <f t="shared" si="26"/>
        <v>25</v>
      </c>
      <c r="G66" s="534">
        <f t="shared" si="26"/>
        <v>15</v>
      </c>
      <c r="H66" s="534">
        <f t="shared" si="26"/>
        <v>19</v>
      </c>
      <c r="I66" s="534">
        <f t="shared" si="26"/>
        <v>127</v>
      </c>
      <c r="J66" s="534"/>
      <c r="K66" s="534">
        <f>MIN(K53:K65)</f>
        <v>7</v>
      </c>
      <c r="L66" s="534">
        <f>MIN(L53:L65)</f>
        <v>5</v>
      </c>
      <c r="M66" s="534">
        <f>MIN(M53:M65)</f>
        <v>9</v>
      </c>
      <c r="N66" s="534">
        <f>MIN(N53:N65)</f>
        <v>28</v>
      </c>
      <c r="O66" s="534">
        <f>MIN(O53:O65)</f>
        <v>168</v>
      </c>
      <c r="P66" s="534"/>
      <c r="Q66" s="534">
        <f>MIN(Q53:Q65)</f>
        <v>26</v>
      </c>
      <c r="R66" s="534">
        <f>MIN(R53:R65)</f>
        <v>12</v>
      </c>
      <c r="S66" s="534">
        <f>MIN(S53:S65)</f>
        <v>12</v>
      </c>
      <c r="T66" s="534">
        <f>MIN(T53:T65)</f>
        <v>6</v>
      </c>
      <c r="U66" s="534">
        <f>MIN(U53:U65)</f>
        <v>97</v>
      </c>
      <c r="V66" s="533"/>
    </row>
    <row r="67" spans="1:22" s="540" customFormat="1" x14ac:dyDescent="0.2">
      <c r="A67" s="535"/>
      <c r="B67" s="536" t="s">
        <v>251</v>
      </c>
      <c r="C67" s="537"/>
      <c r="D67" s="538">
        <f>AVERAGE(D53:D65)</f>
        <v>836.23076923076928</v>
      </c>
      <c r="E67" s="537">
        <f>AVERAGE(E53:E65)</f>
        <v>50.92307692307692</v>
      </c>
      <c r="F67" s="537">
        <f>AVERAGE(F53:F65)</f>
        <v>73.84615384615384</v>
      </c>
      <c r="G67" s="537">
        <f>AVERAGE(G53:G65)</f>
        <v>77.769230769230774</v>
      </c>
      <c r="H67" s="537">
        <f>AVERAGE(H53:H65)</f>
        <v>76.07692307692308</v>
      </c>
      <c r="I67" s="539">
        <f>AVERAGE(I53:I66)</f>
        <v>267.78571428571428</v>
      </c>
      <c r="J67" s="537"/>
      <c r="K67" s="537">
        <f>AVERAGE(K53:K65)</f>
        <v>71.384615384615387</v>
      </c>
      <c r="L67" s="537">
        <f>AVERAGE(L53:L65)</f>
        <v>64.15384615384616</v>
      </c>
      <c r="M67" s="537">
        <f>AVERAGE(M53:M65)</f>
        <v>68.92307692307692</v>
      </c>
      <c r="N67" s="537">
        <f>AVERAGE(N53:N65)</f>
        <v>84.07692307692308</v>
      </c>
      <c r="O67" s="539">
        <f>AVERAGE(O53:O66)</f>
        <v>279.92857142857144</v>
      </c>
      <c r="P67" s="537"/>
      <c r="Q67" s="537">
        <f>AVERAGE(Q53:Q65)</f>
        <v>58.53846153846154</v>
      </c>
      <c r="R67" s="537">
        <f>AVERAGE(R53:R65)</f>
        <v>54</v>
      </c>
      <c r="S67" s="537">
        <f>AVERAGE(S53:S65)</f>
        <v>79.615384615384613</v>
      </c>
      <c r="T67" s="537">
        <f>AVERAGE(T53:T65)</f>
        <v>76.92307692307692</v>
      </c>
      <c r="U67" s="539">
        <f>AVERAGE(U53:U66)</f>
        <v>256.78571428571428</v>
      </c>
      <c r="V67" s="537"/>
    </row>
    <row r="68" spans="1:22" s="540" customFormat="1" x14ac:dyDescent="0.2"/>
  </sheetData>
  <conditionalFormatting sqref="I9:I23">
    <cfRule type="top10" dxfId="223" priority="32" stopIfTrue="1" rank="1"/>
    <cfRule type="top10" dxfId="222" priority="38" stopIfTrue="1" bottom="1" rank="1"/>
  </conditionalFormatting>
  <conditionalFormatting sqref="O9:O23">
    <cfRule type="top10" dxfId="221" priority="31" stopIfTrue="1" rank="1"/>
    <cfRule type="top10" dxfId="220" priority="37" stopIfTrue="1" percent="1" bottom="1" rank="1"/>
  </conditionalFormatting>
  <conditionalFormatting sqref="U9:U23">
    <cfRule type="top10" dxfId="219" priority="30" stopIfTrue="1" rank="1"/>
    <cfRule type="top10" dxfId="218" priority="36" stopIfTrue="1" percent="1" bottom="1" rank="1"/>
  </conditionalFormatting>
  <conditionalFormatting sqref="E9:H23">
    <cfRule type="top10" dxfId="217" priority="35" stopIfTrue="1" bottom="1" rank="1"/>
  </conditionalFormatting>
  <conditionalFormatting sqref="K9:N23">
    <cfRule type="top10" dxfId="216" priority="34" stopIfTrue="1" bottom="1" rank="1"/>
  </conditionalFormatting>
  <conditionalFormatting sqref="Q9:T23">
    <cfRule type="top10" dxfId="215" priority="33" stopIfTrue="1" bottom="1" rank="1"/>
  </conditionalFormatting>
  <conditionalFormatting sqref="J9:J23">
    <cfRule type="top10" dxfId="214" priority="29" stopIfTrue="1" bottom="1" rank="1"/>
  </conditionalFormatting>
  <conditionalFormatting sqref="P9:P23">
    <cfRule type="top10" dxfId="213" priority="28" stopIfTrue="1" bottom="1" rank="1"/>
  </conditionalFormatting>
  <conditionalFormatting sqref="V9:V23">
    <cfRule type="top10" dxfId="212" priority="27" stopIfTrue="1" bottom="1" rank="1"/>
  </conditionalFormatting>
  <conditionalFormatting sqref="C9:C23 C25:C26 C35 C50 C52">
    <cfRule type="duplicateValues" dxfId="211" priority="39" stopIfTrue="1"/>
  </conditionalFormatting>
  <conditionalFormatting sqref="C49 C36:C47">
    <cfRule type="duplicateValues" dxfId="210" priority="14" stopIfTrue="1"/>
  </conditionalFormatting>
  <conditionalFormatting sqref="I36:I47">
    <cfRule type="top10" dxfId="209" priority="15" stopIfTrue="1" rank="1"/>
    <cfRule type="top10" dxfId="208" priority="16" stopIfTrue="1" bottom="1" rank="1"/>
  </conditionalFormatting>
  <conditionalFormatting sqref="O36:O47">
    <cfRule type="top10" dxfId="207" priority="17" stopIfTrue="1" rank="1"/>
    <cfRule type="top10" dxfId="206" priority="18" stopIfTrue="1" percent="1" bottom="1" rank="1"/>
  </conditionalFormatting>
  <conditionalFormatting sqref="U36:U47">
    <cfRule type="top10" dxfId="205" priority="19" stopIfTrue="1" rank="1"/>
    <cfRule type="top10" dxfId="204" priority="20" stopIfTrue="1" percent="1" bottom="1" rank="1"/>
  </conditionalFormatting>
  <conditionalFormatting sqref="E36:H47">
    <cfRule type="top10" dxfId="203" priority="21" stopIfTrue="1" bottom="1" rank="1"/>
  </conditionalFormatting>
  <conditionalFormatting sqref="K36:N47">
    <cfRule type="top10" dxfId="202" priority="22" stopIfTrue="1" bottom="1" rank="1"/>
  </conditionalFormatting>
  <conditionalFormatting sqref="Q36:T47">
    <cfRule type="top10" dxfId="201" priority="23" stopIfTrue="1" bottom="1" rank="1"/>
  </conditionalFormatting>
  <conditionalFormatting sqref="J36:J47">
    <cfRule type="top10" dxfId="200" priority="24" stopIfTrue="1" bottom="1" rank="1"/>
  </conditionalFormatting>
  <conditionalFormatting sqref="P36:P47">
    <cfRule type="top10" dxfId="199" priority="25" stopIfTrue="1" bottom="1" rank="1"/>
  </conditionalFormatting>
  <conditionalFormatting sqref="V36:V47">
    <cfRule type="top10" dxfId="198" priority="26" stopIfTrue="1" bottom="1" rank="1"/>
  </conditionalFormatting>
  <conditionalFormatting sqref="C67 C53:C65">
    <cfRule type="duplicateValues" dxfId="197" priority="1" stopIfTrue="1"/>
  </conditionalFormatting>
  <conditionalFormatting sqref="I53:I65">
    <cfRule type="top10" dxfId="196" priority="2" stopIfTrue="1" rank="1"/>
    <cfRule type="top10" dxfId="195" priority="3" stopIfTrue="1" bottom="1" rank="1"/>
  </conditionalFormatting>
  <conditionalFormatting sqref="O53:O65">
    <cfRule type="top10" dxfId="194" priority="4" stopIfTrue="1" rank="1"/>
    <cfRule type="top10" dxfId="193" priority="5" stopIfTrue="1" percent="1" bottom="1" rank="1"/>
  </conditionalFormatting>
  <conditionalFormatting sqref="U53:U65">
    <cfRule type="top10" dxfId="192" priority="6" stopIfTrue="1" rank="1"/>
    <cfRule type="top10" dxfId="191" priority="7" stopIfTrue="1" percent="1" bottom="1" rank="1"/>
  </conditionalFormatting>
  <conditionalFormatting sqref="E53:H65">
    <cfRule type="top10" dxfId="190" priority="8" stopIfTrue="1" bottom="1" rank="1"/>
  </conditionalFormatting>
  <conditionalFormatting sqref="K53:N65">
    <cfRule type="top10" dxfId="189" priority="9" stopIfTrue="1" bottom="1" rank="1"/>
  </conditionalFormatting>
  <conditionalFormatting sqref="Q53:T65">
    <cfRule type="top10" dxfId="188" priority="10" stopIfTrue="1" bottom="1" rank="1"/>
  </conditionalFormatting>
  <conditionalFormatting sqref="J53:J65">
    <cfRule type="top10" dxfId="187" priority="11" stopIfTrue="1" bottom="1" rank="1"/>
  </conditionalFormatting>
  <conditionalFormatting sqref="P53:P65">
    <cfRule type="top10" dxfId="186" priority="12" stopIfTrue="1" bottom="1" rank="1"/>
  </conditionalFormatting>
  <conditionalFormatting sqref="V53:V65">
    <cfRule type="top10" dxfId="185" priority="13" stopIfTrue="1" bottom="1" rank="1"/>
  </conditionalFormatting>
  <pageMargins left="0.59055118110236227" right="0.39370078740157483" top="0.39370078740157483" bottom="0.27559055118110237" header="0.27559055118110237" footer="0"/>
  <pageSetup paperSize="9" fitToHeight="0" orientation="landscape" r:id="rId1"/>
  <headerFooter alignWithMargins="0">
    <oddHeader>&amp;R&amp;"Arial,Regular"&amp;9Page &amp;P of &amp;N</oddHead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O26"/>
  <sheetViews>
    <sheetView showGridLines="0" showRowColHeaders="0" zoomScaleNormal="100" workbookViewId="0">
      <pane ySplit="6" topLeftCell="A7" activePane="bottomLeft" state="frozen"/>
      <selection activeCell="O1" sqref="O1"/>
      <selection pane="bottomLeft" activeCell="N1" sqref="N1"/>
    </sheetView>
  </sheetViews>
  <sheetFormatPr defaultColWidth="11.5703125" defaultRowHeight="12.75" x14ac:dyDescent="0.2"/>
  <cols>
    <col min="1" max="1" width="3.28515625" style="60" customWidth="1"/>
    <col min="2" max="2" width="18.7109375" style="60" bestFit="1" customWidth="1"/>
    <col min="3" max="3" width="4" style="66" bestFit="1" customWidth="1"/>
    <col min="4" max="6" width="5.5703125" style="62" bestFit="1" customWidth="1"/>
    <col min="7" max="7" width="10.140625" style="84" bestFit="1" customWidth="1"/>
    <col min="8" max="10" width="3.28515625" style="60" bestFit="1" customWidth="1"/>
    <col min="11" max="16384" width="11.5703125" style="60"/>
  </cols>
  <sheetData>
    <row r="1" spans="1:15" ht="12.75" customHeight="1" x14ac:dyDescent="0.2">
      <c r="A1" s="59" t="s">
        <v>164</v>
      </c>
      <c r="C1" s="61"/>
      <c r="G1" s="87" t="s">
        <v>435</v>
      </c>
      <c r="K1" s="361" t="str">
        <f>HYPERLINK("#'Kalend'!I1","Kalender")</f>
        <v>Kalender</v>
      </c>
      <c r="L1" s="85"/>
      <c r="M1" s="361" t="str">
        <f>HYPERLINK("#'Reit'!J1","Reiting")</f>
        <v>Reiting</v>
      </c>
      <c r="N1" s="85"/>
      <c r="O1" s="238"/>
    </row>
    <row r="2" spans="1:15" ht="12.75" customHeight="1" x14ac:dyDescent="0.2">
      <c r="A2" s="548" t="s">
        <v>431</v>
      </c>
      <c r="B2" s="64"/>
      <c r="C2" s="64"/>
      <c r="D2" s="64"/>
      <c r="E2" s="64"/>
      <c r="G2" s="194"/>
      <c r="H2" s="362"/>
      <c r="J2" s="65"/>
    </row>
    <row r="3" spans="1:15" ht="12.75" customHeight="1" x14ac:dyDescent="0.2">
      <c r="B3" s="63"/>
      <c r="D3" s="112"/>
      <c r="E3" s="112"/>
      <c r="F3" s="112"/>
      <c r="H3" s="362"/>
      <c r="I3" s="65"/>
      <c r="J3" s="65"/>
    </row>
    <row r="4" spans="1:15" ht="32.25" customHeight="1" x14ac:dyDescent="0.2">
      <c r="A4" s="67" t="s">
        <v>58</v>
      </c>
      <c r="B4" s="68"/>
      <c r="C4" s="69" t="s">
        <v>58</v>
      </c>
      <c r="D4" s="853" t="str">
        <f>MID(Kalend!A7,4,5)</f>
        <v>22.11</v>
      </c>
      <c r="E4" s="853" t="str">
        <f>MID(Kalend!A17,4,5)</f>
        <v>10.01</v>
      </c>
      <c r="F4" s="853" t="str">
        <f>MID(Kalend!A29,4,5)</f>
        <v>13.03</v>
      </c>
      <c r="G4" s="118"/>
      <c r="H4" s="918" t="s">
        <v>401</v>
      </c>
      <c r="I4" s="904" t="s">
        <v>64</v>
      </c>
      <c r="J4" s="904" t="s">
        <v>65</v>
      </c>
    </row>
    <row r="5" spans="1:15" x14ac:dyDescent="0.2">
      <c r="A5" s="68" t="s">
        <v>58</v>
      </c>
      <c r="B5" s="68" t="s">
        <v>58</v>
      </c>
      <c r="C5" s="70"/>
      <c r="D5" s="854" t="str">
        <f>HYPERLINK("#'As-Eel'!O1","As1")</f>
        <v>As1</v>
      </c>
      <c r="E5" s="854" t="str">
        <f>HYPERLINK("#'As-Eel'!O50","As2")</f>
        <v>As2</v>
      </c>
      <c r="F5" s="854" t="str">
        <f>HYPERLINK("#'As-Eel'!O68","As3")</f>
        <v>As3</v>
      </c>
      <c r="G5" s="118"/>
      <c r="H5" s="918"/>
      <c r="I5" s="904"/>
      <c r="J5" s="904"/>
    </row>
    <row r="6" spans="1:15" x14ac:dyDescent="0.2">
      <c r="A6" s="68"/>
      <c r="B6" s="70" t="s">
        <v>66</v>
      </c>
      <c r="C6" s="70" t="s">
        <v>67</v>
      </c>
      <c r="D6" s="642" t="s">
        <v>124</v>
      </c>
      <c r="E6" s="642" t="s">
        <v>124</v>
      </c>
      <c r="F6" s="642" t="s">
        <v>124</v>
      </c>
      <c r="G6" s="119" t="s">
        <v>165</v>
      </c>
      <c r="H6" s="918"/>
      <c r="I6" s="904"/>
      <c r="J6" s="904"/>
    </row>
    <row r="7" spans="1:15" x14ac:dyDescent="0.2">
      <c r="A7" s="847">
        <v>1</v>
      </c>
      <c r="B7" s="68" t="s">
        <v>90</v>
      </c>
      <c r="C7" s="71">
        <f>SUM(D7:F7)</f>
        <v>82</v>
      </c>
      <c r="D7" s="69">
        <v>40</v>
      </c>
      <c r="E7" s="69">
        <v>22</v>
      </c>
      <c r="F7" s="69">
        <v>20</v>
      </c>
      <c r="G7" s="187" t="str">
        <f>IF(COUNTA(D7:F7)&lt;1,"",IF(RANK(C7,$C$7:$C$24)&lt;9,"edasi "&amp;RANK(C7,$C$7:$C$24),RANK(C7,$C$7:$C$24)))</f>
        <v>edasi 1</v>
      </c>
      <c r="H7" s="73">
        <f>COUNTIF(D7:F7,"&gt;0")</f>
        <v>3</v>
      </c>
      <c r="I7" s="73">
        <f>COUNTIF(D7:F7,"&gt;=30")</f>
        <v>1</v>
      </c>
      <c r="J7" s="73">
        <f>COUNTIF(D7:F7,"=40")</f>
        <v>1</v>
      </c>
    </row>
    <row r="8" spans="1:15" x14ac:dyDescent="0.2">
      <c r="A8" s="847">
        <v>2</v>
      </c>
      <c r="B8" s="68" t="s">
        <v>113</v>
      </c>
      <c r="C8" s="71">
        <f>SUM(D8:F8)</f>
        <v>82</v>
      </c>
      <c r="D8" s="69">
        <v>30</v>
      </c>
      <c r="E8" s="69">
        <v>30</v>
      </c>
      <c r="F8" s="69">
        <v>22</v>
      </c>
      <c r="G8" s="187" t="s">
        <v>372</v>
      </c>
      <c r="H8" s="73">
        <f>COUNTIF(D8:F8,"&gt;0")</f>
        <v>3</v>
      </c>
      <c r="I8" s="73">
        <f>COUNTIF(D8:F8,"&gt;=30")</f>
        <v>2</v>
      </c>
      <c r="J8" s="73">
        <f>COUNTIF(D8:F8,"=40")</f>
        <v>0</v>
      </c>
    </row>
    <row r="9" spans="1:15" x14ac:dyDescent="0.2">
      <c r="A9" s="847">
        <v>3</v>
      </c>
      <c r="B9" s="68" t="s">
        <v>114</v>
      </c>
      <c r="C9" s="71">
        <f>SUM(D9:F9)</f>
        <v>78</v>
      </c>
      <c r="D9" s="72">
        <v>26</v>
      </c>
      <c r="E9" s="69">
        <v>12</v>
      </c>
      <c r="F9" s="69">
        <v>40</v>
      </c>
      <c r="G9" s="187" t="str">
        <f t="shared" ref="G9:G15" si="0">IF(COUNTA(D9:F9)&lt;1,"",IF(RANK(C9,$C$7:$C$24)&lt;9,"edasi "&amp;RANK(C9,$C$7:$C$24),RANK(C9,$C$7:$C$24)))</f>
        <v>edasi 3</v>
      </c>
      <c r="H9" s="73">
        <f>COUNTIF(D9:F9,"&gt;0")</f>
        <v>3</v>
      </c>
      <c r="I9" s="73">
        <f>COUNTIF(D9:F9,"&gt;=30")</f>
        <v>1</v>
      </c>
      <c r="J9" s="73">
        <f>COUNTIF(D9:F9,"=40")</f>
        <v>1</v>
      </c>
    </row>
    <row r="10" spans="1:15" x14ac:dyDescent="0.2">
      <c r="A10" s="847">
        <v>4</v>
      </c>
      <c r="B10" s="68" t="s">
        <v>98</v>
      </c>
      <c r="C10" s="71">
        <f t="shared" ref="C10:C21" si="1">SUM(D10:F10)</f>
        <v>76</v>
      </c>
      <c r="D10" s="69">
        <v>34</v>
      </c>
      <c r="E10" s="69">
        <v>26</v>
      </c>
      <c r="F10" s="69">
        <v>16</v>
      </c>
      <c r="G10" s="187" t="str">
        <f t="shared" si="0"/>
        <v>edasi 4</v>
      </c>
      <c r="H10" s="73">
        <f t="shared" ref="H10:H21" si="2">COUNTIF(D10:F10,"&gt;0")</f>
        <v>3</v>
      </c>
      <c r="I10" s="73">
        <f t="shared" ref="I10:I21" si="3">COUNTIF(D10:F10,"&gt;=30")</f>
        <v>1</v>
      </c>
      <c r="J10" s="73">
        <f t="shared" ref="J10:J21" si="4">COUNTIF(D10:F10,"=40")</f>
        <v>0</v>
      </c>
    </row>
    <row r="11" spans="1:15" x14ac:dyDescent="0.2">
      <c r="A11" s="847">
        <v>5</v>
      </c>
      <c r="B11" s="68" t="s">
        <v>108</v>
      </c>
      <c r="C11" s="71">
        <f>SUM(D11:F11)</f>
        <v>74</v>
      </c>
      <c r="D11" s="69">
        <v>4</v>
      </c>
      <c r="E11" s="69">
        <v>40</v>
      </c>
      <c r="F11" s="69">
        <v>30</v>
      </c>
      <c r="G11" s="187" t="str">
        <f t="shared" si="0"/>
        <v>edasi 5</v>
      </c>
      <c r="H11" s="73">
        <f>COUNTIF(D11:F11,"&gt;0")</f>
        <v>3</v>
      </c>
      <c r="I11" s="73">
        <f>COUNTIF(D11:F11,"&gt;=30")</f>
        <v>2</v>
      </c>
      <c r="J11" s="73">
        <f>COUNTIF(D11:F11,"=40")</f>
        <v>1</v>
      </c>
    </row>
    <row r="12" spans="1:15" x14ac:dyDescent="0.2">
      <c r="A12" s="847">
        <v>6</v>
      </c>
      <c r="B12" s="68" t="s">
        <v>106</v>
      </c>
      <c r="C12" s="71">
        <f>SUM(D12:F12)</f>
        <v>60</v>
      </c>
      <c r="D12" s="69">
        <v>10</v>
      </c>
      <c r="E12" s="69">
        <v>16</v>
      </c>
      <c r="F12" s="69">
        <v>34</v>
      </c>
      <c r="G12" s="187" t="str">
        <f t="shared" si="0"/>
        <v>edasi 6</v>
      </c>
      <c r="H12" s="73">
        <f>COUNTIF(D12:F12,"&gt;0")</f>
        <v>3</v>
      </c>
      <c r="I12" s="73">
        <f>COUNTIF(D12:F12,"&gt;=30")</f>
        <v>1</v>
      </c>
      <c r="J12" s="73">
        <f>COUNTIF(D12:F12,"=40")</f>
        <v>0</v>
      </c>
    </row>
    <row r="13" spans="1:15" x14ac:dyDescent="0.2">
      <c r="A13" s="847">
        <v>7</v>
      </c>
      <c r="B13" s="68" t="s">
        <v>95</v>
      </c>
      <c r="C13" s="71">
        <f t="shared" si="1"/>
        <v>58</v>
      </c>
      <c r="D13" s="72">
        <v>14</v>
      </c>
      <c r="E13" s="69">
        <v>34</v>
      </c>
      <c r="F13" s="69">
        <v>10</v>
      </c>
      <c r="G13" s="187" t="str">
        <f t="shared" si="0"/>
        <v>edasi 7</v>
      </c>
      <c r="H13" s="73">
        <f t="shared" si="2"/>
        <v>3</v>
      </c>
      <c r="I13" s="73">
        <f t="shared" si="3"/>
        <v>1</v>
      </c>
      <c r="J13" s="73">
        <f t="shared" si="4"/>
        <v>0</v>
      </c>
    </row>
    <row r="14" spans="1:15" x14ac:dyDescent="0.2">
      <c r="A14" s="847">
        <v>8</v>
      </c>
      <c r="B14" s="68" t="s">
        <v>112</v>
      </c>
      <c r="C14" s="71">
        <f>SUM(D14:F14)</f>
        <v>52</v>
      </c>
      <c r="D14" s="72">
        <v>12</v>
      </c>
      <c r="E14" s="69">
        <v>14</v>
      </c>
      <c r="F14" s="72">
        <v>26</v>
      </c>
      <c r="G14" s="187" t="str">
        <f t="shared" si="0"/>
        <v>edasi 8</v>
      </c>
      <c r="H14" s="73">
        <f>COUNTIF(D14:F14,"&gt;0")</f>
        <v>3</v>
      </c>
      <c r="I14" s="73">
        <f>COUNTIF(D14:F14,"&gt;=30")</f>
        <v>0</v>
      </c>
      <c r="J14" s="73">
        <f>COUNTIF(D14:F14,"=40")</f>
        <v>0</v>
      </c>
    </row>
    <row r="15" spans="1:15" x14ac:dyDescent="0.2">
      <c r="A15" s="847">
        <v>9</v>
      </c>
      <c r="B15" s="68" t="s">
        <v>143</v>
      </c>
      <c r="C15" s="71">
        <f>SUM(D15:F15)</f>
        <v>42</v>
      </c>
      <c r="D15" s="72">
        <v>24</v>
      </c>
      <c r="E15" s="69"/>
      <c r="F15" s="69">
        <v>18</v>
      </c>
      <c r="G15" s="187">
        <f t="shared" si="0"/>
        <v>9</v>
      </c>
      <c r="H15" s="73">
        <f>COUNTIF(D15:F15,"&gt;0")</f>
        <v>2</v>
      </c>
      <c r="I15" s="73">
        <f>COUNTIF(D15:F15,"&gt;=30")</f>
        <v>0</v>
      </c>
      <c r="J15" s="73">
        <f>COUNTIF(D15:F15,"=40")</f>
        <v>0</v>
      </c>
    </row>
    <row r="16" spans="1:15" x14ac:dyDescent="0.2">
      <c r="A16" s="847">
        <v>10</v>
      </c>
      <c r="B16" s="68" t="s">
        <v>104</v>
      </c>
      <c r="C16" s="71">
        <f t="shared" si="1"/>
        <v>42</v>
      </c>
      <c r="D16" s="72">
        <v>22</v>
      </c>
      <c r="E16" s="69">
        <v>20</v>
      </c>
      <c r="F16" s="69"/>
      <c r="G16" s="187">
        <v>10</v>
      </c>
      <c r="H16" s="73">
        <f t="shared" si="2"/>
        <v>2</v>
      </c>
      <c r="I16" s="73">
        <f t="shared" si="3"/>
        <v>0</v>
      </c>
      <c r="J16" s="73">
        <f t="shared" si="4"/>
        <v>0</v>
      </c>
    </row>
    <row r="17" spans="1:10" x14ac:dyDescent="0.2">
      <c r="A17" s="847">
        <v>11</v>
      </c>
      <c r="B17" s="275" t="s">
        <v>125</v>
      </c>
      <c r="C17" s="71">
        <f t="shared" si="1"/>
        <v>40</v>
      </c>
      <c r="D17" s="69">
        <v>16</v>
      </c>
      <c r="E17" s="69">
        <v>24</v>
      </c>
      <c r="F17" s="69"/>
      <c r="G17" s="187">
        <f t="shared" ref="G17:G24" si="5">IF(COUNTA(D17:F17)&lt;1,"",IF(RANK(C17,$C$7:$C$24)&lt;9,"edasi "&amp;RANK(C17,$C$7:$C$24),RANK(C17,$C$7:$C$24)))</f>
        <v>11</v>
      </c>
      <c r="H17" s="73">
        <f t="shared" si="2"/>
        <v>2</v>
      </c>
      <c r="I17" s="73">
        <f t="shared" si="3"/>
        <v>0</v>
      </c>
      <c r="J17" s="73">
        <f t="shared" si="4"/>
        <v>0</v>
      </c>
    </row>
    <row r="18" spans="1:10" x14ac:dyDescent="0.2">
      <c r="A18" s="847">
        <v>12</v>
      </c>
      <c r="B18" s="68" t="s">
        <v>115</v>
      </c>
      <c r="C18" s="71">
        <f t="shared" si="1"/>
        <v>36</v>
      </c>
      <c r="D18" s="69">
        <v>18</v>
      </c>
      <c r="E18" s="69">
        <v>18</v>
      </c>
      <c r="F18" s="72"/>
      <c r="G18" s="187">
        <f t="shared" si="5"/>
        <v>12</v>
      </c>
      <c r="H18" s="73">
        <f t="shared" si="2"/>
        <v>2</v>
      </c>
      <c r="I18" s="73">
        <f t="shared" si="3"/>
        <v>0</v>
      </c>
      <c r="J18" s="73">
        <f t="shared" si="4"/>
        <v>0</v>
      </c>
    </row>
    <row r="19" spans="1:10" x14ac:dyDescent="0.2">
      <c r="A19" s="847">
        <v>13</v>
      </c>
      <c r="B19" s="275" t="s">
        <v>105</v>
      </c>
      <c r="C19" s="71">
        <f>SUM(D19:F19)</f>
        <v>26</v>
      </c>
      <c r="D19" s="72">
        <v>6</v>
      </c>
      <c r="E19" s="69">
        <v>10</v>
      </c>
      <c r="F19" s="69">
        <v>10</v>
      </c>
      <c r="G19" s="187">
        <f t="shared" si="5"/>
        <v>13</v>
      </c>
      <c r="H19" s="73">
        <f>COUNTIF(D19:F19,"&gt;0")</f>
        <v>3</v>
      </c>
      <c r="I19" s="73">
        <f>COUNTIF(D19:F19,"&gt;=30")</f>
        <v>0</v>
      </c>
      <c r="J19" s="73">
        <f>COUNTIF(D19:F19,"=40")</f>
        <v>0</v>
      </c>
    </row>
    <row r="20" spans="1:10" x14ac:dyDescent="0.2">
      <c r="A20" s="847">
        <v>14</v>
      </c>
      <c r="B20" s="68" t="s">
        <v>111</v>
      </c>
      <c r="C20" s="71">
        <f>SUM(D20:F20)</f>
        <v>24</v>
      </c>
      <c r="D20" s="69"/>
      <c r="E20" s="69"/>
      <c r="F20" s="69">
        <v>24</v>
      </c>
      <c r="G20" s="187">
        <f t="shared" si="5"/>
        <v>14</v>
      </c>
      <c r="H20" s="73">
        <f>COUNTIF(D20:F20,"&gt;0")</f>
        <v>1</v>
      </c>
      <c r="I20" s="73">
        <f>COUNTIF(D20:F20,"&gt;=30")</f>
        <v>0</v>
      </c>
      <c r="J20" s="73">
        <f>COUNTIF(D20:F20,"=40")</f>
        <v>0</v>
      </c>
    </row>
    <row r="21" spans="1:10" x14ac:dyDescent="0.2">
      <c r="A21" s="847">
        <v>15</v>
      </c>
      <c r="B21" s="68" t="s">
        <v>126</v>
      </c>
      <c r="C21" s="71">
        <f t="shared" si="1"/>
        <v>20</v>
      </c>
      <c r="D21" s="69">
        <v>20</v>
      </c>
      <c r="E21" s="69"/>
      <c r="F21" s="69"/>
      <c r="G21" s="187">
        <f t="shared" si="5"/>
        <v>15</v>
      </c>
      <c r="H21" s="73">
        <f t="shared" si="2"/>
        <v>1</v>
      </c>
      <c r="I21" s="73">
        <f t="shared" si="3"/>
        <v>0</v>
      </c>
      <c r="J21" s="73">
        <f t="shared" si="4"/>
        <v>0</v>
      </c>
    </row>
    <row r="22" spans="1:10" x14ac:dyDescent="0.2">
      <c r="A22" s="847">
        <v>16</v>
      </c>
      <c r="B22" s="275" t="s">
        <v>141</v>
      </c>
      <c r="C22" s="71">
        <f>SUM(D22:F22)</f>
        <v>14</v>
      </c>
      <c r="D22" s="69"/>
      <c r="E22" s="69"/>
      <c r="F22" s="69">
        <v>14</v>
      </c>
      <c r="G22" s="187">
        <f t="shared" si="5"/>
        <v>16</v>
      </c>
      <c r="H22" s="73">
        <f>COUNTIF(D22:F22,"&gt;0")</f>
        <v>1</v>
      </c>
      <c r="I22" s="73">
        <f>COUNTIF(D22:F22,"&gt;=30")</f>
        <v>0</v>
      </c>
      <c r="J22" s="73">
        <f>COUNTIF(D22:F22,"=40")</f>
        <v>0</v>
      </c>
    </row>
    <row r="23" spans="1:10" s="66" customFormat="1" x14ac:dyDescent="0.2">
      <c r="A23" s="847">
        <v>17</v>
      </c>
      <c r="B23" s="68" t="s">
        <v>135</v>
      </c>
      <c r="C23" s="71">
        <f>SUM(D23:F23)</f>
        <v>12</v>
      </c>
      <c r="D23" s="69"/>
      <c r="E23" s="69"/>
      <c r="F23" s="69">
        <v>12</v>
      </c>
      <c r="G23" s="187">
        <f t="shared" si="5"/>
        <v>17</v>
      </c>
      <c r="H23" s="73">
        <f>COUNTIF(D23:F23,"&gt;0")</f>
        <v>1</v>
      </c>
      <c r="I23" s="73">
        <f>COUNTIF(D23:F23,"&gt;=30")</f>
        <v>0</v>
      </c>
      <c r="J23" s="73">
        <f>COUNTIF(D23:F23,"=40")</f>
        <v>0</v>
      </c>
    </row>
    <row r="24" spans="1:10" x14ac:dyDescent="0.2">
      <c r="A24" s="847">
        <v>18</v>
      </c>
      <c r="B24" s="68" t="s">
        <v>137</v>
      </c>
      <c r="C24" s="71">
        <f>SUM(D24:F24)</f>
        <v>8</v>
      </c>
      <c r="D24" s="69">
        <v>8</v>
      </c>
      <c r="E24" s="72"/>
      <c r="F24" s="69"/>
      <c r="G24" s="187">
        <f t="shared" si="5"/>
        <v>18</v>
      </c>
      <c r="H24" s="73">
        <f>COUNTIF(D24:F24,"&gt;0")</f>
        <v>1</v>
      </c>
      <c r="I24" s="73">
        <f>COUNTIF(D24:F24,"&gt;=30")</f>
        <v>0</v>
      </c>
      <c r="J24" s="73">
        <f>COUNTIF(D24:F24,"=40")</f>
        <v>0</v>
      </c>
    </row>
    <row r="25" spans="1:10" x14ac:dyDescent="0.2">
      <c r="A25" s="75">
        <f>COUNT(A7:A24)</f>
        <v>18</v>
      </c>
      <c r="B25" s="76" t="s">
        <v>70</v>
      </c>
      <c r="C25" s="77"/>
      <c r="D25" s="78">
        <f>COUNTIF(D7:D24,"&gt;=0")</f>
        <v>15</v>
      </c>
      <c r="E25" s="78">
        <f>COUNTIF(E7:E24,"&gt;=0")</f>
        <v>12</v>
      </c>
      <c r="F25" s="78">
        <f>COUNTIF(F7:F24,"&gt;=0")</f>
        <v>13</v>
      </c>
      <c r="G25" s="78"/>
      <c r="H25" s="79"/>
      <c r="I25" s="80">
        <f>SUM(I7:I24)</f>
        <v>9</v>
      </c>
      <c r="J25" s="80">
        <f>SUM(J7:J24)</f>
        <v>3</v>
      </c>
    </row>
    <row r="26" spans="1:10" x14ac:dyDescent="0.2">
      <c r="G26" s="549"/>
    </row>
  </sheetData>
  <mergeCells count="3">
    <mergeCell ref="H4:H6"/>
    <mergeCell ref="I4:I6"/>
    <mergeCell ref="J4:J6"/>
  </mergeCells>
  <conditionalFormatting sqref="D25:F25">
    <cfRule type="top10" dxfId="184" priority="93" stopIfTrue="1" rank="1"/>
  </conditionalFormatting>
  <conditionalFormatting sqref="G25">
    <cfRule type="top10" dxfId="183" priority="6" stopIfTrue="1" rank="1"/>
  </conditionalFormatting>
  <conditionalFormatting sqref="H7:H24">
    <cfRule type="top10" dxfId="182" priority="246" stopIfTrue="1" rank="1"/>
  </conditionalFormatting>
  <conditionalFormatting sqref="I7:I24">
    <cfRule type="top10" dxfId="181" priority="247" stopIfTrue="1" rank="1"/>
  </conditionalFormatting>
  <conditionalFormatting sqref="J7:J24">
    <cfRule type="top10" dxfId="180" priority="248" stopIfTrue="1" rank="1"/>
  </conditionalFormatting>
  <conditionalFormatting sqref="G7:G24">
    <cfRule type="duplicateValues" dxfId="179" priority="250" stopIfTrue="1"/>
    <cfRule type="top10" dxfId="178" priority="251" stopIfTrue="1" rank="100"/>
  </conditionalFormatting>
  <conditionalFormatting sqref="B22:B23 B20">
    <cfRule type="duplicateValues" dxfId="177" priority="261" stopIfTrue="1"/>
  </conditionalFormatting>
  <conditionalFormatting sqref="D7:D24">
    <cfRule type="top10" dxfId="176" priority="3" stopIfTrue="1" rank="1"/>
  </conditionalFormatting>
  <conditionalFormatting sqref="E7:E24">
    <cfRule type="top10" dxfId="175" priority="2" stopIfTrue="1" rank="1"/>
  </conditionalFormatting>
  <conditionalFormatting sqref="F7:F24">
    <cfRule type="top10" dxfId="174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ignoredErrors>
    <ignoredError sqref="C16:J16" formulaRange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S55"/>
  <sheetViews>
    <sheetView showGridLines="0" showRowColHeaders="0" zoomScaleNormal="100" workbookViewId="0">
      <pane ySplit="8" topLeftCell="A9" activePane="bottomLeft" state="frozen"/>
      <selection activeCell="O1" sqref="O1"/>
      <selection pane="bottomLeft" activeCell="O1" sqref="O1"/>
    </sheetView>
  </sheetViews>
  <sheetFormatPr defaultRowHeight="12.75" x14ac:dyDescent="0.2"/>
  <cols>
    <col min="1" max="1" width="3" style="500" bestFit="1" customWidth="1"/>
    <col min="2" max="2" width="20.42578125" style="500" bestFit="1" customWidth="1"/>
    <col min="3" max="14" width="4.28515625" style="500" customWidth="1"/>
    <col min="15" max="15" width="6.5703125" style="500" bestFit="1" customWidth="1"/>
    <col min="16" max="16" width="10.140625" style="500" bestFit="1" customWidth="1"/>
    <col min="17" max="17" width="6" style="500" hidden="1" customWidth="1"/>
    <col min="18" max="19" width="4" style="500" hidden="1" customWidth="1"/>
    <col min="20" max="21" width="1.7109375" style="500" customWidth="1"/>
    <col min="22" max="16384" width="9.140625" style="500"/>
  </cols>
  <sheetData>
    <row r="1" spans="1:19" s="238" customFormat="1" x14ac:dyDescent="0.2">
      <c r="A1" s="82" t="str">
        <f>UPPER((Kalend!D37)&amp;" - "&amp;(Kalend!C37)&amp;" - "&amp;(Kalend!E37))</f>
        <v>AS-F - ASETAMISE VF, PF, FINAAL - ÜKSIK</v>
      </c>
      <c r="J1" s="361" t="str">
        <f>HYPERLINK("#'Kalend'!I1","Kalender")</f>
        <v>Kalender</v>
      </c>
      <c r="K1" s="85"/>
      <c r="M1" s="361" t="str">
        <f>HYPERLINK("#'Reit'!J1","Reiting")</f>
        <v>Reiting</v>
      </c>
      <c r="O1" s="85"/>
    </row>
    <row r="2" spans="1:19" s="238" customFormat="1" x14ac:dyDescent="0.2">
      <c r="A2" s="85" t="str">
        <f>"Toimumisaeg: "&amp;(Kalend!A36)</f>
        <v>Toimumisaeg: P, 24.04.2016</v>
      </c>
    </row>
    <row r="3" spans="1:19" s="238" customFormat="1" x14ac:dyDescent="0.2">
      <c r="A3" s="85" t="str">
        <f>"Toimumiskoht: "&amp;(Kalend!F37)</f>
        <v>Toimumiskoht: K-Järve petangihall</v>
      </c>
    </row>
    <row r="4" spans="1:19" s="238" customFormat="1" x14ac:dyDescent="0.2">
      <c r="A4" s="85" t="str">
        <f>"Korraldaja: "&amp;(Kalend!G37)</f>
        <v>Korraldaja: K-Järve SHK, Ivar Viljaste</v>
      </c>
    </row>
    <row r="5" spans="1:19" s="238" customFormat="1" ht="13.5" thickBot="1" x14ac:dyDescent="0.25"/>
    <row r="6" spans="1:19" ht="63.75" customHeight="1" x14ac:dyDescent="0.2">
      <c r="A6" s="578"/>
      <c r="B6" s="579"/>
      <c r="C6" s="580"/>
      <c r="D6" s="580"/>
      <c r="E6" s="580"/>
      <c r="F6" s="580"/>
      <c r="G6" s="581"/>
      <c r="H6" s="580"/>
      <c r="I6" s="580"/>
      <c r="J6" s="582"/>
      <c r="K6" s="581"/>
      <c r="L6" s="580"/>
      <c r="M6" s="580"/>
      <c r="N6" s="580"/>
      <c r="O6" s="583"/>
      <c r="P6" s="583"/>
    </row>
    <row r="7" spans="1:19" x14ac:dyDescent="0.2">
      <c r="A7" s="501"/>
      <c r="B7" s="494"/>
      <c r="C7" s="550" t="s">
        <v>122</v>
      </c>
      <c r="D7" s="503"/>
      <c r="E7" s="503"/>
      <c r="F7" s="503"/>
      <c r="G7" s="711" t="s">
        <v>248</v>
      </c>
      <c r="H7" s="712"/>
      <c r="I7" s="712"/>
      <c r="J7" s="720"/>
      <c r="K7" s="550" t="s">
        <v>249</v>
      </c>
      <c r="L7" s="503"/>
      <c r="M7" s="503"/>
      <c r="N7" s="503"/>
      <c r="O7" s="718" t="s">
        <v>58</v>
      </c>
      <c r="P7" s="718"/>
    </row>
    <row r="8" spans="1:19" s="512" customFormat="1" x14ac:dyDescent="0.2">
      <c r="A8" s="507"/>
      <c r="B8" s="508" t="s">
        <v>84</v>
      </c>
      <c r="C8" s="509">
        <v>6.5</v>
      </c>
      <c r="D8" s="510">
        <v>7.5</v>
      </c>
      <c r="E8" s="510">
        <v>8.5</v>
      </c>
      <c r="F8" s="510">
        <v>9.5</v>
      </c>
      <c r="G8" s="715">
        <v>6.5</v>
      </c>
      <c r="H8" s="716">
        <v>7.5</v>
      </c>
      <c r="I8" s="716">
        <v>8.5</v>
      </c>
      <c r="J8" s="716">
        <v>9.5</v>
      </c>
      <c r="K8" s="509">
        <v>6.5</v>
      </c>
      <c r="L8" s="510">
        <v>7.5</v>
      </c>
      <c r="M8" s="510">
        <v>8.5</v>
      </c>
      <c r="N8" s="510">
        <v>9.5</v>
      </c>
      <c r="O8" s="719" t="s">
        <v>123</v>
      </c>
      <c r="P8" s="721" t="s">
        <v>414</v>
      </c>
    </row>
    <row r="9" spans="1:19" x14ac:dyDescent="0.2">
      <c r="A9" s="493"/>
      <c r="B9" s="551" t="s">
        <v>86</v>
      </c>
      <c r="C9" s="522"/>
      <c r="D9" s="523"/>
      <c r="E9" s="523"/>
      <c r="F9" s="523"/>
      <c r="G9" s="522"/>
      <c r="H9" s="523"/>
      <c r="I9" s="523"/>
      <c r="J9" s="523"/>
      <c r="K9" s="522"/>
      <c r="L9" s="523"/>
      <c r="M9" s="523"/>
      <c r="N9" s="523"/>
      <c r="O9" s="552"/>
      <c r="P9" s="552"/>
      <c r="Q9" s="553"/>
      <c r="R9" s="554" t="s">
        <v>381</v>
      </c>
      <c r="S9" s="554" t="s">
        <v>380</v>
      </c>
    </row>
    <row r="10" spans="1:19" x14ac:dyDescent="0.2">
      <c r="A10" s="493">
        <v>4</v>
      </c>
      <c r="B10" s="531" t="s">
        <v>98</v>
      </c>
      <c r="C10" s="522">
        <v>55</v>
      </c>
      <c r="D10" s="523">
        <v>125</v>
      </c>
      <c r="E10" s="523">
        <v>75</v>
      </c>
      <c r="F10" s="523">
        <v>100</v>
      </c>
      <c r="G10" s="522">
        <v>103</v>
      </c>
      <c r="H10" s="523">
        <v>108</v>
      </c>
      <c r="I10" s="527">
        <v>141</v>
      </c>
      <c r="J10" s="527">
        <v>72</v>
      </c>
      <c r="K10" s="522">
        <v>56</v>
      </c>
      <c r="L10" s="523">
        <v>56</v>
      </c>
      <c r="M10" s="523">
        <v>107</v>
      </c>
      <c r="N10" s="523">
        <v>24</v>
      </c>
      <c r="O10" s="555">
        <f>SUM(C10:N10)</f>
        <v>1022</v>
      </c>
      <c r="P10" s="552">
        <f>IF(C10=3000,"",IF(RANK(Q10,$Q$10:$Q$11,1)&lt;2,"edasi "&amp;RANK(O10,$R$10:$R$20,1)-COUNTIF($R$10:$R$20,"0"),RANK(O10,$S$10:$S$20,1)+4-COUNTIF($S$10:$S$20,"0")))</f>
        <v>8</v>
      </c>
      <c r="Q10" s="556">
        <f>IF(COUNTA(C10:N10)=0,10000,O10+IF(RANK(O10,$O$10:$O$11,0)=1,10000,0))</f>
        <v>11022</v>
      </c>
      <c r="R10" s="557">
        <f>MIN(O10:O11)</f>
        <v>785</v>
      </c>
      <c r="S10" s="557">
        <f>MAX(O10:O11)</f>
        <v>1022</v>
      </c>
    </row>
    <row r="11" spans="1:19" x14ac:dyDescent="0.2">
      <c r="A11" s="493">
        <v>5</v>
      </c>
      <c r="B11" s="526" t="s">
        <v>108</v>
      </c>
      <c r="C11" s="522">
        <v>39</v>
      </c>
      <c r="D11" s="523">
        <v>105</v>
      </c>
      <c r="E11" s="523">
        <v>82</v>
      </c>
      <c r="F11" s="523">
        <v>72</v>
      </c>
      <c r="G11" s="522">
        <v>37</v>
      </c>
      <c r="H11" s="523">
        <v>98</v>
      </c>
      <c r="I11" s="523">
        <v>101</v>
      </c>
      <c r="J11" s="523">
        <v>55</v>
      </c>
      <c r="K11" s="522">
        <v>18</v>
      </c>
      <c r="L11" s="523">
        <v>40</v>
      </c>
      <c r="M11" s="523">
        <v>30</v>
      </c>
      <c r="N11" s="523">
        <v>108</v>
      </c>
      <c r="O11" s="555">
        <f t="shared" ref="O11:O35" si="0">SUM(C11:N11)</f>
        <v>785</v>
      </c>
      <c r="P11" s="552" t="str">
        <f>IF(C11=3000,"",IF(RANK(Q11,$Q$10:$Q$11,1)&lt;2,"edasi "&amp;RANK(O11,$R$10:$R$20,1)-COUNTIF($R$10:$R$20,"0"),RANK(O11,$S$10:$S$20,1)+4-COUNTIF($S$10:$S$20,"0")))</f>
        <v>edasi 4</v>
      </c>
      <c r="Q11" s="558">
        <f>IF(COUNTA(C11:N11)=0,0,O11+IF(RANK(O11,$O$10:$O$11,0)=1,10000,0))</f>
        <v>785</v>
      </c>
      <c r="R11" s="557"/>
      <c r="S11" s="557"/>
    </row>
    <row r="12" spans="1:19" x14ac:dyDescent="0.2">
      <c r="A12" s="493"/>
      <c r="B12" s="526"/>
      <c r="C12" s="522"/>
      <c r="D12" s="523"/>
      <c r="E12" s="523"/>
      <c r="F12" s="523"/>
      <c r="G12" s="522"/>
      <c r="H12" s="523"/>
      <c r="I12" s="523"/>
      <c r="J12" s="523"/>
      <c r="K12" s="522"/>
      <c r="L12" s="523"/>
      <c r="M12" s="523"/>
      <c r="N12" s="523"/>
      <c r="O12" s="555"/>
      <c r="P12" s="552"/>
      <c r="Q12" s="558"/>
      <c r="R12" s="557"/>
      <c r="S12" s="557"/>
    </row>
    <row r="13" spans="1:19" x14ac:dyDescent="0.2">
      <c r="A13" s="493">
        <v>3</v>
      </c>
      <c r="B13" s="528" t="s">
        <v>114</v>
      </c>
      <c r="C13" s="522">
        <v>111</v>
      </c>
      <c r="D13" s="523">
        <v>96</v>
      </c>
      <c r="E13" s="523">
        <v>114</v>
      </c>
      <c r="F13" s="523">
        <v>75</v>
      </c>
      <c r="G13" s="522">
        <v>23</v>
      </c>
      <c r="H13" s="523">
        <v>68</v>
      </c>
      <c r="I13" s="527">
        <v>59</v>
      </c>
      <c r="J13" s="527">
        <v>104</v>
      </c>
      <c r="K13" s="522">
        <v>55</v>
      </c>
      <c r="L13" s="523">
        <v>49</v>
      </c>
      <c r="M13" s="523">
        <v>72</v>
      </c>
      <c r="N13" s="523">
        <v>62</v>
      </c>
      <c r="O13" s="555">
        <f t="shared" si="0"/>
        <v>888</v>
      </c>
      <c r="P13" s="552">
        <f>IF(C13=3000,"",IF(RANK(Q13,$Q$13:$Q$14,1)&lt;2,"edasi "&amp;RANK(O13,$R$10:$R$20,1)-COUNTIF($R$10:$R$20,"0"),RANK(O13,$S$10:$S$20,1)+4-COUNTIF($S$10:$S$20,"0")))</f>
        <v>7</v>
      </c>
      <c r="Q13" s="556">
        <f>IF(COUNTA(C13:N13)=0,10000,O13+IF(RANK(O13,$O$13:$O$14,0)=1,10000,0))</f>
        <v>10888</v>
      </c>
      <c r="R13" s="557">
        <f>MIN(O13:O14)</f>
        <v>779</v>
      </c>
      <c r="S13" s="557">
        <f>MAX(O13:O14)</f>
        <v>888</v>
      </c>
    </row>
    <row r="14" spans="1:19" x14ac:dyDescent="0.2">
      <c r="A14" s="493">
        <v>6</v>
      </c>
      <c r="B14" s="528" t="s">
        <v>106</v>
      </c>
      <c r="C14" s="522">
        <v>54</v>
      </c>
      <c r="D14" s="523">
        <v>72</v>
      </c>
      <c r="E14" s="523">
        <v>21</v>
      </c>
      <c r="F14" s="523">
        <v>50</v>
      </c>
      <c r="G14" s="522">
        <v>85</v>
      </c>
      <c r="H14" s="523">
        <v>63</v>
      </c>
      <c r="I14" s="523">
        <v>45</v>
      </c>
      <c r="J14" s="523">
        <v>46</v>
      </c>
      <c r="K14" s="522">
        <v>39</v>
      </c>
      <c r="L14" s="523">
        <v>96</v>
      </c>
      <c r="M14" s="523">
        <v>100</v>
      </c>
      <c r="N14" s="523">
        <v>108</v>
      </c>
      <c r="O14" s="555">
        <f t="shared" si="0"/>
        <v>779</v>
      </c>
      <c r="P14" s="552" t="str">
        <f>IF(C14=3000,"",IF(RANK(Q14,$Q$13:$Q$14,1)&lt;2,"edasi "&amp;RANK(O14,$R$10:$R$20,1)-COUNTIF($R$10:$R$20,"0"),RANK(O14,$S$10:$S$20,1)+4-COUNTIF($S$10:$S$20,"0")))</f>
        <v>edasi 3</v>
      </c>
      <c r="Q14" s="558">
        <f>IF(COUNTA(C14:N14)=0,0,O14+IF(RANK(O14,$O$13:$O$14,0)=1,10000,0))</f>
        <v>779</v>
      </c>
      <c r="R14" s="557"/>
      <c r="S14" s="557"/>
    </row>
    <row r="15" spans="1:19" x14ac:dyDescent="0.2">
      <c r="A15" s="493"/>
      <c r="B15" s="528"/>
      <c r="C15" s="522"/>
      <c r="D15" s="523"/>
      <c r="E15" s="523"/>
      <c r="F15" s="523"/>
      <c r="G15" s="522"/>
      <c r="H15" s="523"/>
      <c r="I15" s="523"/>
      <c r="J15" s="523"/>
      <c r="K15" s="522"/>
      <c r="L15" s="523"/>
      <c r="M15" s="523"/>
      <c r="N15" s="523"/>
      <c r="O15" s="555"/>
      <c r="P15" s="552"/>
      <c r="Q15" s="558"/>
      <c r="R15" s="557"/>
      <c r="S15" s="557"/>
    </row>
    <row r="16" spans="1:19" x14ac:dyDescent="0.2">
      <c r="A16" s="493">
        <v>2</v>
      </c>
      <c r="B16" s="559" t="s">
        <v>113</v>
      </c>
      <c r="C16" s="522">
        <v>34</v>
      </c>
      <c r="D16" s="523">
        <v>45</v>
      </c>
      <c r="E16" s="523">
        <v>53</v>
      </c>
      <c r="F16" s="523">
        <v>5</v>
      </c>
      <c r="G16" s="522">
        <v>182</v>
      </c>
      <c r="H16" s="523">
        <v>90</v>
      </c>
      <c r="I16" s="523">
        <v>15</v>
      </c>
      <c r="J16" s="523">
        <v>20</v>
      </c>
      <c r="K16" s="522">
        <v>48</v>
      </c>
      <c r="L16" s="523">
        <v>79</v>
      </c>
      <c r="M16" s="523">
        <v>113</v>
      </c>
      <c r="N16" s="523">
        <v>11</v>
      </c>
      <c r="O16" s="555">
        <f t="shared" si="0"/>
        <v>695</v>
      </c>
      <c r="P16" s="552" t="str">
        <f>IF(C16=3000,"",IF(RANK(Q16,$Q$16:$Q$17,1)&lt;2,"edasi "&amp;RANK(O16,$R$10:$R$20,1)-COUNTIF($R$10:$R$20,"0"),RANK(O16,$S$10:$S$20,1)+4-COUNTIF($S$10:$S$20,"0")))</f>
        <v>edasi 2</v>
      </c>
      <c r="Q16" s="556">
        <f>IF(COUNTA(C16:N16)=0,10000,O16+IF(RANK(O16,$O$16:$O$17,0)=1,10000,0))</f>
        <v>695</v>
      </c>
      <c r="R16" s="557">
        <f>MIN(O16:O17)</f>
        <v>695</v>
      </c>
      <c r="S16" s="557">
        <f>MAX(O16:O17)</f>
        <v>734</v>
      </c>
    </row>
    <row r="17" spans="1:19" x14ac:dyDescent="0.2">
      <c r="A17" s="493">
        <v>7</v>
      </c>
      <c r="B17" s="526" t="s">
        <v>95</v>
      </c>
      <c r="C17" s="522">
        <v>17</v>
      </c>
      <c r="D17" s="523">
        <v>92</v>
      </c>
      <c r="E17" s="523">
        <v>104</v>
      </c>
      <c r="F17" s="523">
        <v>23</v>
      </c>
      <c r="G17" s="522">
        <v>59</v>
      </c>
      <c r="H17" s="523">
        <v>110</v>
      </c>
      <c r="I17" s="523">
        <v>29</v>
      </c>
      <c r="J17" s="523">
        <v>19</v>
      </c>
      <c r="K17" s="522">
        <v>60</v>
      </c>
      <c r="L17" s="523">
        <v>83</v>
      </c>
      <c r="M17" s="523">
        <v>49</v>
      </c>
      <c r="N17" s="523">
        <v>89</v>
      </c>
      <c r="O17" s="555">
        <f t="shared" si="0"/>
        <v>734</v>
      </c>
      <c r="P17" s="552">
        <f>IF(C17=3000,"",IF(RANK(Q17,$Q$16:$Q$17,1)&lt;2,"edasi "&amp;RANK(O17,$R$10:$R$20,1)-COUNTIF($R$10:$R$20,"0"),RANK(O17,$S$10:$S$20,1)+4-COUNTIF($S$10:$S$20,"0")))</f>
        <v>5</v>
      </c>
      <c r="Q17" s="558">
        <f>IF(COUNTA(C17:N17)=0,0,O17+IF(RANK(O17,$O$16:$O$17,0)=1,10000,0))</f>
        <v>10734</v>
      </c>
      <c r="R17" s="557"/>
      <c r="S17" s="557"/>
    </row>
    <row r="18" spans="1:19" x14ac:dyDescent="0.2">
      <c r="A18" s="493"/>
      <c r="B18" s="526"/>
      <c r="C18" s="522"/>
      <c r="D18" s="523"/>
      <c r="E18" s="523"/>
      <c r="F18" s="523"/>
      <c r="G18" s="522"/>
      <c r="H18" s="523"/>
      <c r="I18" s="527"/>
      <c r="J18" s="527"/>
      <c r="K18" s="522"/>
      <c r="L18" s="523"/>
      <c r="M18" s="523"/>
      <c r="N18" s="523"/>
      <c r="O18" s="555"/>
      <c r="P18" s="552"/>
      <c r="Q18" s="558"/>
      <c r="R18" s="557"/>
      <c r="S18" s="557"/>
    </row>
    <row r="19" spans="1:19" x14ac:dyDescent="0.2">
      <c r="A19" s="493">
        <v>1</v>
      </c>
      <c r="B19" s="526" t="s">
        <v>90</v>
      </c>
      <c r="C19" s="522">
        <v>15</v>
      </c>
      <c r="D19" s="523">
        <v>0</v>
      </c>
      <c r="E19" s="523">
        <v>81</v>
      </c>
      <c r="F19" s="523">
        <v>99</v>
      </c>
      <c r="G19" s="522">
        <v>19</v>
      </c>
      <c r="H19" s="523">
        <v>11</v>
      </c>
      <c r="I19" s="523">
        <v>88</v>
      </c>
      <c r="J19" s="523">
        <v>58</v>
      </c>
      <c r="K19" s="522">
        <v>38</v>
      </c>
      <c r="L19" s="523">
        <v>40</v>
      </c>
      <c r="M19" s="523">
        <v>20</v>
      </c>
      <c r="N19" s="523">
        <v>69</v>
      </c>
      <c r="O19" s="555">
        <f t="shared" si="0"/>
        <v>538</v>
      </c>
      <c r="P19" s="552" t="str">
        <f>IF(C19=3000,"",IF(RANK(Q19,$Q$19:$Q$20,1)&lt;2,"edasi "&amp;RANK(O19,$R$10:$R$20,1)-COUNTIF($R$10:$R$20,"0"),RANK(O19,$S$10:$S$20,1)+4-COUNTIF($S$10:$S$20,"0")))</f>
        <v>edasi 1</v>
      </c>
      <c r="Q19" s="556">
        <f>IF(COUNTA(C19:N19)=0,10000,O19+IF(RANK(O19,$O$19:$O$20,0)=1,10000,0))</f>
        <v>538</v>
      </c>
      <c r="R19" s="557">
        <f>MIN(O19:O20)</f>
        <v>538</v>
      </c>
      <c r="S19" s="557">
        <f>MAX(O19:O20)</f>
        <v>745</v>
      </c>
    </row>
    <row r="20" spans="1:19" x14ac:dyDescent="0.2">
      <c r="A20" s="493">
        <v>8</v>
      </c>
      <c r="B20" s="531" t="s">
        <v>112</v>
      </c>
      <c r="C20" s="522">
        <v>15</v>
      </c>
      <c r="D20" s="523">
        <v>27</v>
      </c>
      <c r="E20" s="523">
        <v>102</v>
      </c>
      <c r="F20" s="523">
        <v>15</v>
      </c>
      <c r="G20" s="522">
        <v>54</v>
      </c>
      <c r="H20" s="523">
        <v>78</v>
      </c>
      <c r="I20" s="527">
        <v>50</v>
      </c>
      <c r="J20" s="527">
        <v>90</v>
      </c>
      <c r="K20" s="522">
        <v>29</v>
      </c>
      <c r="L20" s="523">
        <v>62</v>
      </c>
      <c r="M20" s="523">
        <v>93</v>
      </c>
      <c r="N20" s="523">
        <v>130</v>
      </c>
      <c r="O20" s="555">
        <f t="shared" si="0"/>
        <v>745</v>
      </c>
      <c r="P20" s="552">
        <f>IF(C20=3000,"",IF(RANK(Q20,$Q$19:$Q$20,1)&lt;2,"edasi "&amp;RANK(O20,$R$10:$R$20,1)-COUNTIF($R$10:$R$20,"0"),RANK(O20,$S$10:$S$20,1)+4-COUNTIF($S$10:$S$20,"0")))</f>
        <v>6</v>
      </c>
      <c r="Q20" s="558">
        <f>IF(COUNTA(C20:N20)=0,0,O20+IF(RANK(O20,$O$19:$O$20,0)=1,10000,0))</f>
        <v>10745</v>
      </c>
      <c r="R20" s="557"/>
      <c r="S20" s="557"/>
    </row>
    <row r="21" spans="1:19" x14ac:dyDescent="0.2">
      <c r="A21" s="493"/>
      <c r="B21" s="530"/>
      <c r="C21" s="522"/>
      <c r="D21" s="523"/>
      <c r="E21" s="523"/>
      <c r="F21" s="523"/>
      <c r="G21" s="522"/>
      <c r="H21" s="523"/>
      <c r="I21" s="527"/>
      <c r="J21" s="527"/>
      <c r="K21" s="522"/>
      <c r="L21" s="523"/>
      <c r="M21" s="523"/>
      <c r="N21" s="523"/>
      <c r="O21" s="555"/>
      <c r="P21" s="552"/>
    </row>
    <row r="22" spans="1:19" x14ac:dyDescent="0.2">
      <c r="A22" s="493"/>
      <c r="B22" s="560" t="s">
        <v>87</v>
      </c>
      <c r="C22" s="522"/>
      <c r="D22" s="523"/>
      <c r="E22" s="523"/>
      <c r="F22" s="523"/>
      <c r="G22" s="522"/>
      <c r="H22" s="523"/>
      <c r="I22" s="523"/>
      <c r="J22" s="523"/>
      <c r="K22" s="522"/>
      <c r="L22" s="523"/>
      <c r="M22" s="523"/>
      <c r="N22" s="523"/>
      <c r="O22" s="555"/>
      <c r="P22" s="552"/>
    </row>
    <row r="23" spans="1:19" x14ac:dyDescent="0.2">
      <c r="A23" s="493">
        <v>2</v>
      </c>
      <c r="B23" s="559" t="str">
        <f>IFERROR(INDEX(B$10:B$20,MATCH("edasi 2",P$10:P$20,0)),"")</f>
        <v>Ivar Viljaste</v>
      </c>
      <c r="C23" s="522">
        <v>75</v>
      </c>
      <c r="D23" s="523">
        <v>101</v>
      </c>
      <c r="E23" s="523">
        <v>48</v>
      </c>
      <c r="F23" s="523">
        <v>35</v>
      </c>
      <c r="G23" s="522">
        <v>28</v>
      </c>
      <c r="H23" s="523">
        <v>75</v>
      </c>
      <c r="I23" s="527">
        <v>39</v>
      </c>
      <c r="J23" s="527">
        <v>108</v>
      </c>
      <c r="K23" s="522">
        <v>29</v>
      </c>
      <c r="L23" s="523">
        <v>93</v>
      </c>
      <c r="M23" s="523">
        <v>47</v>
      </c>
      <c r="N23" s="523">
        <v>53</v>
      </c>
      <c r="O23" s="555">
        <f t="shared" si="0"/>
        <v>731</v>
      </c>
      <c r="P23" s="552" t="str">
        <f>IF(C23=3000,"",IF(O23=O24,"ümbervisk",IF(O23&lt;O24,"finaali "&amp;(IF(O23&gt;MIN(O26:O27),2,IF(O23=MIN(O26:O27),"",1))),"pronksi "&amp;(IF(O23&gt;MAX(O26:O27),2,IF(O23=MAX(O26:O27),"",1))))))</f>
        <v>pronksi 1</v>
      </c>
    </row>
    <row r="24" spans="1:19" x14ac:dyDescent="0.2">
      <c r="A24" s="493">
        <v>3</v>
      </c>
      <c r="B24" s="559" t="str">
        <f>IFERROR(INDEX(B$10:B$20,MATCH("edasi 3",P$10:P$20,0)),"")</f>
        <v>Tõnu Piik</v>
      </c>
      <c r="C24" s="522">
        <v>86</v>
      </c>
      <c r="D24" s="523">
        <v>30</v>
      </c>
      <c r="E24" s="523">
        <v>81</v>
      </c>
      <c r="F24" s="523">
        <v>60</v>
      </c>
      <c r="G24" s="522">
        <v>88</v>
      </c>
      <c r="H24" s="523">
        <v>89</v>
      </c>
      <c r="I24" s="523">
        <v>51</v>
      </c>
      <c r="J24" s="523">
        <v>28</v>
      </c>
      <c r="K24" s="522">
        <v>13</v>
      </c>
      <c r="L24" s="523">
        <v>22</v>
      </c>
      <c r="M24" s="523">
        <v>27</v>
      </c>
      <c r="N24" s="523">
        <v>93</v>
      </c>
      <c r="O24" s="706">
        <f t="shared" si="0"/>
        <v>668</v>
      </c>
      <c r="P24" s="552" t="str">
        <f>IF(C24=3000,"",IF(O23=O24,"ümbervisk",IF(O24&lt;O23,"finaali "&amp;(IF(O24&gt;MIN(O26:O27),2,IF(O24=MIN(O26:O27),"",1))),"pronksi "&amp;(IF(O24&gt;MAX(O26:O27),2,IF(O24=MAX(O26:O27),"",1))))))</f>
        <v>finaali 1</v>
      </c>
    </row>
    <row r="25" spans="1:19" x14ac:dyDescent="0.2">
      <c r="A25" s="493"/>
      <c r="B25" s="528"/>
      <c r="C25" s="522"/>
      <c r="D25" s="523"/>
      <c r="E25" s="523"/>
      <c r="F25" s="523"/>
      <c r="G25" s="522"/>
      <c r="H25" s="523"/>
      <c r="I25" s="523"/>
      <c r="J25" s="523"/>
      <c r="K25" s="522"/>
      <c r="L25" s="523"/>
      <c r="M25" s="523"/>
      <c r="N25" s="523"/>
      <c r="O25" s="555"/>
      <c r="P25" s="552"/>
    </row>
    <row r="26" spans="1:19" x14ac:dyDescent="0.2">
      <c r="A26" s="493">
        <v>1</v>
      </c>
      <c r="B26" s="559" t="str">
        <f>IFERROR(INDEX(B$10:B$20,MATCH("edasi 1",P$10:P$20,0)),"")</f>
        <v>Ülo Piik</v>
      </c>
      <c r="C26" s="522">
        <v>8</v>
      </c>
      <c r="D26" s="523">
        <v>29</v>
      </c>
      <c r="E26" s="523">
        <v>86</v>
      </c>
      <c r="F26" s="523">
        <v>163</v>
      </c>
      <c r="G26" s="522">
        <v>86</v>
      </c>
      <c r="H26" s="523">
        <v>98</v>
      </c>
      <c r="I26" s="527">
        <v>66</v>
      </c>
      <c r="J26" s="527">
        <v>98</v>
      </c>
      <c r="K26" s="522">
        <v>154</v>
      </c>
      <c r="L26" s="523">
        <v>106</v>
      </c>
      <c r="M26" s="523">
        <v>134</v>
      </c>
      <c r="N26" s="523">
        <v>80</v>
      </c>
      <c r="O26" s="555">
        <f t="shared" si="0"/>
        <v>1108</v>
      </c>
      <c r="P26" s="552" t="str">
        <f>IF(C26=3000,"",IF(O26=O27,"ümbervisk",IF(O26&lt;O27,"finaali "&amp;(IF(O26&gt;MIN(O23:O24),2,IF(O26=MIN(O23:O24),"",1))),"pronksi "&amp;(IF(O26&gt;MAX(O23:O24),2,IF(O26=MAX(O23:O24),"",1))))))</f>
        <v>pronksi 2</v>
      </c>
    </row>
    <row r="27" spans="1:19" x14ac:dyDescent="0.2">
      <c r="A27" s="493">
        <v>4</v>
      </c>
      <c r="B27" s="559" t="str">
        <f>IFERROR(INDEX(B$10:B$20,MATCH("edasi 4",P$10:P$20,0)),"")</f>
        <v>Vladimir Ogneštšikov</v>
      </c>
      <c r="C27" s="522">
        <v>39</v>
      </c>
      <c r="D27" s="523">
        <v>69</v>
      </c>
      <c r="E27" s="523">
        <v>105</v>
      </c>
      <c r="F27" s="523">
        <v>23</v>
      </c>
      <c r="G27" s="522">
        <v>47</v>
      </c>
      <c r="H27" s="523">
        <v>50</v>
      </c>
      <c r="I27" s="523">
        <v>107</v>
      </c>
      <c r="J27" s="523">
        <v>69</v>
      </c>
      <c r="K27" s="522">
        <v>38</v>
      </c>
      <c r="L27" s="523">
        <v>17</v>
      </c>
      <c r="M27" s="523">
        <v>100</v>
      </c>
      <c r="N27" s="523">
        <v>131</v>
      </c>
      <c r="O27" s="555">
        <f t="shared" si="0"/>
        <v>795</v>
      </c>
      <c r="P27" s="552" t="str">
        <f>IF(C27=3000,"",IF(O26=O27,"ümbervisk",IF(O27&lt;O26,"finaali "&amp;(IF(O27&gt;MIN(O23:O24),2,IF(O27=MIN(O23:O24),"",1))),"pronksi "&amp;(IF(O27&gt;MAX(O23:O24),2,IF(O27=MAX(O23:O24),"",1))))))</f>
        <v>finaali 2</v>
      </c>
    </row>
    <row r="28" spans="1:19" x14ac:dyDescent="0.2">
      <c r="A28" s="493"/>
      <c r="B28" s="561"/>
      <c r="C28" s="522"/>
      <c r="D28" s="523"/>
      <c r="E28" s="523"/>
      <c r="F28" s="523"/>
      <c r="G28" s="522"/>
      <c r="H28" s="523"/>
      <c r="I28" s="523"/>
      <c r="J28" s="523"/>
      <c r="K28" s="522"/>
      <c r="L28" s="523"/>
      <c r="M28" s="523"/>
      <c r="N28" s="523"/>
      <c r="O28" s="555"/>
      <c r="P28" s="552"/>
    </row>
    <row r="29" spans="1:19" x14ac:dyDescent="0.2">
      <c r="A29" s="493"/>
      <c r="B29" s="562" t="s">
        <v>88</v>
      </c>
      <c r="C29" s="522"/>
      <c r="D29" s="523"/>
      <c r="E29" s="523"/>
      <c r="F29" s="523"/>
      <c r="G29" s="522"/>
      <c r="H29" s="523"/>
      <c r="I29" s="523"/>
      <c r="J29" s="523"/>
      <c r="K29" s="522"/>
      <c r="L29" s="523"/>
      <c r="M29" s="523"/>
      <c r="N29" s="523"/>
      <c r="O29" s="555"/>
      <c r="P29" s="552"/>
    </row>
    <row r="30" spans="1:19" x14ac:dyDescent="0.2">
      <c r="A30" s="493"/>
      <c r="B30" s="528" t="str">
        <f>IF($P$23="pronksi ",$B$23,IF($P$24="pronksi 1",$B$24,IFERROR(INDEX($B$23:$B$27,MATCH("pronksi 1",$P$23:$P$27,0)),"")))</f>
        <v>Ivar Viljaste</v>
      </c>
      <c r="C30" s="522">
        <v>50</v>
      </c>
      <c r="D30" s="523">
        <v>71</v>
      </c>
      <c r="E30" s="523">
        <v>27</v>
      </c>
      <c r="F30" s="523">
        <v>71</v>
      </c>
      <c r="G30" s="522">
        <v>76</v>
      </c>
      <c r="H30" s="523">
        <v>77</v>
      </c>
      <c r="I30" s="523">
        <v>40</v>
      </c>
      <c r="J30" s="523">
        <v>68</v>
      </c>
      <c r="K30" s="522">
        <v>96</v>
      </c>
      <c r="L30" s="523">
        <v>52</v>
      </c>
      <c r="M30" s="523">
        <v>56</v>
      </c>
      <c r="N30" s="523">
        <v>136</v>
      </c>
      <c r="O30" s="555">
        <f t="shared" si="0"/>
        <v>820</v>
      </c>
      <c r="P30" s="520">
        <f ca="1">IF( INDIRECT("RC[-1]",0)=MAX(( INDIRECT("R[-1]C[-1]",0)):( INDIRECT("R[1]C[-1]",0))),4,3)</f>
        <v>3</v>
      </c>
    </row>
    <row r="31" spans="1:19" x14ac:dyDescent="0.2">
      <c r="A31" s="493"/>
      <c r="B31" s="528" t="str">
        <f>IF($P$26="pronksi ",$B$26,IF($P$27="pronksi 2",$B$27,IFERROR(INDEX($B$23:$B$27,MATCH("pronksi 2",$P$23:$P$27,0)),"")))</f>
        <v>Ülo Piik</v>
      </c>
      <c r="C31" s="522">
        <v>65</v>
      </c>
      <c r="D31" s="523">
        <v>40</v>
      </c>
      <c r="E31" s="523">
        <v>103</v>
      </c>
      <c r="F31" s="523">
        <v>69</v>
      </c>
      <c r="G31" s="522">
        <v>43</v>
      </c>
      <c r="H31" s="523">
        <v>76</v>
      </c>
      <c r="I31" s="527">
        <v>102</v>
      </c>
      <c r="J31" s="527">
        <v>47</v>
      </c>
      <c r="K31" s="522">
        <v>136</v>
      </c>
      <c r="L31" s="523">
        <v>77</v>
      </c>
      <c r="M31" s="523">
        <v>41</v>
      </c>
      <c r="N31" s="523">
        <v>95</v>
      </c>
      <c r="O31" s="555">
        <f t="shared" si="0"/>
        <v>894</v>
      </c>
      <c r="P31" s="520">
        <f ca="1">IF( INDIRECT("RC[-1]",0)=MAX(( INDIRECT("R[-1]C[-1]",0)):( INDIRECT("R[1]C[-1]",0))),4,3)</f>
        <v>4</v>
      </c>
    </row>
    <row r="32" spans="1:19" x14ac:dyDescent="0.2">
      <c r="A32" s="493"/>
      <c r="B32" s="563"/>
      <c r="C32" s="522"/>
      <c r="D32" s="523"/>
      <c r="E32" s="523"/>
      <c r="F32" s="523"/>
      <c r="G32" s="522"/>
      <c r="H32" s="523"/>
      <c r="I32" s="523"/>
      <c r="J32" s="523"/>
      <c r="K32" s="522"/>
      <c r="L32" s="523"/>
      <c r="M32" s="523"/>
      <c r="N32" s="523"/>
      <c r="O32" s="555"/>
      <c r="P32" s="552"/>
    </row>
    <row r="33" spans="1:16" x14ac:dyDescent="0.2">
      <c r="A33" s="493"/>
      <c r="B33" s="562" t="s">
        <v>89</v>
      </c>
      <c r="C33" s="522"/>
      <c r="D33" s="523"/>
      <c r="E33" s="523"/>
      <c r="F33" s="523"/>
      <c r="G33" s="522"/>
      <c r="H33" s="523"/>
      <c r="I33" s="527"/>
      <c r="J33" s="527"/>
      <c r="K33" s="522"/>
      <c r="L33" s="523"/>
      <c r="M33" s="523"/>
      <c r="N33" s="523"/>
      <c r="O33" s="555"/>
      <c r="P33" s="552"/>
    </row>
    <row r="34" spans="1:16" x14ac:dyDescent="0.2">
      <c r="A34" s="493"/>
      <c r="B34" s="528" t="str">
        <f>IF($P$23="finaali ",$B$23,IF($P$24="finaali 1",$B$24,IFERROR(INDEX($B$23:$B$27,MATCH("finaali 1",$P$23:$P$27,0)),"")))</f>
        <v>Tõnu Piik</v>
      </c>
      <c r="C34" s="522">
        <v>121</v>
      </c>
      <c r="D34" s="523">
        <v>105</v>
      </c>
      <c r="E34" s="523">
        <v>16</v>
      </c>
      <c r="F34" s="523">
        <v>80</v>
      </c>
      <c r="G34" s="522">
        <v>35</v>
      </c>
      <c r="H34" s="523">
        <v>0</v>
      </c>
      <c r="I34" s="527">
        <v>24</v>
      </c>
      <c r="J34" s="527">
        <v>145</v>
      </c>
      <c r="K34" s="522">
        <v>91</v>
      </c>
      <c r="L34" s="523">
        <v>56</v>
      </c>
      <c r="M34" s="523">
        <v>116</v>
      </c>
      <c r="N34" s="523">
        <v>125</v>
      </c>
      <c r="O34" s="555">
        <f t="shared" si="0"/>
        <v>914</v>
      </c>
      <c r="P34" s="520">
        <f ca="1">IF( INDIRECT("RC[-1]",0)=MAX(( INDIRECT("R[-1]C[-1]",0)):( INDIRECT("R[1]C[-1]",0))),2,1)</f>
        <v>1</v>
      </c>
    </row>
    <row r="35" spans="1:16" ht="13.5" thickBot="1" x14ac:dyDescent="0.25">
      <c r="A35" s="564"/>
      <c r="B35" s="565" t="str">
        <f>IF($P$26="finaali ",$B$26,IF($P$27="finaali 2",$B$27,IFERROR(INDEX($B$23:$B$27,MATCH("finaali 2",$P$23:$P$27,0)),"")))</f>
        <v>Vladimir Ogneštšikov</v>
      </c>
      <c r="C35" s="566">
        <v>46</v>
      </c>
      <c r="D35" s="567">
        <v>48</v>
      </c>
      <c r="E35" s="567">
        <v>80</v>
      </c>
      <c r="F35" s="567">
        <v>74</v>
      </c>
      <c r="G35" s="566">
        <v>107</v>
      </c>
      <c r="H35" s="567">
        <v>114</v>
      </c>
      <c r="I35" s="567">
        <v>97</v>
      </c>
      <c r="J35" s="567">
        <v>102</v>
      </c>
      <c r="K35" s="566">
        <v>57</v>
      </c>
      <c r="L35" s="567">
        <v>88</v>
      </c>
      <c r="M35" s="567">
        <v>11</v>
      </c>
      <c r="N35" s="567">
        <v>97</v>
      </c>
      <c r="O35" s="568">
        <f t="shared" si="0"/>
        <v>921</v>
      </c>
      <c r="P35" s="569">
        <f ca="1">IF( INDIRECT("RC[-1]",0)=MAX(( INDIRECT("R[-1]C[-1]",0)):( INDIRECT("R[1]C[-1]",0))),2,1)</f>
        <v>2</v>
      </c>
    </row>
    <row r="36" spans="1:16" s="540" customFormat="1" x14ac:dyDescent="0.2"/>
    <row r="37" spans="1:16" x14ac:dyDescent="0.2">
      <c r="A37" s="570">
        <v>1</v>
      </c>
      <c r="B37" s="571" t="str">
        <f ca="1">IFERROR(INDEX(B$30:B$35,MATCH(1,P$30:P$35,0)),"")</f>
        <v>Tõnu Piik</v>
      </c>
    </row>
    <row r="38" spans="1:16" x14ac:dyDescent="0.2">
      <c r="A38" s="570">
        <v>2</v>
      </c>
      <c r="B38" s="572" t="str">
        <f ca="1">IFERROR(INDEX(B$30:B$35,MATCH(2,P$30:P$35,0)),"")</f>
        <v>Vladimir Ogneštšikov</v>
      </c>
      <c r="C38" s="573"/>
      <c r="D38" s="573"/>
      <c r="E38" s="573"/>
      <c r="F38" s="573"/>
      <c r="G38" s="573"/>
      <c r="H38" s="573"/>
      <c r="I38" s="573"/>
      <c r="J38" s="573"/>
    </row>
    <row r="39" spans="1:16" x14ac:dyDescent="0.2">
      <c r="A39" s="570">
        <v>3</v>
      </c>
      <c r="B39" s="574" t="str">
        <f ca="1">IFERROR(INDEX(B$30:B$35,MATCH(3,P$30:P$35,0)),"")</f>
        <v>Ivar Viljaste</v>
      </c>
      <c r="C39" s="573"/>
      <c r="D39" s="573"/>
      <c r="E39" s="573"/>
      <c r="F39" s="573"/>
      <c r="G39" s="573"/>
      <c r="H39" s="573"/>
      <c r="I39" s="573"/>
      <c r="J39" s="573"/>
    </row>
    <row r="40" spans="1:16" x14ac:dyDescent="0.2">
      <c r="A40" s="570">
        <v>4</v>
      </c>
      <c r="B40" s="529" t="str">
        <f ca="1">IFERROR(INDEX(B$30:B$35,MATCH(4,P$30:P$35,0)),"")</f>
        <v>Ülo Piik</v>
      </c>
      <c r="C40" s="573"/>
      <c r="D40" s="573"/>
      <c r="E40" s="573"/>
      <c r="F40" s="573"/>
      <c r="G40" s="573"/>
      <c r="H40" s="573"/>
      <c r="I40" s="573"/>
      <c r="J40" s="573"/>
    </row>
    <row r="41" spans="1:16" x14ac:dyDescent="0.2">
      <c r="A41" s="570">
        <v>5</v>
      </c>
      <c r="B41" s="529" t="str">
        <f>IFERROR(INDEX(B$10:B$20,MATCH(5,P$10:P$20,0)),"")</f>
        <v>Janek Tarto</v>
      </c>
      <c r="C41" s="573"/>
      <c r="D41" s="573"/>
      <c r="E41" s="573"/>
      <c r="F41" s="573"/>
      <c r="G41" s="573"/>
      <c r="H41" s="573"/>
      <c r="I41" s="573"/>
      <c r="J41" s="573"/>
    </row>
    <row r="42" spans="1:16" x14ac:dyDescent="0.2">
      <c r="A42" s="570">
        <v>6</v>
      </c>
      <c r="B42" s="529" t="str">
        <f>IFERROR(INDEX(B$10:B$20,MATCH(6,P$10:P$20,0)),"")</f>
        <v>Elmo Lageda</v>
      </c>
      <c r="C42" s="573"/>
      <c r="D42" s="573"/>
      <c r="E42" s="573"/>
      <c r="F42" s="573"/>
      <c r="G42" s="573"/>
      <c r="H42" s="573"/>
      <c r="I42" s="573"/>
      <c r="J42" s="573"/>
    </row>
    <row r="43" spans="1:16" x14ac:dyDescent="0.2">
      <c r="A43" s="570">
        <v>7</v>
      </c>
      <c r="B43" s="546" t="str">
        <f>IFERROR(INDEX(B$10:B$20,MATCH(7,P$10:P$20,0)),"")</f>
        <v>Aarne Välja</v>
      </c>
      <c r="C43" s="573"/>
      <c r="D43" s="573"/>
      <c r="E43" s="573"/>
      <c r="F43" s="573"/>
      <c r="G43" s="573"/>
      <c r="H43" s="573"/>
      <c r="I43" s="573"/>
      <c r="J43" s="573"/>
    </row>
    <row r="44" spans="1:16" x14ac:dyDescent="0.2">
      <c r="A44" s="570">
        <v>8</v>
      </c>
      <c r="B44" s="559" t="str">
        <f>IFERROR(INDEX(B$10:B$20,MATCH(8,P$10:P$20,0)),"")</f>
        <v>Jaan Sepp</v>
      </c>
      <c r="C44" s="573"/>
      <c r="D44" s="573"/>
      <c r="E44" s="573"/>
      <c r="F44" s="573"/>
      <c r="G44" s="573"/>
      <c r="H44" s="573"/>
      <c r="I44" s="573"/>
      <c r="J44" s="573"/>
    </row>
    <row r="45" spans="1:16" x14ac:dyDescent="0.2">
      <c r="A45" s="570">
        <v>9</v>
      </c>
      <c r="B45" s="405" t="s">
        <v>143</v>
      </c>
      <c r="C45" s="573"/>
      <c r="E45" s="573"/>
      <c r="F45" s="573"/>
      <c r="G45" s="573"/>
      <c r="H45" s="573"/>
      <c r="I45" s="573"/>
      <c r="J45" s="573"/>
    </row>
    <row r="46" spans="1:16" x14ac:dyDescent="0.2">
      <c r="A46" s="570">
        <v>10</v>
      </c>
      <c r="B46" s="647" t="s">
        <v>104</v>
      </c>
      <c r="C46" s="573"/>
      <c r="E46" s="573"/>
      <c r="F46" s="573"/>
      <c r="G46" s="573"/>
      <c r="H46" s="573"/>
      <c r="I46" s="573"/>
      <c r="J46" s="573"/>
    </row>
    <row r="47" spans="1:16" x14ac:dyDescent="0.2">
      <c r="A47" s="570">
        <v>11</v>
      </c>
      <c r="B47" s="275" t="s">
        <v>125</v>
      </c>
      <c r="C47" s="573"/>
      <c r="D47" s="500" t="s">
        <v>256</v>
      </c>
      <c r="E47" s="573"/>
      <c r="F47" s="573"/>
      <c r="G47" s="573"/>
      <c r="H47" s="573"/>
      <c r="I47" s="573"/>
      <c r="J47" s="573"/>
    </row>
    <row r="48" spans="1:16" x14ac:dyDescent="0.2">
      <c r="A48" s="570">
        <v>12</v>
      </c>
      <c r="B48" s="405" t="s">
        <v>115</v>
      </c>
      <c r="C48" s="573"/>
      <c r="D48" s="500" t="s">
        <v>383</v>
      </c>
      <c r="E48" s="573"/>
      <c r="F48" s="573"/>
      <c r="G48" s="573"/>
      <c r="H48" s="573"/>
      <c r="I48" s="573"/>
      <c r="J48" s="573"/>
    </row>
    <row r="49" spans="1:10" x14ac:dyDescent="0.2">
      <c r="A49" s="570">
        <v>13</v>
      </c>
      <c r="B49" s="275" t="s">
        <v>105</v>
      </c>
      <c r="C49" s="573"/>
      <c r="D49" s="500" t="s">
        <v>384</v>
      </c>
      <c r="E49" s="573"/>
      <c r="F49" s="573"/>
      <c r="G49" s="573"/>
      <c r="H49" s="573"/>
      <c r="I49" s="573"/>
      <c r="J49" s="573"/>
    </row>
    <row r="50" spans="1:10" x14ac:dyDescent="0.2">
      <c r="A50" s="570">
        <v>14</v>
      </c>
      <c r="B50" s="405" t="s">
        <v>111</v>
      </c>
      <c r="C50" s="573"/>
      <c r="D50" s="500" t="s">
        <v>254</v>
      </c>
      <c r="E50" s="573"/>
      <c r="F50" s="573"/>
      <c r="G50" s="573"/>
      <c r="H50" s="573"/>
      <c r="I50" s="573"/>
      <c r="J50" s="573"/>
    </row>
    <row r="51" spans="1:10" x14ac:dyDescent="0.2">
      <c r="A51" s="570">
        <v>15</v>
      </c>
      <c r="B51" s="405" t="s">
        <v>126</v>
      </c>
      <c r="D51" s="500" t="s">
        <v>385</v>
      </c>
    </row>
    <row r="52" spans="1:10" x14ac:dyDescent="0.2">
      <c r="A52" s="570">
        <v>16</v>
      </c>
      <c r="B52" s="275" t="s">
        <v>141</v>
      </c>
      <c r="D52" s="500" t="s">
        <v>386</v>
      </c>
    </row>
    <row r="53" spans="1:10" x14ac:dyDescent="0.2">
      <c r="A53" s="570">
        <v>17</v>
      </c>
      <c r="B53" s="405" t="s">
        <v>135</v>
      </c>
      <c r="D53" s="500" t="s">
        <v>257</v>
      </c>
    </row>
    <row r="54" spans="1:10" x14ac:dyDescent="0.2">
      <c r="A54" s="570">
        <v>18</v>
      </c>
      <c r="B54" s="405" t="s">
        <v>137</v>
      </c>
      <c r="D54" s="500" t="s">
        <v>258</v>
      </c>
    </row>
    <row r="55" spans="1:10" x14ac:dyDescent="0.2">
      <c r="A55" s="575"/>
      <c r="B55" s="573"/>
    </row>
  </sheetData>
  <conditionalFormatting sqref="O34:O35">
    <cfRule type="top10" dxfId="173" priority="26" bottom="1" rank="1"/>
  </conditionalFormatting>
  <conditionalFormatting sqref="O30:O31">
    <cfRule type="top10" dxfId="172" priority="27" bottom="1" rank="1"/>
  </conditionalFormatting>
  <conditionalFormatting sqref="B52:B53 B50">
    <cfRule type="duplicateValues" dxfId="171" priority="25" stopIfTrue="1"/>
  </conditionalFormatting>
  <conditionalFormatting sqref="P10:P20">
    <cfRule type="duplicateValues" dxfId="170" priority="23" stopIfTrue="1"/>
    <cfRule type="top10" dxfId="169" priority="24" stopIfTrue="1" rank="4"/>
  </conditionalFormatting>
  <conditionalFormatting sqref="O10:O11">
    <cfRule type="top10" dxfId="168" priority="22" stopIfTrue="1" bottom="1" rank="1"/>
  </conditionalFormatting>
  <conditionalFormatting sqref="O13:O14">
    <cfRule type="top10" dxfId="167" priority="21" stopIfTrue="1" bottom="1" rank="1"/>
  </conditionalFormatting>
  <conditionalFormatting sqref="O16:O17">
    <cfRule type="top10" dxfId="166" priority="20" stopIfTrue="1" bottom="1" rank="1"/>
  </conditionalFormatting>
  <conditionalFormatting sqref="O19:O20">
    <cfRule type="top10" dxfId="165" priority="19" stopIfTrue="1" bottom="1" rank="1"/>
  </conditionalFormatting>
  <conditionalFormatting sqref="P26:P27">
    <cfRule type="duplicateValues" dxfId="164" priority="16" stopIfTrue="1"/>
  </conditionalFormatting>
  <conditionalFormatting sqref="P23:P24">
    <cfRule type="duplicateValues" dxfId="163" priority="17" stopIfTrue="1"/>
  </conditionalFormatting>
  <conditionalFormatting sqref="O23:O24">
    <cfRule type="top10" dxfId="162" priority="14" stopIfTrue="1" bottom="1" rank="1"/>
  </conditionalFormatting>
  <conditionalFormatting sqref="O26:O27">
    <cfRule type="top10" dxfId="161" priority="13" stopIfTrue="1" bottom="1" rank="1"/>
  </conditionalFormatting>
  <conditionalFormatting sqref="C9:O35">
    <cfRule type="cellIs" dxfId="160" priority="3" stopIfTrue="1" operator="equal">
      <formula>3000</formula>
    </cfRule>
  </conditionalFormatting>
  <conditionalFormatting sqref="O10:O35">
    <cfRule type="top10" dxfId="159" priority="1" stopIfTrue="1" bottom="1" rank="1"/>
  </conditionalFormatting>
  <pageMargins left="0.78740157480314965" right="0.39370078740157483" top="0.39370078740157483" bottom="0.39370078740157483" header="0.2755905511811023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48"/>
  <sheetViews>
    <sheetView showGridLines="0" showRowColHeaders="0" zoomScaleNormal="100" workbookViewId="0">
      <pane ySplit="4" topLeftCell="A5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.28515625" style="500" customWidth="1"/>
    <col min="2" max="2" width="18.7109375" style="500" customWidth="1"/>
    <col min="3" max="22" width="2.85546875" style="500" customWidth="1"/>
    <col min="23" max="23" width="3" style="500" bestFit="1" customWidth="1"/>
    <col min="24" max="24" width="10.5703125" style="500" customWidth="1"/>
    <col min="25" max="16384" width="9.140625" style="500"/>
  </cols>
  <sheetData>
    <row r="1" spans="1:24" s="238" customFormat="1" x14ac:dyDescent="0.2">
      <c r="A1" s="81" t="s">
        <v>163</v>
      </c>
      <c r="O1" s="361" t="str">
        <f>HYPERLINK("#'Kalend'!I1","Kalender")</f>
        <v>Kalender</v>
      </c>
      <c r="P1" s="85"/>
      <c r="S1" s="361" t="str">
        <f>HYPERLINK("#'Reit'!J1","Reiting")</f>
        <v>Reiting</v>
      </c>
    </row>
    <row r="2" spans="1:24" s="238" customFormat="1" ht="13.5" thickBot="1" x14ac:dyDescent="0.25"/>
    <row r="3" spans="1:24" ht="63.75" customHeight="1" thickBot="1" x14ac:dyDescent="0.25">
      <c r="A3" s="739"/>
      <c r="B3" s="740"/>
      <c r="C3" s="741"/>
      <c r="D3" s="741"/>
      <c r="E3" s="741"/>
      <c r="F3" s="741"/>
      <c r="G3" s="742"/>
      <c r="H3" s="741"/>
      <c r="I3" s="741"/>
      <c r="J3" s="743"/>
      <c r="K3" s="741"/>
      <c r="L3" s="741"/>
      <c r="M3" s="741"/>
      <c r="N3" s="741"/>
      <c r="O3" s="742"/>
      <c r="P3" s="741"/>
      <c r="Q3" s="741"/>
      <c r="R3" s="743"/>
      <c r="S3" s="741"/>
      <c r="T3" s="741"/>
      <c r="U3" s="741"/>
      <c r="V3" s="741"/>
      <c r="W3" s="744"/>
      <c r="X3" s="744"/>
    </row>
    <row r="4" spans="1:24" s="512" customFormat="1" ht="13.5" thickBot="1" x14ac:dyDescent="0.25">
      <c r="A4" s="784" t="s">
        <v>253</v>
      </c>
      <c r="B4" s="746"/>
      <c r="C4" s="747">
        <v>6</v>
      </c>
      <c r="D4" s="748">
        <v>7</v>
      </c>
      <c r="E4" s="748">
        <v>8</v>
      </c>
      <c r="F4" s="749">
        <v>9</v>
      </c>
      <c r="G4" s="747">
        <v>6</v>
      </c>
      <c r="H4" s="748">
        <v>7</v>
      </c>
      <c r="I4" s="748">
        <v>8</v>
      </c>
      <c r="J4" s="749">
        <v>9</v>
      </c>
      <c r="K4" s="747">
        <v>6</v>
      </c>
      <c r="L4" s="748">
        <v>7</v>
      </c>
      <c r="M4" s="748">
        <v>8</v>
      </c>
      <c r="N4" s="749">
        <v>9</v>
      </c>
      <c r="O4" s="747">
        <v>6</v>
      </c>
      <c r="P4" s="748">
        <v>7</v>
      </c>
      <c r="Q4" s="748">
        <v>8</v>
      </c>
      <c r="R4" s="749">
        <v>9</v>
      </c>
      <c r="S4" s="747">
        <v>6</v>
      </c>
      <c r="T4" s="748">
        <v>7</v>
      </c>
      <c r="U4" s="748">
        <v>8</v>
      </c>
      <c r="V4" s="749">
        <v>9</v>
      </c>
      <c r="W4" s="750" t="s">
        <v>67</v>
      </c>
      <c r="X4" s="773" t="s">
        <v>434</v>
      </c>
    </row>
    <row r="5" spans="1:24" s="512" customFormat="1" x14ac:dyDescent="0.2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16"/>
      <c r="X5" s="516"/>
    </row>
    <row r="6" spans="1:24" s="238" customFormat="1" x14ac:dyDescent="0.2">
      <c r="A6" s="82" t="str">
        <f>UPPER((Kalend!D13)&amp;" "&amp;(Kalend!C13)&amp;" - "&amp;(Kalend!A13))</f>
        <v>TUL1 TULISTAMISE EELVOOR 1 - P, 27.12.2015</v>
      </c>
      <c r="N6" s="919"/>
      <c r="O6" s="919"/>
      <c r="P6" s="919"/>
      <c r="S6" s="919"/>
      <c r="T6" s="919"/>
      <c r="U6" s="919"/>
    </row>
    <row r="7" spans="1:24" s="238" customFormat="1" ht="13.5" thickBot="1" x14ac:dyDescent="0.25"/>
    <row r="8" spans="1:24" s="592" customFormat="1" x14ac:dyDescent="0.2">
      <c r="A8" s="752">
        <v>1</v>
      </c>
      <c r="B8" s="753" t="s">
        <v>115</v>
      </c>
      <c r="C8" s="754">
        <v>0</v>
      </c>
      <c r="D8" s="755">
        <v>0</v>
      </c>
      <c r="E8" s="755">
        <v>0</v>
      </c>
      <c r="F8" s="756">
        <v>0</v>
      </c>
      <c r="G8" s="754">
        <v>0</v>
      </c>
      <c r="H8" s="755">
        <v>0</v>
      </c>
      <c r="I8" s="755">
        <v>3</v>
      </c>
      <c r="J8" s="756">
        <v>0</v>
      </c>
      <c r="K8" s="754">
        <v>1</v>
      </c>
      <c r="L8" s="755">
        <v>0</v>
      </c>
      <c r="M8" s="755">
        <v>0</v>
      </c>
      <c r="N8" s="756">
        <v>0</v>
      </c>
      <c r="O8" s="754">
        <v>3</v>
      </c>
      <c r="P8" s="755">
        <v>0</v>
      </c>
      <c r="Q8" s="755">
        <v>0</v>
      </c>
      <c r="R8" s="756">
        <v>0</v>
      </c>
      <c r="S8" s="754">
        <v>0</v>
      </c>
      <c r="T8" s="755">
        <v>0</v>
      </c>
      <c r="U8" s="755">
        <v>5</v>
      </c>
      <c r="V8" s="756">
        <v>0</v>
      </c>
      <c r="W8" s="757">
        <f>IF(COUNTA(C8:V8)&lt;1,"",SUM(C8:V8)+COUNTIF(C8:V8,5)/100+COUNTIF(C8:V8,3)/10000)</f>
        <v>12.010199999999999</v>
      </c>
      <c r="X8" s="758">
        <f t="shared" ref="X8:X19" si="0">IF(COUNTA(C8:V8)=0,"",RANK(W8,$W$8:$W$19))</f>
        <v>6</v>
      </c>
    </row>
    <row r="9" spans="1:24" s="592" customFormat="1" x14ac:dyDescent="0.2">
      <c r="A9" s="213">
        <v>2</v>
      </c>
      <c r="B9" s="593" t="s">
        <v>112</v>
      </c>
      <c r="C9" s="587">
        <v>0</v>
      </c>
      <c r="D9" s="588">
        <v>0</v>
      </c>
      <c r="E9" s="588">
        <v>0</v>
      </c>
      <c r="F9" s="589">
        <v>0</v>
      </c>
      <c r="G9" s="587">
        <v>0</v>
      </c>
      <c r="H9" s="588">
        <v>0</v>
      </c>
      <c r="I9" s="588">
        <v>0</v>
      </c>
      <c r="J9" s="589">
        <v>0</v>
      </c>
      <c r="K9" s="587">
        <v>0</v>
      </c>
      <c r="L9" s="588">
        <v>0</v>
      </c>
      <c r="M9" s="588">
        <v>3</v>
      </c>
      <c r="N9" s="589">
        <v>0</v>
      </c>
      <c r="O9" s="587">
        <v>3</v>
      </c>
      <c r="P9" s="588">
        <v>0</v>
      </c>
      <c r="Q9" s="588">
        <v>0</v>
      </c>
      <c r="R9" s="589">
        <v>0</v>
      </c>
      <c r="S9" s="587">
        <v>0</v>
      </c>
      <c r="T9" s="588">
        <v>0</v>
      </c>
      <c r="U9" s="588">
        <v>0</v>
      </c>
      <c r="V9" s="589">
        <v>0</v>
      </c>
      <c r="W9" s="590">
        <f t="shared" ref="W9:W19" si="1">IF(COUNTA(C9:V9)&lt;1,"",SUM(C9:V9)+COUNTIF(C9:V9,5)/100+COUNTIF(C9:V9,3)/10000)</f>
        <v>6.0002000000000004</v>
      </c>
      <c r="X9" s="591">
        <f t="shared" si="0"/>
        <v>9</v>
      </c>
    </row>
    <row r="10" spans="1:24" s="592" customFormat="1" x14ac:dyDescent="0.2">
      <c r="A10" s="214">
        <v>3</v>
      </c>
      <c r="B10" s="366" t="s">
        <v>104</v>
      </c>
      <c r="C10" s="594">
        <v>0</v>
      </c>
      <c r="D10" s="595">
        <v>0</v>
      </c>
      <c r="E10" s="595">
        <v>0</v>
      </c>
      <c r="F10" s="596">
        <v>0</v>
      </c>
      <c r="G10" s="594">
        <v>0</v>
      </c>
      <c r="H10" s="595">
        <v>0</v>
      </c>
      <c r="I10" s="595">
        <v>0</v>
      </c>
      <c r="J10" s="596">
        <v>0</v>
      </c>
      <c r="K10" s="594">
        <v>1</v>
      </c>
      <c r="L10" s="595">
        <v>0</v>
      </c>
      <c r="M10" s="595">
        <v>0</v>
      </c>
      <c r="N10" s="596">
        <v>0</v>
      </c>
      <c r="O10" s="594">
        <v>5</v>
      </c>
      <c r="P10" s="595">
        <v>3</v>
      </c>
      <c r="Q10" s="595">
        <v>0</v>
      </c>
      <c r="R10" s="596">
        <v>0</v>
      </c>
      <c r="S10" s="594">
        <v>5</v>
      </c>
      <c r="T10" s="595">
        <v>0</v>
      </c>
      <c r="U10" s="595">
        <v>0</v>
      </c>
      <c r="V10" s="596">
        <v>0</v>
      </c>
      <c r="W10" s="555">
        <f t="shared" si="1"/>
        <v>14.020099999999999</v>
      </c>
      <c r="X10" s="597">
        <f t="shared" si="0"/>
        <v>3</v>
      </c>
    </row>
    <row r="11" spans="1:24" s="592" customFormat="1" x14ac:dyDescent="0.2">
      <c r="A11" s="214">
        <v>4</v>
      </c>
      <c r="B11" s="559" t="s">
        <v>106</v>
      </c>
      <c r="C11" s="594">
        <v>0</v>
      </c>
      <c r="D11" s="595">
        <v>0</v>
      </c>
      <c r="E11" s="595">
        <v>0</v>
      </c>
      <c r="F11" s="596">
        <v>0</v>
      </c>
      <c r="G11" s="594">
        <v>0</v>
      </c>
      <c r="H11" s="595">
        <v>0</v>
      </c>
      <c r="I11" s="595">
        <v>1</v>
      </c>
      <c r="J11" s="596">
        <v>0</v>
      </c>
      <c r="K11" s="594">
        <v>0</v>
      </c>
      <c r="L11" s="595">
        <v>0</v>
      </c>
      <c r="M11" s="595">
        <v>0</v>
      </c>
      <c r="N11" s="596">
        <v>0</v>
      </c>
      <c r="O11" s="594">
        <v>0</v>
      </c>
      <c r="P11" s="595">
        <v>1</v>
      </c>
      <c r="Q11" s="595">
        <v>0</v>
      </c>
      <c r="R11" s="596">
        <v>0</v>
      </c>
      <c r="S11" s="594">
        <v>5</v>
      </c>
      <c r="T11" s="595">
        <v>0</v>
      </c>
      <c r="U11" s="595">
        <v>0</v>
      </c>
      <c r="V11" s="596">
        <v>0</v>
      </c>
      <c r="W11" s="555">
        <f t="shared" si="1"/>
        <v>7.01</v>
      </c>
      <c r="X11" s="597">
        <f t="shared" si="0"/>
        <v>8</v>
      </c>
    </row>
    <row r="12" spans="1:24" s="592" customFormat="1" x14ac:dyDescent="0.2">
      <c r="A12" s="213">
        <v>5</v>
      </c>
      <c r="B12" s="593" t="s">
        <v>95</v>
      </c>
      <c r="C12" s="587">
        <v>3</v>
      </c>
      <c r="D12" s="588">
        <v>0</v>
      </c>
      <c r="E12" s="588">
        <v>0</v>
      </c>
      <c r="F12" s="589">
        <v>0</v>
      </c>
      <c r="G12" s="587">
        <v>0</v>
      </c>
      <c r="H12" s="588">
        <v>0</v>
      </c>
      <c r="I12" s="588">
        <v>0</v>
      </c>
      <c r="J12" s="589">
        <v>0</v>
      </c>
      <c r="K12" s="587">
        <v>0</v>
      </c>
      <c r="L12" s="588">
        <v>1</v>
      </c>
      <c r="M12" s="588">
        <v>0</v>
      </c>
      <c r="N12" s="589">
        <v>0</v>
      </c>
      <c r="O12" s="587">
        <v>3</v>
      </c>
      <c r="P12" s="588">
        <v>0</v>
      </c>
      <c r="Q12" s="588">
        <v>0</v>
      </c>
      <c r="R12" s="589">
        <v>0</v>
      </c>
      <c r="S12" s="587">
        <v>3</v>
      </c>
      <c r="T12" s="588">
        <v>3</v>
      </c>
      <c r="U12" s="588">
        <v>0</v>
      </c>
      <c r="V12" s="589">
        <v>0</v>
      </c>
      <c r="W12" s="590">
        <f t="shared" si="1"/>
        <v>13.000400000000001</v>
      </c>
      <c r="X12" s="591">
        <f t="shared" si="0"/>
        <v>4</v>
      </c>
    </row>
    <row r="13" spans="1:24" s="592" customFormat="1" x14ac:dyDescent="0.2">
      <c r="A13" s="213">
        <v>6</v>
      </c>
      <c r="B13" s="586" t="s">
        <v>108</v>
      </c>
      <c r="C13" s="587">
        <v>0</v>
      </c>
      <c r="D13" s="588">
        <v>0</v>
      </c>
      <c r="E13" s="588">
        <v>0</v>
      </c>
      <c r="F13" s="589">
        <v>0</v>
      </c>
      <c r="G13" s="587">
        <v>0</v>
      </c>
      <c r="H13" s="588">
        <v>0</v>
      </c>
      <c r="I13" s="588">
        <v>0</v>
      </c>
      <c r="J13" s="589">
        <v>0</v>
      </c>
      <c r="K13" s="587">
        <v>0</v>
      </c>
      <c r="L13" s="588">
        <v>0</v>
      </c>
      <c r="M13" s="588">
        <v>0</v>
      </c>
      <c r="N13" s="589">
        <v>0</v>
      </c>
      <c r="O13" s="587">
        <v>0</v>
      </c>
      <c r="P13" s="588">
        <v>0</v>
      </c>
      <c r="Q13" s="588">
        <v>0</v>
      </c>
      <c r="R13" s="589">
        <v>0</v>
      </c>
      <c r="S13" s="587">
        <v>3</v>
      </c>
      <c r="T13" s="588">
        <v>0</v>
      </c>
      <c r="U13" s="588">
        <v>3</v>
      </c>
      <c r="V13" s="589">
        <v>0</v>
      </c>
      <c r="W13" s="590">
        <f t="shared" si="1"/>
        <v>6.0002000000000004</v>
      </c>
      <c r="X13" s="591">
        <f t="shared" si="0"/>
        <v>9</v>
      </c>
    </row>
    <row r="14" spans="1:24" s="592" customFormat="1" x14ac:dyDescent="0.2">
      <c r="A14" s="214">
        <v>7</v>
      </c>
      <c r="B14" s="559" t="s">
        <v>113</v>
      </c>
      <c r="C14" s="594">
        <v>0</v>
      </c>
      <c r="D14" s="595">
        <v>3</v>
      </c>
      <c r="E14" s="595">
        <v>3</v>
      </c>
      <c r="F14" s="596">
        <v>0</v>
      </c>
      <c r="G14" s="594">
        <v>0</v>
      </c>
      <c r="H14" s="595">
        <v>0</v>
      </c>
      <c r="I14" s="595">
        <v>3</v>
      </c>
      <c r="J14" s="596">
        <v>0</v>
      </c>
      <c r="K14" s="594">
        <v>5</v>
      </c>
      <c r="L14" s="595">
        <v>0</v>
      </c>
      <c r="M14" s="595">
        <v>0</v>
      </c>
      <c r="N14" s="596">
        <v>0</v>
      </c>
      <c r="O14" s="594">
        <v>0</v>
      </c>
      <c r="P14" s="595">
        <v>1</v>
      </c>
      <c r="Q14" s="595">
        <v>0</v>
      </c>
      <c r="R14" s="596">
        <v>0</v>
      </c>
      <c r="S14" s="594">
        <v>5</v>
      </c>
      <c r="T14" s="595">
        <v>0</v>
      </c>
      <c r="U14" s="595">
        <v>0</v>
      </c>
      <c r="V14" s="596">
        <v>0</v>
      </c>
      <c r="W14" s="555">
        <f t="shared" si="1"/>
        <v>20.020299999999999</v>
      </c>
      <c r="X14" s="597">
        <f t="shared" si="0"/>
        <v>2</v>
      </c>
    </row>
    <row r="15" spans="1:24" s="592" customFormat="1" x14ac:dyDescent="0.2">
      <c r="A15" s="214">
        <v>8</v>
      </c>
      <c r="B15" s="531" t="s">
        <v>98</v>
      </c>
      <c r="C15" s="707">
        <v>3</v>
      </c>
      <c r="D15" s="708">
        <v>0</v>
      </c>
      <c r="E15" s="708">
        <v>0</v>
      </c>
      <c r="F15" s="709">
        <v>0</v>
      </c>
      <c r="G15" s="707">
        <v>3</v>
      </c>
      <c r="H15" s="708">
        <v>3</v>
      </c>
      <c r="I15" s="708">
        <v>0</v>
      </c>
      <c r="J15" s="709">
        <v>0</v>
      </c>
      <c r="K15" s="707">
        <v>0</v>
      </c>
      <c r="L15" s="708">
        <v>1</v>
      </c>
      <c r="M15" s="708">
        <v>0</v>
      </c>
      <c r="N15" s="709">
        <v>0</v>
      </c>
      <c r="O15" s="707">
        <v>0</v>
      </c>
      <c r="P15" s="708">
        <v>3</v>
      </c>
      <c r="Q15" s="708">
        <v>0</v>
      </c>
      <c r="R15" s="709">
        <v>0</v>
      </c>
      <c r="S15" s="707">
        <v>0</v>
      </c>
      <c r="T15" s="708">
        <v>0</v>
      </c>
      <c r="U15" s="708">
        <v>0</v>
      </c>
      <c r="V15" s="709">
        <v>0</v>
      </c>
      <c r="W15" s="555">
        <f t="shared" si="1"/>
        <v>13.000400000000001</v>
      </c>
      <c r="X15" s="597">
        <f t="shared" si="0"/>
        <v>4</v>
      </c>
    </row>
    <row r="16" spans="1:24" s="592" customFormat="1" x14ac:dyDescent="0.2">
      <c r="A16" s="213">
        <v>9</v>
      </c>
      <c r="B16" s="593" t="s">
        <v>143</v>
      </c>
      <c r="C16" s="587">
        <v>0</v>
      </c>
      <c r="D16" s="588">
        <v>0</v>
      </c>
      <c r="E16" s="588">
        <v>0</v>
      </c>
      <c r="F16" s="589">
        <v>0</v>
      </c>
      <c r="G16" s="587">
        <v>0</v>
      </c>
      <c r="H16" s="588">
        <v>0</v>
      </c>
      <c r="I16" s="588">
        <v>0</v>
      </c>
      <c r="J16" s="589">
        <v>0</v>
      </c>
      <c r="K16" s="587">
        <v>0</v>
      </c>
      <c r="L16" s="588">
        <v>0</v>
      </c>
      <c r="M16" s="588">
        <v>0</v>
      </c>
      <c r="N16" s="589">
        <v>0</v>
      </c>
      <c r="O16" s="587">
        <v>0</v>
      </c>
      <c r="P16" s="588">
        <v>0</v>
      </c>
      <c r="Q16" s="588">
        <v>0</v>
      </c>
      <c r="R16" s="589">
        <v>0</v>
      </c>
      <c r="S16" s="587">
        <v>0</v>
      </c>
      <c r="T16" s="588">
        <v>0</v>
      </c>
      <c r="U16" s="588">
        <v>0</v>
      </c>
      <c r="V16" s="589">
        <v>0</v>
      </c>
      <c r="W16" s="590">
        <f t="shared" si="1"/>
        <v>0</v>
      </c>
      <c r="X16" s="591">
        <f t="shared" si="0"/>
        <v>12</v>
      </c>
    </row>
    <row r="17" spans="1:24" s="592" customFormat="1" x14ac:dyDescent="0.2">
      <c r="A17" s="213">
        <v>10</v>
      </c>
      <c r="B17" s="593" t="s">
        <v>125</v>
      </c>
      <c r="C17" s="587">
        <v>0</v>
      </c>
      <c r="D17" s="588">
        <v>0</v>
      </c>
      <c r="E17" s="588">
        <v>0</v>
      </c>
      <c r="F17" s="589">
        <v>0</v>
      </c>
      <c r="G17" s="587">
        <v>0</v>
      </c>
      <c r="H17" s="588">
        <v>0</v>
      </c>
      <c r="I17" s="588">
        <v>0</v>
      </c>
      <c r="J17" s="589">
        <v>0</v>
      </c>
      <c r="K17" s="587">
        <v>1</v>
      </c>
      <c r="L17" s="588">
        <v>0</v>
      </c>
      <c r="M17" s="588">
        <v>0</v>
      </c>
      <c r="N17" s="589">
        <v>0</v>
      </c>
      <c r="O17" s="587">
        <v>0</v>
      </c>
      <c r="P17" s="588">
        <v>0</v>
      </c>
      <c r="Q17" s="588">
        <v>0</v>
      </c>
      <c r="R17" s="589">
        <v>0</v>
      </c>
      <c r="S17" s="587">
        <v>0</v>
      </c>
      <c r="T17" s="588">
        <v>0</v>
      </c>
      <c r="U17" s="588">
        <v>0</v>
      </c>
      <c r="V17" s="589">
        <v>0</v>
      </c>
      <c r="W17" s="590">
        <f t="shared" si="1"/>
        <v>1</v>
      </c>
      <c r="X17" s="591">
        <f t="shared" si="0"/>
        <v>11</v>
      </c>
    </row>
    <row r="18" spans="1:24" s="592" customFormat="1" x14ac:dyDescent="0.2">
      <c r="A18" s="214">
        <v>11</v>
      </c>
      <c r="B18" s="559" t="s">
        <v>111</v>
      </c>
      <c r="C18" s="594">
        <v>0</v>
      </c>
      <c r="D18" s="595">
        <v>0</v>
      </c>
      <c r="E18" s="595">
        <v>0</v>
      </c>
      <c r="F18" s="596">
        <v>0</v>
      </c>
      <c r="G18" s="594">
        <v>0</v>
      </c>
      <c r="H18" s="595">
        <v>0</v>
      </c>
      <c r="I18" s="595">
        <v>0</v>
      </c>
      <c r="J18" s="596">
        <v>0</v>
      </c>
      <c r="K18" s="594">
        <v>0</v>
      </c>
      <c r="L18" s="595">
        <v>0</v>
      </c>
      <c r="M18" s="595">
        <v>0</v>
      </c>
      <c r="N18" s="596">
        <v>0</v>
      </c>
      <c r="O18" s="594">
        <v>0</v>
      </c>
      <c r="P18" s="595">
        <v>0</v>
      </c>
      <c r="Q18" s="595">
        <v>0</v>
      </c>
      <c r="R18" s="596">
        <v>0</v>
      </c>
      <c r="S18" s="594">
        <v>5</v>
      </c>
      <c r="T18" s="595">
        <v>3</v>
      </c>
      <c r="U18" s="595">
        <v>0</v>
      </c>
      <c r="V18" s="596">
        <v>0</v>
      </c>
      <c r="W18" s="555">
        <f t="shared" si="1"/>
        <v>8.0100999999999996</v>
      </c>
      <c r="X18" s="597">
        <f t="shared" si="0"/>
        <v>7</v>
      </c>
    </row>
    <row r="19" spans="1:24" s="592" customFormat="1" ht="13.5" thickBot="1" x14ac:dyDescent="0.25">
      <c r="A19" s="759">
        <v>12</v>
      </c>
      <c r="B19" s="760" t="s">
        <v>90</v>
      </c>
      <c r="C19" s="761">
        <v>3</v>
      </c>
      <c r="D19" s="762">
        <v>3</v>
      </c>
      <c r="E19" s="762">
        <v>0</v>
      </c>
      <c r="F19" s="763">
        <v>0</v>
      </c>
      <c r="G19" s="761">
        <v>0</v>
      </c>
      <c r="H19" s="762">
        <v>3</v>
      </c>
      <c r="I19" s="762">
        <v>0</v>
      </c>
      <c r="J19" s="763">
        <v>0</v>
      </c>
      <c r="K19" s="761">
        <v>1</v>
      </c>
      <c r="L19" s="762">
        <v>0</v>
      </c>
      <c r="M19" s="762">
        <v>0</v>
      </c>
      <c r="N19" s="763">
        <v>3</v>
      </c>
      <c r="O19" s="761">
        <v>3</v>
      </c>
      <c r="P19" s="762">
        <v>0</v>
      </c>
      <c r="Q19" s="762">
        <v>0</v>
      </c>
      <c r="R19" s="763">
        <v>0</v>
      </c>
      <c r="S19" s="761">
        <v>0</v>
      </c>
      <c r="T19" s="762">
        <v>5</v>
      </c>
      <c r="U19" s="762">
        <v>0</v>
      </c>
      <c r="V19" s="763">
        <v>5</v>
      </c>
      <c r="W19" s="568">
        <f t="shared" si="1"/>
        <v>26.020499999999998</v>
      </c>
      <c r="X19" s="764">
        <f t="shared" si="0"/>
        <v>1</v>
      </c>
    </row>
    <row r="20" spans="1:24" s="512" customFormat="1" x14ac:dyDescent="0.2">
      <c r="A20" s="584"/>
      <c r="B20" s="585"/>
      <c r="C20" s="585"/>
      <c r="D20" s="585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  <c r="W20" s="516"/>
      <c r="X20" s="516"/>
    </row>
    <row r="21" spans="1:24" s="238" customFormat="1" x14ac:dyDescent="0.2">
      <c r="A21" s="82" t="str">
        <f>UPPER((Kalend!D21)&amp;" "&amp;(Kalend!C21)&amp;" - "&amp;(Kalend!A21))</f>
        <v>TUL2 TULISTAMISE EELVOOR 2 - P, 14.02.2016</v>
      </c>
      <c r="N21" s="919"/>
      <c r="O21" s="919"/>
      <c r="P21" s="919"/>
      <c r="S21" s="919"/>
      <c r="T21" s="919"/>
      <c r="U21" s="919"/>
      <c r="W21" s="122"/>
      <c r="X21" s="122"/>
    </row>
    <row r="22" spans="1:24" s="238" customFormat="1" ht="13.5" thickBot="1" x14ac:dyDescent="0.25">
      <c r="W22" s="122"/>
      <c r="X22" s="122"/>
    </row>
    <row r="23" spans="1:24" s="592" customFormat="1" x14ac:dyDescent="0.2">
      <c r="A23" s="752">
        <v>1</v>
      </c>
      <c r="B23" s="765" t="s">
        <v>143</v>
      </c>
      <c r="C23" s="754">
        <v>0</v>
      </c>
      <c r="D23" s="755">
        <v>0</v>
      </c>
      <c r="E23" s="755">
        <v>0</v>
      </c>
      <c r="F23" s="756">
        <v>0</v>
      </c>
      <c r="G23" s="754">
        <v>0</v>
      </c>
      <c r="H23" s="755">
        <v>3</v>
      </c>
      <c r="I23" s="755">
        <v>0</v>
      </c>
      <c r="J23" s="756" t="s">
        <v>221</v>
      </c>
      <c r="K23" s="754">
        <v>0</v>
      </c>
      <c r="L23" s="755">
        <v>1</v>
      </c>
      <c r="M23" s="755">
        <v>0</v>
      </c>
      <c r="N23" s="756">
        <v>0</v>
      </c>
      <c r="O23" s="754">
        <v>0</v>
      </c>
      <c r="P23" s="755">
        <v>1</v>
      </c>
      <c r="Q23" s="755">
        <v>0</v>
      </c>
      <c r="R23" s="756">
        <v>0</v>
      </c>
      <c r="S23" s="754">
        <v>0</v>
      </c>
      <c r="T23" s="755">
        <v>5</v>
      </c>
      <c r="U23" s="755">
        <v>0</v>
      </c>
      <c r="V23" s="756">
        <v>0</v>
      </c>
      <c r="W23" s="757">
        <f>IF(COUNTA(C23:V23)&lt;1,"",SUM(C23:V23)+COUNTIF(C23:V23,5)/100+COUNTIF(C23:V23,3)/10000)</f>
        <v>10.0101</v>
      </c>
      <c r="X23" s="758">
        <f t="shared" ref="X23:X35" si="2">IF(COUNTA(C23:V23)=0,"",RANK(W23,$W$23:$W$35))</f>
        <v>4</v>
      </c>
    </row>
    <row r="24" spans="1:24" s="592" customFormat="1" x14ac:dyDescent="0.2">
      <c r="A24" s="213">
        <v>2</v>
      </c>
      <c r="B24" s="593" t="s">
        <v>90</v>
      </c>
      <c r="C24" s="587">
        <v>0</v>
      </c>
      <c r="D24" s="588">
        <v>3</v>
      </c>
      <c r="E24" s="588">
        <v>0</v>
      </c>
      <c r="F24" s="589">
        <v>0</v>
      </c>
      <c r="G24" s="587">
        <v>0</v>
      </c>
      <c r="H24" s="588">
        <v>0</v>
      </c>
      <c r="I24" s="588">
        <v>0</v>
      </c>
      <c r="J24" s="589">
        <v>0</v>
      </c>
      <c r="K24" s="587">
        <v>0</v>
      </c>
      <c r="L24" s="588">
        <v>5</v>
      </c>
      <c r="M24" s="588">
        <v>0</v>
      </c>
      <c r="N24" s="589">
        <v>0</v>
      </c>
      <c r="O24" s="587">
        <v>1</v>
      </c>
      <c r="P24" s="588">
        <v>0</v>
      </c>
      <c r="Q24" s="588">
        <v>0</v>
      </c>
      <c r="R24" s="589">
        <v>0</v>
      </c>
      <c r="S24" s="587">
        <v>0</v>
      </c>
      <c r="T24" s="588">
        <v>0</v>
      </c>
      <c r="U24" s="588">
        <v>5</v>
      </c>
      <c r="V24" s="589">
        <v>0</v>
      </c>
      <c r="W24" s="590">
        <f t="shared" ref="W24:W35" si="3">IF(COUNTA(C24:V24)&lt;1,"",SUM(C24:V24)+COUNTIF(C24:V24,5)/100+COUNTIF(C24:V24,3)/10000)</f>
        <v>14.020099999999999</v>
      </c>
      <c r="X24" s="591">
        <f t="shared" si="2"/>
        <v>2</v>
      </c>
    </row>
    <row r="25" spans="1:24" s="592" customFormat="1" x14ac:dyDescent="0.2">
      <c r="A25" s="214">
        <v>3</v>
      </c>
      <c r="B25" s="559" t="s">
        <v>141</v>
      </c>
      <c r="C25" s="594">
        <v>3</v>
      </c>
      <c r="D25" s="595">
        <v>0</v>
      </c>
      <c r="E25" s="595">
        <v>0</v>
      </c>
      <c r="F25" s="596" t="s">
        <v>221</v>
      </c>
      <c r="G25" s="594">
        <v>0</v>
      </c>
      <c r="H25" s="595">
        <v>3</v>
      </c>
      <c r="I25" s="595">
        <v>0</v>
      </c>
      <c r="J25" s="596" t="s">
        <v>221</v>
      </c>
      <c r="K25" s="594">
        <v>3</v>
      </c>
      <c r="L25" s="595">
        <v>0</v>
      </c>
      <c r="M25" s="595">
        <v>0</v>
      </c>
      <c r="N25" s="596" t="s">
        <v>221</v>
      </c>
      <c r="O25" s="594">
        <v>0</v>
      </c>
      <c r="P25" s="595">
        <v>0</v>
      </c>
      <c r="Q25" s="595">
        <v>0</v>
      </c>
      <c r="R25" s="596" t="s">
        <v>221</v>
      </c>
      <c r="S25" s="594">
        <v>0</v>
      </c>
      <c r="T25" s="595">
        <v>0</v>
      </c>
      <c r="U25" s="595">
        <v>0</v>
      </c>
      <c r="V25" s="596">
        <v>0</v>
      </c>
      <c r="W25" s="555">
        <f t="shared" si="3"/>
        <v>9.0002999999999993</v>
      </c>
      <c r="X25" s="597">
        <f t="shared" si="2"/>
        <v>5</v>
      </c>
    </row>
    <row r="26" spans="1:24" s="592" customFormat="1" x14ac:dyDescent="0.2">
      <c r="A26" s="214">
        <v>4</v>
      </c>
      <c r="B26" s="531" t="s">
        <v>98</v>
      </c>
      <c r="C26" s="594">
        <v>0</v>
      </c>
      <c r="D26" s="595">
        <v>0</v>
      </c>
      <c r="E26" s="595">
        <v>0</v>
      </c>
      <c r="F26" s="596">
        <v>0</v>
      </c>
      <c r="G26" s="594">
        <v>0</v>
      </c>
      <c r="H26" s="595">
        <v>0</v>
      </c>
      <c r="I26" s="595">
        <v>3</v>
      </c>
      <c r="J26" s="596">
        <v>0</v>
      </c>
      <c r="K26" s="594">
        <v>1</v>
      </c>
      <c r="L26" s="595">
        <v>0</v>
      </c>
      <c r="M26" s="595">
        <v>0</v>
      </c>
      <c r="N26" s="596">
        <v>0</v>
      </c>
      <c r="O26" s="594">
        <v>0</v>
      </c>
      <c r="P26" s="595">
        <v>0</v>
      </c>
      <c r="Q26" s="595">
        <v>0</v>
      </c>
      <c r="R26" s="596">
        <v>0</v>
      </c>
      <c r="S26" s="594">
        <v>0</v>
      </c>
      <c r="T26" s="595">
        <v>0</v>
      </c>
      <c r="U26" s="595">
        <v>0</v>
      </c>
      <c r="V26" s="596">
        <v>0</v>
      </c>
      <c r="W26" s="555">
        <f t="shared" si="3"/>
        <v>4.0000999999999998</v>
      </c>
      <c r="X26" s="597">
        <f t="shared" si="2"/>
        <v>9</v>
      </c>
    </row>
    <row r="27" spans="1:24" s="592" customFormat="1" x14ac:dyDescent="0.2">
      <c r="A27" s="213">
        <v>5</v>
      </c>
      <c r="B27" s="593" t="s">
        <v>111</v>
      </c>
      <c r="C27" s="587">
        <v>0</v>
      </c>
      <c r="D27" s="588">
        <v>0</v>
      </c>
      <c r="E27" s="588">
        <v>0</v>
      </c>
      <c r="F27" s="589">
        <v>0</v>
      </c>
      <c r="G27" s="587">
        <v>0</v>
      </c>
      <c r="H27" s="588">
        <v>0</v>
      </c>
      <c r="I27" s="588">
        <v>0</v>
      </c>
      <c r="J27" s="589" t="s">
        <v>221</v>
      </c>
      <c r="K27" s="587">
        <v>0</v>
      </c>
      <c r="L27" s="588">
        <v>0</v>
      </c>
      <c r="M27" s="588">
        <v>0</v>
      </c>
      <c r="N27" s="589">
        <v>0</v>
      </c>
      <c r="O27" s="587">
        <v>0</v>
      </c>
      <c r="P27" s="588">
        <v>0</v>
      </c>
      <c r="Q27" s="588">
        <v>0</v>
      </c>
      <c r="R27" s="589">
        <v>0</v>
      </c>
      <c r="S27" s="587">
        <v>0</v>
      </c>
      <c r="T27" s="588">
        <v>0</v>
      </c>
      <c r="U27" s="588">
        <v>0</v>
      </c>
      <c r="V27" s="589">
        <v>0</v>
      </c>
      <c r="W27" s="590">
        <f t="shared" si="3"/>
        <v>0</v>
      </c>
      <c r="X27" s="591">
        <f t="shared" si="2"/>
        <v>12</v>
      </c>
    </row>
    <row r="28" spans="1:24" s="592" customFormat="1" x14ac:dyDescent="0.2">
      <c r="A28" s="213">
        <v>6</v>
      </c>
      <c r="B28" s="586" t="s">
        <v>104</v>
      </c>
      <c r="C28" s="587">
        <v>0</v>
      </c>
      <c r="D28" s="588">
        <v>0</v>
      </c>
      <c r="E28" s="588">
        <v>0</v>
      </c>
      <c r="F28" s="589">
        <v>0</v>
      </c>
      <c r="G28" s="587">
        <v>0</v>
      </c>
      <c r="H28" s="588">
        <v>0</v>
      </c>
      <c r="I28" s="588">
        <v>0</v>
      </c>
      <c r="J28" s="589">
        <v>3</v>
      </c>
      <c r="K28" s="587">
        <v>0</v>
      </c>
      <c r="L28" s="588">
        <v>0</v>
      </c>
      <c r="M28" s="588">
        <v>0</v>
      </c>
      <c r="N28" s="589">
        <v>0</v>
      </c>
      <c r="O28" s="587">
        <v>3</v>
      </c>
      <c r="P28" s="588">
        <v>0</v>
      </c>
      <c r="Q28" s="588">
        <v>0</v>
      </c>
      <c r="R28" s="589">
        <v>0</v>
      </c>
      <c r="S28" s="587">
        <v>0</v>
      </c>
      <c r="T28" s="588">
        <v>0</v>
      </c>
      <c r="U28" s="588">
        <v>0</v>
      </c>
      <c r="V28" s="589">
        <v>0</v>
      </c>
      <c r="W28" s="590">
        <f t="shared" si="3"/>
        <v>6.0002000000000004</v>
      </c>
      <c r="X28" s="591">
        <f t="shared" si="2"/>
        <v>7</v>
      </c>
    </row>
    <row r="29" spans="1:24" s="592" customFormat="1" x14ac:dyDescent="0.2">
      <c r="A29" s="214">
        <v>7</v>
      </c>
      <c r="B29" s="559" t="s">
        <v>95</v>
      </c>
      <c r="C29" s="594">
        <v>0</v>
      </c>
      <c r="D29" s="595">
        <v>0</v>
      </c>
      <c r="E29" s="595">
        <v>0</v>
      </c>
      <c r="F29" s="596">
        <v>0</v>
      </c>
      <c r="G29" s="594">
        <v>0</v>
      </c>
      <c r="H29" s="595">
        <v>0</v>
      </c>
      <c r="I29" s="595">
        <v>3</v>
      </c>
      <c r="J29" s="596">
        <v>0</v>
      </c>
      <c r="K29" s="594">
        <v>1</v>
      </c>
      <c r="L29" s="595">
        <v>0</v>
      </c>
      <c r="M29" s="595">
        <v>0</v>
      </c>
      <c r="N29" s="596">
        <v>0</v>
      </c>
      <c r="O29" s="594">
        <v>0</v>
      </c>
      <c r="P29" s="595">
        <v>0</v>
      </c>
      <c r="Q29" s="595">
        <v>0</v>
      </c>
      <c r="R29" s="596">
        <v>0</v>
      </c>
      <c r="S29" s="594">
        <v>0</v>
      </c>
      <c r="T29" s="595">
        <v>0</v>
      </c>
      <c r="U29" s="595">
        <v>0</v>
      </c>
      <c r="V29" s="596">
        <v>0</v>
      </c>
      <c r="W29" s="555">
        <f t="shared" si="3"/>
        <v>4.0000999999999998</v>
      </c>
      <c r="X29" s="597">
        <f t="shared" si="2"/>
        <v>9</v>
      </c>
    </row>
    <row r="30" spans="1:24" s="592" customFormat="1" x14ac:dyDescent="0.2">
      <c r="A30" s="214">
        <v>8</v>
      </c>
      <c r="B30" s="531" t="s">
        <v>125</v>
      </c>
      <c r="C30" s="707">
        <v>0</v>
      </c>
      <c r="D30" s="708">
        <v>0</v>
      </c>
      <c r="E30" s="708">
        <v>0</v>
      </c>
      <c r="F30" s="709" t="s">
        <v>221</v>
      </c>
      <c r="G30" s="707">
        <v>0</v>
      </c>
      <c r="H30" s="708">
        <v>0</v>
      </c>
      <c r="I30" s="708">
        <v>0</v>
      </c>
      <c r="J30" s="709" t="s">
        <v>221</v>
      </c>
      <c r="K30" s="707">
        <v>0</v>
      </c>
      <c r="L30" s="708">
        <v>0</v>
      </c>
      <c r="M30" s="708">
        <v>0</v>
      </c>
      <c r="N30" s="709">
        <v>0</v>
      </c>
      <c r="O30" s="707">
        <v>0</v>
      </c>
      <c r="P30" s="708">
        <v>0</v>
      </c>
      <c r="Q30" s="708">
        <v>0</v>
      </c>
      <c r="R30" s="709" t="s">
        <v>221</v>
      </c>
      <c r="S30" s="707">
        <v>0</v>
      </c>
      <c r="T30" s="708">
        <v>0</v>
      </c>
      <c r="U30" s="708">
        <v>0</v>
      </c>
      <c r="V30" s="709" t="s">
        <v>221</v>
      </c>
      <c r="W30" s="555">
        <f t="shared" si="3"/>
        <v>0</v>
      </c>
      <c r="X30" s="597">
        <f t="shared" si="2"/>
        <v>12</v>
      </c>
    </row>
    <row r="31" spans="1:24" s="592" customFormat="1" x14ac:dyDescent="0.2">
      <c r="A31" s="213">
        <v>9</v>
      </c>
      <c r="B31" s="593" t="s">
        <v>106</v>
      </c>
      <c r="C31" s="587">
        <v>0</v>
      </c>
      <c r="D31" s="588">
        <v>3</v>
      </c>
      <c r="E31" s="588">
        <v>0</v>
      </c>
      <c r="F31" s="589">
        <v>0</v>
      </c>
      <c r="G31" s="587">
        <v>0</v>
      </c>
      <c r="H31" s="588">
        <v>0</v>
      </c>
      <c r="I31" s="588">
        <v>0</v>
      </c>
      <c r="J31" s="589">
        <v>0</v>
      </c>
      <c r="K31" s="587">
        <v>0</v>
      </c>
      <c r="L31" s="588">
        <v>0</v>
      </c>
      <c r="M31" s="588">
        <v>0</v>
      </c>
      <c r="N31" s="589">
        <v>0</v>
      </c>
      <c r="O31" s="587">
        <v>0</v>
      </c>
      <c r="P31" s="588">
        <v>0</v>
      </c>
      <c r="Q31" s="588">
        <v>0</v>
      </c>
      <c r="R31" s="589">
        <v>0</v>
      </c>
      <c r="S31" s="587">
        <v>0</v>
      </c>
      <c r="T31" s="588">
        <v>3</v>
      </c>
      <c r="U31" s="588">
        <v>0</v>
      </c>
      <c r="V31" s="589">
        <v>0</v>
      </c>
      <c r="W31" s="590">
        <f t="shared" si="3"/>
        <v>6.0002000000000004</v>
      </c>
      <c r="X31" s="591">
        <f t="shared" si="2"/>
        <v>7</v>
      </c>
    </row>
    <row r="32" spans="1:24" s="592" customFormat="1" x14ac:dyDescent="0.2">
      <c r="A32" s="213">
        <v>10</v>
      </c>
      <c r="B32" s="593" t="s">
        <v>114</v>
      </c>
      <c r="C32" s="587">
        <v>0</v>
      </c>
      <c r="D32" s="588">
        <v>0</v>
      </c>
      <c r="E32" s="588">
        <v>0</v>
      </c>
      <c r="F32" s="589">
        <v>0</v>
      </c>
      <c r="G32" s="587">
        <v>0</v>
      </c>
      <c r="H32" s="588">
        <v>0</v>
      </c>
      <c r="I32" s="588">
        <v>0</v>
      </c>
      <c r="J32" s="589">
        <v>0</v>
      </c>
      <c r="K32" s="587">
        <v>0</v>
      </c>
      <c r="L32" s="588">
        <v>1</v>
      </c>
      <c r="M32" s="588">
        <v>0</v>
      </c>
      <c r="N32" s="589">
        <v>0</v>
      </c>
      <c r="O32" s="587">
        <v>0</v>
      </c>
      <c r="P32" s="588">
        <v>0</v>
      </c>
      <c r="Q32" s="588">
        <v>0</v>
      </c>
      <c r="R32" s="589">
        <v>0</v>
      </c>
      <c r="S32" s="587">
        <v>0</v>
      </c>
      <c r="T32" s="588">
        <v>0</v>
      </c>
      <c r="U32" s="588">
        <v>0</v>
      </c>
      <c r="V32" s="589">
        <v>0</v>
      </c>
      <c r="W32" s="590">
        <f t="shared" si="3"/>
        <v>1</v>
      </c>
      <c r="X32" s="591">
        <f t="shared" si="2"/>
        <v>11</v>
      </c>
    </row>
    <row r="33" spans="1:24" s="592" customFormat="1" x14ac:dyDescent="0.2">
      <c r="A33" s="214">
        <v>11</v>
      </c>
      <c r="B33" s="599" t="s">
        <v>113</v>
      </c>
      <c r="C33" s="594">
        <v>0</v>
      </c>
      <c r="D33" s="595">
        <v>3</v>
      </c>
      <c r="E33" s="595">
        <v>3</v>
      </c>
      <c r="F33" s="596">
        <v>0</v>
      </c>
      <c r="G33" s="594">
        <v>0</v>
      </c>
      <c r="H33" s="595">
        <v>0</v>
      </c>
      <c r="I33" s="595">
        <v>0</v>
      </c>
      <c r="J33" s="596">
        <v>0</v>
      </c>
      <c r="K33" s="594">
        <v>0</v>
      </c>
      <c r="L33" s="595">
        <v>3</v>
      </c>
      <c r="M33" s="595">
        <v>3</v>
      </c>
      <c r="N33" s="596">
        <v>3</v>
      </c>
      <c r="O33" s="594">
        <v>3</v>
      </c>
      <c r="P33" s="595">
        <v>3</v>
      </c>
      <c r="Q33" s="595">
        <v>0</v>
      </c>
      <c r="R33" s="596">
        <v>0</v>
      </c>
      <c r="S33" s="594">
        <v>0</v>
      </c>
      <c r="T33" s="595">
        <v>0</v>
      </c>
      <c r="U33" s="595">
        <v>0</v>
      </c>
      <c r="V33" s="596">
        <v>0</v>
      </c>
      <c r="W33" s="555">
        <f t="shared" si="3"/>
        <v>21.000699999999998</v>
      </c>
      <c r="X33" s="597">
        <f t="shared" si="2"/>
        <v>1</v>
      </c>
    </row>
    <row r="34" spans="1:24" s="592" customFormat="1" x14ac:dyDescent="0.2">
      <c r="A34" s="214">
        <v>12</v>
      </c>
      <c r="B34" s="559" t="s">
        <v>108</v>
      </c>
      <c r="C34" s="594">
        <v>0</v>
      </c>
      <c r="D34" s="595">
        <v>0</v>
      </c>
      <c r="E34" s="595">
        <v>0</v>
      </c>
      <c r="F34" s="596">
        <v>0</v>
      </c>
      <c r="G34" s="594">
        <v>0</v>
      </c>
      <c r="H34" s="595">
        <v>0</v>
      </c>
      <c r="I34" s="595">
        <v>1</v>
      </c>
      <c r="J34" s="596">
        <v>0</v>
      </c>
      <c r="K34" s="594">
        <v>0</v>
      </c>
      <c r="L34" s="595">
        <v>0</v>
      </c>
      <c r="M34" s="595">
        <v>0</v>
      </c>
      <c r="N34" s="596">
        <v>0</v>
      </c>
      <c r="O34" s="594">
        <v>0</v>
      </c>
      <c r="P34" s="595">
        <v>0</v>
      </c>
      <c r="Q34" s="595">
        <v>0</v>
      </c>
      <c r="R34" s="596">
        <v>0</v>
      </c>
      <c r="S34" s="594">
        <v>0</v>
      </c>
      <c r="T34" s="595">
        <v>0</v>
      </c>
      <c r="U34" s="595">
        <v>0</v>
      </c>
      <c r="V34" s="596">
        <v>5</v>
      </c>
      <c r="W34" s="555">
        <f t="shared" si="3"/>
        <v>6.01</v>
      </c>
      <c r="X34" s="597">
        <f t="shared" si="2"/>
        <v>6</v>
      </c>
    </row>
    <row r="35" spans="1:24" s="592" customFormat="1" ht="13.5" thickBot="1" x14ac:dyDescent="0.25">
      <c r="A35" s="766">
        <v>13</v>
      </c>
      <c r="B35" s="767" t="s">
        <v>115</v>
      </c>
      <c r="C35" s="768">
        <v>0</v>
      </c>
      <c r="D35" s="769">
        <v>0</v>
      </c>
      <c r="E35" s="769">
        <v>3</v>
      </c>
      <c r="F35" s="770">
        <v>0</v>
      </c>
      <c r="G35" s="768">
        <v>0</v>
      </c>
      <c r="H35" s="769">
        <v>5</v>
      </c>
      <c r="I35" s="769">
        <v>0</v>
      </c>
      <c r="J35" s="770">
        <v>0</v>
      </c>
      <c r="K35" s="768">
        <v>0</v>
      </c>
      <c r="L35" s="769">
        <v>0</v>
      </c>
      <c r="M35" s="769">
        <v>0</v>
      </c>
      <c r="N35" s="770">
        <v>0</v>
      </c>
      <c r="O35" s="768">
        <v>3</v>
      </c>
      <c r="P35" s="769">
        <v>0</v>
      </c>
      <c r="Q35" s="769">
        <v>0</v>
      </c>
      <c r="R35" s="770">
        <v>0</v>
      </c>
      <c r="S35" s="768">
        <v>0</v>
      </c>
      <c r="T35" s="769">
        <v>0</v>
      </c>
      <c r="U35" s="769">
        <v>0</v>
      </c>
      <c r="V35" s="770">
        <v>0</v>
      </c>
      <c r="W35" s="771">
        <f t="shared" si="3"/>
        <v>11.010199999999999</v>
      </c>
      <c r="X35" s="772">
        <f t="shared" si="2"/>
        <v>3</v>
      </c>
    </row>
    <row r="36" spans="1:24" s="512" customFormat="1" x14ac:dyDescent="0.2">
      <c r="A36" s="584"/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16"/>
      <c r="X36" s="516"/>
    </row>
    <row r="37" spans="1:24" s="238" customFormat="1" x14ac:dyDescent="0.2">
      <c r="A37" s="82" t="str">
        <f>UPPER((Kalend!D33)&amp;" "&amp;(Kalend!C33)&amp;" - "&amp;(Kalend!A33))</f>
        <v>TUL3 TULISTAMISE EELVOOR 3 - P, 03.04.2016</v>
      </c>
      <c r="N37" s="919"/>
      <c r="O37" s="919"/>
      <c r="P37" s="919"/>
      <c r="S37" s="919"/>
      <c r="T37" s="919"/>
      <c r="U37" s="919"/>
      <c r="W37" s="122"/>
      <c r="X37" s="122"/>
    </row>
    <row r="38" spans="1:24" s="238" customFormat="1" ht="13.5" thickBot="1" x14ac:dyDescent="0.25">
      <c r="W38" s="122"/>
      <c r="X38" s="122"/>
    </row>
    <row r="39" spans="1:24" s="592" customFormat="1" x14ac:dyDescent="0.2">
      <c r="A39" s="752">
        <v>1</v>
      </c>
      <c r="B39" s="765" t="s">
        <v>114</v>
      </c>
      <c r="C39" s="754">
        <v>5</v>
      </c>
      <c r="D39" s="755">
        <v>0</v>
      </c>
      <c r="E39" s="755">
        <v>0</v>
      </c>
      <c r="F39" s="756">
        <v>0</v>
      </c>
      <c r="G39" s="754">
        <v>0</v>
      </c>
      <c r="H39" s="755">
        <v>0</v>
      </c>
      <c r="I39" s="755">
        <v>0</v>
      </c>
      <c r="J39" s="756">
        <v>0</v>
      </c>
      <c r="K39" s="754">
        <v>0</v>
      </c>
      <c r="L39" s="755">
        <v>0</v>
      </c>
      <c r="M39" s="755">
        <v>0</v>
      </c>
      <c r="N39" s="756">
        <v>0</v>
      </c>
      <c r="O39" s="754">
        <v>0</v>
      </c>
      <c r="P39" s="755">
        <v>0</v>
      </c>
      <c r="Q39" s="755">
        <v>0</v>
      </c>
      <c r="R39" s="756">
        <v>0</v>
      </c>
      <c r="S39" s="754">
        <v>0</v>
      </c>
      <c r="T39" s="755">
        <v>0</v>
      </c>
      <c r="U39" s="755">
        <v>0</v>
      </c>
      <c r="V39" s="756">
        <v>0</v>
      </c>
      <c r="W39" s="757">
        <f>IF(COUNTA(C39:V39)&lt;1,"",SUM(C39:V39)+COUNTIF(C39:V39,5)/100+COUNTIF(C39:V39,3)/10000)</f>
        <v>5.01</v>
      </c>
      <c r="X39" s="758">
        <f t="shared" ref="X39:X48" si="4">IF(COUNTA(C39:V39)=0,"",RANK(W39,$W$39:$W$48))</f>
        <v>8</v>
      </c>
    </row>
    <row r="40" spans="1:24" s="592" customFormat="1" x14ac:dyDescent="0.2">
      <c r="A40" s="213">
        <v>2</v>
      </c>
      <c r="B40" s="593" t="s">
        <v>141</v>
      </c>
      <c r="C40" s="587">
        <v>3</v>
      </c>
      <c r="D40" s="588">
        <v>0</v>
      </c>
      <c r="E40" s="588">
        <v>0</v>
      </c>
      <c r="F40" s="589">
        <v>0</v>
      </c>
      <c r="G40" s="587">
        <v>3</v>
      </c>
      <c r="H40" s="588">
        <v>0</v>
      </c>
      <c r="I40" s="588">
        <v>0</v>
      </c>
      <c r="J40" s="589">
        <v>0</v>
      </c>
      <c r="K40" s="587">
        <v>0</v>
      </c>
      <c r="L40" s="588">
        <v>0</v>
      </c>
      <c r="M40" s="588">
        <v>0</v>
      </c>
      <c r="N40" s="589">
        <v>0</v>
      </c>
      <c r="O40" s="587">
        <v>3</v>
      </c>
      <c r="P40" s="588">
        <v>0</v>
      </c>
      <c r="Q40" s="588">
        <v>0</v>
      </c>
      <c r="R40" s="589">
        <v>0</v>
      </c>
      <c r="S40" s="587">
        <v>0</v>
      </c>
      <c r="T40" s="588">
        <v>0</v>
      </c>
      <c r="U40" s="588">
        <v>0</v>
      </c>
      <c r="V40" s="589">
        <v>0</v>
      </c>
      <c r="W40" s="590">
        <f t="shared" ref="W40:W48" si="5">IF(COUNTA(C40:V40)&lt;1,"",SUM(C40:V40)+COUNTIF(C40:V40,5)/100+COUNTIF(C40:V40,3)/10000)</f>
        <v>9.0002999999999993</v>
      </c>
      <c r="X40" s="591">
        <f t="shared" si="4"/>
        <v>5</v>
      </c>
    </row>
    <row r="41" spans="1:24" s="592" customFormat="1" x14ac:dyDescent="0.2">
      <c r="A41" s="214">
        <v>3</v>
      </c>
      <c r="B41" s="366" t="s">
        <v>104</v>
      </c>
      <c r="C41" s="594">
        <v>3</v>
      </c>
      <c r="D41" s="595">
        <v>1</v>
      </c>
      <c r="E41" s="595">
        <v>0</v>
      </c>
      <c r="F41" s="596">
        <v>0</v>
      </c>
      <c r="G41" s="594">
        <v>0</v>
      </c>
      <c r="H41" s="595">
        <v>0</v>
      </c>
      <c r="I41" s="595">
        <v>0</v>
      </c>
      <c r="J41" s="596">
        <v>0</v>
      </c>
      <c r="K41" s="594">
        <v>1</v>
      </c>
      <c r="L41" s="595">
        <v>0</v>
      </c>
      <c r="M41" s="595">
        <v>0</v>
      </c>
      <c r="N41" s="596">
        <v>0</v>
      </c>
      <c r="O41" s="594">
        <v>0</v>
      </c>
      <c r="P41" s="595">
        <v>0</v>
      </c>
      <c r="Q41" s="595">
        <v>3</v>
      </c>
      <c r="R41" s="596">
        <v>0</v>
      </c>
      <c r="S41" s="594">
        <v>0</v>
      </c>
      <c r="T41" s="595">
        <v>0</v>
      </c>
      <c r="U41" s="595">
        <v>0</v>
      </c>
      <c r="V41" s="596">
        <v>0</v>
      </c>
      <c r="W41" s="555">
        <f t="shared" si="5"/>
        <v>8.0001999999999995</v>
      </c>
      <c r="X41" s="597">
        <f t="shared" si="4"/>
        <v>6</v>
      </c>
    </row>
    <row r="42" spans="1:24" s="592" customFormat="1" x14ac:dyDescent="0.2">
      <c r="A42" s="214">
        <v>4</v>
      </c>
      <c r="B42" s="531" t="s">
        <v>98</v>
      </c>
      <c r="C42" s="594">
        <v>0</v>
      </c>
      <c r="D42" s="595">
        <v>0</v>
      </c>
      <c r="E42" s="595">
        <v>0</v>
      </c>
      <c r="F42" s="596">
        <v>0</v>
      </c>
      <c r="G42" s="594">
        <v>0</v>
      </c>
      <c r="H42" s="595">
        <v>0</v>
      </c>
      <c r="I42" s="595">
        <v>0</v>
      </c>
      <c r="J42" s="596">
        <v>0</v>
      </c>
      <c r="K42" s="594">
        <v>1</v>
      </c>
      <c r="L42" s="595">
        <v>0</v>
      </c>
      <c r="M42" s="595">
        <v>0</v>
      </c>
      <c r="N42" s="596">
        <v>0</v>
      </c>
      <c r="O42" s="594">
        <v>0</v>
      </c>
      <c r="P42" s="595">
        <v>0</v>
      </c>
      <c r="Q42" s="595">
        <v>0</v>
      </c>
      <c r="R42" s="596">
        <v>0</v>
      </c>
      <c r="S42" s="594">
        <v>0</v>
      </c>
      <c r="T42" s="595">
        <v>0</v>
      </c>
      <c r="U42" s="595">
        <v>0</v>
      </c>
      <c r="V42" s="596">
        <v>0</v>
      </c>
      <c r="W42" s="555">
        <f t="shared" si="5"/>
        <v>1</v>
      </c>
      <c r="X42" s="597">
        <f t="shared" si="4"/>
        <v>10</v>
      </c>
    </row>
    <row r="43" spans="1:24" s="592" customFormat="1" x14ac:dyDescent="0.2">
      <c r="A43" s="213">
        <v>5</v>
      </c>
      <c r="B43" s="593" t="s">
        <v>106</v>
      </c>
      <c r="C43" s="587">
        <v>0</v>
      </c>
      <c r="D43" s="588">
        <v>0</v>
      </c>
      <c r="E43" s="588">
        <v>0</v>
      </c>
      <c r="F43" s="589">
        <v>3</v>
      </c>
      <c r="G43" s="587">
        <v>0</v>
      </c>
      <c r="H43" s="588">
        <v>0</v>
      </c>
      <c r="I43" s="588">
        <v>0</v>
      </c>
      <c r="J43" s="589">
        <v>0</v>
      </c>
      <c r="K43" s="587">
        <v>0</v>
      </c>
      <c r="L43" s="588">
        <v>0</v>
      </c>
      <c r="M43" s="588">
        <v>0</v>
      </c>
      <c r="N43" s="589">
        <v>0</v>
      </c>
      <c r="O43" s="587">
        <v>0</v>
      </c>
      <c r="P43" s="588">
        <v>0</v>
      </c>
      <c r="Q43" s="588">
        <v>0</v>
      </c>
      <c r="R43" s="589">
        <v>0</v>
      </c>
      <c r="S43" s="587">
        <v>0</v>
      </c>
      <c r="T43" s="588">
        <v>0</v>
      </c>
      <c r="U43" s="588">
        <v>0</v>
      </c>
      <c r="V43" s="589">
        <v>0</v>
      </c>
      <c r="W43" s="590">
        <f t="shared" si="5"/>
        <v>3.0001000000000002</v>
      </c>
      <c r="X43" s="591">
        <f t="shared" si="4"/>
        <v>9</v>
      </c>
    </row>
    <row r="44" spans="1:24" s="592" customFormat="1" x14ac:dyDescent="0.2">
      <c r="A44" s="213">
        <v>6</v>
      </c>
      <c r="B44" s="593" t="s">
        <v>115</v>
      </c>
      <c r="C44" s="587">
        <v>0</v>
      </c>
      <c r="D44" s="588">
        <v>0</v>
      </c>
      <c r="E44" s="588">
        <v>0</v>
      </c>
      <c r="F44" s="589">
        <v>0</v>
      </c>
      <c r="G44" s="587">
        <v>0</v>
      </c>
      <c r="H44" s="588">
        <v>0</v>
      </c>
      <c r="I44" s="588">
        <v>3</v>
      </c>
      <c r="J44" s="589">
        <v>0</v>
      </c>
      <c r="K44" s="587">
        <v>3</v>
      </c>
      <c r="L44" s="588">
        <v>3</v>
      </c>
      <c r="M44" s="588">
        <v>3</v>
      </c>
      <c r="N44" s="589">
        <v>1</v>
      </c>
      <c r="O44" s="587">
        <v>0</v>
      </c>
      <c r="P44" s="588">
        <v>1</v>
      </c>
      <c r="Q44" s="588">
        <v>3</v>
      </c>
      <c r="R44" s="589">
        <v>0</v>
      </c>
      <c r="S44" s="587">
        <v>0</v>
      </c>
      <c r="T44" s="588">
        <v>0</v>
      </c>
      <c r="U44" s="588">
        <v>0</v>
      </c>
      <c r="V44" s="589">
        <v>0</v>
      </c>
      <c r="W44" s="590">
        <f t="shared" si="5"/>
        <v>17.000499999999999</v>
      </c>
      <c r="X44" s="591">
        <f t="shared" si="4"/>
        <v>2</v>
      </c>
    </row>
    <row r="45" spans="1:24" s="592" customFormat="1" x14ac:dyDescent="0.2">
      <c r="A45" s="214">
        <v>7</v>
      </c>
      <c r="B45" s="559" t="s">
        <v>90</v>
      </c>
      <c r="C45" s="594">
        <v>3</v>
      </c>
      <c r="D45" s="595">
        <v>0</v>
      </c>
      <c r="E45" s="595">
        <v>0</v>
      </c>
      <c r="F45" s="596">
        <v>3</v>
      </c>
      <c r="G45" s="594">
        <v>0</v>
      </c>
      <c r="H45" s="595">
        <v>3</v>
      </c>
      <c r="I45" s="595">
        <v>0</v>
      </c>
      <c r="J45" s="596">
        <v>0</v>
      </c>
      <c r="K45" s="594">
        <v>1</v>
      </c>
      <c r="L45" s="595">
        <v>1</v>
      </c>
      <c r="M45" s="595">
        <v>0</v>
      </c>
      <c r="N45" s="596">
        <v>0</v>
      </c>
      <c r="O45" s="594">
        <v>1</v>
      </c>
      <c r="P45" s="595">
        <v>3</v>
      </c>
      <c r="Q45" s="595">
        <v>0</v>
      </c>
      <c r="R45" s="596">
        <v>0</v>
      </c>
      <c r="S45" s="594">
        <v>0</v>
      </c>
      <c r="T45" s="595">
        <v>0</v>
      </c>
      <c r="U45" s="595">
        <v>0</v>
      </c>
      <c r="V45" s="596">
        <v>0</v>
      </c>
      <c r="W45" s="555">
        <f t="shared" si="5"/>
        <v>15.000400000000001</v>
      </c>
      <c r="X45" s="597">
        <f t="shared" si="4"/>
        <v>3</v>
      </c>
    </row>
    <row r="46" spans="1:24" s="592" customFormat="1" x14ac:dyDescent="0.2">
      <c r="A46" s="214">
        <v>8</v>
      </c>
      <c r="B46" s="599" t="s">
        <v>113</v>
      </c>
      <c r="C46" s="707">
        <v>0</v>
      </c>
      <c r="D46" s="708">
        <v>5</v>
      </c>
      <c r="E46" s="708">
        <v>3</v>
      </c>
      <c r="F46" s="709">
        <v>0</v>
      </c>
      <c r="G46" s="707">
        <v>3</v>
      </c>
      <c r="H46" s="708">
        <v>3</v>
      </c>
      <c r="I46" s="708">
        <v>0</v>
      </c>
      <c r="J46" s="709">
        <v>0</v>
      </c>
      <c r="K46" s="707">
        <v>0</v>
      </c>
      <c r="L46" s="708">
        <v>1</v>
      </c>
      <c r="M46" s="708">
        <v>3</v>
      </c>
      <c r="N46" s="709">
        <v>0</v>
      </c>
      <c r="O46" s="707">
        <v>0</v>
      </c>
      <c r="P46" s="708">
        <v>0</v>
      </c>
      <c r="Q46" s="708">
        <v>0</v>
      </c>
      <c r="R46" s="709">
        <v>0</v>
      </c>
      <c r="S46" s="707">
        <v>0</v>
      </c>
      <c r="T46" s="708">
        <v>0</v>
      </c>
      <c r="U46" s="708">
        <v>0</v>
      </c>
      <c r="V46" s="709">
        <v>0</v>
      </c>
      <c r="W46" s="555">
        <f t="shared" si="5"/>
        <v>18.010400000000001</v>
      </c>
      <c r="X46" s="597">
        <f t="shared" si="4"/>
        <v>1</v>
      </c>
    </row>
    <row r="47" spans="1:24" s="592" customFormat="1" x14ac:dyDescent="0.2">
      <c r="A47" s="213">
        <v>9</v>
      </c>
      <c r="B47" s="586" t="s">
        <v>108</v>
      </c>
      <c r="C47" s="587">
        <v>0</v>
      </c>
      <c r="D47" s="588">
        <v>0</v>
      </c>
      <c r="E47" s="588">
        <v>0</v>
      </c>
      <c r="F47" s="589">
        <v>0</v>
      </c>
      <c r="G47" s="587">
        <v>0</v>
      </c>
      <c r="H47" s="588">
        <v>3</v>
      </c>
      <c r="I47" s="588">
        <v>3</v>
      </c>
      <c r="J47" s="589">
        <v>0</v>
      </c>
      <c r="K47" s="587">
        <v>0</v>
      </c>
      <c r="L47" s="588">
        <v>0</v>
      </c>
      <c r="M47" s="588">
        <v>0</v>
      </c>
      <c r="N47" s="589">
        <v>0</v>
      </c>
      <c r="O47" s="587">
        <v>0</v>
      </c>
      <c r="P47" s="588">
        <v>3</v>
      </c>
      <c r="Q47" s="588">
        <v>0</v>
      </c>
      <c r="R47" s="589">
        <v>0</v>
      </c>
      <c r="S47" s="587">
        <v>3</v>
      </c>
      <c r="T47" s="588">
        <v>0</v>
      </c>
      <c r="U47" s="588">
        <v>0</v>
      </c>
      <c r="V47" s="589">
        <v>0</v>
      </c>
      <c r="W47" s="590">
        <f t="shared" si="5"/>
        <v>12.000400000000001</v>
      </c>
      <c r="X47" s="591">
        <f t="shared" si="4"/>
        <v>4</v>
      </c>
    </row>
    <row r="48" spans="1:24" s="592" customFormat="1" ht="13.5" thickBot="1" x14ac:dyDescent="0.25">
      <c r="A48" s="766">
        <v>10</v>
      </c>
      <c r="B48" s="767" t="s">
        <v>95</v>
      </c>
      <c r="C48" s="768">
        <v>0</v>
      </c>
      <c r="D48" s="769">
        <v>0</v>
      </c>
      <c r="E48" s="769">
        <v>0</v>
      </c>
      <c r="F48" s="770">
        <v>0</v>
      </c>
      <c r="G48" s="768">
        <v>0</v>
      </c>
      <c r="H48" s="769">
        <v>0</v>
      </c>
      <c r="I48" s="769">
        <v>0</v>
      </c>
      <c r="J48" s="770">
        <v>0</v>
      </c>
      <c r="K48" s="768">
        <v>1</v>
      </c>
      <c r="L48" s="769">
        <v>0</v>
      </c>
      <c r="M48" s="769">
        <v>0</v>
      </c>
      <c r="N48" s="770">
        <v>0</v>
      </c>
      <c r="O48" s="768">
        <v>0</v>
      </c>
      <c r="P48" s="769">
        <v>0</v>
      </c>
      <c r="Q48" s="769">
        <v>3</v>
      </c>
      <c r="R48" s="770">
        <v>0</v>
      </c>
      <c r="S48" s="768">
        <v>0</v>
      </c>
      <c r="T48" s="769">
        <v>3</v>
      </c>
      <c r="U48" s="769">
        <v>0</v>
      </c>
      <c r="V48" s="770">
        <v>0</v>
      </c>
      <c r="W48" s="771">
        <f t="shared" si="5"/>
        <v>7.0002000000000004</v>
      </c>
      <c r="X48" s="772">
        <f t="shared" si="4"/>
        <v>7</v>
      </c>
    </row>
  </sheetData>
  <mergeCells count="6">
    <mergeCell ref="N21:P21"/>
    <mergeCell ref="S21:U21"/>
    <mergeCell ref="N37:P37"/>
    <mergeCell ref="S37:U37"/>
    <mergeCell ref="N6:P6"/>
    <mergeCell ref="S6:U6"/>
  </mergeCells>
  <conditionalFormatting sqref="C8:V19">
    <cfRule type="cellIs" priority="62" stopIfTrue="1" operator="equal">
      <formula>"-"</formula>
    </cfRule>
    <cfRule type="cellIs" dxfId="158" priority="63" stopIfTrue="1" operator="greaterThan">
      <formula>5</formula>
    </cfRule>
    <cfRule type="cellIs" dxfId="157" priority="64" stopIfTrue="1" operator="equal">
      <formula>4</formula>
    </cfRule>
    <cfRule type="cellIs" dxfId="156" priority="65" stopIfTrue="1" operator="equal">
      <formula>2</formula>
    </cfRule>
  </conditionalFormatting>
  <conditionalFormatting sqref="C23:V35">
    <cfRule type="cellIs" priority="46" stopIfTrue="1" operator="equal">
      <formula>"-"</formula>
    </cfRule>
    <cfRule type="cellIs" dxfId="155" priority="47" stopIfTrue="1" operator="greaterThan">
      <formula>5</formula>
    </cfRule>
    <cfRule type="cellIs" dxfId="154" priority="48" stopIfTrue="1" operator="equal">
      <formula>4</formula>
    </cfRule>
    <cfRule type="cellIs" dxfId="153" priority="49" stopIfTrue="1" operator="equal">
      <formula>2</formula>
    </cfRule>
  </conditionalFormatting>
  <conditionalFormatting sqref="C39:V48">
    <cfRule type="cellIs" priority="30" stopIfTrue="1" operator="equal">
      <formula>"-"</formula>
    </cfRule>
    <cfRule type="cellIs" dxfId="152" priority="31" stopIfTrue="1" operator="greaterThan">
      <formula>5</formula>
    </cfRule>
    <cfRule type="cellIs" dxfId="151" priority="32" stopIfTrue="1" operator="equal">
      <formula>4</formula>
    </cfRule>
    <cfRule type="cellIs" dxfId="150" priority="33" stopIfTrue="1" operator="equal">
      <formula>2</formula>
    </cfRule>
  </conditionalFormatting>
  <conditionalFormatting sqref="B10">
    <cfRule type="duplicateValues" dxfId="149" priority="17" stopIfTrue="1"/>
  </conditionalFormatting>
  <conditionalFormatting sqref="X8:X19">
    <cfRule type="duplicateValues" dxfId="148" priority="149" stopIfTrue="1"/>
  </conditionalFormatting>
  <conditionalFormatting sqref="B8:B9 B11:B19">
    <cfRule type="duplicateValues" dxfId="147" priority="150" stopIfTrue="1"/>
  </conditionalFormatting>
  <conditionalFormatting sqref="W8:W19">
    <cfRule type="top10" dxfId="146" priority="152" stopIfTrue="1" rank="1"/>
  </conditionalFormatting>
  <conditionalFormatting sqref="B23">
    <cfRule type="duplicateValues" dxfId="145" priority="13" stopIfTrue="1"/>
  </conditionalFormatting>
  <conditionalFormatting sqref="B26">
    <cfRule type="duplicateValues" dxfId="144" priority="12" stopIfTrue="1"/>
  </conditionalFormatting>
  <conditionalFormatting sqref="B33">
    <cfRule type="duplicateValues" dxfId="143" priority="11" stopIfTrue="1"/>
  </conditionalFormatting>
  <conditionalFormatting sqref="X23:X35">
    <cfRule type="duplicateValues" dxfId="142" priority="225" stopIfTrue="1"/>
  </conditionalFormatting>
  <conditionalFormatting sqref="B24:B25 B27:B32 B34:B35">
    <cfRule type="duplicateValues" dxfId="141" priority="226" stopIfTrue="1"/>
  </conditionalFormatting>
  <conditionalFormatting sqref="W23:W35">
    <cfRule type="top10" dxfId="140" priority="229" stopIfTrue="1" rank="1"/>
  </conditionalFormatting>
  <conditionalFormatting sqref="B39">
    <cfRule type="duplicateValues" dxfId="139" priority="10" stopIfTrue="1"/>
  </conditionalFormatting>
  <conditionalFormatting sqref="B41">
    <cfRule type="duplicateValues" dxfId="138" priority="9" stopIfTrue="1"/>
  </conditionalFormatting>
  <conditionalFormatting sqref="B42">
    <cfRule type="duplicateValues" dxfId="137" priority="8" stopIfTrue="1"/>
  </conditionalFormatting>
  <conditionalFormatting sqref="B43">
    <cfRule type="duplicateValues" dxfId="136" priority="7" stopIfTrue="1"/>
  </conditionalFormatting>
  <conditionalFormatting sqref="B44">
    <cfRule type="duplicateValues" dxfId="135" priority="6" stopIfTrue="1"/>
  </conditionalFormatting>
  <conditionalFormatting sqref="B45">
    <cfRule type="duplicateValues" dxfId="134" priority="5" stopIfTrue="1"/>
  </conditionalFormatting>
  <conditionalFormatting sqref="B46">
    <cfRule type="duplicateValues" dxfId="133" priority="4" stopIfTrue="1"/>
  </conditionalFormatting>
  <conditionalFormatting sqref="B47">
    <cfRule type="duplicateValues" dxfId="132" priority="3" stopIfTrue="1"/>
  </conditionalFormatting>
  <conditionalFormatting sqref="B48">
    <cfRule type="duplicateValues" dxfId="131" priority="2" stopIfTrue="1"/>
  </conditionalFormatting>
  <conditionalFormatting sqref="X39:X48">
    <cfRule type="duplicateValues" dxfId="130" priority="314" stopIfTrue="1"/>
  </conditionalFormatting>
  <conditionalFormatting sqref="B40">
    <cfRule type="duplicateValues" dxfId="129" priority="315" stopIfTrue="1"/>
  </conditionalFormatting>
  <conditionalFormatting sqref="W39:W48">
    <cfRule type="top10" dxfId="128" priority="1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22"/>
  <sheetViews>
    <sheetView showGridLines="0" showRowColHeaders="0" zoomScaleNormal="100" workbookViewId="0">
      <pane ySplit="6" topLeftCell="A7" activePane="bottomLeft" state="frozen"/>
      <selection activeCell="W1" sqref="W1"/>
      <selection pane="bottomLeft" activeCell="O1" sqref="O1"/>
    </sheetView>
  </sheetViews>
  <sheetFormatPr defaultRowHeight="12.75" x14ac:dyDescent="0.2"/>
  <cols>
    <col min="1" max="1" width="3.28515625" style="238" customWidth="1"/>
    <col min="2" max="2" width="18.7109375" style="238" bestFit="1" customWidth="1"/>
    <col min="3" max="3" width="4" style="238" customWidth="1"/>
    <col min="4" max="6" width="5.5703125" style="238" bestFit="1" customWidth="1"/>
    <col min="7" max="7" width="10.140625" style="238" bestFit="1" customWidth="1"/>
    <col min="8" max="10" width="3.28515625" style="238" customWidth="1"/>
    <col min="11" max="16384" width="9.140625" style="238"/>
  </cols>
  <sheetData>
    <row r="1" spans="1:13" ht="12.75" customHeight="1" x14ac:dyDescent="0.2">
      <c r="A1" s="81" t="s">
        <v>163</v>
      </c>
      <c r="B1" s="239"/>
      <c r="C1" s="239"/>
      <c r="G1" s="600"/>
      <c r="K1" s="361" t="str">
        <f>HYPERLINK("#'Kalend'!I1","Kalender")</f>
        <v>Kalender</v>
      </c>
      <c r="L1" s="85"/>
      <c r="M1" s="361" t="str">
        <f>HYPERLINK("#'Reit'!J1","Reiting")</f>
        <v>Reiting</v>
      </c>
    </row>
    <row r="2" spans="1:13" x14ac:dyDescent="0.2">
      <c r="A2" s="128" t="s">
        <v>431</v>
      </c>
      <c r="B2" s="239"/>
      <c r="C2" s="239"/>
      <c r="D2" s="239"/>
      <c r="E2" s="239"/>
      <c r="F2" s="239"/>
      <c r="G2" s="239"/>
      <c r="H2" s="402"/>
      <c r="I2" s="601"/>
      <c r="J2" s="601"/>
    </row>
    <row r="3" spans="1:13" ht="12.75" customHeight="1" x14ac:dyDescent="0.2">
      <c r="B3" s="238" t="s">
        <v>58</v>
      </c>
      <c r="C3" s="238" t="s">
        <v>58</v>
      </c>
      <c r="H3" s="641"/>
      <c r="I3" s="643"/>
      <c r="J3" s="640"/>
    </row>
    <row r="4" spans="1:13" ht="32.25" customHeight="1" x14ac:dyDescent="0.2">
      <c r="A4" s="120"/>
      <c r="B4" s="120"/>
      <c r="C4" s="406" t="s">
        <v>58</v>
      </c>
      <c r="D4" s="785" t="str">
        <f>MID(Kalend!A13,4,5)</f>
        <v>27.12</v>
      </c>
      <c r="E4" s="785" t="str">
        <f>MID(Kalend!A21,4,5)</f>
        <v>14.02</v>
      </c>
      <c r="F4" s="785" t="str">
        <f>MID(Kalend!A33,4,5)</f>
        <v>03.04</v>
      </c>
      <c r="G4" s="602"/>
      <c r="H4" s="905" t="s">
        <v>401</v>
      </c>
      <c r="I4" s="906" t="s">
        <v>64</v>
      </c>
      <c r="J4" s="906" t="s">
        <v>65</v>
      </c>
    </row>
    <row r="5" spans="1:13" ht="12.75" customHeight="1" x14ac:dyDescent="0.2">
      <c r="A5" s="120"/>
      <c r="B5" s="120"/>
      <c r="C5" s="406"/>
      <c r="D5" s="786" t="str">
        <f>HYPERLINK("#'Tul-Eel'!W1","Tul1")</f>
        <v>Tul1</v>
      </c>
      <c r="E5" s="617" t="str">
        <f>HYPERLINK("#'Tul-Eel'!W36","Tul2")</f>
        <v>Tul2</v>
      </c>
      <c r="F5" s="786" t="str">
        <f>HYPERLINK("#'Tul-Eel'!W55","Tul3")</f>
        <v>Tul3</v>
      </c>
      <c r="G5" s="602"/>
      <c r="H5" s="905"/>
      <c r="I5" s="906"/>
      <c r="J5" s="906"/>
    </row>
    <row r="6" spans="1:13" x14ac:dyDescent="0.2">
      <c r="A6" s="185"/>
      <c r="B6" s="155" t="s">
        <v>66</v>
      </c>
      <c r="C6" s="155" t="s">
        <v>67</v>
      </c>
      <c r="D6" s="864" t="s">
        <v>430</v>
      </c>
      <c r="E6" s="864" t="s">
        <v>430</v>
      </c>
      <c r="F6" s="864" t="s">
        <v>430</v>
      </c>
      <c r="G6" s="603" t="s">
        <v>414</v>
      </c>
      <c r="H6" s="905"/>
      <c r="I6" s="906"/>
      <c r="J6" s="906"/>
    </row>
    <row r="7" spans="1:13" x14ac:dyDescent="0.2">
      <c r="A7" s="185">
        <v>1</v>
      </c>
      <c r="B7" s="559" t="s">
        <v>113</v>
      </c>
      <c r="C7" s="155">
        <f t="shared" ref="C7:C19" si="0">IF(COUNTA(D7:F7)&lt;1,"",SUM(D7:F7))</f>
        <v>59</v>
      </c>
      <c r="D7" s="285">
        <v>20</v>
      </c>
      <c r="E7" s="285">
        <v>21</v>
      </c>
      <c r="F7" s="285">
        <v>18</v>
      </c>
      <c r="G7" s="363" t="str">
        <f>IF(COUNTA(D7:F7)&lt;1,"",IF(RANK(C7,$C$7:$C$20)&lt;9,"edasi "&amp;RANK(C7,$C$7:$C$20),RANK(C7,$C$7:$C$20)))</f>
        <v>edasi 1</v>
      </c>
      <c r="H7" s="410">
        <f t="shared" ref="H7:H18" si="1">COUNT(D7:F7)</f>
        <v>3</v>
      </c>
      <c r="I7" s="410">
        <f t="shared" ref="I7:I20" si="2">IF(RANK(D7,D$7:D$20,0)&lt;4,1,0)+IF(ISBLANK(E7),0,IF(RANK(E7,E$7:E$20,0)&lt;4,1,0))+IF(ISBLANK(F7),0,IF(RANK(F7,F$7:F$20,0)&lt;4,1,0))</f>
        <v>3</v>
      </c>
      <c r="J7" s="410">
        <f t="shared" ref="J7:J20" si="3">IF(RANK(D7,D$7:D$20,0)=1,1,0)+IF(ISBLANK(E7),0,IF(RANK(E7,E$7:E$20,0)=1,1,0))+IF(ISBLANK(F7),0,IF(RANK(F7,F$7:F$20,0)=1,1,0))</f>
        <v>2</v>
      </c>
    </row>
    <row r="8" spans="1:13" x14ac:dyDescent="0.2">
      <c r="A8" s="185">
        <v>2</v>
      </c>
      <c r="B8" s="559" t="s">
        <v>90</v>
      </c>
      <c r="C8" s="155">
        <f t="shared" si="0"/>
        <v>55</v>
      </c>
      <c r="D8" s="285">
        <v>26</v>
      </c>
      <c r="E8" s="285">
        <v>14</v>
      </c>
      <c r="F8" s="285">
        <v>15</v>
      </c>
      <c r="G8" s="363" t="str">
        <f>IF(COUNTA(D8:F8)&lt;1,"",IF(RANK(C8,$C$7:$C$20)&lt;9,"edasi "&amp;RANK(C8,$C$7:$C$20),RANK(C8,$C$7:$C$20)))</f>
        <v>edasi 2</v>
      </c>
      <c r="H8" s="410">
        <f t="shared" si="1"/>
        <v>3</v>
      </c>
      <c r="I8" s="410">
        <f t="shared" si="2"/>
        <v>3</v>
      </c>
      <c r="J8" s="410">
        <f t="shared" si="3"/>
        <v>1</v>
      </c>
    </row>
    <row r="9" spans="1:13" x14ac:dyDescent="0.2">
      <c r="A9" s="185">
        <v>3</v>
      </c>
      <c r="B9" s="120" t="s">
        <v>115</v>
      </c>
      <c r="C9" s="155">
        <f t="shared" si="0"/>
        <v>40</v>
      </c>
      <c r="D9" s="285">
        <v>12</v>
      </c>
      <c r="E9" s="285">
        <v>11</v>
      </c>
      <c r="F9" s="285">
        <v>17</v>
      </c>
      <c r="G9" s="363" t="str">
        <f>IF(COUNTA(D9:F9)&lt;1,"",IF(RANK(C9,$C$7:$C$20)&lt;9,"edasi "&amp;RANK(C9,$C$7:$C$20),RANK(C9,$C$7:$C$20)))</f>
        <v>edasi 3</v>
      </c>
      <c r="H9" s="410">
        <f t="shared" si="1"/>
        <v>3</v>
      </c>
      <c r="I9" s="410">
        <f t="shared" si="2"/>
        <v>2</v>
      </c>
      <c r="J9" s="410">
        <f t="shared" si="3"/>
        <v>0</v>
      </c>
    </row>
    <row r="10" spans="1:13" x14ac:dyDescent="0.2">
      <c r="A10" s="185">
        <v>4</v>
      </c>
      <c r="B10" s="366" t="s">
        <v>104</v>
      </c>
      <c r="C10" s="155">
        <f t="shared" si="0"/>
        <v>28</v>
      </c>
      <c r="D10" s="285">
        <v>14</v>
      </c>
      <c r="E10" s="285">
        <v>6</v>
      </c>
      <c r="F10" s="285">
        <v>8</v>
      </c>
      <c r="G10" s="363" t="str">
        <f>IF(COUNTA(D10:F10)&lt;1,"",IF(RANK(C10,$C$7:$C$20)&lt;9,"edasi "&amp;RANK(C10,$C$7:$C$20),RANK(C10,$C$7:$C$20)))</f>
        <v>edasi 4</v>
      </c>
      <c r="H10" s="410">
        <f t="shared" si="1"/>
        <v>3</v>
      </c>
      <c r="I10" s="410">
        <f t="shared" si="2"/>
        <v>1</v>
      </c>
      <c r="J10" s="410">
        <f t="shared" si="3"/>
        <v>0</v>
      </c>
    </row>
    <row r="11" spans="1:13" x14ac:dyDescent="0.2">
      <c r="A11" s="185">
        <v>5</v>
      </c>
      <c r="B11" s="120" t="s">
        <v>95</v>
      </c>
      <c r="C11" s="155">
        <f>IF(COUNTA(D11:F11)&lt;1,"",SUM(D11:F11))</f>
        <v>24</v>
      </c>
      <c r="D11" s="285">
        <v>13</v>
      </c>
      <c r="E11" s="285">
        <v>4</v>
      </c>
      <c r="F11" s="285">
        <v>7</v>
      </c>
      <c r="G11" s="363" t="str">
        <f>IF(COUNTA(D11:F11)&lt;1,"",IF(RANK(C11,$C$7:$C$20)&lt;9,"edasi "&amp;RANK(C11,$C$7:$C$20),RANK(C11,$C$7:$C$20)))</f>
        <v>edasi 5</v>
      </c>
      <c r="H11" s="410">
        <f>COUNT(D11:F11)</f>
        <v>3</v>
      </c>
      <c r="I11" s="410">
        <f t="shared" si="2"/>
        <v>0</v>
      </c>
      <c r="J11" s="410">
        <f t="shared" si="3"/>
        <v>0</v>
      </c>
    </row>
    <row r="12" spans="1:13" x14ac:dyDescent="0.2">
      <c r="A12" s="185">
        <v>6</v>
      </c>
      <c r="B12" s="120" t="s">
        <v>108</v>
      </c>
      <c r="C12" s="155">
        <f>IF(COUNTA(D12:F12)&lt;1,"",SUM(D12:F12))</f>
        <v>24</v>
      </c>
      <c r="D12" s="285">
        <v>6</v>
      </c>
      <c r="E12" s="285">
        <v>6</v>
      </c>
      <c r="F12" s="285">
        <v>12</v>
      </c>
      <c r="G12" s="363" t="s">
        <v>399</v>
      </c>
      <c r="H12" s="410">
        <f>COUNT(D12:F12)</f>
        <v>3</v>
      </c>
      <c r="I12" s="410">
        <f t="shared" si="2"/>
        <v>0</v>
      </c>
      <c r="J12" s="410">
        <f t="shared" si="3"/>
        <v>0</v>
      </c>
    </row>
    <row r="13" spans="1:13" x14ac:dyDescent="0.2">
      <c r="A13" s="185">
        <v>7</v>
      </c>
      <c r="B13" s="559" t="s">
        <v>98</v>
      </c>
      <c r="C13" s="155">
        <f t="shared" si="0"/>
        <v>18</v>
      </c>
      <c r="D13" s="285">
        <v>13</v>
      </c>
      <c r="E13" s="285">
        <v>4</v>
      </c>
      <c r="F13" s="285">
        <v>1</v>
      </c>
      <c r="G13" s="363" t="str">
        <f>IF(COUNTA(D13:F13)&lt;1,"",IF(RANK(C13,$C$7:$C$20)&lt;9,"edasi "&amp;RANK(C13,$C$7:$C$20),RANK(C13,$C$7:$C$20)))</f>
        <v>edasi 7</v>
      </c>
      <c r="H13" s="410">
        <f t="shared" si="1"/>
        <v>3</v>
      </c>
      <c r="I13" s="410">
        <f t="shared" si="2"/>
        <v>0</v>
      </c>
      <c r="J13" s="410">
        <f t="shared" si="3"/>
        <v>0</v>
      </c>
    </row>
    <row r="14" spans="1:13" x14ac:dyDescent="0.2">
      <c r="A14" s="185">
        <v>8</v>
      </c>
      <c r="B14" s="280" t="s">
        <v>141</v>
      </c>
      <c r="C14" s="155">
        <f>IF(COUNTA(D14:F14)&lt;1,"",SUM(D14:F14))</f>
        <v>18</v>
      </c>
      <c r="D14" s="285"/>
      <c r="E14" s="285">
        <v>9</v>
      </c>
      <c r="F14" s="285">
        <v>9</v>
      </c>
      <c r="G14" s="363" t="s">
        <v>400</v>
      </c>
      <c r="H14" s="410">
        <f>COUNT(D14:F14)</f>
        <v>2</v>
      </c>
      <c r="I14" s="410">
        <f t="shared" si="2"/>
        <v>0</v>
      </c>
      <c r="J14" s="410">
        <f t="shared" si="3"/>
        <v>0</v>
      </c>
    </row>
    <row r="15" spans="1:13" x14ac:dyDescent="0.2">
      <c r="A15" s="185">
        <v>9</v>
      </c>
      <c r="B15" s="120" t="s">
        <v>106</v>
      </c>
      <c r="C15" s="155">
        <f t="shared" si="0"/>
        <v>16</v>
      </c>
      <c r="D15" s="285">
        <v>7</v>
      </c>
      <c r="E15" s="285">
        <v>6</v>
      </c>
      <c r="F15" s="285">
        <v>3</v>
      </c>
      <c r="G15" s="363">
        <f>IF(COUNTA(D15:F15)&lt;1,"",IF(RANK(C15,$C$7:$C$20)&lt;9,"edasi "&amp;RANK(C15,$C$7:$C$20),RANK(C15,$C$7:$C$20)))</f>
        <v>9</v>
      </c>
      <c r="H15" s="410">
        <f t="shared" si="1"/>
        <v>3</v>
      </c>
      <c r="I15" s="410">
        <f t="shared" si="2"/>
        <v>0</v>
      </c>
      <c r="J15" s="410">
        <f t="shared" si="3"/>
        <v>0</v>
      </c>
    </row>
    <row r="16" spans="1:13" x14ac:dyDescent="0.2">
      <c r="A16" s="185">
        <v>10</v>
      </c>
      <c r="B16" s="120" t="s">
        <v>143</v>
      </c>
      <c r="C16" s="155">
        <f>IF(COUNTA(D16:F16)&lt;1,"",SUM(D16:F16))</f>
        <v>10</v>
      </c>
      <c r="D16" s="285">
        <v>0</v>
      </c>
      <c r="E16" s="285">
        <v>10</v>
      </c>
      <c r="F16" s="285"/>
      <c r="G16" s="363">
        <f>IF(COUNTA(D16:F16)&lt;1,"",IF(RANK(C16,$C$7:$C$20)&lt;9,"edasi "&amp;RANK(C16,$C$7:$C$20),RANK(C16,$C$7:$C$20)))</f>
        <v>10</v>
      </c>
      <c r="H16" s="410">
        <f>COUNT(D16:F16)</f>
        <v>2</v>
      </c>
      <c r="I16" s="410">
        <f t="shared" si="2"/>
        <v>0</v>
      </c>
      <c r="J16" s="410">
        <f t="shared" si="3"/>
        <v>0</v>
      </c>
    </row>
    <row r="17" spans="1:10" x14ac:dyDescent="0.2">
      <c r="A17" s="185">
        <v>11</v>
      </c>
      <c r="B17" s="559" t="s">
        <v>111</v>
      </c>
      <c r="C17" s="155">
        <f t="shared" si="0"/>
        <v>8</v>
      </c>
      <c r="D17" s="285">
        <v>8</v>
      </c>
      <c r="E17" s="285">
        <v>0</v>
      </c>
      <c r="F17" s="285"/>
      <c r="G17" s="363">
        <f>IF(COUNTA(D17:F17)&lt;1,"",IF(RANK(C17,$C$7:$C$20)&lt;9,"edasi "&amp;RANK(C17,$C$7:$C$20),RANK(C17,$C$7:$C$20)))</f>
        <v>11</v>
      </c>
      <c r="H17" s="410">
        <f t="shared" si="1"/>
        <v>2</v>
      </c>
      <c r="I17" s="410">
        <f t="shared" si="2"/>
        <v>0</v>
      </c>
      <c r="J17" s="410">
        <f t="shared" si="3"/>
        <v>0</v>
      </c>
    </row>
    <row r="18" spans="1:10" x14ac:dyDescent="0.2">
      <c r="A18" s="185">
        <v>12</v>
      </c>
      <c r="B18" s="120" t="s">
        <v>112</v>
      </c>
      <c r="C18" s="155">
        <f t="shared" si="0"/>
        <v>6</v>
      </c>
      <c r="D18" s="285">
        <v>6</v>
      </c>
      <c r="E18" s="285"/>
      <c r="F18" s="285"/>
      <c r="G18" s="363">
        <f>IF(COUNTA(D18:F18)&lt;1,"",IF(RANK(C18,$C$7:$C$20)&lt;9,"edasi "&amp;RANK(C18,$C$7:$C$20),RANK(C18,$C$7:$C$20)))</f>
        <v>12</v>
      </c>
      <c r="H18" s="410">
        <f t="shared" si="1"/>
        <v>1</v>
      </c>
      <c r="I18" s="410">
        <f t="shared" si="2"/>
        <v>0</v>
      </c>
      <c r="J18" s="410">
        <f t="shared" si="3"/>
        <v>0</v>
      </c>
    </row>
    <row r="19" spans="1:10" x14ac:dyDescent="0.2">
      <c r="A19" s="185">
        <v>13</v>
      </c>
      <c r="B19" s="120" t="s">
        <v>114</v>
      </c>
      <c r="C19" s="155">
        <f t="shared" si="0"/>
        <v>6</v>
      </c>
      <c r="D19" s="285"/>
      <c r="E19" s="285">
        <v>1</v>
      </c>
      <c r="F19" s="285">
        <v>5</v>
      </c>
      <c r="G19" s="363">
        <v>13</v>
      </c>
      <c r="H19" s="410">
        <f>COUNT(D19:F19)</f>
        <v>2</v>
      </c>
      <c r="I19" s="410">
        <f t="shared" si="2"/>
        <v>0</v>
      </c>
      <c r="J19" s="410">
        <f t="shared" si="3"/>
        <v>0</v>
      </c>
    </row>
    <row r="20" spans="1:10" x14ac:dyDescent="0.2">
      <c r="A20" s="185">
        <v>14</v>
      </c>
      <c r="B20" s="279" t="s">
        <v>125</v>
      </c>
      <c r="C20" s="155">
        <f>IF(COUNTA(D20:F20)&lt;1,"",SUM(D20:F20))</f>
        <v>1</v>
      </c>
      <c r="D20" s="285">
        <v>1</v>
      </c>
      <c r="E20" s="285">
        <v>0</v>
      </c>
      <c r="F20" s="285"/>
      <c r="G20" s="363">
        <f>IF(COUNTA(D20:F20)&lt;1,"",IF(RANK(C20,$C$7:$C$20)&lt;9,"edasi "&amp;RANK(C20,$C$7:$C$20),RANK(C20,$C$7:$C$20)))</f>
        <v>14</v>
      </c>
      <c r="H20" s="410">
        <f>COUNT(D20:F20)</f>
        <v>2</v>
      </c>
      <c r="I20" s="410">
        <f t="shared" si="2"/>
        <v>0</v>
      </c>
      <c r="J20" s="410">
        <f t="shared" si="3"/>
        <v>0</v>
      </c>
    </row>
    <row r="21" spans="1:10" x14ac:dyDescent="0.2">
      <c r="A21" s="412">
        <f>COUNT(A7:A20)</f>
        <v>14</v>
      </c>
      <c r="B21" s="413" t="s">
        <v>70</v>
      </c>
      <c r="C21" s="414"/>
      <c r="D21" s="415">
        <f>COUNTIF(D7:D20,"&gt;=0")</f>
        <v>12</v>
      </c>
      <c r="E21" s="415">
        <f>COUNTIF(E7:E20,"&gt;=0")</f>
        <v>13</v>
      </c>
      <c r="F21" s="415">
        <f>COUNTIF(F7:F20,"&gt;=0")</f>
        <v>10</v>
      </c>
      <c r="G21" s="415"/>
      <c r="H21" s="121"/>
      <c r="I21" s="416">
        <f>SUM(I7:I20)</f>
        <v>9</v>
      </c>
      <c r="J21" s="605">
        <f>SUM(J7:J20)</f>
        <v>3</v>
      </c>
    </row>
    <row r="22" spans="1:10" x14ac:dyDescent="0.2">
      <c r="A22" s="393"/>
      <c r="B22" s="606"/>
      <c r="C22" s="395"/>
      <c r="D22" s="395"/>
      <c r="E22" s="122"/>
      <c r="F22" s="122"/>
      <c r="G22" s="122"/>
      <c r="H22" s="393"/>
      <c r="I22" s="393"/>
      <c r="J22" s="393"/>
    </row>
  </sheetData>
  <mergeCells count="3">
    <mergeCell ref="H4:H6"/>
    <mergeCell ref="I4:I6"/>
    <mergeCell ref="J4:J6"/>
  </mergeCells>
  <conditionalFormatting sqref="G21">
    <cfRule type="top10" dxfId="127" priority="32" stopIfTrue="1" rank="1"/>
  </conditionalFormatting>
  <conditionalFormatting sqref="D21:F21">
    <cfRule type="top10" dxfId="126" priority="108" stopIfTrue="1" rank="1"/>
  </conditionalFormatting>
  <conditionalFormatting sqref="B7">
    <cfRule type="duplicateValues" dxfId="125" priority="12" stopIfTrue="1"/>
  </conditionalFormatting>
  <conditionalFormatting sqref="B8">
    <cfRule type="duplicateValues" dxfId="124" priority="11" stopIfTrue="1"/>
  </conditionalFormatting>
  <conditionalFormatting sqref="B9">
    <cfRule type="duplicateValues" dxfId="123" priority="10" stopIfTrue="1"/>
  </conditionalFormatting>
  <conditionalFormatting sqref="B10">
    <cfRule type="duplicateValues" dxfId="122" priority="9" stopIfTrue="1"/>
  </conditionalFormatting>
  <conditionalFormatting sqref="B15">
    <cfRule type="duplicateValues" dxfId="121" priority="8" stopIfTrue="1"/>
  </conditionalFormatting>
  <conditionalFormatting sqref="B18">
    <cfRule type="duplicateValues" dxfId="120" priority="7" stopIfTrue="1"/>
  </conditionalFormatting>
  <conditionalFormatting sqref="B19:B20 B16:B17 B11:B14">
    <cfRule type="duplicateValues" dxfId="119" priority="316" stopIfTrue="1"/>
  </conditionalFormatting>
  <conditionalFormatting sqref="G7:G20">
    <cfRule type="duplicateValues" dxfId="118" priority="317" stopIfTrue="1"/>
    <cfRule type="top10" dxfId="117" priority="318" stopIfTrue="1" rank="100"/>
  </conditionalFormatting>
  <conditionalFormatting sqref="D7:D20">
    <cfRule type="top10" dxfId="116" priority="319" stopIfTrue="1" rank="1"/>
  </conditionalFormatting>
  <conditionalFormatting sqref="E7:E20">
    <cfRule type="top10" dxfId="115" priority="320" stopIfTrue="1" rank="1"/>
  </conditionalFormatting>
  <conditionalFormatting sqref="F7:F20">
    <cfRule type="top10" dxfId="114" priority="321" stopIfTrue="1" rank="1"/>
  </conditionalFormatting>
  <conditionalFormatting sqref="I7:I20">
    <cfRule type="top10" dxfId="113" priority="322" stopIfTrue="1" rank="1"/>
  </conditionalFormatting>
  <conditionalFormatting sqref="J7:J20">
    <cfRule type="top10" dxfId="112" priority="323" stopIfTrue="1" rank="1"/>
  </conditionalFormatting>
  <conditionalFormatting sqref="H7:H20">
    <cfRule type="top10" dxfId="111" priority="324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360" r:id="rId1"/>
  <headerFooter>
    <oddHeader>&amp;R&amp;"Arial,Regular"&amp;9Page &amp;P of &amp;N</oddHeader>
  </headerFooter>
  <ignoredErrors>
    <ignoredError sqref="C19 H1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A42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.28515625" style="500" customWidth="1"/>
    <col min="2" max="2" width="19.42578125" style="500" customWidth="1"/>
    <col min="3" max="22" width="2.85546875" style="500" customWidth="1"/>
    <col min="23" max="23" width="3" style="500" bestFit="1" customWidth="1"/>
    <col min="24" max="24" width="10.140625" style="500" bestFit="1" customWidth="1"/>
    <col min="25" max="26" width="4" style="500" hidden="1" customWidth="1"/>
    <col min="27" max="27" width="4.5703125" style="500" hidden="1" customWidth="1"/>
    <col min="28" max="16384" width="9.140625" style="500"/>
  </cols>
  <sheetData>
    <row r="1" spans="1:27" s="238" customFormat="1" x14ac:dyDescent="0.2">
      <c r="A1" s="82" t="str">
        <f>UPPER((Kalend!D36)&amp;" - "&amp;(Kalend!C36)&amp;" - "&amp;(Kalend!E36))</f>
        <v>TUL-F - TULISTAMISE VF, PF, FINAAL - TULISTAMINE</v>
      </c>
      <c r="O1" s="361" t="str">
        <f>HYPERLINK("#'Kalend'!I1","Kalender")</f>
        <v>Kalender</v>
      </c>
      <c r="P1" s="85"/>
      <c r="S1" s="361" t="str">
        <f>HYPERLINK("#'Reit'!J1","Reiting")</f>
        <v>Reiting</v>
      </c>
    </row>
    <row r="2" spans="1:27" s="238" customFormat="1" x14ac:dyDescent="0.2">
      <c r="A2" s="85" t="str">
        <f>"Toimumisaeg: "&amp;(Kalend!A36)&amp;" kell "&amp;(Kalend!B36)</f>
        <v>Toimumisaeg: P, 24.04.2016 kell 11:00</v>
      </c>
    </row>
    <row r="3" spans="1:27" s="238" customFormat="1" x14ac:dyDescent="0.2">
      <c r="A3" s="85" t="str">
        <f>"Toimumiskoht: "&amp;(Kalend!F36)</f>
        <v>Toimumiskoht: K-Järve petangihall</v>
      </c>
    </row>
    <row r="4" spans="1:27" s="238" customFormat="1" x14ac:dyDescent="0.2">
      <c r="A4" s="85" t="str">
        <f>"Korraldaja: "&amp;(Kalend!G36)</f>
        <v>Korraldaja: K-Järve SHK, Ivar Viljaste</v>
      </c>
    </row>
    <row r="5" spans="1:27" s="238" customFormat="1" ht="13.5" thickBot="1" x14ac:dyDescent="0.25"/>
    <row r="6" spans="1:27" ht="63.75" customHeight="1" thickBot="1" x14ac:dyDescent="0.25">
      <c r="A6" s="739"/>
      <c r="B6" s="740"/>
      <c r="C6" s="741"/>
      <c r="D6" s="741"/>
      <c r="E6" s="741"/>
      <c r="F6" s="741"/>
      <c r="G6" s="742"/>
      <c r="H6" s="741"/>
      <c r="I6" s="741"/>
      <c r="J6" s="743"/>
      <c r="K6" s="741"/>
      <c r="L6" s="741"/>
      <c r="M6" s="741"/>
      <c r="N6" s="741"/>
      <c r="O6" s="742"/>
      <c r="P6" s="741"/>
      <c r="Q6" s="741"/>
      <c r="R6" s="743"/>
      <c r="S6" s="741"/>
      <c r="T6" s="741"/>
      <c r="U6" s="741"/>
      <c r="V6" s="741"/>
      <c r="W6" s="744"/>
      <c r="X6" s="744"/>
    </row>
    <row r="7" spans="1:27" s="512" customFormat="1" ht="13.5" thickBot="1" x14ac:dyDescent="0.25">
      <c r="A7" s="745"/>
      <c r="B7" s="746"/>
      <c r="C7" s="747">
        <v>6</v>
      </c>
      <c r="D7" s="748">
        <v>7</v>
      </c>
      <c r="E7" s="748">
        <v>8</v>
      </c>
      <c r="F7" s="749">
        <v>9</v>
      </c>
      <c r="G7" s="747">
        <v>6</v>
      </c>
      <c r="H7" s="748">
        <v>7</v>
      </c>
      <c r="I7" s="748">
        <v>8</v>
      </c>
      <c r="J7" s="749">
        <v>9</v>
      </c>
      <c r="K7" s="747">
        <v>6</v>
      </c>
      <c r="L7" s="748">
        <v>7</v>
      </c>
      <c r="M7" s="748">
        <v>8</v>
      </c>
      <c r="N7" s="749">
        <v>9</v>
      </c>
      <c r="O7" s="747">
        <v>6</v>
      </c>
      <c r="P7" s="748">
        <v>7</v>
      </c>
      <c r="Q7" s="748">
        <v>8</v>
      </c>
      <c r="R7" s="749">
        <v>9</v>
      </c>
      <c r="S7" s="747">
        <v>6</v>
      </c>
      <c r="T7" s="748">
        <v>7</v>
      </c>
      <c r="U7" s="748">
        <v>8</v>
      </c>
      <c r="V7" s="749">
        <v>9</v>
      </c>
      <c r="W7" s="750" t="s">
        <v>67</v>
      </c>
      <c r="X7" s="751" t="s">
        <v>414</v>
      </c>
    </row>
    <row r="8" spans="1:27" x14ac:dyDescent="0.2">
      <c r="A8" s="578"/>
      <c r="B8" s="738" t="s">
        <v>86</v>
      </c>
      <c r="C8" s="733"/>
      <c r="D8" s="734"/>
      <c r="E8" s="734"/>
      <c r="F8" s="735"/>
      <c r="G8" s="733"/>
      <c r="H8" s="734"/>
      <c r="I8" s="734"/>
      <c r="J8" s="735"/>
      <c r="K8" s="733"/>
      <c r="L8" s="734"/>
      <c r="M8" s="734"/>
      <c r="N8" s="735"/>
      <c r="O8" s="733"/>
      <c r="P8" s="734"/>
      <c r="Q8" s="734"/>
      <c r="R8" s="735"/>
      <c r="S8" s="733"/>
      <c r="T8" s="734"/>
      <c r="U8" s="734"/>
      <c r="V8" s="735"/>
      <c r="W8" s="737"/>
      <c r="X8" s="737"/>
      <c r="Y8" s="553"/>
      <c r="Z8" s="554" t="s">
        <v>381</v>
      </c>
      <c r="AA8" s="554" t="s">
        <v>380</v>
      </c>
    </row>
    <row r="9" spans="1:27" x14ac:dyDescent="0.2">
      <c r="A9" s="774">
        <v>4</v>
      </c>
      <c r="B9" s="775" t="str">
        <f>IFERROR(INDEX('Tul-Sum'!$B$7:$B$20,MATCH("edasi 4",'Tul-Sum'!$G$7:$G$20,0)),"")</f>
        <v>Oskar Sepp</v>
      </c>
      <c r="C9" s="776">
        <v>0</v>
      </c>
      <c r="D9" s="777">
        <v>0</v>
      </c>
      <c r="E9" s="777">
        <v>3</v>
      </c>
      <c r="F9" s="778">
        <v>0</v>
      </c>
      <c r="G9" s="776">
        <v>0</v>
      </c>
      <c r="H9" s="777">
        <v>0</v>
      </c>
      <c r="I9" s="777">
        <v>0</v>
      </c>
      <c r="J9" s="778">
        <v>0</v>
      </c>
      <c r="K9" s="776">
        <v>0</v>
      </c>
      <c r="L9" s="777">
        <v>0</v>
      </c>
      <c r="M9" s="777">
        <v>0</v>
      </c>
      <c r="N9" s="778">
        <v>0</v>
      </c>
      <c r="O9" s="776">
        <v>0</v>
      </c>
      <c r="P9" s="777">
        <v>0</v>
      </c>
      <c r="Q9" s="777">
        <v>0</v>
      </c>
      <c r="R9" s="778">
        <v>0</v>
      </c>
      <c r="S9" s="776">
        <v>0</v>
      </c>
      <c r="T9" s="777">
        <v>0</v>
      </c>
      <c r="U9" s="777">
        <v>0</v>
      </c>
      <c r="V9" s="778">
        <v>0</v>
      </c>
      <c r="W9" s="590">
        <f>IF(COUNTA(C9:V9)=0,"",SUM(C9:V9)+COUNTIF(C9:V9,5)/100+COUNTIF(C9:V9,3)/10000)</f>
        <v>3.0001000000000002</v>
      </c>
      <c r="X9" s="779">
        <f>IF(ISBLANK(C9),"",IF(W9=W10,"edasi "&amp;RANK(W9,$AA$9:$AA$16),(IF(RANK(Y9,$Y$9:$Y$10)&lt;2,"edasi "&amp;RANK(W9,$AA$9:$AA$16),RANK(W9,$Z$9:$Z$16)+4))))</f>
        <v>7</v>
      </c>
      <c r="Y9" s="556">
        <f>IF(COUNTA(C9:V9)=0,100,W9+IF(RANK(W9,$W$9:$W$10)=1,100,0))</f>
        <v>3.0001000000000002</v>
      </c>
      <c r="Z9" s="554">
        <f>MIN(W9:W10)</f>
        <v>3.0001000000000002</v>
      </c>
      <c r="AA9" s="554">
        <f>MAX(W9:W10)</f>
        <v>9.0002999999999993</v>
      </c>
    </row>
    <row r="10" spans="1:27" x14ac:dyDescent="0.2">
      <c r="A10" s="774">
        <v>5</v>
      </c>
      <c r="B10" s="775" t="str">
        <f>IFERROR(INDEX('Tul-Sum'!$B$7:$B$20,MATCH("edasi 5",'Tul-Sum'!$G$7:$G$20,0)),"")</f>
        <v>Janek Tarto</v>
      </c>
      <c r="C10" s="776">
        <v>0</v>
      </c>
      <c r="D10" s="777">
        <v>0</v>
      </c>
      <c r="E10" s="777">
        <v>0</v>
      </c>
      <c r="F10" s="778">
        <v>0</v>
      </c>
      <c r="G10" s="776">
        <v>3</v>
      </c>
      <c r="H10" s="777">
        <v>0</v>
      </c>
      <c r="I10" s="777">
        <v>0</v>
      </c>
      <c r="J10" s="778">
        <v>0</v>
      </c>
      <c r="K10" s="776">
        <v>3</v>
      </c>
      <c r="L10" s="777">
        <v>3</v>
      </c>
      <c r="M10" s="777">
        <v>0</v>
      </c>
      <c r="N10" s="778">
        <v>0</v>
      </c>
      <c r="O10" s="776">
        <v>0</v>
      </c>
      <c r="P10" s="777">
        <v>0</v>
      </c>
      <c r="Q10" s="777">
        <v>0</v>
      </c>
      <c r="R10" s="778">
        <v>0</v>
      </c>
      <c r="S10" s="776">
        <v>0</v>
      </c>
      <c r="T10" s="777">
        <v>0</v>
      </c>
      <c r="U10" s="777">
        <v>0</v>
      </c>
      <c r="V10" s="778">
        <v>0</v>
      </c>
      <c r="W10" s="590">
        <f>IF(COUNTA(C10:V10)=0,"",SUM(C10:V10)+COUNTIF(C10:V10,5)/100+COUNTIF(C10:V10,3)/10000)</f>
        <v>9.0002999999999993</v>
      </c>
      <c r="X10" s="779" t="str">
        <f>IF(ISBLANK(C10),"",IF(RANK(Y10,$Y$9:$Y$10)&lt;2,"edasi "&amp;RANK(W10,$AA$9:$AA$16),RANK(W10,$Z$9:$Z$16)+4))</f>
        <v>edasi 4</v>
      </c>
      <c r="Y10" s="558">
        <f>IF(COUNTA(C10:V10)=0,0,W10+IF(RANK(W10,$W$9:$W$10)=1,100,0))</f>
        <v>109.0003</v>
      </c>
      <c r="Z10" s="554"/>
      <c r="AA10" s="554"/>
    </row>
    <row r="11" spans="1:27" x14ac:dyDescent="0.2">
      <c r="A11" s="493">
        <v>3</v>
      </c>
      <c r="B11" s="531" t="str">
        <f>IFERROR(INDEX('Tul-Sum'!$B$7:$B$20,MATCH("edasi 3",'Tul-Sum'!$G$7:$G$20,0)),"")</f>
        <v>Boriss Klubov</v>
      </c>
      <c r="C11" s="522">
        <v>3</v>
      </c>
      <c r="D11" s="523">
        <v>3</v>
      </c>
      <c r="E11" s="523">
        <v>0</v>
      </c>
      <c r="F11" s="598">
        <v>3</v>
      </c>
      <c r="G11" s="522">
        <v>3</v>
      </c>
      <c r="H11" s="523">
        <v>0</v>
      </c>
      <c r="I11" s="523">
        <v>0</v>
      </c>
      <c r="J11" s="598">
        <v>0</v>
      </c>
      <c r="K11" s="522">
        <v>0</v>
      </c>
      <c r="L11" s="523">
        <v>0</v>
      </c>
      <c r="M11" s="523">
        <v>1</v>
      </c>
      <c r="N11" s="598">
        <v>0</v>
      </c>
      <c r="O11" s="522">
        <v>0</v>
      </c>
      <c r="P11" s="523">
        <v>0</v>
      </c>
      <c r="Q11" s="523">
        <v>0</v>
      </c>
      <c r="R11" s="598">
        <v>0</v>
      </c>
      <c r="S11" s="522">
        <v>5</v>
      </c>
      <c r="T11" s="523">
        <v>0</v>
      </c>
      <c r="U11" s="523">
        <v>0</v>
      </c>
      <c r="V11" s="598">
        <v>3</v>
      </c>
      <c r="W11" s="555">
        <f t="shared" ref="W11:W27" si="0">IF(COUNTA(C11:V11)=0,"",SUM(C11:V11)+COUNTIF(C11:V11,5)/100+COUNTIF(C11:V11,3)/10000)</f>
        <v>21.0105</v>
      </c>
      <c r="X11" s="552" t="str">
        <f>IF(ISBLANK(C11),"",IF(RANK(Y11,$Y$11:$Y$12)&lt;2,"edasi "&amp;RANK(W11,$AA$9:$AA$16),RANK(W11,$Z$9:$Z$16)+4))</f>
        <v>edasi 3</v>
      </c>
      <c r="Y11" s="556">
        <f>IF(COUNTA(C11:V11)=0,100,W11+IF(RANK(W11,$W$11:$W$12)=1,100,0))</f>
        <v>121.01050000000001</v>
      </c>
      <c r="Z11" s="554">
        <f>MIN(W11:W12)</f>
        <v>4.0000999999999998</v>
      </c>
      <c r="AA11" s="554">
        <f>MAX(W11:W12)</f>
        <v>21.0105</v>
      </c>
    </row>
    <row r="12" spans="1:27" x14ac:dyDescent="0.2">
      <c r="A12" s="493">
        <v>6</v>
      </c>
      <c r="B12" s="531" t="str">
        <f>IFERROR(INDEX('Tul-Sum'!$B$7:$B$20,MATCH("edasi 6",'Tul-Sum'!$G$7:$G$20,0)),"")</f>
        <v>Vladimir Ogneštšikov</v>
      </c>
      <c r="C12" s="522">
        <v>3</v>
      </c>
      <c r="D12" s="523">
        <v>0</v>
      </c>
      <c r="E12" s="523">
        <v>0</v>
      </c>
      <c r="F12" s="598">
        <v>0</v>
      </c>
      <c r="G12" s="522">
        <v>0</v>
      </c>
      <c r="H12" s="523">
        <v>0</v>
      </c>
      <c r="I12" s="523">
        <v>0</v>
      </c>
      <c r="J12" s="598">
        <v>1</v>
      </c>
      <c r="K12" s="522">
        <v>0</v>
      </c>
      <c r="L12" s="523">
        <v>0</v>
      </c>
      <c r="M12" s="523">
        <v>0</v>
      </c>
      <c r="N12" s="598">
        <v>0</v>
      </c>
      <c r="O12" s="522">
        <v>0</v>
      </c>
      <c r="P12" s="523">
        <v>0</v>
      </c>
      <c r="Q12" s="523">
        <v>0</v>
      </c>
      <c r="R12" s="598">
        <v>0</v>
      </c>
      <c r="S12" s="522">
        <v>0</v>
      </c>
      <c r="T12" s="523">
        <v>0</v>
      </c>
      <c r="U12" s="523">
        <v>0</v>
      </c>
      <c r="V12" s="598">
        <v>0</v>
      </c>
      <c r="W12" s="555">
        <f t="shared" si="0"/>
        <v>4.0000999999999998</v>
      </c>
      <c r="X12" s="552">
        <f>IF(ISBLANK(C12),"",IF(RANK(Y12,$Y$11:$Y$12)&lt;2,"edasi "&amp;RANK(W12,$AA$9:$AA$16),RANK(W12,$Z$9:$Z$16)+4))</f>
        <v>6</v>
      </c>
      <c r="Y12" s="558">
        <f>IF(COUNTA(C12:V12)=0,0,W12+IF(RANK(W12,$W$11:$W$12)=1,100,0))</f>
        <v>4.0000999999999998</v>
      </c>
      <c r="Z12" s="554"/>
      <c r="AA12" s="554"/>
    </row>
    <row r="13" spans="1:27" x14ac:dyDescent="0.2">
      <c r="A13" s="774">
        <v>2</v>
      </c>
      <c r="B13" s="775" t="str">
        <f>IFERROR(INDEX('Tul-Sum'!$B$7:$B$20,MATCH("edasi 2",'Tul-Sum'!$G$7:$G$20,0)),"")</f>
        <v>Ülo Piik</v>
      </c>
      <c r="C13" s="776">
        <v>3</v>
      </c>
      <c r="D13" s="777">
        <v>3</v>
      </c>
      <c r="E13" s="777">
        <v>3</v>
      </c>
      <c r="F13" s="778">
        <v>0</v>
      </c>
      <c r="G13" s="776">
        <v>3</v>
      </c>
      <c r="H13" s="777">
        <v>0</v>
      </c>
      <c r="I13" s="777">
        <v>0</v>
      </c>
      <c r="J13" s="778">
        <v>0</v>
      </c>
      <c r="K13" s="776">
        <v>1</v>
      </c>
      <c r="L13" s="777">
        <v>3</v>
      </c>
      <c r="M13" s="777">
        <v>1</v>
      </c>
      <c r="N13" s="778">
        <v>3</v>
      </c>
      <c r="O13" s="776">
        <v>0</v>
      </c>
      <c r="P13" s="777">
        <v>0</v>
      </c>
      <c r="Q13" s="777">
        <v>3</v>
      </c>
      <c r="R13" s="778">
        <v>0</v>
      </c>
      <c r="S13" s="776">
        <v>0</v>
      </c>
      <c r="T13" s="777">
        <v>0</v>
      </c>
      <c r="U13" s="777">
        <v>5</v>
      </c>
      <c r="V13" s="778">
        <v>0</v>
      </c>
      <c r="W13" s="590">
        <f t="shared" si="0"/>
        <v>28.0107</v>
      </c>
      <c r="X13" s="779" t="str">
        <f>IF(ISBLANK(C13),"",IF(RANK(Y13,$Y$13:$Y$14)&lt;2,"edasi "&amp;RANK(W13,$AA$9:$AA$16),RANK(W13,$Z$9:$Z$16)+4))</f>
        <v>edasi 2</v>
      </c>
      <c r="Y13" s="556">
        <f>IF(COUNTA(C13:V13)=0,100,W13+IF(RANK(W13,$W$13:$W$14)=1,100,0))</f>
        <v>128.01069999999999</v>
      </c>
      <c r="Z13" s="554">
        <f>MIN(W13:W14)</f>
        <v>6.0002000000000004</v>
      </c>
      <c r="AA13" s="554">
        <f>MAX(W13:W14)</f>
        <v>28.0107</v>
      </c>
    </row>
    <row r="14" spans="1:27" x14ac:dyDescent="0.2">
      <c r="A14" s="774">
        <v>7</v>
      </c>
      <c r="B14" s="775" t="str">
        <f>IFERROR(INDEX('Tul-Sum'!$B$7:$B$20,MATCH("edasi 7",'Tul-Sum'!$G$7:$G$20,0)),"")</f>
        <v>Jaan Sepp</v>
      </c>
      <c r="C14" s="776">
        <v>0</v>
      </c>
      <c r="D14" s="777">
        <v>0</v>
      </c>
      <c r="E14" s="777">
        <v>3</v>
      </c>
      <c r="F14" s="778">
        <v>0</v>
      </c>
      <c r="G14" s="776">
        <v>0</v>
      </c>
      <c r="H14" s="777">
        <v>0</v>
      </c>
      <c r="I14" s="777">
        <v>0</v>
      </c>
      <c r="J14" s="778">
        <v>0</v>
      </c>
      <c r="K14" s="776">
        <v>3</v>
      </c>
      <c r="L14" s="777">
        <v>0</v>
      </c>
      <c r="M14" s="777">
        <v>0</v>
      </c>
      <c r="N14" s="778">
        <v>0</v>
      </c>
      <c r="O14" s="776">
        <v>0</v>
      </c>
      <c r="P14" s="777">
        <v>0</v>
      </c>
      <c r="Q14" s="777">
        <v>0</v>
      </c>
      <c r="R14" s="778">
        <v>0</v>
      </c>
      <c r="S14" s="776">
        <v>0</v>
      </c>
      <c r="T14" s="777">
        <v>0</v>
      </c>
      <c r="U14" s="777">
        <v>0</v>
      </c>
      <c r="V14" s="778">
        <v>0</v>
      </c>
      <c r="W14" s="590">
        <f t="shared" si="0"/>
        <v>6.0002000000000004</v>
      </c>
      <c r="X14" s="779">
        <f>IF(ISBLANK(C14),"",IF(RANK(Y14,$Y$13:$Y$14)&lt;2,"edasi "&amp;RANK(W14,$AA$9:$AA$16),RANK(W14,$Z$9:$Z$16)+4))</f>
        <v>5</v>
      </c>
      <c r="Y14" s="558">
        <f>IF(COUNTA(C14:V14)=0,0,W14+IF(RANK(W14,$W$13:$W$14)=1,100,0))</f>
        <v>6.0002000000000004</v>
      </c>
      <c r="Z14" s="554"/>
      <c r="AA14" s="554"/>
    </row>
    <row r="15" spans="1:27" x14ac:dyDescent="0.2">
      <c r="A15" s="493">
        <v>1</v>
      </c>
      <c r="B15" s="531" t="str">
        <f>IFERROR(INDEX('Tul-Sum'!$B$7:$B$20,MATCH("edasi 1",'Tul-Sum'!$G$7:$G$20,0)),"")</f>
        <v>Ivar Viljaste</v>
      </c>
      <c r="C15" s="522">
        <v>3</v>
      </c>
      <c r="D15" s="523">
        <v>0</v>
      </c>
      <c r="E15" s="523">
        <v>3</v>
      </c>
      <c r="F15" s="598">
        <v>0</v>
      </c>
      <c r="G15" s="522">
        <v>1</v>
      </c>
      <c r="H15" s="523">
        <v>3</v>
      </c>
      <c r="I15" s="523">
        <v>3</v>
      </c>
      <c r="J15" s="598">
        <v>3</v>
      </c>
      <c r="K15" s="522">
        <v>3</v>
      </c>
      <c r="L15" s="523">
        <v>1</v>
      </c>
      <c r="M15" s="523">
        <v>0</v>
      </c>
      <c r="N15" s="598">
        <v>3</v>
      </c>
      <c r="O15" s="522">
        <v>0</v>
      </c>
      <c r="P15" s="523">
        <v>1</v>
      </c>
      <c r="Q15" s="523">
        <v>3</v>
      </c>
      <c r="R15" s="598">
        <v>3</v>
      </c>
      <c r="S15" s="522">
        <v>3</v>
      </c>
      <c r="T15" s="523">
        <v>0</v>
      </c>
      <c r="U15" s="523">
        <v>0</v>
      </c>
      <c r="V15" s="598">
        <v>0</v>
      </c>
      <c r="W15" s="555">
        <f t="shared" si="0"/>
        <v>33.000999999999998</v>
      </c>
      <c r="X15" s="552" t="str">
        <f>IF(ISBLANK(C15),"",IF(RANK(Y15,$Y$15:$Y$16)&lt;2,"edasi "&amp;RANK(W15,$AA$9:$AA$16),RANK(W15,$Z$9:$Z$16)+4))</f>
        <v>edasi 1</v>
      </c>
      <c r="Y15" s="556">
        <f>IF(COUNTA(C15:V15)=0,100,W15+IF(RANK(W15,$W$15:$W$16)=1,100,0))</f>
        <v>133.001</v>
      </c>
      <c r="Z15" s="554">
        <f>MIN(W15:W16)</f>
        <v>0</v>
      </c>
      <c r="AA15" s="554">
        <f>MAX(W15:W16)</f>
        <v>33.000999999999998</v>
      </c>
    </row>
    <row r="16" spans="1:27" ht="13.5" thickBot="1" x14ac:dyDescent="0.25">
      <c r="A16" s="564">
        <v>8</v>
      </c>
      <c r="B16" s="710" t="str">
        <f>IFERROR(INDEX('Tul-Sum'!$B$7:$B$20,MATCH("edasi 8",'Tul-Sum'!$G$7:$G$20,0)),"")</f>
        <v>Sirje Viljaste</v>
      </c>
      <c r="C16" s="566" t="s">
        <v>221</v>
      </c>
      <c r="D16" s="567" t="s">
        <v>221</v>
      </c>
      <c r="E16" s="567" t="s">
        <v>221</v>
      </c>
      <c r="F16" s="607" t="s">
        <v>221</v>
      </c>
      <c r="G16" s="566" t="s">
        <v>221</v>
      </c>
      <c r="H16" s="567" t="s">
        <v>221</v>
      </c>
      <c r="I16" s="567" t="s">
        <v>221</v>
      </c>
      <c r="J16" s="607" t="s">
        <v>221</v>
      </c>
      <c r="K16" s="566" t="s">
        <v>221</v>
      </c>
      <c r="L16" s="567" t="s">
        <v>221</v>
      </c>
      <c r="M16" s="567" t="s">
        <v>221</v>
      </c>
      <c r="N16" s="607" t="s">
        <v>221</v>
      </c>
      <c r="O16" s="566" t="s">
        <v>221</v>
      </c>
      <c r="P16" s="567" t="s">
        <v>221</v>
      </c>
      <c r="Q16" s="567" t="s">
        <v>221</v>
      </c>
      <c r="R16" s="607" t="s">
        <v>221</v>
      </c>
      <c r="S16" s="566" t="s">
        <v>221</v>
      </c>
      <c r="T16" s="567" t="s">
        <v>221</v>
      </c>
      <c r="U16" s="567" t="s">
        <v>221</v>
      </c>
      <c r="V16" s="607" t="s">
        <v>221</v>
      </c>
      <c r="W16" s="568">
        <f t="shared" si="0"/>
        <v>0</v>
      </c>
      <c r="X16" s="731">
        <f>IF(ISBLANK(C16),"",IF(RANK(Y16,$Y$15:$Y$16)&lt;2,"edasi "&amp;RANK(W16,$AA$9:$AA$16),RANK(W16,$Z$9:$Z$16)+4))</f>
        <v>8</v>
      </c>
      <c r="Y16" s="558">
        <f>IF(COUNTA(C16:V16)=0,0,W16+IF(RANK(W16,$W$15:$W$16)=1,100,0))</f>
        <v>0</v>
      </c>
      <c r="Z16" s="554"/>
      <c r="AA16" s="554"/>
    </row>
    <row r="17" spans="1:24" x14ac:dyDescent="0.2">
      <c r="A17" s="578"/>
      <c r="B17" s="738" t="s">
        <v>87</v>
      </c>
      <c r="C17" s="733"/>
      <c r="D17" s="734"/>
      <c r="E17" s="734"/>
      <c r="F17" s="735"/>
      <c r="G17" s="733"/>
      <c r="H17" s="734"/>
      <c r="I17" s="734"/>
      <c r="J17" s="735"/>
      <c r="K17" s="733"/>
      <c r="L17" s="734"/>
      <c r="M17" s="734"/>
      <c r="N17" s="735"/>
      <c r="O17" s="733"/>
      <c r="P17" s="734"/>
      <c r="Q17" s="734"/>
      <c r="R17" s="735"/>
      <c r="S17" s="733"/>
      <c r="T17" s="734"/>
      <c r="U17" s="734"/>
      <c r="V17" s="735"/>
      <c r="W17" s="736"/>
      <c r="X17" s="737"/>
    </row>
    <row r="18" spans="1:24" x14ac:dyDescent="0.2">
      <c r="A18" s="774">
        <v>2</v>
      </c>
      <c r="B18" s="775" t="str">
        <f>IFERROR(INDEX('Tul-Sum'!$B$7:$B$20,MATCH("edasi 2",'Tul-Sum'!$G$7:$G$20,0)),"")</f>
        <v>Ülo Piik</v>
      </c>
      <c r="C18" s="776">
        <v>0</v>
      </c>
      <c r="D18" s="777">
        <v>0</v>
      </c>
      <c r="E18" s="777">
        <v>3</v>
      </c>
      <c r="F18" s="778">
        <v>0</v>
      </c>
      <c r="G18" s="776">
        <v>3</v>
      </c>
      <c r="H18" s="777">
        <v>3</v>
      </c>
      <c r="I18" s="777">
        <v>0</v>
      </c>
      <c r="J18" s="778">
        <v>3</v>
      </c>
      <c r="K18" s="776">
        <v>1</v>
      </c>
      <c r="L18" s="777">
        <v>3</v>
      </c>
      <c r="M18" s="777">
        <v>1</v>
      </c>
      <c r="N18" s="778">
        <v>3</v>
      </c>
      <c r="O18" s="776">
        <v>0</v>
      </c>
      <c r="P18" s="777">
        <v>3</v>
      </c>
      <c r="Q18" s="777">
        <v>0</v>
      </c>
      <c r="R18" s="778">
        <v>0</v>
      </c>
      <c r="S18" s="776">
        <v>0</v>
      </c>
      <c r="T18" s="777">
        <v>5</v>
      </c>
      <c r="U18" s="777">
        <v>0</v>
      </c>
      <c r="V18" s="778">
        <v>0</v>
      </c>
      <c r="W18" s="590">
        <f t="shared" si="0"/>
        <v>28.0107</v>
      </c>
      <c r="X18" s="779" t="str">
        <f>IF(COUNTA(C18:V18)=0,"",IF(W18=W19,"ümbervisk",IF(W18&gt;W19,"finaali "&amp;(IF(W18&lt;MAX(W20:W21),2,IF(W18=MAX(W20:W21),"",1))),"pronksi "&amp;(IF(W18&lt;MIN(W20:W21),2,IF(W18=MIN(W20:W21),"",1))))))</f>
        <v>finaali 1</v>
      </c>
    </row>
    <row r="19" spans="1:24" x14ac:dyDescent="0.2">
      <c r="A19" s="774">
        <v>3</v>
      </c>
      <c r="B19" s="775" t="str">
        <f>IFERROR(INDEX('Tul-Sum'!$B$7:$B$20,MATCH("edasi 3",'Tul-Sum'!$G$7:$G$20,0)),"")</f>
        <v>Boriss Klubov</v>
      </c>
      <c r="C19" s="776">
        <v>0</v>
      </c>
      <c r="D19" s="777">
        <v>0</v>
      </c>
      <c r="E19" s="777">
        <v>3</v>
      </c>
      <c r="F19" s="778">
        <v>1</v>
      </c>
      <c r="G19" s="776">
        <v>1</v>
      </c>
      <c r="H19" s="777">
        <v>0</v>
      </c>
      <c r="I19" s="777">
        <v>0</v>
      </c>
      <c r="J19" s="778">
        <v>0</v>
      </c>
      <c r="K19" s="776">
        <v>0</v>
      </c>
      <c r="L19" s="777">
        <v>0</v>
      </c>
      <c r="M19" s="777">
        <v>3</v>
      </c>
      <c r="N19" s="778">
        <v>0</v>
      </c>
      <c r="O19" s="776">
        <v>0</v>
      </c>
      <c r="P19" s="777">
        <v>0</v>
      </c>
      <c r="Q19" s="777">
        <v>0</v>
      </c>
      <c r="R19" s="778">
        <v>0</v>
      </c>
      <c r="S19" s="776">
        <v>0</v>
      </c>
      <c r="T19" s="777">
        <v>0</v>
      </c>
      <c r="U19" s="777">
        <v>0</v>
      </c>
      <c r="V19" s="778">
        <v>0</v>
      </c>
      <c r="W19" s="590">
        <f t="shared" si="0"/>
        <v>8.0001999999999995</v>
      </c>
      <c r="X19" s="779" t="str">
        <f>IF(COUNTA(C19:V19)=0,"",IF(W18=W19,"ümbervisk",IF(W19&gt;W18,"finaali "&amp;(IF(W19&lt;MAX(W20:W21),2,IF(W19=MAX(W20:W21),"",1))),"pronksi "&amp;(IF(W19&lt;MIN(W20:W21),2,IF(W19=MIN(W20:W21),"",1))))))</f>
        <v>pronksi 2</v>
      </c>
    </row>
    <row r="20" spans="1:24" x14ac:dyDescent="0.2">
      <c r="A20" s="493">
        <v>1</v>
      </c>
      <c r="B20" s="531" t="str">
        <f>IFERROR(INDEX('Tul-Sum'!$B$7:$B$20,MATCH("edasi 1",'Tul-Sum'!$G$7:$G$20,0)),"")</f>
        <v>Ivar Viljaste</v>
      </c>
      <c r="C20" s="522">
        <v>0</v>
      </c>
      <c r="D20" s="523">
        <v>3</v>
      </c>
      <c r="E20" s="523">
        <v>0</v>
      </c>
      <c r="F20" s="598">
        <v>0</v>
      </c>
      <c r="G20" s="522">
        <v>1</v>
      </c>
      <c r="H20" s="523">
        <v>3</v>
      </c>
      <c r="I20" s="523">
        <v>0</v>
      </c>
      <c r="J20" s="598">
        <v>0</v>
      </c>
      <c r="K20" s="522">
        <v>1</v>
      </c>
      <c r="L20" s="523">
        <v>3</v>
      </c>
      <c r="M20" s="523">
        <v>0</v>
      </c>
      <c r="N20" s="598">
        <v>0</v>
      </c>
      <c r="O20" s="522">
        <v>0</v>
      </c>
      <c r="P20" s="523">
        <v>3</v>
      </c>
      <c r="Q20" s="523">
        <v>1</v>
      </c>
      <c r="R20" s="598">
        <v>0</v>
      </c>
      <c r="S20" s="522">
        <v>0</v>
      </c>
      <c r="T20" s="523">
        <v>0</v>
      </c>
      <c r="U20" s="523">
        <v>0</v>
      </c>
      <c r="V20" s="598">
        <v>0</v>
      </c>
      <c r="W20" s="555">
        <f t="shared" si="0"/>
        <v>15.000400000000001</v>
      </c>
      <c r="X20" s="552" t="str">
        <f>IF(COUNTA(C20:V20)=0,"",IF(W20=W21,"ümbervisk",IF(W20&gt;W21,"finaali "&amp;(IF(W20&lt;MAX(W18:W19),2,IF(W20=MAX(W18:W19),"",1))),"pronksi "&amp;(IF(W20&lt;MIN(W18:W19),2,IF(W20=MIN(W18:W19),"",1))))))</f>
        <v>pronksi 1</v>
      </c>
    </row>
    <row r="21" spans="1:24" ht="13.5" thickBot="1" x14ac:dyDescent="0.25">
      <c r="A21" s="564">
        <v>4</v>
      </c>
      <c r="B21" s="710" t="str">
        <f>IFERROR(INDEX('Tul-Sum'!$B$7:$B$20,MATCH("edasi 5",'Tul-Sum'!$G$7:$G$20,0)),"")</f>
        <v>Janek Tarto</v>
      </c>
      <c r="C21" s="566">
        <v>5</v>
      </c>
      <c r="D21" s="567">
        <v>5</v>
      </c>
      <c r="E21" s="567">
        <v>3</v>
      </c>
      <c r="F21" s="607">
        <v>0</v>
      </c>
      <c r="G21" s="566">
        <v>0</v>
      </c>
      <c r="H21" s="567">
        <v>0</v>
      </c>
      <c r="I21" s="567">
        <v>3</v>
      </c>
      <c r="J21" s="607">
        <v>0</v>
      </c>
      <c r="K21" s="566">
        <v>0</v>
      </c>
      <c r="L21" s="567">
        <v>0</v>
      </c>
      <c r="M21" s="567">
        <v>1</v>
      </c>
      <c r="N21" s="607">
        <v>1</v>
      </c>
      <c r="O21" s="566">
        <v>3</v>
      </c>
      <c r="P21" s="567">
        <v>0</v>
      </c>
      <c r="Q21" s="567">
        <v>0</v>
      </c>
      <c r="R21" s="607">
        <v>0</v>
      </c>
      <c r="S21" s="566">
        <v>0</v>
      </c>
      <c r="T21" s="567">
        <v>0</v>
      </c>
      <c r="U21" s="567">
        <v>0</v>
      </c>
      <c r="V21" s="607">
        <v>0</v>
      </c>
      <c r="W21" s="568">
        <f t="shared" si="0"/>
        <v>21.020299999999999</v>
      </c>
      <c r="X21" s="731" t="str">
        <f>IF(COUNTA(C21:V21)=0,"",IF(W20=W21,"ümbervisk",IF(W21&gt;W20,"finaali "&amp;(IF(W21&lt;MAX(W18:W19),2,IF(W21=MAX(W18:W19),"",1))),"pronksi "&amp;(IF(W21&lt;MIN(W18:W19),2,IF(W21=MIN(W18:W19),"",1))))))</f>
        <v>finaali 2</v>
      </c>
    </row>
    <row r="22" spans="1:24" x14ac:dyDescent="0.2">
      <c r="A22" s="578"/>
      <c r="B22" s="732" t="s">
        <v>88</v>
      </c>
      <c r="C22" s="733"/>
      <c r="D22" s="734"/>
      <c r="E22" s="734"/>
      <c r="F22" s="735"/>
      <c r="G22" s="733"/>
      <c r="H22" s="734"/>
      <c r="I22" s="734"/>
      <c r="J22" s="735"/>
      <c r="K22" s="733"/>
      <c r="L22" s="734"/>
      <c r="M22" s="734"/>
      <c r="N22" s="735"/>
      <c r="O22" s="733"/>
      <c r="P22" s="734"/>
      <c r="Q22" s="734"/>
      <c r="R22" s="735"/>
      <c r="S22" s="733"/>
      <c r="T22" s="734"/>
      <c r="U22" s="734"/>
      <c r="V22" s="735"/>
      <c r="W22" s="736"/>
      <c r="X22" s="737"/>
    </row>
    <row r="23" spans="1:24" x14ac:dyDescent="0.2">
      <c r="A23" s="493"/>
      <c r="B23" s="531" t="str">
        <f>IFERROR(INDEX('Tul-Sum'!$B$7:$B$20,MATCH("edasi 3",'Tul-Sum'!$G$7:$G$20,0)),"")</f>
        <v>Boriss Klubov</v>
      </c>
      <c r="C23" s="522">
        <v>0</v>
      </c>
      <c r="D23" s="523">
        <v>0</v>
      </c>
      <c r="E23" s="523">
        <v>0</v>
      </c>
      <c r="F23" s="598">
        <v>5</v>
      </c>
      <c r="G23" s="522">
        <v>3</v>
      </c>
      <c r="H23" s="523">
        <v>1</v>
      </c>
      <c r="I23" s="523">
        <v>0</v>
      </c>
      <c r="J23" s="598">
        <v>5</v>
      </c>
      <c r="K23" s="522">
        <v>3</v>
      </c>
      <c r="L23" s="523">
        <v>0</v>
      </c>
      <c r="M23" s="523">
        <v>1</v>
      </c>
      <c r="N23" s="598">
        <v>0</v>
      </c>
      <c r="O23" s="522">
        <v>0</v>
      </c>
      <c r="P23" s="523">
        <v>0</v>
      </c>
      <c r="Q23" s="523">
        <v>0</v>
      </c>
      <c r="R23" s="598">
        <v>0</v>
      </c>
      <c r="S23" s="522">
        <v>3</v>
      </c>
      <c r="T23" s="523">
        <v>0</v>
      </c>
      <c r="U23" s="523">
        <v>5</v>
      </c>
      <c r="V23" s="598">
        <v>5</v>
      </c>
      <c r="W23" s="722">
        <f t="shared" si="0"/>
        <v>31.040299999999998</v>
      </c>
      <c r="X23" s="520">
        <f ca="1">IF( INDIRECT("RC[-1]",0)=MAX(( INDIRECT("R[-1]C[-1]",0)):( INDIRECT("R[1]C[-1]",0))),3,4)</f>
        <v>3</v>
      </c>
    </row>
    <row r="24" spans="1:24" x14ac:dyDescent="0.2">
      <c r="A24" s="493"/>
      <c r="B24" s="531" t="str">
        <f>IFERROR(INDEX('Tul-Sum'!$B$7:$B$20,MATCH("edasi 1",'Tul-Sum'!$G$7:$G$20,0)),"")</f>
        <v>Ivar Viljaste</v>
      </c>
      <c r="C24" s="522">
        <v>5</v>
      </c>
      <c r="D24" s="523">
        <v>1</v>
      </c>
      <c r="E24" s="523">
        <v>3</v>
      </c>
      <c r="F24" s="598">
        <v>0</v>
      </c>
      <c r="G24" s="522">
        <v>5</v>
      </c>
      <c r="H24" s="523">
        <v>3</v>
      </c>
      <c r="I24" s="523">
        <v>3</v>
      </c>
      <c r="J24" s="598">
        <v>3</v>
      </c>
      <c r="K24" s="522">
        <v>1</v>
      </c>
      <c r="L24" s="523">
        <v>1</v>
      </c>
      <c r="M24" s="523">
        <v>0</v>
      </c>
      <c r="N24" s="598">
        <v>0</v>
      </c>
      <c r="O24" s="522">
        <v>0</v>
      </c>
      <c r="P24" s="523">
        <v>0</v>
      </c>
      <c r="Q24" s="523">
        <v>0</v>
      </c>
      <c r="R24" s="598">
        <v>0</v>
      </c>
      <c r="S24" s="522">
        <v>0</v>
      </c>
      <c r="T24" s="523">
        <v>0</v>
      </c>
      <c r="U24" s="523">
        <v>0</v>
      </c>
      <c r="V24" s="598">
        <v>0</v>
      </c>
      <c r="W24" s="555">
        <f t="shared" si="0"/>
        <v>25.020399999999999</v>
      </c>
      <c r="X24" s="520">
        <f ca="1">IF( INDIRECT("RC[-1]",0)=MAX(( INDIRECT("R[-1]C[-1]",0)):( INDIRECT("R[1]C[-1]",0))),3,4)</f>
        <v>4</v>
      </c>
    </row>
    <row r="25" spans="1:24" x14ac:dyDescent="0.2">
      <c r="A25" s="493"/>
      <c r="B25" s="562" t="s">
        <v>89</v>
      </c>
      <c r="C25" s="522"/>
      <c r="D25" s="523"/>
      <c r="E25" s="523"/>
      <c r="F25" s="598"/>
      <c r="G25" s="522"/>
      <c r="H25" s="523"/>
      <c r="I25" s="523"/>
      <c r="J25" s="598"/>
      <c r="K25" s="522"/>
      <c r="L25" s="523"/>
      <c r="M25" s="523"/>
      <c r="N25" s="598"/>
      <c r="O25" s="522"/>
      <c r="P25" s="523"/>
      <c r="Q25" s="523"/>
      <c r="R25" s="598"/>
      <c r="S25" s="522"/>
      <c r="T25" s="523"/>
      <c r="U25" s="523"/>
      <c r="V25" s="598"/>
      <c r="W25" s="555"/>
      <c r="X25" s="552"/>
    </row>
    <row r="26" spans="1:24" x14ac:dyDescent="0.2">
      <c r="A26" s="493"/>
      <c r="B26" s="531" t="str">
        <f>IFERROR(INDEX('Tul-Sum'!$B$7:$B$20,MATCH("edasi 2",'Tul-Sum'!$G$7:$G$20,0)),"")</f>
        <v>Ülo Piik</v>
      </c>
      <c r="C26" s="522">
        <v>0</v>
      </c>
      <c r="D26" s="523">
        <v>1</v>
      </c>
      <c r="E26" s="523">
        <v>1</v>
      </c>
      <c r="F26" s="598">
        <v>3</v>
      </c>
      <c r="G26" s="522">
        <v>3</v>
      </c>
      <c r="H26" s="523">
        <v>0</v>
      </c>
      <c r="I26" s="523">
        <v>0</v>
      </c>
      <c r="J26" s="598">
        <v>0</v>
      </c>
      <c r="K26" s="522">
        <v>5</v>
      </c>
      <c r="L26" s="523">
        <v>1</v>
      </c>
      <c r="M26" s="523">
        <v>1</v>
      </c>
      <c r="N26" s="598">
        <v>0</v>
      </c>
      <c r="O26" s="522">
        <v>0</v>
      </c>
      <c r="P26" s="523">
        <v>0</v>
      </c>
      <c r="Q26" s="523">
        <v>0</v>
      </c>
      <c r="R26" s="598">
        <v>3</v>
      </c>
      <c r="S26" s="522">
        <v>5</v>
      </c>
      <c r="T26" s="523">
        <v>3</v>
      </c>
      <c r="U26" s="523">
        <v>0</v>
      </c>
      <c r="V26" s="598">
        <v>0</v>
      </c>
      <c r="W26" s="555">
        <f t="shared" si="0"/>
        <v>26.020399999999999</v>
      </c>
      <c r="X26" s="520">
        <f ca="1">IF( INDIRECT("RC[-1]",0)=MAX(( INDIRECT("R[-1]C[-1]",0)):( INDIRECT("R[1]C[-1]",0))),1,2)</f>
        <v>1</v>
      </c>
    </row>
    <row r="27" spans="1:24" ht="13.5" thickBot="1" x14ac:dyDescent="0.25">
      <c r="A27" s="564"/>
      <c r="B27" s="710" t="str">
        <f>IFERROR(INDEX('Tul-Sum'!$B$7:$B$20,MATCH("edasi 5",'Tul-Sum'!$G$7:$G$20,0)),"")</f>
        <v>Janek Tarto</v>
      </c>
      <c r="C27" s="566">
        <v>0</v>
      </c>
      <c r="D27" s="567">
        <v>0</v>
      </c>
      <c r="E27" s="567">
        <v>0</v>
      </c>
      <c r="F27" s="607">
        <v>0</v>
      </c>
      <c r="G27" s="566">
        <v>0</v>
      </c>
      <c r="H27" s="567">
        <v>1</v>
      </c>
      <c r="I27" s="567">
        <v>0</v>
      </c>
      <c r="J27" s="607">
        <v>0</v>
      </c>
      <c r="K27" s="566">
        <v>0</v>
      </c>
      <c r="L27" s="567">
        <v>0</v>
      </c>
      <c r="M27" s="567">
        <v>0</v>
      </c>
      <c r="N27" s="607">
        <v>0</v>
      </c>
      <c r="O27" s="566">
        <v>0</v>
      </c>
      <c r="P27" s="567">
        <v>1</v>
      </c>
      <c r="Q27" s="567">
        <v>0</v>
      </c>
      <c r="R27" s="607">
        <v>0</v>
      </c>
      <c r="S27" s="566">
        <v>0</v>
      </c>
      <c r="T27" s="567">
        <v>0</v>
      </c>
      <c r="U27" s="567">
        <v>0</v>
      </c>
      <c r="V27" s="607">
        <v>0</v>
      </c>
      <c r="W27" s="568">
        <f t="shared" si="0"/>
        <v>2</v>
      </c>
      <c r="X27" s="569">
        <f ca="1">IF( INDIRECT("RC[-1]",0)=MAX(( INDIRECT("R[-1]C[-1]",0)):( INDIRECT("R[1]C[-1]",0))),1,2)</f>
        <v>2</v>
      </c>
    </row>
    <row r="29" spans="1:24" x14ac:dyDescent="0.2">
      <c r="A29" s="570">
        <v>1</v>
      </c>
      <c r="B29" s="571" t="str">
        <f ca="1">IFERROR(INDEX(B$23:B$27,MATCH(1,X$23:X$27,0)),"")</f>
        <v>Ülo Piik</v>
      </c>
      <c r="G29" s="570">
        <v>11</v>
      </c>
      <c r="H29" s="780" t="s">
        <v>111</v>
      </c>
      <c r="I29" s="496"/>
      <c r="J29" s="496"/>
      <c r="K29" s="496"/>
      <c r="L29" s="496"/>
      <c r="M29" s="496"/>
      <c r="N29" s="781"/>
    </row>
    <row r="30" spans="1:24" x14ac:dyDescent="0.2">
      <c r="A30" s="570">
        <v>2</v>
      </c>
      <c r="B30" s="572" t="str">
        <f ca="1">IFERROR(INDEX(B$23:B$27,MATCH(2,X$23:X$27,0)),"")</f>
        <v>Janek Tarto</v>
      </c>
      <c r="C30" s="573"/>
      <c r="D30" s="573"/>
      <c r="E30" s="573"/>
      <c r="F30" s="573"/>
      <c r="G30" s="570">
        <v>12</v>
      </c>
      <c r="H30" s="782" t="s">
        <v>112</v>
      </c>
      <c r="I30" s="496"/>
      <c r="J30" s="496"/>
      <c r="K30" s="496"/>
      <c r="L30" s="496"/>
      <c r="M30" s="496"/>
      <c r="N30" s="781"/>
    </row>
    <row r="31" spans="1:24" x14ac:dyDescent="0.2">
      <c r="A31" s="570">
        <v>3</v>
      </c>
      <c r="B31" s="574" t="str">
        <f ca="1">IFERROR(INDEX(B$23:B$27,MATCH(3,X$23:X$27,0)),"")</f>
        <v>Boriss Klubov</v>
      </c>
      <c r="C31" s="573"/>
      <c r="D31" s="573"/>
      <c r="E31" s="573"/>
      <c r="F31" s="573"/>
      <c r="G31" s="570">
        <v>13</v>
      </c>
      <c r="H31" s="782" t="s">
        <v>114</v>
      </c>
      <c r="I31" s="496"/>
      <c r="J31" s="496"/>
      <c r="K31" s="496"/>
      <c r="L31" s="496"/>
      <c r="M31" s="496"/>
      <c r="N31" s="781"/>
    </row>
    <row r="32" spans="1:24" x14ac:dyDescent="0.2">
      <c r="A32" s="570">
        <v>4</v>
      </c>
      <c r="B32" s="529" t="str">
        <f ca="1">IFERROR(INDEX(B$23:B$27,MATCH(4,X$23:X$27,0)),"")</f>
        <v>Ivar Viljaste</v>
      </c>
      <c r="C32" s="573"/>
      <c r="D32" s="573"/>
      <c r="E32" s="573"/>
      <c r="F32" s="573"/>
      <c r="G32" s="570">
        <v>14</v>
      </c>
      <c r="H32" s="783" t="s">
        <v>125</v>
      </c>
      <c r="I32" s="496"/>
      <c r="J32" s="496"/>
      <c r="K32" s="496"/>
      <c r="L32" s="496"/>
      <c r="M32" s="496"/>
      <c r="N32" s="781"/>
    </row>
    <row r="33" spans="1:10" x14ac:dyDescent="0.2">
      <c r="A33" s="570">
        <v>5</v>
      </c>
      <c r="B33" s="529" t="str">
        <f>IFERROR(INDEX(B$9:B$16,MATCH(5,X$9:X$16,0)),"")</f>
        <v>Jaan Sepp</v>
      </c>
      <c r="C33" s="573"/>
      <c r="D33" s="573"/>
      <c r="E33" s="573"/>
      <c r="F33" s="573"/>
      <c r="G33" s="573"/>
      <c r="H33" s="573"/>
      <c r="I33" s="573"/>
      <c r="J33" s="573"/>
    </row>
    <row r="34" spans="1:10" x14ac:dyDescent="0.2">
      <c r="A34" s="570">
        <v>6</v>
      </c>
      <c r="B34" s="529" t="str">
        <f>IFERROR(INDEX(B$9:B$16,MATCH(6,X$9:X$16,0)),"")</f>
        <v>Vladimir Ogneštšikov</v>
      </c>
      <c r="C34" s="573"/>
      <c r="D34" s="573"/>
      <c r="E34" s="573"/>
      <c r="F34" s="573"/>
      <c r="G34" s="573"/>
      <c r="H34" s="573"/>
      <c r="I34" s="573"/>
      <c r="J34" s="573"/>
    </row>
    <row r="35" spans="1:10" x14ac:dyDescent="0.2">
      <c r="A35" s="570">
        <v>7</v>
      </c>
      <c r="B35" s="529" t="str">
        <f>IFERROR(INDEX(B$9:B$16,MATCH(7,X$9:X$16,0)),"")</f>
        <v>Oskar Sepp</v>
      </c>
      <c r="C35" s="573"/>
      <c r="D35" s="573"/>
      <c r="E35" s="573"/>
      <c r="F35" s="573"/>
      <c r="G35" s="573"/>
      <c r="H35" s="573"/>
      <c r="I35" s="573"/>
      <c r="J35" s="573"/>
    </row>
    <row r="36" spans="1:10" x14ac:dyDescent="0.2">
      <c r="A36" s="570">
        <v>8</v>
      </c>
      <c r="B36" s="529" t="str">
        <f>IFERROR(INDEX(B$9:B$16,MATCH(5,X$9:X$16,0)),"")</f>
        <v>Jaan Sepp</v>
      </c>
      <c r="C36" s="573"/>
      <c r="D36" s="573"/>
      <c r="E36" s="573"/>
      <c r="F36" s="573"/>
      <c r="G36" s="573"/>
      <c r="H36" s="573"/>
      <c r="I36" s="573"/>
      <c r="J36" s="573"/>
    </row>
    <row r="37" spans="1:10" x14ac:dyDescent="0.2">
      <c r="A37" s="570">
        <v>9</v>
      </c>
      <c r="B37" s="120" t="s">
        <v>106</v>
      </c>
      <c r="C37" s="573"/>
      <c r="D37" s="573"/>
      <c r="E37" s="573"/>
      <c r="F37" s="573"/>
      <c r="G37" s="573"/>
      <c r="H37" s="573"/>
      <c r="I37" s="573"/>
      <c r="J37" s="573"/>
    </row>
    <row r="38" spans="1:10" x14ac:dyDescent="0.2">
      <c r="A38" s="570">
        <v>10</v>
      </c>
      <c r="B38" s="120" t="s">
        <v>143</v>
      </c>
      <c r="C38" s="573"/>
      <c r="D38" s="573"/>
      <c r="E38" s="573"/>
      <c r="F38" s="573"/>
      <c r="G38" s="573"/>
      <c r="H38" s="573"/>
      <c r="I38" s="573"/>
      <c r="J38" s="573"/>
    </row>
    <row r="39" spans="1:10" x14ac:dyDescent="0.2">
      <c r="C39" s="573"/>
      <c r="D39" s="573"/>
      <c r="E39" s="573"/>
      <c r="F39" s="573"/>
      <c r="G39" s="573"/>
      <c r="H39" s="573"/>
      <c r="I39" s="573"/>
      <c r="J39" s="573"/>
    </row>
    <row r="40" spans="1:10" x14ac:dyDescent="0.2">
      <c r="C40" s="573"/>
      <c r="D40" s="573"/>
      <c r="E40" s="573"/>
      <c r="F40" s="573"/>
      <c r="G40" s="573"/>
      <c r="H40" s="573"/>
      <c r="I40" s="573"/>
      <c r="J40" s="573"/>
    </row>
    <row r="41" spans="1:10" x14ac:dyDescent="0.2">
      <c r="C41" s="573"/>
      <c r="D41" s="573"/>
      <c r="E41" s="573"/>
      <c r="F41" s="573"/>
      <c r="G41" s="573"/>
      <c r="H41" s="573"/>
      <c r="I41" s="573"/>
      <c r="J41" s="573"/>
    </row>
    <row r="42" spans="1:10" x14ac:dyDescent="0.2">
      <c r="C42" s="573"/>
      <c r="D42" s="573"/>
      <c r="E42" s="573"/>
      <c r="F42" s="573"/>
      <c r="G42" s="573"/>
      <c r="H42" s="573"/>
      <c r="I42" s="573"/>
      <c r="J42" s="573"/>
    </row>
  </sheetData>
  <conditionalFormatting sqref="W26:W27">
    <cfRule type="top10" dxfId="110" priority="13" rank="1"/>
  </conditionalFormatting>
  <conditionalFormatting sqref="W11:W12">
    <cfRule type="top10" dxfId="109" priority="19" rank="1"/>
  </conditionalFormatting>
  <conditionalFormatting sqref="W13:W14">
    <cfRule type="top10" dxfId="108" priority="18" rank="1"/>
  </conditionalFormatting>
  <conditionalFormatting sqref="W18:W19">
    <cfRule type="top10" dxfId="107" priority="16" rank="1"/>
  </conditionalFormatting>
  <conditionalFormatting sqref="W20:W21">
    <cfRule type="top10" dxfId="106" priority="15" rank="1"/>
  </conditionalFormatting>
  <conditionalFormatting sqref="W23:W24">
    <cfRule type="top10" dxfId="105" priority="14" rank="1"/>
  </conditionalFormatting>
  <conditionalFormatting sqref="C9:V27">
    <cfRule type="cellIs" dxfId="104" priority="8" stopIfTrue="1" operator="equal">
      <formula>"-"</formula>
    </cfRule>
    <cfRule type="cellIs" dxfId="103" priority="9" stopIfTrue="1" operator="greaterThan">
      <formula>5</formula>
    </cfRule>
    <cfRule type="cellIs" dxfId="102" priority="10" stopIfTrue="1" operator="equal">
      <formula>4</formula>
    </cfRule>
    <cfRule type="cellIs" dxfId="101" priority="11" stopIfTrue="1" operator="equal">
      <formula>2</formula>
    </cfRule>
  </conditionalFormatting>
  <conditionalFormatting sqref="X20:X21">
    <cfRule type="duplicateValues" dxfId="100" priority="6" stopIfTrue="1"/>
  </conditionalFormatting>
  <conditionalFormatting sqref="X18:X19">
    <cfRule type="duplicateValues" dxfId="99" priority="7" stopIfTrue="1"/>
  </conditionalFormatting>
  <conditionalFormatting sqref="B37">
    <cfRule type="duplicateValues" dxfId="98" priority="2" stopIfTrue="1"/>
  </conditionalFormatting>
  <conditionalFormatting sqref="H30">
    <cfRule type="duplicateValues" dxfId="97" priority="1" stopIfTrue="1"/>
  </conditionalFormatting>
  <conditionalFormatting sqref="H31:H32 B38 H29">
    <cfRule type="duplicateValues" dxfId="96" priority="3" stopIfTrue="1"/>
  </conditionalFormatting>
  <conditionalFormatting sqref="W15:W27">
    <cfRule type="top10" dxfId="95" priority="457" rank="1"/>
  </conditionalFormatting>
  <conditionalFormatting sqref="X9:X16">
    <cfRule type="duplicateValues" dxfId="94" priority="501" stopIfTrue="1"/>
    <cfRule type="top10" dxfId="93" priority="502" stopIfTrue="1" rank="4"/>
  </conditionalFormatting>
  <conditionalFormatting sqref="W9:W27">
    <cfRule type="top10" dxfId="92" priority="505" rank="1"/>
  </conditionalFormatting>
  <conditionalFormatting sqref="W8:W27">
    <cfRule type="top10" dxfId="91" priority="507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  <pageSetUpPr fitToPage="1"/>
  </sheetPr>
  <dimension ref="A1:W50"/>
  <sheetViews>
    <sheetView showGridLines="0" showRowColHeaders="0" zoomScaleNormal="100" workbookViewId="0">
      <pane ySplit="6" topLeftCell="A7" activePane="bottomLeft" state="frozen"/>
      <selection activeCell="E1" sqref="E1"/>
      <selection pane="bottomLeft" activeCell="F1" sqref="F1"/>
    </sheetView>
  </sheetViews>
  <sheetFormatPr defaultRowHeight="12.75" x14ac:dyDescent="0.2"/>
  <cols>
    <col min="1" max="1" width="3.28515625" style="238" customWidth="1"/>
    <col min="2" max="2" width="18.7109375" style="235" customWidth="1"/>
    <col min="3" max="3" width="5.140625" style="238" customWidth="1"/>
    <col min="4" max="4" width="4.42578125" style="238" hidden="1" customWidth="1"/>
    <col min="5" max="5" width="6.5703125" style="238" customWidth="1"/>
    <col min="6" max="6" width="3.7109375" style="238" bestFit="1" customWidth="1"/>
    <col min="7" max="21" width="3" style="238" customWidth="1"/>
    <col min="22" max="22" width="5.28515625" style="238" bestFit="1" customWidth="1"/>
    <col min="23" max="23" width="5.140625" style="238" bestFit="1" customWidth="1"/>
    <col min="24" max="26" width="1.7109375" style="238" customWidth="1"/>
    <col min="27" max="16384" width="9.140625" style="238"/>
  </cols>
  <sheetData>
    <row r="1" spans="1:23" x14ac:dyDescent="0.2">
      <c r="A1" s="82" t="str">
        <f>UPPER((Kalend!D8)&amp;" - "&amp;(Kalend!C8)&amp;" - "&amp;(Kalend!E8))</f>
        <v>PL1 - PLIKS-PLAKS 1 - ÜKSIK</v>
      </c>
      <c r="L1" s="361" t="str">
        <f>HYPERLINK("#'Kalend'!I1","Kalender")</f>
        <v>Kalender</v>
      </c>
      <c r="M1" s="85"/>
      <c r="P1" s="361" t="str">
        <f>HYPERLINK("#'Reit'!J1","Reiting")</f>
        <v>Reiting</v>
      </c>
      <c r="Q1" s="85"/>
      <c r="V1" s="408" t="s">
        <v>153</v>
      </c>
    </row>
    <row r="2" spans="1:23" s="85" customFormat="1" x14ac:dyDescent="0.2">
      <c r="A2" s="85" t="str">
        <f>"Toimumisaeg: "&amp;(Kalend!A7)&amp;" kell "&amp;(Kalend!B8)</f>
        <v xml:space="preserve">Toimumisaeg: P, 22.11.2015 kell </v>
      </c>
      <c r="V2" s="408" t="s">
        <v>154</v>
      </c>
    </row>
    <row r="3" spans="1:23" s="85" customFormat="1" x14ac:dyDescent="0.2">
      <c r="A3" s="85" t="str">
        <f>"Toimumiskoht: "&amp;(Kalend!F8)</f>
        <v>Toimumiskoht: K-Järve petangihall</v>
      </c>
      <c r="V3" s="408" t="s">
        <v>155</v>
      </c>
    </row>
    <row r="4" spans="1:23" s="85" customFormat="1" x14ac:dyDescent="0.2">
      <c r="A4" s="85" t="str">
        <f>"Korraldaja: "&amp;(Kalend!G8)</f>
        <v>Korraldaja: K-Järve SHK, Ivar Viljaste</v>
      </c>
    </row>
    <row r="5" spans="1:23" x14ac:dyDescent="0.2">
      <c r="D5" s="263" t="s">
        <v>85</v>
      </c>
    </row>
    <row r="6" spans="1:23" x14ac:dyDescent="0.2">
      <c r="A6" s="615" t="s">
        <v>253</v>
      </c>
      <c r="B6" s="635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364">
        <v>7</v>
      </c>
      <c r="N6" s="364">
        <v>8</v>
      </c>
      <c r="O6" s="364">
        <v>9</v>
      </c>
      <c r="P6" s="364">
        <v>10</v>
      </c>
      <c r="Q6" s="364">
        <v>11</v>
      </c>
      <c r="R6" s="364">
        <v>12</v>
      </c>
      <c r="S6" s="364">
        <v>13</v>
      </c>
      <c r="T6" s="364">
        <v>14</v>
      </c>
      <c r="U6" s="364">
        <v>15</v>
      </c>
      <c r="V6" s="408" t="s">
        <v>65</v>
      </c>
      <c r="W6" s="408" t="s">
        <v>150</v>
      </c>
    </row>
    <row r="7" spans="1:23" x14ac:dyDescent="0.2">
      <c r="A7" s="212">
        <v>1</v>
      </c>
      <c r="B7" s="405" t="s">
        <v>114</v>
      </c>
      <c r="C7" s="608">
        <v>3</v>
      </c>
      <c r="D7" s="264">
        <f t="shared" ref="D7:D21" si="0">IF(COUNTA(G7:U7)&lt;1,"",RANK(E7,E$7:E$21))</f>
        <v>3</v>
      </c>
      <c r="E7" s="609">
        <f t="shared" ref="E7:E21" si="1">IF(COUNTA(G7:U7)=0,0,SUM(G7:U7)+COUNTIF(G7:U7,2)/100+COUNTIF(G7:U7,1)/10000)</f>
        <v>17.060499999999998</v>
      </c>
      <c r="F7" s="364">
        <v>1</v>
      </c>
      <c r="G7" s="610"/>
      <c r="H7" s="611">
        <v>2</v>
      </c>
      <c r="I7" s="611">
        <v>1</v>
      </c>
      <c r="J7" s="611">
        <v>1</v>
      </c>
      <c r="K7" s="611">
        <v>0</v>
      </c>
      <c r="L7" s="611">
        <v>1</v>
      </c>
      <c r="M7" s="611">
        <v>1</v>
      </c>
      <c r="N7" s="611">
        <v>2</v>
      </c>
      <c r="O7" s="611">
        <v>1</v>
      </c>
      <c r="P7" s="611">
        <v>0</v>
      </c>
      <c r="Q7" s="611">
        <v>2</v>
      </c>
      <c r="R7" s="611">
        <v>0</v>
      </c>
      <c r="S7" s="611">
        <v>2</v>
      </c>
      <c r="T7" s="611">
        <v>2</v>
      </c>
      <c r="U7" s="611">
        <v>2</v>
      </c>
      <c r="V7" s="612">
        <f t="shared" ref="V7:V21" si="2">COUNTIF(G7:U7,"=2")</f>
        <v>6</v>
      </c>
      <c r="W7" s="613">
        <f t="shared" ref="W7:W21" si="3">COUNTIF(G7:U7,"=1")</f>
        <v>5</v>
      </c>
    </row>
    <row r="8" spans="1:23" x14ac:dyDescent="0.2">
      <c r="A8" s="212">
        <v>2</v>
      </c>
      <c r="B8" s="260" t="s">
        <v>113</v>
      </c>
      <c r="C8" s="608">
        <v>1</v>
      </c>
      <c r="D8" s="264">
        <f t="shared" si="0"/>
        <v>1</v>
      </c>
      <c r="E8" s="609">
        <f t="shared" si="1"/>
        <v>18.070399999999999</v>
      </c>
      <c r="F8" s="364">
        <v>2</v>
      </c>
      <c r="G8" s="611">
        <v>0</v>
      </c>
      <c r="H8" s="610"/>
      <c r="I8" s="611">
        <v>2</v>
      </c>
      <c r="J8" s="611">
        <v>2</v>
      </c>
      <c r="K8" s="611">
        <v>0</v>
      </c>
      <c r="L8" s="611">
        <v>1</v>
      </c>
      <c r="M8" s="611">
        <v>2</v>
      </c>
      <c r="N8" s="611">
        <v>2</v>
      </c>
      <c r="O8" s="611">
        <v>2</v>
      </c>
      <c r="P8" s="611">
        <v>2</v>
      </c>
      <c r="Q8" s="611">
        <v>2</v>
      </c>
      <c r="R8" s="611">
        <v>0</v>
      </c>
      <c r="S8" s="611">
        <v>1</v>
      </c>
      <c r="T8" s="611">
        <v>1</v>
      </c>
      <c r="U8" s="611">
        <v>1</v>
      </c>
      <c r="V8" s="612">
        <f t="shared" si="2"/>
        <v>7</v>
      </c>
      <c r="W8" s="613">
        <f t="shared" si="3"/>
        <v>4</v>
      </c>
    </row>
    <row r="9" spans="1:23" x14ac:dyDescent="0.2">
      <c r="A9" s="212">
        <v>3</v>
      </c>
      <c r="B9" s="405" t="s">
        <v>105</v>
      </c>
      <c r="C9" s="608">
        <v>14</v>
      </c>
      <c r="D9" s="264">
        <f t="shared" si="0"/>
        <v>14</v>
      </c>
      <c r="E9" s="609">
        <f t="shared" si="1"/>
        <v>10.0304</v>
      </c>
      <c r="F9" s="364">
        <v>3</v>
      </c>
      <c r="G9" s="611">
        <v>1</v>
      </c>
      <c r="H9" s="611">
        <v>0</v>
      </c>
      <c r="I9" s="610"/>
      <c r="J9" s="611">
        <v>0</v>
      </c>
      <c r="K9" s="611">
        <v>0</v>
      </c>
      <c r="L9" s="611">
        <v>0</v>
      </c>
      <c r="M9" s="611">
        <v>2</v>
      </c>
      <c r="N9" s="611">
        <v>0</v>
      </c>
      <c r="O9" s="611">
        <v>2</v>
      </c>
      <c r="P9" s="611">
        <v>1</v>
      </c>
      <c r="Q9" s="611">
        <v>2</v>
      </c>
      <c r="R9" s="611">
        <v>1</v>
      </c>
      <c r="S9" s="611">
        <v>1</v>
      </c>
      <c r="T9" s="611">
        <v>0</v>
      </c>
      <c r="U9" s="611">
        <v>0</v>
      </c>
      <c r="V9" s="612">
        <f t="shared" si="2"/>
        <v>3</v>
      </c>
      <c r="W9" s="613">
        <f t="shared" si="3"/>
        <v>4</v>
      </c>
    </row>
    <row r="10" spans="1:23" x14ac:dyDescent="0.2">
      <c r="A10" s="212">
        <v>4</v>
      </c>
      <c r="B10" s="411" t="s">
        <v>126</v>
      </c>
      <c r="C10" s="608">
        <v>2</v>
      </c>
      <c r="D10" s="264">
        <f t="shared" si="0"/>
        <v>2</v>
      </c>
      <c r="E10" s="609">
        <f t="shared" si="1"/>
        <v>17.0703</v>
      </c>
      <c r="F10" s="364">
        <v>4</v>
      </c>
      <c r="G10" s="611">
        <v>1</v>
      </c>
      <c r="H10" s="611">
        <v>0</v>
      </c>
      <c r="I10" s="611">
        <v>2</v>
      </c>
      <c r="J10" s="610"/>
      <c r="K10" s="611">
        <v>0</v>
      </c>
      <c r="L10" s="611">
        <v>2</v>
      </c>
      <c r="M10" s="611">
        <v>1</v>
      </c>
      <c r="N10" s="611">
        <v>2</v>
      </c>
      <c r="O10" s="611">
        <v>1</v>
      </c>
      <c r="P10" s="611">
        <v>2</v>
      </c>
      <c r="Q10" s="611">
        <v>2</v>
      </c>
      <c r="R10" s="611">
        <v>0</v>
      </c>
      <c r="S10" s="611">
        <v>0</v>
      </c>
      <c r="T10" s="611">
        <v>2</v>
      </c>
      <c r="U10" s="611">
        <v>2</v>
      </c>
      <c r="V10" s="612">
        <f t="shared" si="2"/>
        <v>7</v>
      </c>
      <c r="W10" s="613">
        <f t="shared" si="3"/>
        <v>3</v>
      </c>
    </row>
    <row r="11" spans="1:23" x14ac:dyDescent="0.2">
      <c r="A11" s="212">
        <v>5</v>
      </c>
      <c r="B11" s="405" t="s">
        <v>95</v>
      </c>
      <c r="C11" s="608">
        <v>12</v>
      </c>
      <c r="D11" s="264">
        <f t="shared" si="0"/>
        <v>11</v>
      </c>
      <c r="E11" s="609">
        <f t="shared" si="1"/>
        <v>12.0502</v>
      </c>
      <c r="F11" s="364">
        <v>5</v>
      </c>
      <c r="G11" s="611">
        <v>2</v>
      </c>
      <c r="H11" s="611">
        <v>2</v>
      </c>
      <c r="I11" s="611">
        <v>2</v>
      </c>
      <c r="J11" s="611">
        <v>2</v>
      </c>
      <c r="K11" s="610"/>
      <c r="L11" s="611">
        <v>0</v>
      </c>
      <c r="M11" s="611">
        <v>1</v>
      </c>
      <c r="N11" s="611">
        <v>0</v>
      </c>
      <c r="O11" s="611">
        <v>0</v>
      </c>
      <c r="P11" s="611">
        <v>0</v>
      </c>
      <c r="Q11" s="611">
        <v>2</v>
      </c>
      <c r="R11" s="611">
        <v>0</v>
      </c>
      <c r="S11" s="611">
        <v>0</v>
      </c>
      <c r="T11" s="611">
        <v>0</v>
      </c>
      <c r="U11" s="611">
        <v>1</v>
      </c>
      <c r="V11" s="612">
        <f t="shared" si="2"/>
        <v>5</v>
      </c>
      <c r="W11" s="613">
        <f t="shared" si="3"/>
        <v>2</v>
      </c>
    </row>
    <row r="12" spans="1:23" x14ac:dyDescent="0.2">
      <c r="A12" s="212">
        <v>6</v>
      </c>
      <c r="B12" s="405" t="s">
        <v>98</v>
      </c>
      <c r="C12" s="608">
        <v>3</v>
      </c>
      <c r="D12" s="264">
        <f t="shared" si="0"/>
        <v>3</v>
      </c>
      <c r="E12" s="609">
        <f t="shared" si="1"/>
        <v>17.060499999999998</v>
      </c>
      <c r="F12" s="364">
        <v>6</v>
      </c>
      <c r="G12" s="611">
        <v>1</v>
      </c>
      <c r="H12" s="611">
        <v>1</v>
      </c>
      <c r="I12" s="611">
        <v>2</v>
      </c>
      <c r="J12" s="611">
        <v>0</v>
      </c>
      <c r="K12" s="611">
        <v>2</v>
      </c>
      <c r="L12" s="610"/>
      <c r="M12" s="611">
        <v>2</v>
      </c>
      <c r="N12" s="611">
        <v>2</v>
      </c>
      <c r="O12" s="611">
        <v>2</v>
      </c>
      <c r="P12" s="611">
        <v>1</v>
      </c>
      <c r="Q12" s="611">
        <v>1</v>
      </c>
      <c r="R12" s="611">
        <v>2</v>
      </c>
      <c r="S12" s="611">
        <v>0</v>
      </c>
      <c r="T12" s="611">
        <v>0</v>
      </c>
      <c r="U12" s="611">
        <v>1</v>
      </c>
      <c r="V12" s="612">
        <f t="shared" si="2"/>
        <v>6</v>
      </c>
      <c r="W12" s="613">
        <f t="shared" si="3"/>
        <v>5</v>
      </c>
    </row>
    <row r="13" spans="1:23" x14ac:dyDescent="0.2">
      <c r="A13" s="212">
        <v>7</v>
      </c>
      <c r="B13" s="405" t="s">
        <v>137</v>
      </c>
      <c r="C13" s="608">
        <v>9</v>
      </c>
      <c r="D13" s="264">
        <f t="shared" si="0"/>
        <v>9</v>
      </c>
      <c r="E13" s="609">
        <f t="shared" si="1"/>
        <v>14.050400000000002</v>
      </c>
      <c r="F13" s="364">
        <v>7</v>
      </c>
      <c r="G13" s="611">
        <v>1</v>
      </c>
      <c r="H13" s="611">
        <v>0</v>
      </c>
      <c r="I13" s="611">
        <v>0</v>
      </c>
      <c r="J13" s="611">
        <v>1</v>
      </c>
      <c r="K13" s="611">
        <v>1</v>
      </c>
      <c r="L13" s="611">
        <v>0</v>
      </c>
      <c r="M13" s="610"/>
      <c r="N13" s="611">
        <v>1</v>
      </c>
      <c r="O13" s="611">
        <v>0</v>
      </c>
      <c r="P13" s="611">
        <v>2</v>
      </c>
      <c r="Q13" s="611">
        <v>2</v>
      </c>
      <c r="R13" s="611">
        <v>0</v>
      </c>
      <c r="S13" s="611">
        <v>2</v>
      </c>
      <c r="T13" s="611">
        <v>2</v>
      </c>
      <c r="U13" s="611">
        <v>2</v>
      </c>
      <c r="V13" s="612">
        <f t="shared" si="2"/>
        <v>5</v>
      </c>
      <c r="W13" s="613">
        <f t="shared" si="3"/>
        <v>4</v>
      </c>
    </row>
    <row r="14" spans="1:23" x14ac:dyDescent="0.2">
      <c r="A14" s="212">
        <v>8</v>
      </c>
      <c r="B14" s="405" t="s">
        <v>143</v>
      </c>
      <c r="C14" s="608">
        <v>11</v>
      </c>
      <c r="D14" s="264">
        <f t="shared" si="0"/>
        <v>11</v>
      </c>
      <c r="E14" s="609">
        <f t="shared" si="1"/>
        <v>12.0502</v>
      </c>
      <c r="F14" s="364">
        <v>8</v>
      </c>
      <c r="G14" s="611">
        <v>0</v>
      </c>
      <c r="H14" s="611">
        <v>0</v>
      </c>
      <c r="I14" s="611">
        <v>2</v>
      </c>
      <c r="J14" s="611">
        <v>0</v>
      </c>
      <c r="K14" s="611">
        <v>2</v>
      </c>
      <c r="L14" s="611">
        <v>0</v>
      </c>
      <c r="M14" s="611">
        <v>1</v>
      </c>
      <c r="N14" s="610"/>
      <c r="O14" s="611">
        <v>2</v>
      </c>
      <c r="P14" s="611">
        <v>0</v>
      </c>
      <c r="Q14" s="611">
        <v>0</v>
      </c>
      <c r="R14" s="611">
        <v>1</v>
      </c>
      <c r="S14" s="611">
        <v>2</v>
      </c>
      <c r="T14" s="614">
        <v>2</v>
      </c>
      <c r="U14" s="611">
        <v>0</v>
      </c>
      <c r="V14" s="612">
        <f t="shared" si="2"/>
        <v>5</v>
      </c>
      <c r="W14" s="613">
        <f t="shared" si="3"/>
        <v>2</v>
      </c>
    </row>
    <row r="15" spans="1:23" x14ac:dyDescent="0.2">
      <c r="A15" s="212">
        <v>9</v>
      </c>
      <c r="B15" s="366" t="s">
        <v>106</v>
      </c>
      <c r="C15" s="608">
        <v>5</v>
      </c>
      <c r="D15" s="264">
        <f t="shared" si="0"/>
        <v>5</v>
      </c>
      <c r="E15" s="609">
        <f t="shared" si="1"/>
        <v>15.0603</v>
      </c>
      <c r="F15" s="364">
        <v>9</v>
      </c>
      <c r="G15" s="611">
        <v>1</v>
      </c>
      <c r="H15" s="611">
        <v>0</v>
      </c>
      <c r="I15" s="611">
        <v>0</v>
      </c>
      <c r="J15" s="611">
        <v>1</v>
      </c>
      <c r="K15" s="611">
        <v>2</v>
      </c>
      <c r="L15" s="611">
        <v>0</v>
      </c>
      <c r="M15" s="611">
        <v>2</v>
      </c>
      <c r="N15" s="611">
        <v>0</v>
      </c>
      <c r="O15" s="610"/>
      <c r="P15" s="611">
        <v>2</v>
      </c>
      <c r="Q15" s="611">
        <v>2</v>
      </c>
      <c r="R15" s="611">
        <v>2</v>
      </c>
      <c r="S15" s="611">
        <v>1</v>
      </c>
      <c r="T15" s="611">
        <v>0</v>
      </c>
      <c r="U15" s="611">
        <v>2</v>
      </c>
      <c r="V15" s="612">
        <f t="shared" si="2"/>
        <v>6</v>
      </c>
      <c r="W15" s="613">
        <f t="shared" si="3"/>
        <v>3</v>
      </c>
    </row>
    <row r="16" spans="1:23" x14ac:dyDescent="0.2">
      <c r="A16" s="212">
        <v>10</v>
      </c>
      <c r="B16" s="405" t="s">
        <v>125</v>
      </c>
      <c r="C16" s="608">
        <v>8</v>
      </c>
      <c r="D16" s="264">
        <f t="shared" si="0"/>
        <v>8</v>
      </c>
      <c r="E16" s="609">
        <f t="shared" si="1"/>
        <v>14.0602</v>
      </c>
      <c r="F16" s="364">
        <v>10</v>
      </c>
      <c r="G16" s="611">
        <v>2</v>
      </c>
      <c r="H16" s="611">
        <v>0</v>
      </c>
      <c r="I16" s="611">
        <v>1</v>
      </c>
      <c r="J16" s="611">
        <v>0</v>
      </c>
      <c r="K16" s="611">
        <v>2</v>
      </c>
      <c r="L16" s="611">
        <v>1</v>
      </c>
      <c r="M16" s="611">
        <v>0</v>
      </c>
      <c r="N16" s="611">
        <v>2</v>
      </c>
      <c r="O16" s="611">
        <v>0</v>
      </c>
      <c r="P16" s="610"/>
      <c r="Q16" s="611">
        <v>0</v>
      </c>
      <c r="R16" s="611">
        <v>2</v>
      </c>
      <c r="S16" s="611">
        <v>2</v>
      </c>
      <c r="T16" s="611">
        <v>2</v>
      </c>
      <c r="U16" s="611">
        <v>0</v>
      </c>
      <c r="V16" s="612">
        <f t="shared" si="2"/>
        <v>6</v>
      </c>
      <c r="W16" s="613">
        <f t="shared" si="3"/>
        <v>2</v>
      </c>
    </row>
    <row r="17" spans="1:23" x14ac:dyDescent="0.2">
      <c r="A17" s="212">
        <v>11</v>
      </c>
      <c r="B17" s="68" t="s">
        <v>115</v>
      </c>
      <c r="C17" s="639">
        <v>15</v>
      </c>
      <c r="D17" s="264">
        <f t="shared" si="0"/>
        <v>15</v>
      </c>
      <c r="E17" s="609">
        <f t="shared" si="1"/>
        <v>9.0302999999999987</v>
      </c>
      <c r="F17" s="364">
        <v>11</v>
      </c>
      <c r="G17" s="611">
        <v>0</v>
      </c>
      <c r="H17" s="611">
        <v>0</v>
      </c>
      <c r="I17" s="611">
        <v>0</v>
      </c>
      <c r="J17" s="611">
        <v>0</v>
      </c>
      <c r="K17" s="611">
        <v>0</v>
      </c>
      <c r="L17" s="611">
        <v>1</v>
      </c>
      <c r="M17" s="611">
        <v>0</v>
      </c>
      <c r="N17" s="611">
        <v>2</v>
      </c>
      <c r="O17" s="611">
        <v>0</v>
      </c>
      <c r="P17" s="611">
        <v>2</v>
      </c>
      <c r="Q17" s="610"/>
      <c r="R17" s="611">
        <v>1</v>
      </c>
      <c r="S17" s="611">
        <v>0</v>
      </c>
      <c r="T17" s="611">
        <v>1</v>
      </c>
      <c r="U17" s="611">
        <v>2</v>
      </c>
      <c r="V17" s="612">
        <f>COUNTIF(G17:U17,"=2")</f>
        <v>3</v>
      </c>
      <c r="W17" s="613">
        <f>COUNTIF(G17:U17,"=1")</f>
        <v>3</v>
      </c>
    </row>
    <row r="18" spans="1:23" x14ac:dyDescent="0.2">
      <c r="A18" s="212">
        <v>12</v>
      </c>
      <c r="B18" s="366" t="s">
        <v>112</v>
      </c>
      <c r="C18" s="608">
        <v>7</v>
      </c>
      <c r="D18" s="264">
        <f t="shared" si="0"/>
        <v>5</v>
      </c>
      <c r="E18" s="609">
        <f t="shared" si="1"/>
        <v>15.0603</v>
      </c>
      <c r="F18" s="364">
        <v>12</v>
      </c>
      <c r="G18" s="611">
        <v>2</v>
      </c>
      <c r="H18" s="611">
        <v>2</v>
      </c>
      <c r="I18" s="611">
        <v>1</v>
      </c>
      <c r="J18" s="611">
        <v>2</v>
      </c>
      <c r="K18" s="611">
        <v>2</v>
      </c>
      <c r="L18" s="611">
        <v>0</v>
      </c>
      <c r="M18" s="611">
        <v>2</v>
      </c>
      <c r="N18" s="611">
        <v>1</v>
      </c>
      <c r="O18" s="611">
        <v>0</v>
      </c>
      <c r="P18" s="611">
        <v>0</v>
      </c>
      <c r="Q18" s="611">
        <v>1</v>
      </c>
      <c r="R18" s="610"/>
      <c r="S18" s="611">
        <v>2</v>
      </c>
      <c r="T18" s="611">
        <v>0</v>
      </c>
      <c r="U18" s="611">
        <v>0</v>
      </c>
      <c r="V18" s="612">
        <f t="shared" si="2"/>
        <v>6</v>
      </c>
      <c r="W18" s="613">
        <f t="shared" si="3"/>
        <v>3</v>
      </c>
    </row>
    <row r="19" spans="1:23" x14ac:dyDescent="0.2">
      <c r="A19" s="212">
        <v>13</v>
      </c>
      <c r="B19" s="366" t="s">
        <v>104</v>
      </c>
      <c r="C19" s="608">
        <v>13</v>
      </c>
      <c r="D19" s="264">
        <f t="shared" si="0"/>
        <v>13</v>
      </c>
      <c r="E19" s="609">
        <f t="shared" si="1"/>
        <v>12.0404</v>
      </c>
      <c r="F19" s="364">
        <v>13</v>
      </c>
      <c r="G19" s="611">
        <v>0</v>
      </c>
      <c r="H19" s="611">
        <v>1</v>
      </c>
      <c r="I19" s="611">
        <v>1</v>
      </c>
      <c r="J19" s="611">
        <v>2</v>
      </c>
      <c r="K19" s="611">
        <v>2</v>
      </c>
      <c r="L19" s="611">
        <v>2</v>
      </c>
      <c r="M19" s="611">
        <v>0</v>
      </c>
      <c r="N19" s="611">
        <v>0</v>
      </c>
      <c r="O19" s="611">
        <v>1</v>
      </c>
      <c r="P19" s="611">
        <v>0</v>
      </c>
      <c r="Q19" s="611">
        <v>2</v>
      </c>
      <c r="R19" s="611">
        <v>0</v>
      </c>
      <c r="S19" s="610"/>
      <c r="T19" s="611">
        <v>1</v>
      </c>
      <c r="U19" s="611">
        <v>0</v>
      </c>
      <c r="V19" s="612">
        <f t="shared" si="2"/>
        <v>4</v>
      </c>
      <c r="W19" s="613">
        <f t="shared" si="3"/>
        <v>4</v>
      </c>
    </row>
    <row r="20" spans="1:23" x14ac:dyDescent="0.2">
      <c r="A20" s="212">
        <v>14</v>
      </c>
      <c r="B20" s="405" t="s">
        <v>108</v>
      </c>
      <c r="C20" s="608">
        <v>10</v>
      </c>
      <c r="D20" s="264">
        <f t="shared" si="0"/>
        <v>10</v>
      </c>
      <c r="E20" s="609">
        <f t="shared" si="1"/>
        <v>13.0503</v>
      </c>
      <c r="F20" s="364">
        <v>14</v>
      </c>
      <c r="G20" s="611">
        <v>0</v>
      </c>
      <c r="H20" s="611">
        <v>1</v>
      </c>
      <c r="I20" s="611">
        <v>2</v>
      </c>
      <c r="J20" s="611">
        <v>0</v>
      </c>
      <c r="K20" s="611">
        <v>2</v>
      </c>
      <c r="L20" s="611">
        <v>2</v>
      </c>
      <c r="M20" s="611">
        <v>0</v>
      </c>
      <c r="N20" s="611">
        <v>0</v>
      </c>
      <c r="O20" s="611">
        <v>2</v>
      </c>
      <c r="P20" s="611">
        <v>0</v>
      </c>
      <c r="Q20" s="611">
        <v>1</v>
      </c>
      <c r="R20" s="611">
        <v>2</v>
      </c>
      <c r="S20" s="611">
        <v>1</v>
      </c>
      <c r="T20" s="610"/>
      <c r="U20" s="611">
        <v>0</v>
      </c>
      <c r="V20" s="612">
        <f t="shared" si="2"/>
        <v>5</v>
      </c>
      <c r="W20" s="613">
        <f t="shared" si="3"/>
        <v>3</v>
      </c>
    </row>
    <row r="21" spans="1:23" x14ac:dyDescent="0.2">
      <c r="A21" s="212">
        <v>15</v>
      </c>
      <c r="B21" s="405" t="s">
        <v>90</v>
      </c>
      <c r="C21" s="608">
        <v>6</v>
      </c>
      <c r="D21" s="264">
        <f t="shared" si="0"/>
        <v>5</v>
      </c>
      <c r="E21" s="609">
        <f t="shared" si="1"/>
        <v>15.0603</v>
      </c>
      <c r="F21" s="364">
        <v>15</v>
      </c>
      <c r="G21" s="611">
        <v>0</v>
      </c>
      <c r="H21" s="611">
        <v>1</v>
      </c>
      <c r="I21" s="611">
        <v>2</v>
      </c>
      <c r="J21" s="611">
        <v>0</v>
      </c>
      <c r="K21" s="611">
        <v>1</v>
      </c>
      <c r="L21" s="611">
        <v>1</v>
      </c>
      <c r="M21" s="611">
        <v>0</v>
      </c>
      <c r="N21" s="611">
        <v>2</v>
      </c>
      <c r="O21" s="611">
        <v>0</v>
      </c>
      <c r="P21" s="611">
        <v>2</v>
      </c>
      <c r="Q21" s="611">
        <v>0</v>
      </c>
      <c r="R21" s="611">
        <v>2</v>
      </c>
      <c r="S21" s="611">
        <v>2</v>
      </c>
      <c r="T21" s="611">
        <v>2</v>
      </c>
      <c r="U21" s="610"/>
      <c r="V21" s="612">
        <f t="shared" si="2"/>
        <v>6</v>
      </c>
      <c r="W21" s="613">
        <f t="shared" si="3"/>
        <v>3</v>
      </c>
    </row>
    <row r="22" spans="1:23" x14ac:dyDescent="0.2">
      <c r="A22" s="634"/>
      <c r="B22" s="635"/>
      <c r="C22" s="632"/>
      <c r="D22" s="633"/>
      <c r="E22" s="632"/>
      <c r="F22" s="364" t="s">
        <v>253</v>
      </c>
      <c r="G22" s="364">
        <v>1</v>
      </c>
      <c r="H22" s="364">
        <v>2</v>
      </c>
      <c r="I22" s="364">
        <v>3</v>
      </c>
      <c r="J22" s="364">
        <v>4</v>
      </c>
      <c r="K22" s="364">
        <v>5</v>
      </c>
      <c r="L22" s="364">
        <v>6</v>
      </c>
      <c r="M22" s="364">
        <v>7</v>
      </c>
      <c r="N22" s="364">
        <v>8</v>
      </c>
      <c r="O22" s="364">
        <v>9</v>
      </c>
      <c r="P22" s="364">
        <v>10</v>
      </c>
      <c r="Q22" s="364">
        <v>11</v>
      </c>
      <c r="R22" s="364">
        <v>12</v>
      </c>
      <c r="S22" s="364">
        <v>13</v>
      </c>
      <c r="T22" s="364">
        <v>14</v>
      </c>
      <c r="U22" s="364">
        <v>15</v>
      </c>
      <c r="V22" s="408"/>
      <c r="W22" s="408"/>
    </row>
    <row r="23" spans="1:23" x14ac:dyDescent="0.2">
      <c r="A23" s="408"/>
      <c r="B23" s="408"/>
      <c r="C23" s="408"/>
      <c r="D23" s="408"/>
      <c r="E23" s="408"/>
      <c r="F23" s="62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</row>
    <row r="24" spans="1:23" x14ac:dyDescent="0.2">
      <c r="A24" s="408" t="s">
        <v>151</v>
      </c>
      <c r="B24" s="408"/>
      <c r="C24" s="408"/>
      <c r="D24" s="408"/>
      <c r="E24" s="408"/>
      <c r="F24" s="62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</row>
    <row r="25" spans="1:23" x14ac:dyDescent="0.2">
      <c r="A25" s="408" t="s">
        <v>152</v>
      </c>
      <c r="B25" s="408"/>
      <c r="C25" s="408"/>
      <c r="D25" s="408"/>
      <c r="E25" s="408"/>
      <c r="F25" s="62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</row>
    <row r="26" spans="1:23" x14ac:dyDescent="0.2">
      <c r="A26" s="408" t="s">
        <v>428</v>
      </c>
      <c r="B26" s="408"/>
      <c r="C26" s="408"/>
      <c r="D26" s="408"/>
      <c r="E26" s="408"/>
      <c r="F26" s="62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</row>
    <row r="27" spans="1:23" x14ac:dyDescent="0.2">
      <c r="A27" s="408"/>
      <c r="B27" s="408"/>
      <c r="C27" s="408"/>
      <c r="D27" s="408"/>
      <c r="E27" s="408"/>
      <c r="F27" s="62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</row>
    <row r="28" spans="1:23" x14ac:dyDescent="0.2">
      <c r="A28" s="162"/>
      <c r="B28" s="162" t="s">
        <v>250</v>
      </c>
      <c r="C28" s="162">
        <v>9</v>
      </c>
      <c r="E28" s="162">
        <v>12</v>
      </c>
      <c r="F28" s="162">
        <v>15</v>
      </c>
    </row>
    <row r="29" spans="1:23" x14ac:dyDescent="0.2">
      <c r="A29" s="163">
        <v>9</v>
      </c>
      <c r="B29" s="164" t="s">
        <v>106</v>
      </c>
      <c r="C29" s="165"/>
      <c r="E29" s="166">
        <v>2</v>
      </c>
      <c r="F29" s="166">
        <v>2</v>
      </c>
      <c r="G29" s="258" t="s">
        <v>222</v>
      </c>
      <c r="H29" s="258" t="s">
        <v>41</v>
      </c>
    </row>
    <row r="30" spans="1:23" x14ac:dyDescent="0.2">
      <c r="A30" s="163">
        <v>12</v>
      </c>
      <c r="B30" s="164" t="s">
        <v>112</v>
      </c>
      <c r="C30" s="166">
        <v>0</v>
      </c>
      <c r="E30" s="165"/>
      <c r="F30" s="166">
        <v>0</v>
      </c>
      <c r="G30" s="258" t="s">
        <v>224</v>
      </c>
      <c r="H30" s="258" t="s">
        <v>415</v>
      </c>
    </row>
    <row r="31" spans="1:23" x14ac:dyDescent="0.2">
      <c r="A31" s="163">
        <v>15</v>
      </c>
      <c r="B31" s="167" t="s">
        <v>90</v>
      </c>
      <c r="C31" s="166">
        <v>0</v>
      </c>
      <c r="E31" s="166">
        <v>2</v>
      </c>
      <c r="F31" s="165"/>
      <c r="G31" s="258" t="s">
        <v>223</v>
      </c>
      <c r="H31" s="258" t="s">
        <v>416</v>
      </c>
    </row>
    <row r="32" spans="1:23" x14ac:dyDescent="0.2">
      <c r="A32" s="636"/>
      <c r="B32" s="637"/>
      <c r="C32" s="638"/>
      <c r="E32" s="638"/>
      <c r="F32" s="638"/>
      <c r="G32" s="258"/>
      <c r="H32" s="258"/>
    </row>
    <row r="33" spans="1:8" x14ac:dyDescent="0.2">
      <c r="A33" s="255" t="s">
        <v>429</v>
      </c>
      <c r="B33" s="637"/>
      <c r="C33" s="638"/>
      <c r="E33" s="638"/>
      <c r="F33" s="638"/>
      <c r="G33" s="258"/>
      <c r="H33" s="258"/>
    </row>
    <row r="34" spans="1:8" x14ac:dyDescent="0.2">
      <c r="A34" s="255" t="s">
        <v>427</v>
      </c>
      <c r="B34" s="637"/>
      <c r="C34" s="638"/>
      <c r="E34" s="638"/>
      <c r="F34" s="638"/>
      <c r="G34" s="258"/>
      <c r="H34" s="258"/>
    </row>
    <row r="36" spans="1:8" x14ac:dyDescent="0.2">
      <c r="A36" s="608">
        <v>1</v>
      </c>
      <c r="B36" s="283" t="s">
        <v>113</v>
      </c>
    </row>
    <row r="37" spans="1:8" x14ac:dyDescent="0.2">
      <c r="A37" s="608">
        <v>2</v>
      </c>
      <c r="B37" s="411" t="s">
        <v>126</v>
      </c>
    </row>
    <row r="38" spans="1:8" x14ac:dyDescent="0.2">
      <c r="A38" s="608">
        <v>3</v>
      </c>
      <c r="B38" s="405" t="s">
        <v>114</v>
      </c>
    </row>
    <row r="39" spans="1:8" x14ac:dyDescent="0.2">
      <c r="A39" s="608">
        <v>3</v>
      </c>
      <c r="B39" s="405" t="s">
        <v>98</v>
      </c>
    </row>
    <row r="40" spans="1:8" x14ac:dyDescent="0.2">
      <c r="A40" s="608">
        <v>5</v>
      </c>
      <c r="B40" s="366" t="s">
        <v>106</v>
      </c>
    </row>
    <row r="41" spans="1:8" x14ac:dyDescent="0.2">
      <c r="A41" s="608">
        <v>6</v>
      </c>
      <c r="B41" s="405" t="s">
        <v>90</v>
      </c>
    </row>
    <row r="42" spans="1:8" x14ac:dyDescent="0.2">
      <c r="A42" s="608">
        <v>7</v>
      </c>
      <c r="B42" s="366" t="s">
        <v>112</v>
      </c>
    </row>
    <row r="43" spans="1:8" x14ac:dyDescent="0.2">
      <c r="A43" s="608">
        <v>8</v>
      </c>
      <c r="B43" s="405" t="s">
        <v>125</v>
      </c>
    </row>
    <row r="44" spans="1:8" x14ac:dyDescent="0.2">
      <c r="A44" s="608">
        <v>9</v>
      </c>
      <c r="B44" s="405" t="s">
        <v>137</v>
      </c>
    </row>
    <row r="45" spans="1:8" x14ac:dyDescent="0.2">
      <c r="A45" s="608">
        <v>10</v>
      </c>
      <c r="B45" s="405" t="s">
        <v>108</v>
      </c>
    </row>
    <row r="46" spans="1:8" x14ac:dyDescent="0.2">
      <c r="A46" s="608">
        <v>11</v>
      </c>
      <c r="B46" s="405" t="s">
        <v>143</v>
      </c>
    </row>
    <row r="47" spans="1:8" x14ac:dyDescent="0.2">
      <c r="A47" s="608">
        <v>12</v>
      </c>
      <c r="B47" s="405" t="s">
        <v>95</v>
      </c>
    </row>
    <row r="48" spans="1:8" x14ac:dyDescent="0.2">
      <c r="A48" s="608">
        <v>13</v>
      </c>
      <c r="B48" s="366" t="s">
        <v>104</v>
      </c>
    </row>
    <row r="49" spans="1:2" x14ac:dyDescent="0.2">
      <c r="A49" s="608">
        <v>14</v>
      </c>
      <c r="B49" s="405" t="s">
        <v>105</v>
      </c>
    </row>
    <row r="50" spans="1:2" x14ac:dyDescent="0.2">
      <c r="A50" s="608">
        <v>15</v>
      </c>
      <c r="B50" s="405" t="s">
        <v>115</v>
      </c>
    </row>
  </sheetData>
  <conditionalFormatting sqref="G7:U16 C29:C34 E29:F34 G18:U21">
    <cfRule type="cellIs" dxfId="90" priority="45" stopIfTrue="1" operator="greaterThan">
      <formula>2</formula>
    </cfRule>
  </conditionalFormatting>
  <conditionalFormatting sqref="B7">
    <cfRule type="duplicateValues" dxfId="89" priority="44" stopIfTrue="1"/>
  </conditionalFormatting>
  <conditionalFormatting sqref="B8">
    <cfRule type="duplicateValues" dxfId="88" priority="43" stopIfTrue="1"/>
  </conditionalFormatting>
  <conditionalFormatting sqref="B9">
    <cfRule type="duplicateValues" dxfId="87" priority="42" stopIfTrue="1"/>
  </conditionalFormatting>
  <conditionalFormatting sqref="B11">
    <cfRule type="duplicateValues" dxfId="86" priority="41" stopIfTrue="1"/>
  </conditionalFormatting>
  <conditionalFormatting sqref="B12">
    <cfRule type="duplicateValues" dxfId="85" priority="40" stopIfTrue="1"/>
  </conditionalFormatting>
  <conditionalFormatting sqref="B13">
    <cfRule type="duplicateValues" dxfId="84" priority="39" stopIfTrue="1"/>
  </conditionalFormatting>
  <conditionalFormatting sqref="B14">
    <cfRule type="duplicateValues" dxfId="83" priority="38" stopIfTrue="1"/>
  </conditionalFormatting>
  <conditionalFormatting sqref="B15">
    <cfRule type="duplicateValues" dxfId="82" priority="37" stopIfTrue="1"/>
  </conditionalFormatting>
  <conditionalFormatting sqref="B16">
    <cfRule type="duplicateValues" dxfId="81" priority="36" stopIfTrue="1"/>
  </conditionalFormatting>
  <conditionalFormatting sqref="B18">
    <cfRule type="duplicateValues" dxfId="80" priority="34" stopIfTrue="1"/>
  </conditionalFormatting>
  <conditionalFormatting sqref="B19">
    <cfRule type="duplicateValues" dxfId="79" priority="33" stopIfTrue="1"/>
  </conditionalFormatting>
  <conditionalFormatting sqref="B20">
    <cfRule type="duplicateValues" dxfId="78" priority="32" stopIfTrue="1"/>
  </conditionalFormatting>
  <conditionalFormatting sqref="B21">
    <cfRule type="duplicateValues" dxfId="77" priority="31" stopIfTrue="1"/>
  </conditionalFormatting>
  <conditionalFormatting sqref="D7:D21">
    <cfRule type="duplicateValues" dxfId="76" priority="4" stopIfTrue="1"/>
  </conditionalFormatting>
  <conditionalFormatting sqref="B10">
    <cfRule type="duplicateValues" dxfId="75" priority="139" stopIfTrue="1"/>
  </conditionalFormatting>
  <conditionalFormatting sqref="B29">
    <cfRule type="duplicateValues" dxfId="74" priority="28" stopIfTrue="1"/>
  </conditionalFormatting>
  <conditionalFormatting sqref="B30">
    <cfRule type="duplicateValues" dxfId="73" priority="25" stopIfTrue="1"/>
  </conditionalFormatting>
  <conditionalFormatting sqref="B31:B34">
    <cfRule type="duplicateValues" dxfId="72" priority="22" stopIfTrue="1"/>
  </conditionalFormatting>
  <conditionalFormatting sqref="B37">
    <cfRule type="duplicateValues" dxfId="71" priority="19" stopIfTrue="1"/>
  </conditionalFormatting>
  <conditionalFormatting sqref="B38">
    <cfRule type="duplicateValues" dxfId="70" priority="18" stopIfTrue="1"/>
  </conditionalFormatting>
  <conditionalFormatting sqref="B40">
    <cfRule type="duplicateValues" dxfId="69" priority="17" stopIfTrue="1"/>
  </conditionalFormatting>
  <conditionalFormatting sqref="B41">
    <cfRule type="duplicateValues" dxfId="68" priority="16" stopIfTrue="1"/>
  </conditionalFormatting>
  <conditionalFormatting sqref="B42">
    <cfRule type="duplicateValues" dxfId="67" priority="15" stopIfTrue="1"/>
  </conditionalFormatting>
  <conditionalFormatting sqref="B43">
    <cfRule type="duplicateValues" dxfId="66" priority="14" stopIfTrue="1"/>
  </conditionalFormatting>
  <conditionalFormatting sqref="B44">
    <cfRule type="duplicateValues" dxfId="65" priority="13" stopIfTrue="1"/>
  </conditionalFormatting>
  <conditionalFormatting sqref="B45">
    <cfRule type="duplicateValues" dxfId="64" priority="12" stopIfTrue="1"/>
  </conditionalFormatting>
  <conditionalFormatting sqref="B46">
    <cfRule type="duplicateValues" dxfId="63" priority="11" stopIfTrue="1"/>
  </conditionalFormatting>
  <conditionalFormatting sqref="B47">
    <cfRule type="duplicateValues" dxfId="62" priority="10" stopIfTrue="1"/>
  </conditionalFormatting>
  <conditionalFormatting sqref="B48">
    <cfRule type="duplicateValues" dxfId="61" priority="9" stopIfTrue="1"/>
  </conditionalFormatting>
  <conditionalFormatting sqref="B49">
    <cfRule type="duplicateValues" dxfId="60" priority="8" stopIfTrue="1"/>
  </conditionalFormatting>
  <conditionalFormatting sqref="B50">
    <cfRule type="duplicateValues" dxfId="59" priority="7" stopIfTrue="1"/>
  </conditionalFormatting>
  <conditionalFormatting sqref="B39">
    <cfRule type="duplicateValues" dxfId="58" priority="21" stopIfTrue="1"/>
  </conditionalFormatting>
  <conditionalFormatting sqref="V7:V21">
    <cfRule type="top10" dxfId="57" priority="6" stopIfTrue="1" rank="1"/>
  </conditionalFormatting>
  <conditionalFormatting sqref="W7:W21">
    <cfRule type="top10" dxfId="56" priority="5" stopIfTrue="1" rank="1"/>
  </conditionalFormatting>
  <conditionalFormatting sqref="G17:U17">
    <cfRule type="cellIs" dxfId="55" priority="3" stopIfTrue="1" operator="greaterThan">
      <formula>2</formula>
    </cfRule>
  </conditionalFormatting>
  <conditionalFormatting sqref="B17">
    <cfRule type="duplicateValues" dxfId="54" priority="2" stopIfTrue="1"/>
  </conditionalFormatting>
  <conditionalFormatting sqref="B36">
    <cfRule type="duplicateValues" dxfId="53" priority="1" stopIfTrue="1"/>
  </conditionalFormatting>
  <pageMargins left="0.39370078740157483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V7:W16 V18:W21 E18:E21 E7:E16 D17:E17 D7:D16 D18:D21 V17:W17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  <pageSetUpPr fitToPage="1"/>
  </sheetPr>
  <dimension ref="A1:O26"/>
  <sheetViews>
    <sheetView showGridLines="0" showRowColHeaders="0" zoomScaleNormal="100" workbookViewId="0">
      <pane ySplit="6" topLeftCell="A7" activePane="bottomLeft" state="frozen"/>
      <selection activeCell="E1" sqref="E1"/>
      <selection pane="bottomLeft" activeCell="C1" sqref="C1"/>
    </sheetView>
  </sheetViews>
  <sheetFormatPr defaultRowHeight="12.75" x14ac:dyDescent="0.2"/>
  <cols>
    <col min="1" max="1" width="3.28515625" style="238" customWidth="1"/>
    <col min="2" max="2" width="31.5703125" style="235" bestFit="1" customWidth="1"/>
    <col min="3" max="3" width="5.140625" style="238" bestFit="1" customWidth="1"/>
    <col min="4" max="4" width="5.140625" style="238" hidden="1" customWidth="1"/>
    <col min="5" max="5" width="6.5703125" style="238" bestFit="1" customWidth="1"/>
    <col min="6" max="6" width="3.7109375" style="238" bestFit="1" customWidth="1"/>
    <col min="7" max="13" width="3" style="238" customWidth="1"/>
    <col min="14" max="14" width="5.28515625" style="238" bestFit="1" customWidth="1"/>
    <col min="15" max="15" width="5.140625" style="238" bestFit="1" customWidth="1"/>
    <col min="16" max="16384" width="9.140625" style="238"/>
  </cols>
  <sheetData>
    <row r="1" spans="1:15" x14ac:dyDescent="0.2">
      <c r="A1" s="82" t="str">
        <f>UPPER((Kalend!D14)&amp;" - "&amp;(Kalend!C14)&amp;" - "&amp;(Kalend!E14))</f>
        <v>PL2 - PLIKS-PLAKS 2 - DUO (LOOSI)</v>
      </c>
      <c r="G1" s="361" t="str">
        <f>HYPERLINK("#'Kalend'!I1","Kalender")</f>
        <v>Kalender</v>
      </c>
      <c r="H1" s="85"/>
      <c r="K1" s="361" t="str">
        <f>HYPERLINK("#'Reit'!J1","Reiting")</f>
        <v>Reiting</v>
      </c>
      <c r="L1" s="85"/>
      <c r="N1" s="408" t="s">
        <v>153</v>
      </c>
    </row>
    <row r="2" spans="1:15" s="85" customFormat="1" x14ac:dyDescent="0.2">
      <c r="A2" s="85" t="str">
        <f>"Toimumisaeg: "&amp;(Kalend!A13)&amp;" kell "&amp;(Kalend!B14)</f>
        <v xml:space="preserve">Toimumisaeg: P, 27.12.2015 kell </v>
      </c>
      <c r="N2" s="408" t="s">
        <v>154</v>
      </c>
    </row>
    <row r="3" spans="1:15" s="85" customFormat="1" x14ac:dyDescent="0.2">
      <c r="A3" s="85" t="str">
        <f>"Toimumiskoht: "&amp;(Kalend!F14)</f>
        <v>Toimumiskoht: K-Järve petangihall</v>
      </c>
      <c r="N3" s="408" t="s">
        <v>155</v>
      </c>
    </row>
    <row r="4" spans="1:15" s="85" customFormat="1" x14ac:dyDescent="0.2">
      <c r="A4" s="85" t="str">
        <f>"Korraldaja: "&amp;(Kalend!G14)</f>
        <v>Korraldaja: K-Järve SHK, Ivar Viljaste</v>
      </c>
    </row>
    <row r="5" spans="1:15" x14ac:dyDescent="0.2">
      <c r="D5" s="263" t="s">
        <v>85</v>
      </c>
    </row>
    <row r="6" spans="1:15" x14ac:dyDescent="0.2">
      <c r="A6" s="615" t="s">
        <v>253</v>
      </c>
      <c r="B6" s="632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364">
        <v>7</v>
      </c>
      <c r="N6" s="408" t="s">
        <v>65</v>
      </c>
      <c r="O6" s="408" t="s">
        <v>150</v>
      </c>
    </row>
    <row r="7" spans="1:15" x14ac:dyDescent="0.2">
      <c r="A7" s="212">
        <v>1</v>
      </c>
      <c r="B7" s="411" t="s">
        <v>286</v>
      </c>
      <c r="C7" s="608">
        <f>IF(COUNTA(G7:M7)&lt;1,"",RANK(E7,E$7:E$13))</f>
        <v>2</v>
      </c>
      <c r="D7" s="264">
        <f t="shared" ref="D7:D13" si="0">IF(COUNTA(G7:M7)&lt;1,"",RANK(E7,E$7:E$13))</f>
        <v>2</v>
      </c>
      <c r="E7" s="609">
        <f t="shared" ref="E7:E13" si="1">IF(COUNTA(G7:M7)=0,0,SUM(G7:M7)+COUNTIF(G7:M7,2)/100+COUNTIF(G7:M7,1)/10000)</f>
        <v>7.0301</v>
      </c>
      <c r="F7" s="364">
        <v>1</v>
      </c>
      <c r="G7" s="610"/>
      <c r="H7" s="611">
        <v>1</v>
      </c>
      <c r="I7" s="611">
        <v>0</v>
      </c>
      <c r="J7" s="611">
        <v>0</v>
      </c>
      <c r="K7" s="611">
        <v>2</v>
      </c>
      <c r="L7" s="611">
        <v>2</v>
      </c>
      <c r="M7" s="611">
        <v>2</v>
      </c>
      <c r="N7" s="612">
        <f t="shared" ref="N7:N13" si="2">COUNTIF(G7:M7,"=2")</f>
        <v>3</v>
      </c>
      <c r="O7" s="613">
        <f t="shared" ref="O7:O13" si="3">COUNTIF(G7:M7,"=1")</f>
        <v>1</v>
      </c>
    </row>
    <row r="8" spans="1:15" x14ac:dyDescent="0.2">
      <c r="A8" s="212">
        <v>2</v>
      </c>
      <c r="B8" s="559" t="s">
        <v>287</v>
      </c>
      <c r="C8" s="608">
        <f>IF(COUNTA(G8:M8)&lt;1,"",RANK(E8,E$7:E$13))</f>
        <v>5</v>
      </c>
      <c r="D8" s="264">
        <f t="shared" si="0"/>
        <v>5</v>
      </c>
      <c r="E8" s="609">
        <f t="shared" si="1"/>
        <v>6.0202</v>
      </c>
      <c r="F8" s="364">
        <v>2</v>
      </c>
      <c r="G8" s="611">
        <v>1</v>
      </c>
      <c r="H8" s="610"/>
      <c r="I8" s="611">
        <v>1</v>
      </c>
      <c r="J8" s="611">
        <v>2</v>
      </c>
      <c r="K8" s="611">
        <v>2</v>
      </c>
      <c r="L8" s="611">
        <v>0</v>
      </c>
      <c r="M8" s="611">
        <v>0</v>
      </c>
      <c r="N8" s="612">
        <f t="shared" si="2"/>
        <v>2</v>
      </c>
      <c r="O8" s="613">
        <f t="shared" si="3"/>
        <v>2</v>
      </c>
    </row>
    <row r="9" spans="1:15" x14ac:dyDescent="0.2">
      <c r="A9" s="212">
        <v>3</v>
      </c>
      <c r="B9" s="604" t="s">
        <v>288</v>
      </c>
      <c r="C9" s="608">
        <f>IF(COUNTA(G9:M9)&lt;1,"",RANK(E9,E$7:E$13))</f>
        <v>7</v>
      </c>
      <c r="D9" s="264">
        <f t="shared" si="0"/>
        <v>7</v>
      </c>
      <c r="E9" s="609">
        <f t="shared" si="1"/>
        <v>4.0102000000000002</v>
      </c>
      <c r="F9" s="364">
        <v>3</v>
      </c>
      <c r="G9" s="611">
        <v>2</v>
      </c>
      <c r="H9" s="611">
        <v>1</v>
      </c>
      <c r="I9" s="610"/>
      <c r="J9" s="611">
        <v>0</v>
      </c>
      <c r="K9" s="611">
        <v>0</v>
      </c>
      <c r="L9" s="611">
        <v>1</v>
      </c>
      <c r="M9" s="611">
        <v>0</v>
      </c>
      <c r="N9" s="612">
        <f t="shared" si="2"/>
        <v>1</v>
      </c>
      <c r="O9" s="613">
        <f t="shared" si="3"/>
        <v>2</v>
      </c>
    </row>
    <row r="10" spans="1:15" x14ac:dyDescent="0.2">
      <c r="A10" s="212">
        <v>4</v>
      </c>
      <c r="B10" s="411" t="s">
        <v>289</v>
      </c>
      <c r="C10" s="608">
        <f>IF(COUNTA(G10:M10)&lt;1,"",RANK(E10,E$7:E$13))</f>
        <v>1</v>
      </c>
      <c r="D10" s="264">
        <f t="shared" si="0"/>
        <v>1</v>
      </c>
      <c r="E10" s="609">
        <f t="shared" si="1"/>
        <v>8.0399999999999991</v>
      </c>
      <c r="F10" s="364">
        <v>4</v>
      </c>
      <c r="G10" s="611">
        <v>2</v>
      </c>
      <c r="H10" s="611">
        <v>0</v>
      </c>
      <c r="I10" s="611">
        <v>2</v>
      </c>
      <c r="J10" s="610"/>
      <c r="K10" s="611">
        <v>2</v>
      </c>
      <c r="L10" s="611">
        <v>0</v>
      </c>
      <c r="M10" s="611">
        <v>2</v>
      </c>
      <c r="N10" s="612">
        <f t="shared" si="2"/>
        <v>4</v>
      </c>
      <c r="O10" s="613">
        <f t="shared" si="3"/>
        <v>0</v>
      </c>
    </row>
    <row r="11" spans="1:15" x14ac:dyDescent="0.2">
      <c r="A11" s="212">
        <v>5</v>
      </c>
      <c r="B11" s="411" t="s">
        <v>290</v>
      </c>
      <c r="C11" s="608">
        <f>IF(COUNTA(G11:M11)&lt;1,"",RANK(E11,E$7:E$13))</f>
        <v>4</v>
      </c>
      <c r="D11" s="264">
        <f t="shared" si="0"/>
        <v>4</v>
      </c>
      <c r="E11" s="609">
        <f t="shared" si="1"/>
        <v>6.03</v>
      </c>
      <c r="F11" s="364">
        <v>5</v>
      </c>
      <c r="G11" s="611">
        <v>0</v>
      </c>
      <c r="H11" s="611">
        <v>0</v>
      </c>
      <c r="I11" s="611">
        <v>2</v>
      </c>
      <c r="J11" s="611">
        <v>0</v>
      </c>
      <c r="K11" s="610"/>
      <c r="L11" s="611">
        <v>2</v>
      </c>
      <c r="M11" s="611">
        <v>2</v>
      </c>
      <c r="N11" s="612">
        <f t="shared" si="2"/>
        <v>3</v>
      </c>
      <c r="O11" s="613">
        <f t="shared" si="3"/>
        <v>0</v>
      </c>
    </row>
    <row r="12" spans="1:15" x14ac:dyDescent="0.2">
      <c r="A12" s="212">
        <v>6</v>
      </c>
      <c r="B12" s="411" t="s">
        <v>291</v>
      </c>
      <c r="C12" s="608">
        <v>3</v>
      </c>
      <c r="D12" s="264">
        <f t="shared" si="0"/>
        <v>2</v>
      </c>
      <c r="E12" s="609">
        <f t="shared" si="1"/>
        <v>7.0301</v>
      </c>
      <c r="F12" s="364">
        <v>6</v>
      </c>
      <c r="G12" s="611">
        <v>0</v>
      </c>
      <c r="H12" s="611">
        <v>2</v>
      </c>
      <c r="I12" s="611">
        <v>1</v>
      </c>
      <c r="J12" s="611">
        <v>2</v>
      </c>
      <c r="K12" s="611">
        <v>0</v>
      </c>
      <c r="L12" s="610"/>
      <c r="M12" s="611">
        <v>2</v>
      </c>
      <c r="N12" s="612">
        <f t="shared" si="2"/>
        <v>3</v>
      </c>
      <c r="O12" s="613">
        <f t="shared" si="3"/>
        <v>1</v>
      </c>
    </row>
    <row r="13" spans="1:15" x14ac:dyDescent="0.2">
      <c r="A13" s="212">
        <v>7</v>
      </c>
      <c r="B13" s="411" t="s">
        <v>105</v>
      </c>
      <c r="C13" s="608">
        <f>IF(COUNTA(G13:M13)&lt;1,"",RANK(E13,E$7:E$13))</f>
        <v>6</v>
      </c>
      <c r="D13" s="264">
        <f t="shared" si="0"/>
        <v>6</v>
      </c>
      <c r="E13" s="609">
        <f t="shared" si="1"/>
        <v>4.0199999999999996</v>
      </c>
      <c r="F13" s="364">
        <v>7</v>
      </c>
      <c r="G13" s="611">
        <v>0</v>
      </c>
      <c r="H13" s="611">
        <v>2</v>
      </c>
      <c r="I13" s="611">
        <v>2</v>
      </c>
      <c r="J13" s="611">
        <v>0</v>
      </c>
      <c r="K13" s="611">
        <v>0</v>
      </c>
      <c r="L13" s="611">
        <v>0</v>
      </c>
      <c r="M13" s="610"/>
      <c r="N13" s="612">
        <f t="shared" si="2"/>
        <v>2</v>
      </c>
      <c r="O13" s="613">
        <f t="shared" si="3"/>
        <v>0</v>
      </c>
    </row>
    <row r="14" spans="1:15" x14ac:dyDescent="0.2">
      <c r="A14" s="615"/>
      <c r="B14" s="632"/>
      <c r="C14" s="632"/>
      <c r="D14" s="633"/>
      <c r="E14" s="632"/>
      <c r="F14" s="631" t="s">
        <v>253</v>
      </c>
      <c r="G14" s="364">
        <v>1</v>
      </c>
      <c r="H14" s="364">
        <v>2</v>
      </c>
      <c r="I14" s="364">
        <v>3</v>
      </c>
      <c r="J14" s="364">
        <v>4</v>
      </c>
      <c r="K14" s="364">
        <v>5</v>
      </c>
      <c r="L14" s="364">
        <v>6</v>
      </c>
      <c r="M14" s="364">
        <v>7</v>
      </c>
      <c r="N14" s="408"/>
      <c r="O14" s="408"/>
    </row>
    <row r="15" spans="1:15" x14ac:dyDescent="0.2">
      <c r="A15" s="408"/>
      <c r="B15" s="408"/>
      <c r="C15" s="408"/>
      <c r="D15" s="408"/>
      <c r="E15" s="408"/>
      <c r="F15" s="628"/>
      <c r="G15" s="408"/>
      <c r="H15" s="408"/>
      <c r="I15" s="408"/>
      <c r="J15" s="408"/>
      <c r="K15" s="408"/>
      <c r="L15" s="408"/>
      <c r="M15" s="408"/>
      <c r="N15" s="408"/>
      <c r="O15" s="408"/>
    </row>
    <row r="16" spans="1:15" x14ac:dyDescent="0.2">
      <c r="A16" s="408" t="s">
        <v>151</v>
      </c>
      <c r="B16" s="408"/>
      <c r="C16" s="408"/>
      <c r="D16" s="408"/>
      <c r="E16" s="408"/>
      <c r="F16" s="628"/>
      <c r="G16" s="408"/>
      <c r="H16" s="408"/>
      <c r="I16" s="408"/>
      <c r="J16" s="408"/>
      <c r="K16" s="408"/>
      <c r="L16" s="408"/>
      <c r="M16" s="408"/>
      <c r="N16" s="408"/>
      <c r="O16" s="408"/>
    </row>
    <row r="17" spans="1:15" x14ac:dyDescent="0.2">
      <c r="A17" s="408" t="s">
        <v>152</v>
      </c>
      <c r="B17" s="408"/>
      <c r="C17" s="408"/>
      <c r="D17" s="408"/>
      <c r="E17" s="408"/>
      <c r="F17" s="628"/>
      <c r="G17" s="408"/>
      <c r="H17" s="408"/>
      <c r="I17" s="408"/>
      <c r="J17" s="408"/>
      <c r="K17" s="408"/>
      <c r="L17" s="408"/>
      <c r="M17" s="408"/>
      <c r="N17" s="408"/>
      <c r="O17" s="408"/>
    </row>
    <row r="18" spans="1:15" x14ac:dyDescent="0.2">
      <c r="A18" s="630" t="s">
        <v>426</v>
      </c>
      <c r="B18" s="408"/>
      <c r="C18" s="408"/>
      <c r="D18" s="408"/>
      <c r="E18" s="408"/>
      <c r="F18" s="628"/>
      <c r="G18" s="408"/>
      <c r="H18" s="408"/>
      <c r="I18" s="408"/>
      <c r="J18" s="408"/>
      <c r="K18" s="408"/>
      <c r="L18" s="408"/>
      <c r="M18" s="408"/>
      <c r="N18" s="408"/>
      <c r="O18" s="408"/>
    </row>
    <row r="20" spans="1:15" x14ac:dyDescent="0.2">
      <c r="A20" s="608">
        <v>1</v>
      </c>
      <c r="B20" s="284" t="s">
        <v>289</v>
      </c>
    </row>
    <row r="21" spans="1:15" x14ac:dyDescent="0.2">
      <c r="A21" s="608">
        <v>2</v>
      </c>
      <c r="B21" s="411" t="s">
        <v>286</v>
      </c>
    </row>
    <row r="22" spans="1:15" x14ac:dyDescent="0.2">
      <c r="A22" s="608">
        <v>3</v>
      </c>
      <c r="B22" s="411" t="s">
        <v>291</v>
      </c>
    </row>
    <row r="23" spans="1:15" x14ac:dyDescent="0.2">
      <c r="A23" s="608">
        <v>3</v>
      </c>
      <c r="B23" s="411" t="s">
        <v>290</v>
      </c>
    </row>
    <row r="24" spans="1:15" x14ac:dyDescent="0.2">
      <c r="A24" s="608">
        <v>5</v>
      </c>
      <c r="B24" s="559" t="s">
        <v>287</v>
      </c>
    </row>
    <row r="25" spans="1:15" x14ac:dyDescent="0.2">
      <c r="A25" s="608">
        <v>6</v>
      </c>
      <c r="B25" s="411" t="s">
        <v>408</v>
      </c>
    </row>
    <row r="26" spans="1:15" x14ac:dyDescent="0.2">
      <c r="A26" s="608">
        <v>7</v>
      </c>
      <c r="B26" s="604" t="s">
        <v>288</v>
      </c>
    </row>
  </sheetData>
  <conditionalFormatting sqref="G7:M13">
    <cfRule type="cellIs" dxfId="52" priority="19" stopIfTrue="1" operator="greaterThan">
      <formula>2</formula>
    </cfRule>
  </conditionalFormatting>
  <conditionalFormatting sqref="C7:C13">
    <cfRule type="duplicateValues" dxfId="51" priority="157" stopIfTrue="1"/>
  </conditionalFormatting>
  <conditionalFormatting sqref="B7 B10:B13">
    <cfRule type="duplicateValues" dxfId="50" priority="158" stopIfTrue="1"/>
  </conditionalFormatting>
  <conditionalFormatting sqref="B8">
    <cfRule type="duplicateValues" dxfId="49" priority="17" stopIfTrue="1"/>
  </conditionalFormatting>
  <conditionalFormatting sqref="B9">
    <cfRule type="duplicateValues" dxfId="48" priority="16" stopIfTrue="1"/>
  </conditionalFormatting>
  <conditionalFormatting sqref="B20">
    <cfRule type="duplicateValues" dxfId="47" priority="8" stopIfTrue="1"/>
  </conditionalFormatting>
  <conditionalFormatting sqref="B21">
    <cfRule type="duplicateValues" dxfId="46" priority="7" stopIfTrue="1"/>
  </conditionalFormatting>
  <conditionalFormatting sqref="B22">
    <cfRule type="duplicateValues" dxfId="45" priority="6" stopIfTrue="1"/>
  </conditionalFormatting>
  <conditionalFormatting sqref="B23">
    <cfRule type="duplicateValues" dxfId="44" priority="5" stopIfTrue="1"/>
  </conditionalFormatting>
  <conditionalFormatting sqref="B24">
    <cfRule type="duplicateValues" dxfId="43" priority="4" stopIfTrue="1"/>
  </conditionalFormatting>
  <conditionalFormatting sqref="B25">
    <cfRule type="duplicateValues" dxfId="42" priority="3" stopIfTrue="1"/>
  </conditionalFormatting>
  <conditionalFormatting sqref="B26">
    <cfRule type="duplicateValues" dxfId="41" priority="2" stopIfTrue="1"/>
  </conditionalFormatting>
  <conditionalFormatting sqref="D7:D13">
    <cfRule type="duplicateValues" dxfId="40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C7:E13 N7:O13" formulaRang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T35"/>
  <sheetViews>
    <sheetView showGridLines="0" showRowColHeaders="0" zoomScaleNormal="100" workbookViewId="0">
      <pane ySplit="6" topLeftCell="A7" activePane="bottomLeft" state="frozen"/>
      <selection activeCell="E1" sqref="E1"/>
      <selection pane="bottomLeft" activeCell="F1" sqref="F1"/>
    </sheetView>
  </sheetViews>
  <sheetFormatPr defaultRowHeight="12.75" x14ac:dyDescent="0.2"/>
  <cols>
    <col min="1" max="1" width="3.28515625" style="238" customWidth="1"/>
    <col min="2" max="2" width="18.7109375" style="235" bestFit="1" customWidth="1"/>
    <col min="3" max="3" width="5.140625" style="238" bestFit="1" customWidth="1"/>
    <col min="4" max="4" width="5.140625" style="238" hidden="1" customWidth="1"/>
    <col min="5" max="5" width="6.5703125" style="238" bestFit="1" customWidth="1"/>
    <col min="6" max="6" width="3.7109375" style="238" bestFit="1" customWidth="1"/>
    <col min="7" max="18" width="3" style="238" customWidth="1"/>
    <col min="19" max="19" width="5.28515625" style="238" bestFit="1" customWidth="1"/>
    <col min="20" max="20" width="5.140625" style="238" bestFit="1" customWidth="1"/>
    <col min="21" max="16384" width="9.140625" style="238"/>
  </cols>
  <sheetData>
    <row r="1" spans="1:20" x14ac:dyDescent="0.2">
      <c r="A1" s="82" t="str">
        <f>UPPER((Kalend!D18)&amp;" - "&amp;(Kalend!C18)&amp;" - "&amp;(Kalend!E18))</f>
        <v>PL3 - PLIKS-PLAKS 3 - ÜKSIK</v>
      </c>
      <c r="K1" s="408"/>
      <c r="L1" s="361" t="str">
        <f>HYPERLINK("#'Kalend'!I1","Kalender")</f>
        <v>Kalender</v>
      </c>
      <c r="M1" s="85"/>
      <c r="P1" s="361" t="str">
        <f>HYPERLINK("#'Reit'!J1","Reiting")</f>
        <v>Reiting</v>
      </c>
      <c r="Q1" s="85"/>
      <c r="S1" s="408" t="s">
        <v>153</v>
      </c>
    </row>
    <row r="2" spans="1:20" s="85" customFormat="1" x14ac:dyDescent="0.2">
      <c r="A2" s="85" t="str">
        <f>"Toimumisaeg: "&amp;(Kalend!A17)&amp;" kell "&amp;(Kalend!B18)</f>
        <v xml:space="preserve">Toimumisaeg: P, 10.01.2016 kell </v>
      </c>
      <c r="S2" s="408" t="s">
        <v>154</v>
      </c>
    </row>
    <row r="3" spans="1:20" s="85" customFormat="1" x14ac:dyDescent="0.2">
      <c r="A3" s="85" t="str">
        <f>"Toimumiskoht: "&amp;(Kalend!F18)</f>
        <v>Toimumiskoht: K-Järve petangihall</v>
      </c>
      <c r="S3" s="408" t="s">
        <v>155</v>
      </c>
    </row>
    <row r="4" spans="1:20" s="85" customFormat="1" x14ac:dyDescent="0.2">
      <c r="A4" s="85" t="str">
        <f>"Korraldaja: "&amp;(Kalend!G18)</f>
        <v>Korraldaja: K-Järve SHK, Ivar Viljaste</v>
      </c>
    </row>
    <row r="5" spans="1:20" x14ac:dyDescent="0.2">
      <c r="D5" s="263" t="s">
        <v>85</v>
      </c>
    </row>
    <row r="6" spans="1:20" x14ac:dyDescent="0.2">
      <c r="A6" s="615" t="s">
        <v>253</v>
      </c>
      <c r="B6" s="632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364">
        <v>7</v>
      </c>
      <c r="N6" s="364">
        <v>8</v>
      </c>
      <c r="O6" s="364">
        <v>9</v>
      </c>
      <c r="P6" s="364">
        <v>10</v>
      </c>
      <c r="Q6" s="364">
        <v>11</v>
      </c>
      <c r="R6" s="364">
        <v>12</v>
      </c>
      <c r="S6" s="408" t="s">
        <v>65</v>
      </c>
      <c r="T6" s="408" t="s">
        <v>150</v>
      </c>
    </row>
    <row r="7" spans="1:20" x14ac:dyDescent="0.2">
      <c r="A7" s="212">
        <v>1</v>
      </c>
      <c r="B7" s="411" t="s">
        <v>104</v>
      </c>
      <c r="C7" s="608">
        <v>5</v>
      </c>
      <c r="D7" s="264">
        <f t="shared" ref="D7:D18" si="0">IF(COUNTA(G7:R7)&lt;1,"",RANK(E7,E$7:E$18))</f>
        <v>4</v>
      </c>
      <c r="E7" s="609">
        <f t="shared" ref="E7:E18" si="1">IF(COUNTA(G7:R7)=0,0,SUM(G7:R7)+COUNTIF(G7:R7,2)/100+COUNTIF(G7:R7,1)/10000)</f>
        <v>13.0503</v>
      </c>
      <c r="F7" s="364">
        <v>1</v>
      </c>
      <c r="G7" s="610"/>
      <c r="H7" s="611">
        <v>1</v>
      </c>
      <c r="I7" s="611">
        <v>1</v>
      </c>
      <c r="J7" s="611">
        <v>0</v>
      </c>
      <c r="K7" s="611">
        <v>2</v>
      </c>
      <c r="L7" s="611">
        <v>1</v>
      </c>
      <c r="M7" s="611">
        <v>0</v>
      </c>
      <c r="N7" s="611">
        <v>0</v>
      </c>
      <c r="O7" s="611">
        <v>2</v>
      </c>
      <c r="P7" s="611">
        <v>2</v>
      </c>
      <c r="Q7" s="611">
        <v>2</v>
      </c>
      <c r="R7" s="611">
        <v>2</v>
      </c>
      <c r="S7" s="612">
        <f t="shared" ref="S7:S18" si="2">COUNTIF(G7:R7,"=2")</f>
        <v>5</v>
      </c>
      <c r="T7" s="613">
        <f t="shared" ref="T7:T18" si="3">COUNTIF(G7:R7,"=1")</f>
        <v>3</v>
      </c>
    </row>
    <row r="8" spans="1:20" x14ac:dyDescent="0.2">
      <c r="A8" s="212">
        <v>2</v>
      </c>
      <c r="B8" s="411" t="s">
        <v>125</v>
      </c>
      <c r="C8" s="608">
        <f t="shared" ref="C8:C18" si="4">IF(COUNTA(G8:R8)&lt;1,"",RANK(E8,E$7:E$18))</f>
        <v>3</v>
      </c>
      <c r="D8" s="264">
        <f t="shared" si="0"/>
        <v>3</v>
      </c>
      <c r="E8" s="609">
        <f t="shared" si="1"/>
        <v>13.0601</v>
      </c>
      <c r="F8" s="364">
        <v>2</v>
      </c>
      <c r="G8" s="611">
        <v>1</v>
      </c>
      <c r="H8" s="610"/>
      <c r="I8" s="611">
        <v>2</v>
      </c>
      <c r="J8" s="611">
        <v>2</v>
      </c>
      <c r="K8" s="611">
        <v>0</v>
      </c>
      <c r="L8" s="611">
        <v>2</v>
      </c>
      <c r="M8" s="611">
        <v>2</v>
      </c>
      <c r="N8" s="611">
        <v>2</v>
      </c>
      <c r="O8" s="611">
        <v>0</v>
      </c>
      <c r="P8" s="611">
        <v>0</v>
      </c>
      <c r="Q8" s="611">
        <v>2</v>
      </c>
      <c r="R8" s="611">
        <v>0</v>
      </c>
      <c r="S8" s="612">
        <f t="shared" si="2"/>
        <v>6</v>
      </c>
      <c r="T8" s="613">
        <f t="shared" si="3"/>
        <v>1</v>
      </c>
    </row>
    <row r="9" spans="1:20" x14ac:dyDescent="0.2">
      <c r="A9" s="212">
        <v>3</v>
      </c>
      <c r="B9" s="411" t="s">
        <v>114</v>
      </c>
      <c r="C9" s="608">
        <f t="shared" si="4"/>
        <v>9</v>
      </c>
      <c r="D9" s="264">
        <f t="shared" si="0"/>
        <v>9</v>
      </c>
      <c r="E9" s="609">
        <f t="shared" si="1"/>
        <v>9.0205000000000002</v>
      </c>
      <c r="F9" s="364">
        <v>3</v>
      </c>
      <c r="G9" s="611">
        <v>1</v>
      </c>
      <c r="H9" s="611">
        <v>0</v>
      </c>
      <c r="I9" s="610"/>
      <c r="J9" s="611">
        <v>0</v>
      </c>
      <c r="K9" s="611">
        <v>0</v>
      </c>
      <c r="L9" s="611">
        <v>1</v>
      </c>
      <c r="M9" s="611">
        <v>2</v>
      </c>
      <c r="N9" s="611">
        <v>1</v>
      </c>
      <c r="O9" s="611">
        <v>1</v>
      </c>
      <c r="P9" s="611">
        <v>2</v>
      </c>
      <c r="Q9" s="611">
        <v>0</v>
      </c>
      <c r="R9" s="611">
        <v>1</v>
      </c>
      <c r="S9" s="612">
        <f t="shared" si="2"/>
        <v>2</v>
      </c>
      <c r="T9" s="613">
        <f t="shared" si="3"/>
        <v>5</v>
      </c>
    </row>
    <row r="10" spans="1:20" x14ac:dyDescent="0.2">
      <c r="A10" s="212">
        <v>4</v>
      </c>
      <c r="B10" s="411" t="s">
        <v>105</v>
      </c>
      <c r="C10" s="608">
        <f t="shared" si="4"/>
        <v>12</v>
      </c>
      <c r="D10" s="264">
        <f t="shared" si="0"/>
        <v>12</v>
      </c>
      <c r="E10" s="609">
        <f t="shared" si="1"/>
        <v>5.0200999999999993</v>
      </c>
      <c r="F10" s="364">
        <v>4</v>
      </c>
      <c r="G10" s="611">
        <v>2</v>
      </c>
      <c r="H10" s="611">
        <v>0</v>
      </c>
      <c r="I10" s="611">
        <v>2</v>
      </c>
      <c r="J10" s="610"/>
      <c r="K10" s="611">
        <v>0</v>
      </c>
      <c r="L10" s="611">
        <v>0</v>
      </c>
      <c r="M10" s="611">
        <v>0</v>
      </c>
      <c r="N10" s="611">
        <v>1</v>
      </c>
      <c r="O10" s="611">
        <v>0</v>
      </c>
      <c r="P10" s="611">
        <v>0</v>
      </c>
      <c r="Q10" s="611">
        <v>0</v>
      </c>
      <c r="R10" s="611">
        <v>0</v>
      </c>
      <c r="S10" s="612">
        <f t="shared" si="2"/>
        <v>2</v>
      </c>
      <c r="T10" s="613">
        <f t="shared" si="3"/>
        <v>1</v>
      </c>
    </row>
    <row r="11" spans="1:20" x14ac:dyDescent="0.2">
      <c r="A11" s="212">
        <v>5</v>
      </c>
      <c r="B11" s="411" t="s">
        <v>106</v>
      </c>
      <c r="C11" s="608">
        <f t="shared" si="4"/>
        <v>1</v>
      </c>
      <c r="D11" s="264">
        <f t="shared" si="0"/>
        <v>1</v>
      </c>
      <c r="E11" s="609">
        <f t="shared" si="1"/>
        <v>14.0602</v>
      </c>
      <c r="F11" s="364">
        <v>5</v>
      </c>
      <c r="G11" s="611">
        <v>0</v>
      </c>
      <c r="H11" s="611">
        <v>2</v>
      </c>
      <c r="I11" s="611">
        <v>2</v>
      </c>
      <c r="J11" s="611">
        <v>2</v>
      </c>
      <c r="K11" s="610"/>
      <c r="L11" s="611">
        <v>2</v>
      </c>
      <c r="M11" s="611">
        <v>1</v>
      </c>
      <c r="N11" s="611">
        <v>2</v>
      </c>
      <c r="O11" s="611">
        <v>1</v>
      </c>
      <c r="P11" s="611">
        <v>0</v>
      </c>
      <c r="Q11" s="611">
        <v>0</v>
      </c>
      <c r="R11" s="611">
        <v>2</v>
      </c>
      <c r="S11" s="612">
        <f t="shared" si="2"/>
        <v>6</v>
      </c>
      <c r="T11" s="613">
        <f t="shared" si="3"/>
        <v>2</v>
      </c>
    </row>
    <row r="12" spans="1:20" x14ac:dyDescent="0.2">
      <c r="A12" s="212">
        <v>6</v>
      </c>
      <c r="B12" s="411" t="s">
        <v>108</v>
      </c>
      <c r="C12" s="608">
        <f t="shared" si="4"/>
        <v>7</v>
      </c>
      <c r="D12" s="264">
        <f t="shared" si="0"/>
        <v>7</v>
      </c>
      <c r="E12" s="609">
        <f t="shared" si="1"/>
        <v>12.0404</v>
      </c>
      <c r="F12" s="364">
        <v>6</v>
      </c>
      <c r="G12" s="611">
        <v>1</v>
      </c>
      <c r="H12" s="611">
        <v>0</v>
      </c>
      <c r="I12" s="611">
        <v>1</v>
      </c>
      <c r="J12" s="611">
        <v>2</v>
      </c>
      <c r="K12" s="611">
        <v>0</v>
      </c>
      <c r="L12" s="610"/>
      <c r="M12" s="611">
        <v>1</v>
      </c>
      <c r="N12" s="611">
        <v>0</v>
      </c>
      <c r="O12" s="611">
        <v>1</v>
      </c>
      <c r="P12" s="611">
        <v>2</v>
      </c>
      <c r="Q12" s="611">
        <v>2</v>
      </c>
      <c r="R12" s="611">
        <v>2</v>
      </c>
      <c r="S12" s="612">
        <f t="shared" si="2"/>
        <v>4</v>
      </c>
      <c r="T12" s="613">
        <f t="shared" si="3"/>
        <v>4</v>
      </c>
    </row>
    <row r="13" spans="1:20" x14ac:dyDescent="0.2">
      <c r="A13" s="212">
        <v>7</v>
      </c>
      <c r="B13" s="411" t="s">
        <v>112</v>
      </c>
      <c r="C13" s="608">
        <f t="shared" si="4"/>
        <v>11</v>
      </c>
      <c r="D13" s="264">
        <f t="shared" si="0"/>
        <v>11</v>
      </c>
      <c r="E13" s="609">
        <f t="shared" si="1"/>
        <v>8.0301999999999989</v>
      </c>
      <c r="F13" s="364">
        <v>7</v>
      </c>
      <c r="G13" s="611">
        <v>2</v>
      </c>
      <c r="H13" s="611">
        <v>0</v>
      </c>
      <c r="I13" s="611">
        <v>0</v>
      </c>
      <c r="J13" s="611">
        <v>2</v>
      </c>
      <c r="K13" s="611">
        <v>1</v>
      </c>
      <c r="L13" s="611">
        <v>1</v>
      </c>
      <c r="M13" s="610"/>
      <c r="N13" s="611">
        <v>0</v>
      </c>
      <c r="O13" s="611">
        <v>0</v>
      </c>
      <c r="P13" s="611">
        <v>0</v>
      </c>
      <c r="Q13" s="611">
        <v>2</v>
      </c>
      <c r="R13" s="611">
        <v>0</v>
      </c>
      <c r="S13" s="612">
        <f t="shared" si="2"/>
        <v>3</v>
      </c>
      <c r="T13" s="613">
        <f t="shared" si="3"/>
        <v>2</v>
      </c>
    </row>
    <row r="14" spans="1:20" x14ac:dyDescent="0.2">
      <c r="A14" s="212">
        <v>8</v>
      </c>
      <c r="B14" s="411" t="s">
        <v>115</v>
      </c>
      <c r="C14" s="608">
        <f t="shared" si="4"/>
        <v>4</v>
      </c>
      <c r="D14" s="264">
        <f t="shared" si="0"/>
        <v>4</v>
      </c>
      <c r="E14" s="609">
        <f t="shared" si="1"/>
        <v>13.0503</v>
      </c>
      <c r="F14" s="364">
        <v>8</v>
      </c>
      <c r="G14" s="611">
        <v>2</v>
      </c>
      <c r="H14" s="611">
        <v>0</v>
      </c>
      <c r="I14" s="611">
        <v>1</v>
      </c>
      <c r="J14" s="611">
        <v>1</v>
      </c>
      <c r="K14" s="611">
        <v>0</v>
      </c>
      <c r="L14" s="611">
        <v>2</v>
      </c>
      <c r="M14" s="611">
        <v>2</v>
      </c>
      <c r="N14" s="610"/>
      <c r="O14" s="611">
        <v>1</v>
      </c>
      <c r="P14" s="611">
        <v>2</v>
      </c>
      <c r="Q14" s="611">
        <v>0</v>
      </c>
      <c r="R14" s="611">
        <v>2</v>
      </c>
      <c r="S14" s="612">
        <f t="shared" si="2"/>
        <v>5</v>
      </c>
      <c r="T14" s="613">
        <f t="shared" si="3"/>
        <v>3</v>
      </c>
    </row>
    <row r="15" spans="1:20" x14ac:dyDescent="0.2">
      <c r="A15" s="212">
        <v>9</v>
      </c>
      <c r="B15" s="411" t="s">
        <v>90</v>
      </c>
      <c r="C15" s="608">
        <f t="shared" si="4"/>
        <v>2</v>
      </c>
      <c r="D15" s="264">
        <f t="shared" si="0"/>
        <v>2</v>
      </c>
      <c r="E15" s="609">
        <f t="shared" si="1"/>
        <v>14.050400000000002</v>
      </c>
      <c r="F15" s="364">
        <v>9</v>
      </c>
      <c r="G15" s="611">
        <v>0</v>
      </c>
      <c r="H15" s="611">
        <v>2</v>
      </c>
      <c r="I15" s="611">
        <v>1</v>
      </c>
      <c r="J15" s="611">
        <v>2</v>
      </c>
      <c r="K15" s="611">
        <v>1</v>
      </c>
      <c r="L15" s="611">
        <v>1</v>
      </c>
      <c r="M15" s="611">
        <v>2</v>
      </c>
      <c r="N15" s="611">
        <v>1</v>
      </c>
      <c r="O15" s="610"/>
      <c r="P15" s="611">
        <v>2</v>
      </c>
      <c r="Q15" s="611">
        <v>2</v>
      </c>
      <c r="R15" s="611">
        <v>0</v>
      </c>
      <c r="S15" s="612">
        <f t="shared" si="2"/>
        <v>5</v>
      </c>
      <c r="T15" s="613">
        <f t="shared" si="3"/>
        <v>4</v>
      </c>
    </row>
    <row r="16" spans="1:20" x14ac:dyDescent="0.2">
      <c r="A16" s="212">
        <v>10</v>
      </c>
      <c r="B16" s="411" t="s">
        <v>95</v>
      </c>
      <c r="C16" s="608">
        <f t="shared" si="4"/>
        <v>10</v>
      </c>
      <c r="D16" s="264">
        <f t="shared" si="0"/>
        <v>10</v>
      </c>
      <c r="E16" s="609">
        <f t="shared" si="1"/>
        <v>8.0399999999999991</v>
      </c>
      <c r="F16" s="364">
        <v>10</v>
      </c>
      <c r="G16" s="611">
        <v>0</v>
      </c>
      <c r="H16" s="611">
        <v>2</v>
      </c>
      <c r="I16" s="611">
        <v>0</v>
      </c>
      <c r="J16" s="611">
        <v>2</v>
      </c>
      <c r="K16" s="611">
        <v>2</v>
      </c>
      <c r="L16" s="611">
        <v>0</v>
      </c>
      <c r="M16" s="611">
        <v>2</v>
      </c>
      <c r="N16" s="611">
        <v>0</v>
      </c>
      <c r="O16" s="611">
        <v>0</v>
      </c>
      <c r="P16" s="610"/>
      <c r="Q16" s="611">
        <v>0</v>
      </c>
      <c r="R16" s="611">
        <v>0</v>
      </c>
      <c r="S16" s="612">
        <f t="shared" si="2"/>
        <v>4</v>
      </c>
      <c r="T16" s="613">
        <f t="shared" si="3"/>
        <v>0</v>
      </c>
    </row>
    <row r="17" spans="1:20" x14ac:dyDescent="0.2">
      <c r="A17" s="212">
        <v>11</v>
      </c>
      <c r="B17" s="411" t="s">
        <v>113</v>
      </c>
      <c r="C17" s="608">
        <f t="shared" si="4"/>
        <v>8</v>
      </c>
      <c r="D17" s="264">
        <f t="shared" si="0"/>
        <v>8</v>
      </c>
      <c r="E17" s="609">
        <f t="shared" si="1"/>
        <v>11.0501</v>
      </c>
      <c r="F17" s="364">
        <v>11</v>
      </c>
      <c r="G17" s="611">
        <v>0</v>
      </c>
      <c r="H17" s="611">
        <v>0</v>
      </c>
      <c r="I17" s="611">
        <v>2</v>
      </c>
      <c r="J17" s="611">
        <v>2</v>
      </c>
      <c r="K17" s="611">
        <v>2</v>
      </c>
      <c r="L17" s="611">
        <v>0</v>
      </c>
      <c r="M17" s="611">
        <v>0</v>
      </c>
      <c r="N17" s="611">
        <v>2</v>
      </c>
      <c r="O17" s="611">
        <v>0</v>
      </c>
      <c r="P17" s="611">
        <v>2</v>
      </c>
      <c r="Q17" s="610"/>
      <c r="R17" s="611">
        <v>1</v>
      </c>
      <c r="S17" s="612">
        <f t="shared" si="2"/>
        <v>5</v>
      </c>
      <c r="T17" s="613">
        <f t="shared" si="3"/>
        <v>1</v>
      </c>
    </row>
    <row r="18" spans="1:20" x14ac:dyDescent="0.2">
      <c r="A18" s="212">
        <v>12</v>
      </c>
      <c r="B18" s="411" t="s">
        <v>98</v>
      </c>
      <c r="C18" s="608">
        <f t="shared" si="4"/>
        <v>6</v>
      </c>
      <c r="D18" s="264">
        <f t="shared" si="0"/>
        <v>6</v>
      </c>
      <c r="E18" s="609">
        <f t="shared" si="1"/>
        <v>12.0502</v>
      </c>
      <c r="F18" s="364">
        <v>12</v>
      </c>
      <c r="G18" s="611">
        <v>0</v>
      </c>
      <c r="H18" s="611">
        <v>2</v>
      </c>
      <c r="I18" s="611">
        <v>1</v>
      </c>
      <c r="J18" s="611">
        <v>2</v>
      </c>
      <c r="K18" s="611">
        <v>0</v>
      </c>
      <c r="L18" s="611">
        <v>0</v>
      </c>
      <c r="M18" s="611">
        <v>2</v>
      </c>
      <c r="N18" s="611">
        <v>0</v>
      </c>
      <c r="O18" s="611">
        <v>2</v>
      </c>
      <c r="P18" s="611">
        <v>2</v>
      </c>
      <c r="Q18" s="611">
        <v>1</v>
      </c>
      <c r="R18" s="610"/>
      <c r="S18" s="612">
        <f t="shared" si="2"/>
        <v>5</v>
      </c>
      <c r="T18" s="613">
        <f t="shared" si="3"/>
        <v>2</v>
      </c>
    </row>
    <row r="19" spans="1:20" x14ac:dyDescent="0.2">
      <c r="A19" s="113"/>
      <c r="B19" s="632"/>
      <c r="C19" s="632"/>
      <c r="D19" s="633"/>
      <c r="E19" s="632"/>
      <c r="F19" s="364" t="s">
        <v>253</v>
      </c>
      <c r="G19" s="364">
        <v>1</v>
      </c>
      <c r="H19" s="364">
        <v>2</v>
      </c>
      <c r="I19" s="364">
        <v>3</v>
      </c>
      <c r="J19" s="364">
        <v>4</v>
      </c>
      <c r="K19" s="364">
        <v>5</v>
      </c>
      <c r="L19" s="364">
        <v>6</v>
      </c>
      <c r="M19" s="364">
        <v>7</v>
      </c>
      <c r="N19" s="364">
        <v>8</v>
      </c>
      <c r="O19" s="364">
        <v>9</v>
      </c>
      <c r="P19" s="364">
        <v>10</v>
      </c>
      <c r="Q19" s="364">
        <v>11</v>
      </c>
      <c r="R19" s="364">
        <v>12</v>
      </c>
      <c r="S19" s="408"/>
      <c r="T19" s="408"/>
    </row>
    <row r="20" spans="1:20" x14ac:dyDescent="0.2">
      <c r="A20" s="408"/>
      <c r="B20" s="408"/>
      <c r="C20" s="408"/>
      <c r="E20" s="408"/>
      <c r="F20" s="62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</row>
    <row r="21" spans="1:20" x14ac:dyDescent="0.2">
      <c r="A21" s="616" t="s">
        <v>151</v>
      </c>
      <c r="B21" s="616"/>
      <c r="C21" s="408"/>
      <c r="E21" s="408"/>
      <c r="F21" s="62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</row>
    <row r="22" spans="1:20" x14ac:dyDescent="0.2">
      <c r="A22" s="616" t="s">
        <v>152</v>
      </c>
      <c r="B22" s="616"/>
      <c r="C22" s="408"/>
      <c r="E22" s="408"/>
      <c r="F22" s="62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</row>
    <row r="23" spans="1:20" x14ac:dyDescent="0.2">
      <c r="A23" s="630" t="s">
        <v>426</v>
      </c>
      <c r="B23" s="616"/>
      <c r="C23" s="408"/>
      <c r="E23" s="408"/>
      <c r="F23" s="62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</row>
    <row r="25" spans="1:20" x14ac:dyDescent="0.2">
      <c r="A25" s="608">
        <v>2</v>
      </c>
      <c r="B25" s="411" t="s">
        <v>90</v>
      </c>
    </row>
    <row r="26" spans="1:20" x14ac:dyDescent="0.2">
      <c r="A26" s="608">
        <v>3</v>
      </c>
      <c r="B26" s="411" t="s">
        <v>125</v>
      </c>
    </row>
    <row r="27" spans="1:20" x14ac:dyDescent="0.2">
      <c r="A27" s="608">
        <v>4</v>
      </c>
      <c r="B27" s="411" t="s">
        <v>115</v>
      </c>
    </row>
    <row r="28" spans="1:20" x14ac:dyDescent="0.2">
      <c r="A28" s="608">
        <v>5</v>
      </c>
      <c r="B28" s="411" t="s">
        <v>104</v>
      </c>
    </row>
    <row r="29" spans="1:20" x14ac:dyDescent="0.2">
      <c r="A29" s="608">
        <v>6</v>
      </c>
      <c r="B29" s="411" t="s">
        <v>98</v>
      </c>
    </row>
    <row r="30" spans="1:20" x14ac:dyDescent="0.2">
      <c r="A30" s="608">
        <v>7</v>
      </c>
      <c r="B30" s="411" t="s">
        <v>108</v>
      </c>
    </row>
    <row r="31" spans="1:20" x14ac:dyDescent="0.2">
      <c r="A31" s="608">
        <v>8</v>
      </c>
      <c r="B31" s="411" t="s">
        <v>113</v>
      </c>
    </row>
    <row r="32" spans="1:20" x14ac:dyDescent="0.2">
      <c r="A32" s="608">
        <v>9</v>
      </c>
      <c r="B32" s="411" t="s">
        <v>114</v>
      </c>
    </row>
    <row r="33" spans="1:2" x14ac:dyDescent="0.2">
      <c r="A33" s="608">
        <v>10</v>
      </c>
      <c r="B33" s="411" t="s">
        <v>95</v>
      </c>
    </row>
    <row r="34" spans="1:2" x14ac:dyDescent="0.2">
      <c r="A34" s="608">
        <v>11</v>
      </c>
      <c r="B34" s="411" t="s">
        <v>112</v>
      </c>
    </row>
    <row r="35" spans="1:2" x14ac:dyDescent="0.2">
      <c r="A35" s="608">
        <v>12</v>
      </c>
      <c r="B35" s="411" t="s">
        <v>105</v>
      </c>
    </row>
  </sheetData>
  <conditionalFormatting sqref="G7:R18">
    <cfRule type="cellIs" dxfId="39" priority="16" stopIfTrue="1" operator="greaterThan">
      <formula>2</formula>
    </cfRule>
  </conditionalFormatting>
  <conditionalFormatting sqref="C7:C18">
    <cfRule type="duplicateValues" dxfId="38" priority="187" stopIfTrue="1"/>
  </conditionalFormatting>
  <conditionalFormatting sqref="B7:B18">
    <cfRule type="duplicateValues" dxfId="37" priority="188" stopIfTrue="1"/>
  </conditionalFormatting>
  <conditionalFormatting sqref="B24:B35">
    <cfRule type="duplicateValues" dxfId="36" priority="2" stopIfTrue="1"/>
  </conditionalFormatting>
  <conditionalFormatting sqref="D7:D18">
    <cfRule type="duplicateValues" dxfId="35" priority="1" stopIfTrue="1"/>
  </conditionalFormatting>
  <pageMargins left="0.59055118110236227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S7:T19 C8:E18 E7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P28"/>
  <sheetViews>
    <sheetView showGridLines="0" showRowColHeaders="0" zoomScaleNormal="100" workbookViewId="0">
      <pane ySplit="6" topLeftCell="A7" activePane="bottomLeft" state="frozen"/>
      <selection activeCell="E1" sqref="E1"/>
      <selection pane="bottomLeft" activeCell="E1" sqref="E1"/>
    </sheetView>
  </sheetViews>
  <sheetFormatPr defaultRowHeight="12.75" x14ac:dyDescent="0.2"/>
  <cols>
    <col min="1" max="1" width="3.28515625" style="238" customWidth="1"/>
    <col min="2" max="2" width="31.5703125" style="235" bestFit="1" customWidth="1"/>
    <col min="3" max="3" width="5.140625" style="238" bestFit="1" customWidth="1"/>
    <col min="4" max="4" width="5.140625" style="238" hidden="1" customWidth="1"/>
    <col min="5" max="5" width="6.5703125" style="238" bestFit="1" customWidth="1"/>
    <col min="6" max="6" width="3.7109375" style="238" bestFit="1" customWidth="1"/>
    <col min="7" max="14" width="3" style="238" customWidth="1"/>
    <col min="15" max="15" width="5.28515625" style="238" bestFit="1" customWidth="1"/>
    <col min="16" max="16" width="5.140625" style="238" bestFit="1" customWidth="1"/>
    <col min="17" max="18" width="3" style="238" customWidth="1"/>
    <col min="19" max="16384" width="9.140625" style="238"/>
  </cols>
  <sheetData>
    <row r="1" spans="1:16" x14ac:dyDescent="0.2">
      <c r="A1" s="82" t="str">
        <f>UPPER((Kalend!D22)&amp;" - "&amp;(Kalend!C22)&amp;" - "&amp;(Kalend!E22))</f>
        <v>PL4 - PLIKS-PLAKS 4 - DUO (LOOSI)</v>
      </c>
      <c r="H1" s="361" t="str">
        <f>HYPERLINK("#'Kalend'!I1","Kalender")</f>
        <v>Kalender</v>
      </c>
      <c r="I1" s="85"/>
      <c r="L1" s="361" t="str">
        <f>HYPERLINK("#'Reit'!J1","Reiting")</f>
        <v>Reiting</v>
      </c>
      <c r="M1" s="85"/>
      <c r="O1" s="408" t="s">
        <v>153</v>
      </c>
    </row>
    <row r="2" spans="1:16" s="85" customFormat="1" x14ac:dyDescent="0.2">
      <c r="A2" s="85" t="str">
        <f>"Toimumisaeg: "&amp;(Kalend!A21)&amp;" kell "&amp;(Kalend!B22)</f>
        <v xml:space="preserve">Toimumisaeg: P, 14.02.2016 kell </v>
      </c>
      <c r="O2" s="408" t="s">
        <v>154</v>
      </c>
    </row>
    <row r="3" spans="1:16" s="85" customFormat="1" x14ac:dyDescent="0.2">
      <c r="A3" s="85" t="str">
        <f>"Toimumiskoht: "&amp;(Kalend!F22)</f>
        <v>Toimumiskoht: K-Järve petangihall</v>
      </c>
      <c r="O3" s="408" t="s">
        <v>155</v>
      </c>
    </row>
    <row r="4" spans="1:16" s="85" customFormat="1" x14ac:dyDescent="0.2">
      <c r="A4" s="85" t="str">
        <f>"Korraldaja: "&amp;(Kalend!G22)</f>
        <v>Korraldaja: K-Järve SHK, Ivar Viljaste</v>
      </c>
    </row>
    <row r="5" spans="1:16" x14ac:dyDescent="0.2">
      <c r="D5" s="263" t="s">
        <v>85</v>
      </c>
    </row>
    <row r="6" spans="1:16" x14ac:dyDescent="0.2">
      <c r="A6" s="615" t="s">
        <v>253</v>
      </c>
      <c r="B6" s="632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364">
        <v>7</v>
      </c>
      <c r="N6" s="364">
        <v>8</v>
      </c>
      <c r="O6" s="408" t="s">
        <v>65</v>
      </c>
      <c r="P6" s="408" t="s">
        <v>150</v>
      </c>
    </row>
    <row r="7" spans="1:16" x14ac:dyDescent="0.2">
      <c r="A7" s="212">
        <v>1</v>
      </c>
      <c r="B7" s="114" t="s">
        <v>417</v>
      </c>
      <c r="C7" s="608">
        <f>IF(COUNTA(G7:N7)&lt;1,"",RANK(E7,E$7:E$14))</f>
        <v>1</v>
      </c>
      <c r="D7" s="264">
        <f t="shared" ref="D7:D14" si="0">IF(COUNTA(G7:N7)&lt;1,"",RANK(E7,E$7:E$14))</f>
        <v>1</v>
      </c>
      <c r="E7" s="609">
        <f t="shared" ref="E7:E14" si="1">IF(COUNTA(G7:N7)=0,0,SUM(G7:N7)+COUNTIF(G7:N7,2)/100+COUNTIF(G7:N7,1)/10000)</f>
        <v>11.0501</v>
      </c>
      <c r="F7" s="364">
        <v>1</v>
      </c>
      <c r="G7" s="610"/>
      <c r="H7" s="611">
        <v>2</v>
      </c>
      <c r="I7" s="611">
        <v>1</v>
      </c>
      <c r="J7" s="611">
        <v>2</v>
      </c>
      <c r="K7" s="611">
        <v>2</v>
      </c>
      <c r="L7" s="611">
        <v>2</v>
      </c>
      <c r="M7" s="611">
        <v>0</v>
      </c>
      <c r="N7" s="611">
        <v>2</v>
      </c>
      <c r="O7" s="612">
        <f t="shared" ref="O7:O14" si="2">COUNTIF(G7:N7,"=2")</f>
        <v>5</v>
      </c>
      <c r="P7" s="613">
        <f t="shared" ref="P7:P14" si="3">COUNTIF(G7:N7,"=1")</f>
        <v>1</v>
      </c>
    </row>
    <row r="8" spans="1:16" x14ac:dyDescent="0.2">
      <c r="A8" s="212">
        <v>2</v>
      </c>
      <c r="B8" s="411" t="s">
        <v>342</v>
      </c>
      <c r="C8" s="608">
        <v>2</v>
      </c>
      <c r="D8" s="264">
        <f t="shared" si="0"/>
        <v>1</v>
      </c>
      <c r="E8" s="609">
        <f t="shared" si="1"/>
        <v>11.0501</v>
      </c>
      <c r="F8" s="364">
        <v>2</v>
      </c>
      <c r="G8" s="611">
        <v>0</v>
      </c>
      <c r="H8" s="610"/>
      <c r="I8" s="611">
        <v>1</v>
      </c>
      <c r="J8" s="611">
        <v>2</v>
      </c>
      <c r="K8" s="611">
        <v>2</v>
      </c>
      <c r="L8" s="611">
        <v>2</v>
      </c>
      <c r="M8" s="611">
        <v>2</v>
      </c>
      <c r="N8" s="611">
        <v>2</v>
      </c>
      <c r="O8" s="612">
        <f t="shared" si="2"/>
        <v>5</v>
      </c>
      <c r="P8" s="613">
        <f t="shared" si="3"/>
        <v>1</v>
      </c>
    </row>
    <row r="9" spans="1:16" x14ac:dyDescent="0.2">
      <c r="A9" s="212">
        <v>3</v>
      </c>
      <c r="B9" s="411" t="s">
        <v>343</v>
      </c>
      <c r="C9" s="608">
        <f t="shared" ref="C9:C14" si="4">IF(COUNTA(G9:N9)&lt;1,"",RANK(E9,E$7:E$14))</f>
        <v>7</v>
      </c>
      <c r="D9" s="264">
        <f t="shared" si="0"/>
        <v>7</v>
      </c>
      <c r="E9" s="609">
        <f t="shared" si="1"/>
        <v>5.0103</v>
      </c>
      <c r="F9" s="364">
        <v>3</v>
      </c>
      <c r="G9" s="611">
        <v>1</v>
      </c>
      <c r="H9" s="611">
        <v>1</v>
      </c>
      <c r="I9" s="610"/>
      <c r="J9" s="611">
        <v>0</v>
      </c>
      <c r="K9" s="611">
        <v>1</v>
      </c>
      <c r="L9" s="611">
        <v>0</v>
      </c>
      <c r="M9" s="611">
        <v>0</v>
      </c>
      <c r="N9" s="611">
        <v>2</v>
      </c>
      <c r="O9" s="612">
        <f t="shared" si="2"/>
        <v>1</v>
      </c>
      <c r="P9" s="613">
        <f t="shared" si="3"/>
        <v>3</v>
      </c>
    </row>
    <row r="10" spans="1:16" x14ac:dyDescent="0.2">
      <c r="A10" s="212">
        <v>4</v>
      </c>
      <c r="B10" s="411" t="s">
        <v>291</v>
      </c>
      <c r="C10" s="608">
        <f t="shared" si="4"/>
        <v>4</v>
      </c>
      <c r="D10" s="264">
        <f t="shared" si="0"/>
        <v>4</v>
      </c>
      <c r="E10" s="609">
        <f t="shared" si="1"/>
        <v>7.0301</v>
      </c>
      <c r="F10" s="364">
        <v>4</v>
      </c>
      <c r="G10" s="611">
        <v>0</v>
      </c>
      <c r="H10" s="611">
        <v>0</v>
      </c>
      <c r="I10" s="611">
        <v>2</v>
      </c>
      <c r="J10" s="610"/>
      <c r="K10" s="611">
        <v>2</v>
      </c>
      <c r="L10" s="611">
        <v>1</v>
      </c>
      <c r="M10" s="611">
        <v>2</v>
      </c>
      <c r="N10" s="611">
        <v>0</v>
      </c>
      <c r="O10" s="612">
        <f t="shared" si="2"/>
        <v>3</v>
      </c>
      <c r="P10" s="613">
        <f t="shared" si="3"/>
        <v>1</v>
      </c>
    </row>
    <row r="11" spans="1:16" x14ac:dyDescent="0.2">
      <c r="A11" s="212">
        <v>5</v>
      </c>
      <c r="B11" s="411" t="s">
        <v>296</v>
      </c>
      <c r="C11" s="608">
        <f t="shared" si="4"/>
        <v>8</v>
      </c>
      <c r="D11" s="264">
        <f t="shared" si="0"/>
        <v>8</v>
      </c>
      <c r="E11" s="609">
        <f t="shared" si="1"/>
        <v>1.0001</v>
      </c>
      <c r="F11" s="364">
        <v>5</v>
      </c>
      <c r="G11" s="611">
        <v>0</v>
      </c>
      <c r="H11" s="611">
        <v>0</v>
      </c>
      <c r="I11" s="611">
        <v>1</v>
      </c>
      <c r="J11" s="611">
        <v>0</v>
      </c>
      <c r="K11" s="610"/>
      <c r="L11" s="611">
        <v>0</v>
      </c>
      <c r="M11" s="611">
        <v>0</v>
      </c>
      <c r="N11" s="611">
        <v>0</v>
      </c>
      <c r="O11" s="612">
        <f t="shared" si="2"/>
        <v>0</v>
      </c>
      <c r="P11" s="613">
        <f t="shared" si="3"/>
        <v>1</v>
      </c>
    </row>
    <row r="12" spans="1:16" x14ac:dyDescent="0.2">
      <c r="A12" s="212">
        <v>6</v>
      </c>
      <c r="B12" s="411" t="s">
        <v>290</v>
      </c>
      <c r="C12" s="608">
        <f t="shared" si="4"/>
        <v>6</v>
      </c>
      <c r="D12" s="264">
        <f t="shared" si="0"/>
        <v>6</v>
      </c>
      <c r="E12" s="609">
        <f t="shared" si="1"/>
        <v>5.0200999999999993</v>
      </c>
      <c r="F12" s="364">
        <v>6</v>
      </c>
      <c r="G12" s="611">
        <v>0</v>
      </c>
      <c r="H12" s="611">
        <v>0</v>
      </c>
      <c r="I12" s="611">
        <v>2</v>
      </c>
      <c r="J12" s="611">
        <v>1</v>
      </c>
      <c r="K12" s="611">
        <v>2</v>
      </c>
      <c r="L12" s="610"/>
      <c r="M12" s="611">
        <v>0</v>
      </c>
      <c r="N12" s="611">
        <v>0</v>
      </c>
      <c r="O12" s="612">
        <f t="shared" si="2"/>
        <v>2</v>
      </c>
      <c r="P12" s="613">
        <f t="shared" si="3"/>
        <v>1</v>
      </c>
    </row>
    <row r="13" spans="1:16" x14ac:dyDescent="0.2">
      <c r="A13" s="212">
        <v>7</v>
      </c>
      <c r="B13" s="411" t="s">
        <v>344</v>
      </c>
      <c r="C13" s="608">
        <f t="shared" si="4"/>
        <v>3</v>
      </c>
      <c r="D13" s="264">
        <f t="shared" si="0"/>
        <v>3</v>
      </c>
      <c r="E13" s="609">
        <f t="shared" si="1"/>
        <v>10.050000000000001</v>
      </c>
      <c r="F13" s="364">
        <v>7</v>
      </c>
      <c r="G13" s="611">
        <v>2</v>
      </c>
      <c r="H13" s="611">
        <v>0</v>
      </c>
      <c r="I13" s="611">
        <v>2</v>
      </c>
      <c r="J13" s="611">
        <v>0</v>
      </c>
      <c r="K13" s="611">
        <v>2</v>
      </c>
      <c r="L13" s="611">
        <v>2</v>
      </c>
      <c r="M13" s="610"/>
      <c r="N13" s="611">
        <v>2</v>
      </c>
      <c r="O13" s="612">
        <f t="shared" si="2"/>
        <v>5</v>
      </c>
      <c r="P13" s="613">
        <f t="shared" si="3"/>
        <v>0</v>
      </c>
    </row>
    <row r="14" spans="1:16" x14ac:dyDescent="0.2">
      <c r="A14" s="212">
        <v>8</v>
      </c>
      <c r="B14" s="411" t="s">
        <v>345</v>
      </c>
      <c r="C14" s="608">
        <f t="shared" si="4"/>
        <v>5</v>
      </c>
      <c r="D14" s="264">
        <f t="shared" si="0"/>
        <v>5</v>
      </c>
      <c r="E14" s="609">
        <f t="shared" si="1"/>
        <v>6.03</v>
      </c>
      <c r="F14" s="364">
        <v>8</v>
      </c>
      <c r="G14" s="611">
        <v>0</v>
      </c>
      <c r="H14" s="611">
        <v>0</v>
      </c>
      <c r="I14" s="611">
        <v>0</v>
      </c>
      <c r="J14" s="611">
        <v>2</v>
      </c>
      <c r="K14" s="611">
        <v>2</v>
      </c>
      <c r="L14" s="611">
        <v>2</v>
      </c>
      <c r="M14" s="611">
        <v>0</v>
      </c>
      <c r="N14" s="610"/>
      <c r="O14" s="612">
        <f t="shared" si="2"/>
        <v>3</v>
      </c>
      <c r="P14" s="613">
        <f t="shared" si="3"/>
        <v>0</v>
      </c>
    </row>
    <row r="15" spans="1:16" x14ac:dyDescent="0.2">
      <c r="A15" s="113"/>
      <c r="B15" s="632"/>
      <c r="C15" s="632"/>
      <c r="D15" s="633"/>
      <c r="E15" s="632"/>
      <c r="F15" s="364" t="s">
        <v>253</v>
      </c>
      <c r="G15" s="364">
        <v>1</v>
      </c>
      <c r="H15" s="364">
        <v>2</v>
      </c>
      <c r="I15" s="364">
        <v>3</v>
      </c>
      <c r="J15" s="364">
        <v>4</v>
      </c>
      <c r="K15" s="364">
        <v>5</v>
      </c>
      <c r="L15" s="364">
        <v>6</v>
      </c>
      <c r="M15" s="364">
        <v>7</v>
      </c>
      <c r="N15" s="364">
        <v>8</v>
      </c>
      <c r="O15" s="408"/>
      <c r="P15" s="408"/>
    </row>
    <row r="16" spans="1:16" x14ac:dyDescent="0.2">
      <c r="A16" s="408"/>
      <c r="B16" s="408"/>
      <c r="C16" s="408"/>
      <c r="E16" s="408"/>
      <c r="F16" s="628"/>
      <c r="G16" s="408"/>
      <c r="H16" s="408"/>
      <c r="I16" s="408"/>
      <c r="J16" s="408"/>
      <c r="K16" s="408"/>
      <c r="L16" s="408"/>
      <c r="M16" s="408"/>
      <c r="N16" s="408"/>
      <c r="O16" s="408"/>
      <c r="P16" s="408"/>
    </row>
    <row r="17" spans="1:16" x14ac:dyDescent="0.2">
      <c r="A17" s="408" t="s">
        <v>151</v>
      </c>
      <c r="B17" s="408"/>
      <c r="C17" s="408"/>
      <c r="E17" s="408"/>
      <c r="F17" s="628"/>
      <c r="G17" s="408"/>
      <c r="H17" s="408"/>
      <c r="I17" s="408"/>
      <c r="J17" s="408"/>
      <c r="K17" s="408"/>
      <c r="L17" s="408"/>
      <c r="M17" s="408"/>
      <c r="N17" s="408"/>
      <c r="O17" s="408"/>
      <c r="P17" s="408"/>
    </row>
    <row r="18" spans="1:16" x14ac:dyDescent="0.2">
      <c r="A18" s="408" t="s">
        <v>152</v>
      </c>
      <c r="B18" s="408"/>
      <c r="C18" s="408"/>
      <c r="E18" s="408"/>
      <c r="F18" s="628"/>
      <c r="G18" s="408"/>
      <c r="H18" s="408"/>
      <c r="I18" s="408"/>
      <c r="J18" s="408"/>
      <c r="K18" s="408"/>
      <c r="L18" s="408"/>
      <c r="M18" s="408"/>
      <c r="N18" s="408"/>
      <c r="O18" s="408"/>
      <c r="P18" s="408"/>
    </row>
    <row r="19" spans="1:16" x14ac:dyDescent="0.2">
      <c r="A19" s="630" t="s">
        <v>426</v>
      </c>
      <c r="B19" s="408"/>
      <c r="C19" s="408"/>
      <c r="E19" s="408"/>
      <c r="F19" s="628"/>
      <c r="G19" s="408"/>
      <c r="H19" s="408"/>
      <c r="I19" s="408"/>
      <c r="J19" s="408"/>
      <c r="K19" s="408"/>
      <c r="L19" s="408"/>
      <c r="M19" s="408"/>
      <c r="N19" s="408"/>
      <c r="O19" s="408"/>
      <c r="P19" s="408"/>
    </row>
    <row r="21" spans="1:16" x14ac:dyDescent="0.2">
      <c r="A21" s="608">
        <v>1</v>
      </c>
      <c r="B21" s="284" t="s">
        <v>418</v>
      </c>
    </row>
    <row r="22" spans="1:16" x14ac:dyDescent="0.2">
      <c r="A22" s="608">
        <v>2</v>
      </c>
      <c r="B22" s="411" t="s">
        <v>342</v>
      </c>
    </row>
    <row r="23" spans="1:16" x14ac:dyDescent="0.2">
      <c r="A23" s="608">
        <v>3</v>
      </c>
      <c r="B23" s="411" t="s">
        <v>344</v>
      </c>
    </row>
    <row r="24" spans="1:16" x14ac:dyDescent="0.2">
      <c r="A24" s="608">
        <v>4</v>
      </c>
      <c r="B24" s="411" t="s">
        <v>291</v>
      </c>
    </row>
    <row r="25" spans="1:16" x14ac:dyDescent="0.2">
      <c r="A25" s="608">
        <v>5</v>
      </c>
      <c r="B25" s="411" t="s">
        <v>345</v>
      </c>
    </row>
    <row r="26" spans="1:16" x14ac:dyDescent="0.2">
      <c r="A26" s="608">
        <v>6</v>
      </c>
      <c r="B26" s="411" t="s">
        <v>290</v>
      </c>
    </row>
    <row r="27" spans="1:16" x14ac:dyDescent="0.2">
      <c r="A27" s="608">
        <v>7</v>
      </c>
      <c r="B27" s="411" t="s">
        <v>343</v>
      </c>
    </row>
    <row r="28" spans="1:16" x14ac:dyDescent="0.2">
      <c r="A28" s="608">
        <v>8</v>
      </c>
      <c r="B28" s="411" t="s">
        <v>296</v>
      </c>
    </row>
  </sheetData>
  <conditionalFormatting sqref="G7:N14">
    <cfRule type="cellIs" dxfId="34" priority="10" stopIfTrue="1" operator="greaterThan">
      <formula>2</formula>
    </cfRule>
  </conditionalFormatting>
  <conditionalFormatting sqref="C7:C14">
    <cfRule type="duplicateValues" dxfId="33" priority="197" stopIfTrue="1"/>
  </conditionalFormatting>
  <conditionalFormatting sqref="B7:B14">
    <cfRule type="duplicateValues" dxfId="32" priority="198" stopIfTrue="1"/>
  </conditionalFormatting>
  <conditionalFormatting sqref="B26:B28">
    <cfRule type="duplicateValues" dxfId="31" priority="8" stopIfTrue="1"/>
  </conditionalFormatting>
  <conditionalFormatting sqref="B23">
    <cfRule type="duplicateValues" dxfId="30" priority="6" stopIfTrue="1"/>
  </conditionalFormatting>
  <conditionalFormatting sqref="B22">
    <cfRule type="duplicateValues" dxfId="29" priority="5" stopIfTrue="1"/>
  </conditionalFormatting>
  <conditionalFormatting sqref="B24">
    <cfRule type="duplicateValues" dxfId="28" priority="4" stopIfTrue="1"/>
  </conditionalFormatting>
  <conditionalFormatting sqref="B25">
    <cfRule type="duplicateValues" dxfId="27" priority="3" stopIfTrue="1"/>
  </conditionalFormatting>
  <conditionalFormatting sqref="B21">
    <cfRule type="duplicateValues" dxfId="26" priority="2" stopIfTrue="1"/>
  </conditionalFormatting>
  <conditionalFormatting sqref="D7:D14">
    <cfRule type="duplicateValues" dxfId="25" priority="1" stopIfTrue="1"/>
  </conditionalFormatting>
  <pageMargins left="0.59055118110236227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C7:P14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U43"/>
  <sheetViews>
    <sheetView showGridLines="0" showRowColHeaders="0" zoomScaleNormal="100" workbookViewId="0">
      <pane ySplit="6" topLeftCell="A7" activePane="bottomLeft" state="frozen"/>
      <selection activeCell="E1" sqref="E1"/>
      <selection pane="bottomLeft" activeCell="F1" sqref="F1"/>
    </sheetView>
  </sheetViews>
  <sheetFormatPr defaultRowHeight="12.75" x14ac:dyDescent="0.2"/>
  <cols>
    <col min="1" max="1" width="3.28515625" style="238" customWidth="1"/>
    <col min="2" max="2" width="18.7109375" style="235" bestFit="1" customWidth="1"/>
    <col min="3" max="3" width="5.140625" style="238" bestFit="1" customWidth="1"/>
    <col min="4" max="4" width="5.140625" style="238" hidden="1" customWidth="1"/>
    <col min="5" max="5" width="6.5703125" style="238" bestFit="1" customWidth="1"/>
    <col min="6" max="6" width="3.7109375" style="238" bestFit="1" customWidth="1"/>
    <col min="7" max="19" width="3" style="238" customWidth="1"/>
    <col min="20" max="20" width="5.28515625" style="238" bestFit="1" customWidth="1"/>
    <col min="21" max="21" width="5.140625" style="238" bestFit="1" customWidth="1"/>
    <col min="22" max="24" width="1.7109375" style="238" customWidth="1"/>
    <col min="25" max="16384" width="9.140625" style="238"/>
  </cols>
  <sheetData>
    <row r="1" spans="1:21" x14ac:dyDescent="0.2">
      <c r="A1" s="82" t="str">
        <f>UPPER((Kalend!D30)&amp;" - "&amp;(Kalend!C30)&amp;" - "&amp;(Kalend!E30))</f>
        <v>PL5 - PLIKS-PLAKS 5 - ÜKSIK</v>
      </c>
      <c r="L1" s="361" t="str">
        <f>HYPERLINK("#'Kalend'!I1","Kalender")</f>
        <v>Kalender</v>
      </c>
      <c r="M1" s="85"/>
      <c r="P1" s="361" t="str">
        <f>HYPERLINK("#'Reit'!J1","Reiting")</f>
        <v>Reiting</v>
      </c>
      <c r="Q1" s="85"/>
      <c r="T1" s="408" t="s">
        <v>153</v>
      </c>
    </row>
    <row r="2" spans="1:21" s="85" customFormat="1" x14ac:dyDescent="0.2">
      <c r="A2" s="85" t="str">
        <f>"Toimumisaeg: "&amp;(Kalend!A29)&amp;" kell "&amp;(Kalend!B30)</f>
        <v xml:space="preserve">Toimumisaeg: P, 13.03.2016 kell </v>
      </c>
      <c r="T2" s="408" t="s">
        <v>154</v>
      </c>
    </row>
    <row r="3" spans="1:21" s="85" customFormat="1" x14ac:dyDescent="0.2">
      <c r="A3" s="85" t="str">
        <f>"Toimumiskoht: "&amp;(Kalend!F30)</f>
        <v>Toimumiskoht: K-Järve petangihall</v>
      </c>
      <c r="T3" s="408" t="s">
        <v>155</v>
      </c>
    </row>
    <row r="4" spans="1:21" s="85" customFormat="1" x14ac:dyDescent="0.2">
      <c r="A4" s="85" t="str">
        <f>"Korraldaja: "&amp;(Kalend!G30)</f>
        <v>Korraldaja: K-Järve SHK, Ivar Viljaste</v>
      </c>
    </row>
    <row r="5" spans="1:21" x14ac:dyDescent="0.2">
      <c r="D5" s="263" t="s">
        <v>85</v>
      </c>
    </row>
    <row r="6" spans="1:21" x14ac:dyDescent="0.2">
      <c r="A6" s="615" t="s">
        <v>253</v>
      </c>
      <c r="B6" s="632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364">
        <v>7</v>
      </c>
      <c r="N6" s="364">
        <v>8</v>
      </c>
      <c r="O6" s="364">
        <v>9</v>
      </c>
      <c r="P6" s="364">
        <v>10</v>
      </c>
      <c r="Q6" s="364">
        <v>11</v>
      </c>
      <c r="R6" s="364">
        <v>12</v>
      </c>
      <c r="S6" s="364">
        <v>13</v>
      </c>
      <c r="T6" s="408" t="s">
        <v>65</v>
      </c>
      <c r="U6" s="408" t="s">
        <v>150</v>
      </c>
    </row>
    <row r="7" spans="1:21" x14ac:dyDescent="0.2">
      <c r="A7" s="212">
        <v>1</v>
      </c>
      <c r="B7" s="405" t="s">
        <v>111</v>
      </c>
      <c r="C7" s="608">
        <f>IF(COUNTA(G7:S7)&lt;1,"",RANK(E7,E$7:E$19))</f>
        <v>13</v>
      </c>
      <c r="D7" s="264">
        <f t="shared" ref="D7:D19" si="0">IF(COUNTA(G7:S7)&lt;1,"",RANK(E7,E$7:E$19))</f>
        <v>13</v>
      </c>
      <c r="E7" s="609">
        <f t="shared" ref="E7:E19" si="1">IF(COUNTA(G7:S7)=0,0,SUM(G7:S7)+COUNTIF(G7:S7,2)/100+COUNTIF(G7:S7,1)/10000)</f>
        <v>8.0301999999999989</v>
      </c>
      <c r="F7" s="364">
        <v>1</v>
      </c>
      <c r="G7" s="610"/>
      <c r="H7" s="611">
        <v>2</v>
      </c>
      <c r="I7" s="611">
        <v>1</v>
      </c>
      <c r="J7" s="611">
        <v>0</v>
      </c>
      <c r="K7" s="611">
        <v>0</v>
      </c>
      <c r="L7" s="611">
        <v>0</v>
      </c>
      <c r="M7" s="611">
        <v>2</v>
      </c>
      <c r="N7" s="611">
        <v>2</v>
      </c>
      <c r="O7" s="611">
        <v>1</v>
      </c>
      <c r="P7" s="611">
        <v>0</v>
      </c>
      <c r="Q7" s="611">
        <v>0</v>
      </c>
      <c r="R7" s="611">
        <v>0</v>
      </c>
      <c r="S7" s="611">
        <v>0</v>
      </c>
      <c r="T7" s="612">
        <f t="shared" ref="T7:T19" si="2">COUNTIF(G7:S7,"=2")</f>
        <v>3</v>
      </c>
      <c r="U7" s="613">
        <f t="shared" ref="U7:U19" si="3">COUNTIF(G7:S7,"=1")</f>
        <v>2</v>
      </c>
    </row>
    <row r="8" spans="1:21" x14ac:dyDescent="0.2">
      <c r="A8" s="212">
        <v>2</v>
      </c>
      <c r="B8" s="405" t="s">
        <v>141</v>
      </c>
      <c r="C8" s="608">
        <f>IF(COUNTA(G8:S8)&lt;1,"",RANK(E8,E$7:E$19))</f>
        <v>12</v>
      </c>
      <c r="D8" s="264">
        <f t="shared" si="0"/>
        <v>12</v>
      </c>
      <c r="E8" s="609">
        <f t="shared" si="1"/>
        <v>8.0399999999999991</v>
      </c>
      <c r="F8" s="364">
        <v>2</v>
      </c>
      <c r="G8" s="611">
        <v>0</v>
      </c>
      <c r="H8" s="610"/>
      <c r="I8" s="611">
        <v>2</v>
      </c>
      <c r="J8" s="611">
        <v>0</v>
      </c>
      <c r="K8" s="611">
        <v>0</v>
      </c>
      <c r="L8" s="611">
        <v>0</v>
      </c>
      <c r="M8" s="611">
        <v>2</v>
      </c>
      <c r="N8" s="611">
        <v>0</v>
      </c>
      <c r="O8" s="611">
        <v>0</v>
      </c>
      <c r="P8" s="611">
        <v>2</v>
      </c>
      <c r="Q8" s="611">
        <v>2</v>
      </c>
      <c r="R8" s="611">
        <v>0</v>
      </c>
      <c r="S8" s="611">
        <v>0</v>
      </c>
      <c r="T8" s="612">
        <f t="shared" si="2"/>
        <v>4</v>
      </c>
      <c r="U8" s="613">
        <f t="shared" si="3"/>
        <v>0</v>
      </c>
    </row>
    <row r="9" spans="1:21" x14ac:dyDescent="0.2">
      <c r="A9" s="212">
        <v>3</v>
      </c>
      <c r="B9" s="405" t="s">
        <v>135</v>
      </c>
      <c r="C9" s="608">
        <f>IF(COUNTA(G9:S9)&lt;1,"",RANK(E9,E$7:E$19))</f>
        <v>6</v>
      </c>
      <c r="D9" s="264">
        <f t="shared" si="0"/>
        <v>6</v>
      </c>
      <c r="E9" s="609">
        <f t="shared" si="1"/>
        <v>12.0404</v>
      </c>
      <c r="F9" s="364">
        <v>3</v>
      </c>
      <c r="G9" s="611">
        <v>1</v>
      </c>
      <c r="H9" s="611">
        <v>0</v>
      </c>
      <c r="I9" s="610"/>
      <c r="J9" s="611">
        <v>1</v>
      </c>
      <c r="K9" s="611">
        <v>0</v>
      </c>
      <c r="L9" s="611">
        <v>2</v>
      </c>
      <c r="M9" s="611">
        <v>0</v>
      </c>
      <c r="N9" s="611">
        <v>1</v>
      </c>
      <c r="O9" s="611">
        <v>2</v>
      </c>
      <c r="P9" s="611">
        <v>2</v>
      </c>
      <c r="Q9" s="611">
        <v>2</v>
      </c>
      <c r="R9" s="611">
        <v>0</v>
      </c>
      <c r="S9" s="611">
        <v>1</v>
      </c>
      <c r="T9" s="612">
        <f t="shared" si="2"/>
        <v>4</v>
      </c>
      <c r="U9" s="613">
        <f t="shared" si="3"/>
        <v>4</v>
      </c>
    </row>
    <row r="10" spans="1:21" x14ac:dyDescent="0.2">
      <c r="A10" s="212">
        <v>4</v>
      </c>
      <c r="B10" s="405" t="s">
        <v>90</v>
      </c>
      <c r="C10" s="608">
        <f>IF(COUNTA(G10:S10)&lt;1,"",RANK(E10,E$7:E$19))</f>
        <v>1</v>
      </c>
      <c r="D10" s="264">
        <f t="shared" si="0"/>
        <v>1</v>
      </c>
      <c r="E10" s="609">
        <f t="shared" si="1"/>
        <v>18.080199999999998</v>
      </c>
      <c r="F10" s="364">
        <v>4</v>
      </c>
      <c r="G10" s="611">
        <v>2</v>
      </c>
      <c r="H10" s="611">
        <v>2</v>
      </c>
      <c r="I10" s="611">
        <v>1</v>
      </c>
      <c r="J10" s="610"/>
      <c r="K10" s="611">
        <v>2</v>
      </c>
      <c r="L10" s="611">
        <v>2</v>
      </c>
      <c r="M10" s="611">
        <v>0</v>
      </c>
      <c r="N10" s="611">
        <v>2</v>
      </c>
      <c r="O10" s="611">
        <v>0</v>
      </c>
      <c r="P10" s="611">
        <v>2</v>
      </c>
      <c r="Q10" s="611">
        <v>1</v>
      </c>
      <c r="R10" s="611">
        <v>2</v>
      </c>
      <c r="S10" s="611">
        <v>2</v>
      </c>
      <c r="T10" s="612">
        <f t="shared" si="2"/>
        <v>8</v>
      </c>
      <c r="U10" s="613">
        <f t="shared" si="3"/>
        <v>2</v>
      </c>
    </row>
    <row r="11" spans="1:21" x14ac:dyDescent="0.2">
      <c r="A11" s="212">
        <v>5</v>
      </c>
      <c r="B11" s="405" t="s">
        <v>113</v>
      </c>
      <c r="C11" s="608">
        <f>IF(COUNTA(G11:S11)&lt;1,"",RANK(E11,E$7:E$19))</f>
        <v>9</v>
      </c>
      <c r="D11" s="264">
        <f t="shared" si="0"/>
        <v>9</v>
      </c>
      <c r="E11" s="609">
        <f t="shared" si="1"/>
        <v>11.0501</v>
      </c>
      <c r="F11" s="364">
        <v>5</v>
      </c>
      <c r="G11" s="611">
        <v>2</v>
      </c>
      <c r="H11" s="611">
        <v>2</v>
      </c>
      <c r="I11" s="611">
        <v>2</v>
      </c>
      <c r="J11" s="611">
        <v>0</v>
      </c>
      <c r="K11" s="610"/>
      <c r="L11" s="611">
        <v>0</v>
      </c>
      <c r="M11" s="611">
        <v>1</v>
      </c>
      <c r="N11" s="611">
        <v>0</v>
      </c>
      <c r="O11" s="611">
        <v>0</v>
      </c>
      <c r="P11" s="611">
        <v>0</v>
      </c>
      <c r="Q11" s="611">
        <v>2</v>
      </c>
      <c r="R11" s="611">
        <v>2</v>
      </c>
      <c r="S11" s="611">
        <v>0</v>
      </c>
      <c r="T11" s="612">
        <f t="shared" si="2"/>
        <v>5</v>
      </c>
      <c r="U11" s="613">
        <f t="shared" si="3"/>
        <v>1</v>
      </c>
    </row>
    <row r="12" spans="1:21" x14ac:dyDescent="0.2">
      <c r="A12" s="212">
        <v>6</v>
      </c>
      <c r="B12" s="405" t="s">
        <v>143</v>
      </c>
      <c r="C12" s="608">
        <v>8</v>
      </c>
      <c r="D12" s="264">
        <f t="shared" si="0"/>
        <v>6</v>
      </c>
      <c r="E12" s="609">
        <f t="shared" si="1"/>
        <v>12.0404</v>
      </c>
      <c r="F12" s="364">
        <v>6</v>
      </c>
      <c r="G12" s="611">
        <v>2</v>
      </c>
      <c r="H12" s="611">
        <v>2</v>
      </c>
      <c r="I12" s="611">
        <v>0</v>
      </c>
      <c r="J12" s="611">
        <v>0</v>
      </c>
      <c r="K12" s="611">
        <v>2</v>
      </c>
      <c r="L12" s="610"/>
      <c r="M12" s="611">
        <v>0</v>
      </c>
      <c r="N12" s="611">
        <v>1</v>
      </c>
      <c r="O12" s="611">
        <v>0</v>
      </c>
      <c r="P12" s="611">
        <v>1</v>
      </c>
      <c r="Q12" s="611">
        <v>1</v>
      </c>
      <c r="R12" s="611">
        <v>1</v>
      </c>
      <c r="S12" s="611">
        <v>2</v>
      </c>
      <c r="T12" s="612">
        <f t="shared" si="2"/>
        <v>4</v>
      </c>
      <c r="U12" s="613">
        <f t="shared" si="3"/>
        <v>4</v>
      </c>
    </row>
    <row r="13" spans="1:21" x14ac:dyDescent="0.2">
      <c r="A13" s="212">
        <v>7</v>
      </c>
      <c r="B13" s="405" t="s">
        <v>112</v>
      </c>
      <c r="C13" s="608">
        <f>IF(COUNTA(G13:S13)&lt;1,"",RANK(E13,E$7:E$19))</f>
        <v>10</v>
      </c>
      <c r="D13" s="264">
        <f t="shared" si="0"/>
        <v>10</v>
      </c>
      <c r="E13" s="609">
        <f t="shared" si="1"/>
        <v>11.040299999999998</v>
      </c>
      <c r="F13" s="364">
        <v>7</v>
      </c>
      <c r="G13" s="611">
        <v>0</v>
      </c>
      <c r="H13" s="611">
        <v>0</v>
      </c>
      <c r="I13" s="611">
        <v>2</v>
      </c>
      <c r="J13" s="611">
        <v>2</v>
      </c>
      <c r="K13" s="611">
        <v>1</v>
      </c>
      <c r="L13" s="611">
        <v>2</v>
      </c>
      <c r="M13" s="610"/>
      <c r="N13" s="611">
        <v>1</v>
      </c>
      <c r="O13" s="611">
        <v>2</v>
      </c>
      <c r="P13" s="611">
        <v>0</v>
      </c>
      <c r="Q13" s="611">
        <v>0</v>
      </c>
      <c r="R13" s="611">
        <v>1</v>
      </c>
      <c r="S13" s="611">
        <v>0</v>
      </c>
      <c r="T13" s="612">
        <f t="shared" si="2"/>
        <v>4</v>
      </c>
      <c r="U13" s="613">
        <f t="shared" si="3"/>
        <v>3</v>
      </c>
    </row>
    <row r="14" spans="1:21" x14ac:dyDescent="0.2">
      <c r="A14" s="212">
        <v>8</v>
      </c>
      <c r="B14" s="405" t="s">
        <v>105</v>
      </c>
      <c r="C14" s="608">
        <v>7</v>
      </c>
      <c r="D14" s="264">
        <f t="shared" si="0"/>
        <v>6</v>
      </c>
      <c r="E14" s="609">
        <f t="shared" si="1"/>
        <v>12.0404</v>
      </c>
      <c r="F14" s="364">
        <v>8</v>
      </c>
      <c r="G14" s="611">
        <v>0</v>
      </c>
      <c r="H14" s="611">
        <v>2</v>
      </c>
      <c r="I14" s="611">
        <v>1</v>
      </c>
      <c r="J14" s="611">
        <v>0</v>
      </c>
      <c r="K14" s="611">
        <v>2</v>
      </c>
      <c r="L14" s="611">
        <v>1</v>
      </c>
      <c r="M14" s="611">
        <v>1</v>
      </c>
      <c r="N14" s="610"/>
      <c r="O14" s="611">
        <v>2</v>
      </c>
      <c r="P14" s="611">
        <v>1</v>
      </c>
      <c r="Q14" s="611">
        <v>0</v>
      </c>
      <c r="R14" s="611">
        <v>0</v>
      </c>
      <c r="S14" s="611">
        <v>2</v>
      </c>
      <c r="T14" s="612">
        <f t="shared" si="2"/>
        <v>4</v>
      </c>
      <c r="U14" s="613">
        <f t="shared" si="3"/>
        <v>4</v>
      </c>
    </row>
    <row r="15" spans="1:21" x14ac:dyDescent="0.2">
      <c r="A15" s="212">
        <v>9</v>
      </c>
      <c r="B15" s="405" t="s">
        <v>106</v>
      </c>
      <c r="C15" s="608">
        <f>IF(COUNTA(G15:S15)&lt;1,"",RANK(E15,E$7:E$19))</f>
        <v>4</v>
      </c>
      <c r="D15" s="264">
        <f t="shared" si="0"/>
        <v>4</v>
      </c>
      <c r="E15" s="609">
        <f t="shared" si="1"/>
        <v>13.0601</v>
      </c>
      <c r="F15" s="364">
        <v>9</v>
      </c>
      <c r="G15" s="611">
        <v>1</v>
      </c>
      <c r="H15" s="611">
        <v>2</v>
      </c>
      <c r="I15" s="611">
        <v>0</v>
      </c>
      <c r="J15" s="611">
        <v>2</v>
      </c>
      <c r="K15" s="611">
        <v>2</v>
      </c>
      <c r="L15" s="611">
        <v>2</v>
      </c>
      <c r="M15" s="611">
        <v>0</v>
      </c>
      <c r="N15" s="611">
        <v>0</v>
      </c>
      <c r="O15" s="610"/>
      <c r="P15" s="611">
        <v>2</v>
      </c>
      <c r="Q15" s="611">
        <v>2</v>
      </c>
      <c r="R15" s="611">
        <v>0</v>
      </c>
      <c r="S15" s="611">
        <v>0</v>
      </c>
      <c r="T15" s="612">
        <f t="shared" si="2"/>
        <v>6</v>
      </c>
      <c r="U15" s="613">
        <f t="shared" si="3"/>
        <v>1</v>
      </c>
    </row>
    <row r="16" spans="1:21" x14ac:dyDescent="0.2">
      <c r="A16" s="212">
        <v>10</v>
      </c>
      <c r="B16" s="405" t="s">
        <v>108</v>
      </c>
      <c r="C16" s="608">
        <f>IF(COUNTA(G16:S16)&lt;1,"",RANK(E16,E$7:E$19))</f>
        <v>5</v>
      </c>
      <c r="D16" s="264">
        <f t="shared" si="0"/>
        <v>5</v>
      </c>
      <c r="E16" s="609">
        <f t="shared" si="1"/>
        <v>12.0502</v>
      </c>
      <c r="F16" s="364">
        <v>10</v>
      </c>
      <c r="G16" s="611">
        <v>2</v>
      </c>
      <c r="H16" s="611">
        <v>0</v>
      </c>
      <c r="I16" s="611">
        <v>0</v>
      </c>
      <c r="J16" s="611">
        <v>0</v>
      </c>
      <c r="K16" s="611">
        <v>2</v>
      </c>
      <c r="L16" s="611">
        <v>1</v>
      </c>
      <c r="M16" s="611">
        <v>2</v>
      </c>
      <c r="N16" s="611">
        <v>1</v>
      </c>
      <c r="O16" s="611">
        <v>0</v>
      </c>
      <c r="P16" s="610"/>
      <c r="Q16" s="611">
        <v>2</v>
      </c>
      <c r="R16" s="611">
        <v>2</v>
      </c>
      <c r="S16" s="611">
        <v>0</v>
      </c>
      <c r="T16" s="612">
        <f t="shared" si="2"/>
        <v>5</v>
      </c>
      <c r="U16" s="613">
        <f t="shared" si="3"/>
        <v>2</v>
      </c>
    </row>
    <row r="17" spans="1:21" x14ac:dyDescent="0.2">
      <c r="A17" s="212">
        <v>11</v>
      </c>
      <c r="B17" s="405" t="s">
        <v>98</v>
      </c>
      <c r="C17" s="608">
        <f>IF(COUNTA(G17:S17)&lt;1,"",RANK(E17,E$7:E$19))</f>
        <v>11</v>
      </c>
      <c r="D17" s="264">
        <f t="shared" si="0"/>
        <v>11</v>
      </c>
      <c r="E17" s="609">
        <f t="shared" si="1"/>
        <v>9.0302999999999987</v>
      </c>
      <c r="F17" s="364">
        <v>11</v>
      </c>
      <c r="G17" s="611">
        <v>2</v>
      </c>
      <c r="H17" s="611">
        <v>0</v>
      </c>
      <c r="I17" s="611">
        <v>0</v>
      </c>
      <c r="J17" s="611">
        <v>1</v>
      </c>
      <c r="K17" s="611">
        <v>0</v>
      </c>
      <c r="L17" s="611">
        <v>1</v>
      </c>
      <c r="M17" s="611">
        <v>2</v>
      </c>
      <c r="N17" s="611">
        <v>2</v>
      </c>
      <c r="O17" s="611">
        <v>0</v>
      </c>
      <c r="P17" s="611">
        <v>0</v>
      </c>
      <c r="Q17" s="610"/>
      <c r="R17" s="611">
        <v>1</v>
      </c>
      <c r="S17" s="611">
        <v>0</v>
      </c>
      <c r="T17" s="612">
        <f t="shared" si="2"/>
        <v>3</v>
      </c>
      <c r="U17" s="613">
        <f t="shared" si="3"/>
        <v>3</v>
      </c>
    </row>
    <row r="18" spans="1:21" x14ac:dyDescent="0.2">
      <c r="A18" s="212">
        <v>12</v>
      </c>
      <c r="B18" s="405" t="s">
        <v>95</v>
      </c>
      <c r="C18" s="608">
        <f>IF(COUNTA(G18:S18)&lt;1,"",RANK(E18,E$7:E$19))</f>
        <v>3</v>
      </c>
      <c r="D18" s="264">
        <f t="shared" si="0"/>
        <v>3</v>
      </c>
      <c r="E18" s="609">
        <f t="shared" si="1"/>
        <v>14.050400000000002</v>
      </c>
      <c r="F18" s="364">
        <v>12</v>
      </c>
      <c r="G18" s="611">
        <v>2</v>
      </c>
      <c r="H18" s="611">
        <v>2</v>
      </c>
      <c r="I18" s="611">
        <v>2</v>
      </c>
      <c r="J18" s="611">
        <v>0</v>
      </c>
      <c r="K18" s="611">
        <v>0</v>
      </c>
      <c r="L18" s="611">
        <v>1</v>
      </c>
      <c r="M18" s="611">
        <v>1</v>
      </c>
      <c r="N18" s="611">
        <v>2</v>
      </c>
      <c r="O18" s="611">
        <v>2</v>
      </c>
      <c r="P18" s="611">
        <v>0</v>
      </c>
      <c r="Q18" s="611">
        <v>1</v>
      </c>
      <c r="R18" s="610"/>
      <c r="S18" s="611">
        <v>1</v>
      </c>
      <c r="T18" s="612">
        <f t="shared" si="2"/>
        <v>5</v>
      </c>
      <c r="U18" s="613">
        <f t="shared" si="3"/>
        <v>4</v>
      </c>
    </row>
    <row r="19" spans="1:21" x14ac:dyDescent="0.2">
      <c r="A19" s="212">
        <v>13</v>
      </c>
      <c r="B19" s="405" t="s">
        <v>114</v>
      </c>
      <c r="C19" s="608">
        <f>IF(COUNTA(G19:S19)&lt;1,"",RANK(E19,E$7:E$19))</f>
        <v>2</v>
      </c>
      <c r="D19" s="264">
        <f t="shared" si="0"/>
        <v>2</v>
      </c>
      <c r="E19" s="609">
        <f t="shared" si="1"/>
        <v>16.0702</v>
      </c>
      <c r="F19" s="364">
        <v>13</v>
      </c>
      <c r="G19" s="611">
        <v>2</v>
      </c>
      <c r="H19" s="611">
        <v>2</v>
      </c>
      <c r="I19" s="611">
        <v>1</v>
      </c>
      <c r="J19" s="611">
        <v>0</v>
      </c>
      <c r="K19" s="611">
        <v>2</v>
      </c>
      <c r="L19" s="611">
        <v>0</v>
      </c>
      <c r="M19" s="611">
        <v>2</v>
      </c>
      <c r="N19" s="611">
        <v>0</v>
      </c>
      <c r="O19" s="611">
        <v>2</v>
      </c>
      <c r="P19" s="611">
        <v>2</v>
      </c>
      <c r="Q19" s="611">
        <v>2</v>
      </c>
      <c r="R19" s="611">
        <v>1</v>
      </c>
      <c r="S19" s="610"/>
      <c r="T19" s="612">
        <f t="shared" si="2"/>
        <v>7</v>
      </c>
      <c r="U19" s="613">
        <f t="shared" si="3"/>
        <v>2</v>
      </c>
    </row>
    <row r="20" spans="1:21" x14ac:dyDescent="0.2">
      <c r="A20" s="113"/>
      <c r="B20" s="632"/>
      <c r="C20" s="632"/>
      <c r="D20" s="633"/>
      <c r="E20" s="632"/>
      <c r="F20" s="364" t="s">
        <v>253</v>
      </c>
      <c r="G20" s="364">
        <v>1</v>
      </c>
      <c r="H20" s="364">
        <v>2</v>
      </c>
      <c r="I20" s="364">
        <v>3</v>
      </c>
      <c r="J20" s="364">
        <v>4</v>
      </c>
      <c r="K20" s="364">
        <v>5</v>
      </c>
      <c r="L20" s="364">
        <v>6</v>
      </c>
      <c r="M20" s="364">
        <v>7</v>
      </c>
      <c r="N20" s="364">
        <v>8</v>
      </c>
      <c r="O20" s="364">
        <v>9</v>
      </c>
      <c r="P20" s="364">
        <v>10</v>
      </c>
      <c r="Q20" s="364">
        <v>11</v>
      </c>
      <c r="R20" s="364">
        <v>12</v>
      </c>
      <c r="S20" s="364">
        <v>13</v>
      </c>
      <c r="T20" s="408"/>
      <c r="U20" s="408"/>
    </row>
    <row r="21" spans="1:21" x14ac:dyDescent="0.2">
      <c r="A21" s="408"/>
      <c r="B21" s="408"/>
      <c r="C21" s="408"/>
      <c r="E21" s="408"/>
      <c r="F21" s="62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2" spans="1:21" x14ac:dyDescent="0.2">
      <c r="A22" s="408" t="s">
        <v>151</v>
      </c>
      <c r="B22" s="408"/>
      <c r="C22" s="408"/>
      <c r="E22" s="408"/>
      <c r="F22" s="62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</row>
    <row r="23" spans="1:21" x14ac:dyDescent="0.2">
      <c r="A23" s="408" t="s">
        <v>152</v>
      </c>
      <c r="B23" s="408"/>
      <c r="C23" s="408"/>
      <c r="E23" s="408"/>
      <c r="F23" s="62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</row>
    <row r="24" spans="1:21" x14ac:dyDescent="0.2">
      <c r="A24" s="630" t="s">
        <v>426</v>
      </c>
      <c r="B24" s="408"/>
      <c r="C24" s="408"/>
      <c r="E24" s="408"/>
      <c r="F24" s="62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</row>
    <row r="27" spans="1:21" x14ac:dyDescent="0.2">
      <c r="A27" s="163">
        <v>3</v>
      </c>
      <c r="B27" s="167" t="s">
        <v>135</v>
      </c>
      <c r="C27" s="256"/>
      <c r="D27" s="255"/>
      <c r="E27" s="257">
        <v>2</v>
      </c>
      <c r="F27" s="257">
        <v>1</v>
      </c>
      <c r="G27" s="258" t="s">
        <v>222</v>
      </c>
      <c r="H27" s="258" t="s">
        <v>415</v>
      </c>
    </row>
    <row r="28" spans="1:21" x14ac:dyDescent="0.2">
      <c r="A28" s="163">
        <v>6</v>
      </c>
      <c r="B28" s="167" t="s">
        <v>143</v>
      </c>
      <c r="C28" s="257">
        <v>0</v>
      </c>
      <c r="D28" s="255"/>
      <c r="E28" s="256"/>
      <c r="F28" s="257">
        <v>1</v>
      </c>
      <c r="G28" s="258" t="s">
        <v>224</v>
      </c>
      <c r="H28" s="258" t="s">
        <v>419</v>
      </c>
    </row>
    <row r="29" spans="1:21" x14ac:dyDescent="0.2">
      <c r="A29" s="163">
        <v>8</v>
      </c>
      <c r="B29" s="167" t="s">
        <v>105</v>
      </c>
      <c r="C29" s="257">
        <v>1</v>
      </c>
      <c r="D29" s="255"/>
      <c r="E29" s="257">
        <v>1</v>
      </c>
      <c r="F29" s="256"/>
      <c r="G29" s="258" t="s">
        <v>223</v>
      </c>
      <c r="H29" s="258" t="s">
        <v>416</v>
      </c>
    </row>
    <row r="32" spans="1:21" x14ac:dyDescent="0.2">
      <c r="A32" s="608">
        <v>2</v>
      </c>
      <c r="B32" s="411" t="s">
        <v>114</v>
      </c>
    </row>
    <row r="33" spans="1:2" x14ac:dyDescent="0.2">
      <c r="A33" s="608">
        <v>3</v>
      </c>
      <c r="B33" s="405" t="s">
        <v>95</v>
      </c>
    </row>
    <row r="34" spans="1:2" x14ac:dyDescent="0.2">
      <c r="A34" s="608">
        <v>4</v>
      </c>
      <c r="B34" s="405" t="s">
        <v>106</v>
      </c>
    </row>
    <row r="35" spans="1:2" x14ac:dyDescent="0.2">
      <c r="A35" s="608">
        <v>5</v>
      </c>
      <c r="B35" s="405" t="s">
        <v>108</v>
      </c>
    </row>
    <row r="36" spans="1:2" x14ac:dyDescent="0.2">
      <c r="A36" s="608">
        <v>6</v>
      </c>
      <c r="B36" s="405" t="s">
        <v>135</v>
      </c>
    </row>
    <row r="37" spans="1:2" x14ac:dyDescent="0.2">
      <c r="A37" s="608">
        <v>7</v>
      </c>
      <c r="B37" s="405" t="s">
        <v>105</v>
      </c>
    </row>
    <row r="38" spans="1:2" x14ac:dyDescent="0.2">
      <c r="A38" s="608">
        <v>8</v>
      </c>
      <c r="B38" s="405" t="s">
        <v>143</v>
      </c>
    </row>
    <row r="39" spans="1:2" x14ac:dyDescent="0.2">
      <c r="A39" s="608">
        <v>9</v>
      </c>
      <c r="B39" s="405" t="s">
        <v>113</v>
      </c>
    </row>
    <row r="40" spans="1:2" x14ac:dyDescent="0.2">
      <c r="A40" s="608">
        <v>10</v>
      </c>
      <c r="B40" s="405" t="s">
        <v>112</v>
      </c>
    </row>
    <row r="41" spans="1:2" x14ac:dyDescent="0.2">
      <c r="A41" s="608">
        <v>11</v>
      </c>
      <c r="B41" s="405" t="s">
        <v>98</v>
      </c>
    </row>
    <row r="42" spans="1:2" x14ac:dyDescent="0.2">
      <c r="A42" s="608">
        <v>12</v>
      </c>
      <c r="B42" s="405" t="s">
        <v>141</v>
      </c>
    </row>
    <row r="43" spans="1:2" x14ac:dyDescent="0.2">
      <c r="A43" s="608">
        <v>13</v>
      </c>
      <c r="B43" s="405" t="s">
        <v>111</v>
      </c>
    </row>
  </sheetData>
  <conditionalFormatting sqref="G7:S19">
    <cfRule type="cellIs" dxfId="24" priority="22" stopIfTrue="1" operator="greaterThan">
      <formula>2</formula>
    </cfRule>
  </conditionalFormatting>
  <conditionalFormatting sqref="B7:B9">
    <cfRule type="duplicateValues" dxfId="23" priority="278" stopIfTrue="1"/>
  </conditionalFormatting>
  <conditionalFormatting sqref="C7:C19">
    <cfRule type="duplicateValues" dxfId="22" priority="279" stopIfTrue="1"/>
  </conditionalFormatting>
  <conditionalFormatting sqref="B31">
    <cfRule type="duplicateValues" dxfId="21" priority="17" stopIfTrue="1"/>
  </conditionalFormatting>
  <conditionalFormatting sqref="B32">
    <cfRule type="duplicateValues" dxfId="20" priority="16" stopIfTrue="1"/>
  </conditionalFormatting>
  <conditionalFormatting sqref="B33">
    <cfRule type="duplicateValues" dxfId="19" priority="15" stopIfTrue="1"/>
  </conditionalFormatting>
  <conditionalFormatting sqref="B36">
    <cfRule type="duplicateValues" dxfId="18" priority="5" stopIfTrue="1"/>
  </conditionalFormatting>
  <conditionalFormatting sqref="B34">
    <cfRule type="duplicateValues" dxfId="17" priority="18" stopIfTrue="1"/>
  </conditionalFormatting>
  <conditionalFormatting sqref="B42">
    <cfRule type="duplicateValues" dxfId="16" priority="4" stopIfTrue="1"/>
  </conditionalFormatting>
  <conditionalFormatting sqref="B43">
    <cfRule type="duplicateValues" dxfId="15" priority="3" stopIfTrue="1"/>
  </conditionalFormatting>
  <conditionalFormatting sqref="D7:D19">
    <cfRule type="duplicateValues" dxfId="14" priority="2" stopIfTrue="1"/>
  </conditionalFormatting>
  <conditionalFormatting sqref="B27">
    <cfRule type="duplicateValues" dxfId="13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C7:U19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S24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E1" sqref="E1"/>
    </sheetView>
  </sheetViews>
  <sheetFormatPr defaultRowHeight="12.75" x14ac:dyDescent="0.2"/>
  <cols>
    <col min="1" max="1" width="3.28515625" style="238" customWidth="1"/>
    <col min="2" max="2" width="31.5703125" style="235" bestFit="1" customWidth="1"/>
    <col min="3" max="3" width="5.140625" style="238" bestFit="1" customWidth="1"/>
    <col min="4" max="4" width="5.140625" style="238" hidden="1" customWidth="1"/>
    <col min="5" max="5" width="6.5703125" style="238" bestFit="1" customWidth="1"/>
    <col min="6" max="6" width="3.7109375" style="238" bestFit="1" customWidth="1"/>
    <col min="7" max="12" width="3" style="238" customWidth="1"/>
    <col min="13" max="13" width="5.28515625" style="238" bestFit="1" customWidth="1"/>
    <col min="14" max="14" width="5.140625" style="238" bestFit="1" customWidth="1"/>
    <col min="15" max="16384" width="9.140625" style="238"/>
  </cols>
  <sheetData>
    <row r="1" spans="1:19" x14ac:dyDescent="0.2">
      <c r="A1" s="82" t="str">
        <f>UPPER((Kalend!D34)&amp;" - "&amp;(Kalend!C34)&amp;" - "&amp;(Kalend!E34))</f>
        <v>PL6 - PLIKS-PLAKS 6 - DUO (LOOSI)</v>
      </c>
      <c r="G1" s="361" t="str">
        <f>HYPERLINK("#'Kalend'!I1","Kalender")</f>
        <v>Kalender</v>
      </c>
      <c r="H1" s="85"/>
      <c r="K1" s="361" t="str">
        <f>HYPERLINK("#'Reit'!J1","Reiting")</f>
        <v>Reiting</v>
      </c>
      <c r="M1" s="408" t="s">
        <v>153</v>
      </c>
      <c r="R1" s="408"/>
      <c r="S1" s="408"/>
    </row>
    <row r="2" spans="1:19" s="85" customFormat="1" x14ac:dyDescent="0.2">
      <c r="A2" s="85" t="str">
        <f>"Toimumisaeg: "&amp;(Kalend!A33)&amp;" kell "&amp;(Kalend!B34)</f>
        <v xml:space="preserve">Toimumisaeg: P, 03.04.2016 kell </v>
      </c>
      <c r="M2" s="408" t="s">
        <v>154</v>
      </c>
    </row>
    <row r="3" spans="1:19" s="85" customFormat="1" x14ac:dyDescent="0.2">
      <c r="A3" s="85" t="str">
        <f>"Toimumiskoht: "&amp;(Kalend!F34)</f>
        <v>Toimumiskoht: K-Järve petangihall</v>
      </c>
      <c r="M3" s="408" t="s">
        <v>155</v>
      </c>
    </row>
    <row r="4" spans="1:19" s="85" customFormat="1" x14ac:dyDescent="0.2">
      <c r="A4" s="85" t="str">
        <f>"Korraldaja: "&amp;(Kalend!G34)</f>
        <v>Korraldaja: K-Järve SHK, Ivar Viljaste</v>
      </c>
    </row>
    <row r="5" spans="1:19" x14ac:dyDescent="0.2">
      <c r="D5" s="263" t="s">
        <v>85</v>
      </c>
    </row>
    <row r="6" spans="1:19" x14ac:dyDescent="0.2">
      <c r="A6" s="615" t="s">
        <v>253</v>
      </c>
      <c r="B6" s="632" t="s">
        <v>66</v>
      </c>
      <c r="C6" s="632" t="s">
        <v>85</v>
      </c>
      <c r="D6" s="633" t="s">
        <v>371</v>
      </c>
      <c r="E6" s="632" t="s">
        <v>123</v>
      </c>
      <c r="F6" s="631" t="s">
        <v>253</v>
      </c>
      <c r="G6" s="364">
        <v>1</v>
      </c>
      <c r="H6" s="364">
        <v>2</v>
      </c>
      <c r="I6" s="364">
        <v>3</v>
      </c>
      <c r="J6" s="364">
        <v>4</v>
      </c>
      <c r="K6" s="364">
        <v>5</v>
      </c>
      <c r="L6" s="364">
        <v>6</v>
      </c>
      <c r="M6" s="408" t="s">
        <v>65</v>
      </c>
      <c r="N6" s="408" t="s">
        <v>150</v>
      </c>
    </row>
    <row r="7" spans="1:19" x14ac:dyDescent="0.2">
      <c r="A7" s="212">
        <v>1</v>
      </c>
      <c r="B7" s="411" t="s">
        <v>402</v>
      </c>
      <c r="C7" s="608">
        <f t="shared" ref="C7:C12" si="0">IF(COUNTA(G7:L7)&lt;1,"",RANK(E7,E$7:E$12))</f>
        <v>6</v>
      </c>
      <c r="D7" s="264">
        <f t="shared" ref="D7:D12" si="1">IF(COUNTA(G7:L7)&lt;1,"",RANK(E7,E$7:E$12))</f>
        <v>6</v>
      </c>
      <c r="E7" s="609">
        <f t="shared" ref="E7:E12" si="2">IF(COUNTA(G7:L7)=0,0,SUM(G7:L7)+COUNTIF(G7:L7,2)/100+COUNTIF(G7:L7,1)/10000)</f>
        <v>2.0099999999999998</v>
      </c>
      <c r="F7" s="364">
        <v>1</v>
      </c>
      <c r="G7" s="610"/>
      <c r="H7" s="611">
        <v>0</v>
      </c>
      <c r="I7" s="611">
        <v>2</v>
      </c>
      <c r="J7" s="611">
        <v>0</v>
      </c>
      <c r="K7" s="611">
        <v>0</v>
      </c>
      <c r="L7" s="611">
        <v>0</v>
      </c>
      <c r="M7" s="612">
        <f t="shared" ref="M7:M12" si="3">COUNTIF(G7:L7,"=2")</f>
        <v>1</v>
      </c>
      <c r="N7" s="613">
        <f t="shared" ref="N7:N12" si="4">COUNTIF(G7:L7,"=1")</f>
        <v>0</v>
      </c>
    </row>
    <row r="8" spans="1:19" x14ac:dyDescent="0.2">
      <c r="A8" s="212">
        <v>2</v>
      </c>
      <c r="B8" s="366" t="s">
        <v>403</v>
      </c>
      <c r="C8" s="608">
        <f t="shared" si="0"/>
        <v>1</v>
      </c>
      <c r="D8" s="264">
        <f t="shared" si="1"/>
        <v>1</v>
      </c>
      <c r="E8" s="609">
        <f t="shared" si="2"/>
        <v>8.0399999999999991</v>
      </c>
      <c r="F8" s="364">
        <v>2</v>
      </c>
      <c r="G8" s="611">
        <v>2</v>
      </c>
      <c r="H8" s="610"/>
      <c r="I8" s="611">
        <v>2</v>
      </c>
      <c r="J8" s="611">
        <v>0</v>
      </c>
      <c r="K8" s="611">
        <v>2</v>
      </c>
      <c r="L8" s="611">
        <v>2</v>
      </c>
      <c r="M8" s="612">
        <f t="shared" si="3"/>
        <v>4</v>
      </c>
      <c r="N8" s="613">
        <f t="shared" si="4"/>
        <v>0</v>
      </c>
    </row>
    <row r="9" spans="1:19" x14ac:dyDescent="0.2">
      <c r="A9" s="212">
        <v>3</v>
      </c>
      <c r="B9" s="366" t="s">
        <v>404</v>
      </c>
      <c r="C9" s="608">
        <f t="shared" si="0"/>
        <v>5</v>
      </c>
      <c r="D9" s="264">
        <f t="shared" si="1"/>
        <v>5</v>
      </c>
      <c r="E9" s="609">
        <f t="shared" si="2"/>
        <v>3.0101</v>
      </c>
      <c r="F9" s="364">
        <v>3</v>
      </c>
      <c r="G9" s="611">
        <v>0</v>
      </c>
      <c r="H9" s="611">
        <v>0</v>
      </c>
      <c r="I9" s="610"/>
      <c r="J9" s="611">
        <v>2</v>
      </c>
      <c r="K9" s="611">
        <v>1</v>
      </c>
      <c r="L9" s="611">
        <v>0</v>
      </c>
      <c r="M9" s="612">
        <f t="shared" si="3"/>
        <v>1</v>
      </c>
      <c r="N9" s="613">
        <f t="shared" si="4"/>
        <v>1</v>
      </c>
    </row>
    <row r="10" spans="1:19" x14ac:dyDescent="0.2">
      <c r="A10" s="212">
        <v>4</v>
      </c>
      <c r="B10" s="411" t="s">
        <v>405</v>
      </c>
      <c r="C10" s="608">
        <f t="shared" si="0"/>
        <v>2</v>
      </c>
      <c r="D10" s="264">
        <f t="shared" si="1"/>
        <v>2</v>
      </c>
      <c r="E10" s="609">
        <f t="shared" si="2"/>
        <v>6.03</v>
      </c>
      <c r="F10" s="364">
        <v>4</v>
      </c>
      <c r="G10" s="611">
        <v>2</v>
      </c>
      <c r="H10" s="611">
        <v>2</v>
      </c>
      <c r="I10" s="611">
        <v>0</v>
      </c>
      <c r="J10" s="610"/>
      <c r="K10" s="611">
        <v>0</v>
      </c>
      <c r="L10" s="611">
        <v>2</v>
      </c>
      <c r="M10" s="612">
        <f t="shared" si="3"/>
        <v>3</v>
      </c>
      <c r="N10" s="613">
        <f t="shared" si="4"/>
        <v>0</v>
      </c>
    </row>
    <row r="11" spans="1:19" x14ac:dyDescent="0.2">
      <c r="A11" s="212">
        <v>5</v>
      </c>
      <c r="B11" s="411" t="s">
        <v>406</v>
      </c>
      <c r="C11" s="608">
        <f t="shared" si="0"/>
        <v>3</v>
      </c>
      <c r="D11" s="264">
        <f t="shared" si="1"/>
        <v>3</v>
      </c>
      <c r="E11" s="609">
        <f t="shared" si="2"/>
        <v>6.0202</v>
      </c>
      <c r="F11" s="364">
        <v>5</v>
      </c>
      <c r="G11" s="611">
        <v>2</v>
      </c>
      <c r="H11" s="611">
        <v>0</v>
      </c>
      <c r="I11" s="611">
        <v>1</v>
      </c>
      <c r="J11" s="611">
        <v>2</v>
      </c>
      <c r="K11" s="610"/>
      <c r="L11" s="611">
        <v>1</v>
      </c>
      <c r="M11" s="612">
        <f t="shared" si="3"/>
        <v>2</v>
      </c>
      <c r="N11" s="613">
        <f t="shared" si="4"/>
        <v>2</v>
      </c>
    </row>
    <row r="12" spans="1:19" x14ac:dyDescent="0.2">
      <c r="A12" s="212">
        <v>6</v>
      </c>
      <c r="B12" s="411" t="s">
        <v>407</v>
      </c>
      <c r="C12" s="608">
        <f t="shared" si="0"/>
        <v>4</v>
      </c>
      <c r="D12" s="264">
        <f t="shared" si="1"/>
        <v>4</v>
      </c>
      <c r="E12" s="609">
        <f t="shared" si="2"/>
        <v>5.0200999999999993</v>
      </c>
      <c r="F12" s="364">
        <v>6</v>
      </c>
      <c r="G12" s="611">
        <v>2</v>
      </c>
      <c r="H12" s="611">
        <v>0</v>
      </c>
      <c r="I12" s="611">
        <v>2</v>
      </c>
      <c r="J12" s="611">
        <v>0</v>
      </c>
      <c r="K12" s="611">
        <v>1</v>
      </c>
      <c r="L12" s="610"/>
      <c r="M12" s="612">
        <f t="shared" si="3"/>
        <v>2</v>
      </c>
      <c r="N12" s="613">
        <f t="shared" si="4"/>
        <v>1</v>
      </c>
    </row>
    <row r="13" spans="1:19" x14ac:dyDescent="0.2">
      <c r="A13" s="113"/>
      <c r="B13" s="632"/>
      <c r="C13" s="632"/>
      <c r="D13" s="633"/>
      <c r="E13" s="632"/>
      <c r="F13" s="364" t="s">
        <v>253</v>
      </c>
      <c r="G13" s="364">
        <v>1</v>
      </c>
      <c r="H13" s="364">
        <v>2</v>
      </c>
      <c r="I13" s="364">
        <v>3</v>
      </c>
      <c r="J13" s="364">
        <v>4</v>
      </c>
      <c r="K13" s="364">
        <v>5</v>
      </c>
      <c r="L13" s="364">
        <v>6</v>
      </c>
      <c r="M13" s="408"/>
      <c r="N13" s="408"/>
    </row>
    <row r="14" spans="1:19" x14ac:dyDescent="0.2">
      <c r="A14" s="408"/>
      <c r="B14" s="408"/>
      <c r="C14" s="408"/>
      <c r="E14" s="408"/>
      <c r="F14" s="628"/>
      <c r="G14" s="408"/>
      <c r="H14" s="408"/>
      <c r="I14" s="408"/>
      <c r="J14" s="408"/>
      <c r="K14" s="408"/>
      <c r="L14" s="408"/>
      <c r="M14" s="408"/>
      <c r="N14" s="408"/>
    </row>
    <row r="15" spans="1:19" x14ac:dyDescent="0.2">
      <c r="A15" s="408" t="s">
        <v>151</v>
      </c>
      <c r="B15" s="408"/>
      <c r="C15" s="408"/>
      <c r="E15" s="408"/>
      <c r="F15" s="628"/>
      <c r="G15" s="408"/>
      <c r="H15" s="408"/>
      <c r="I15" s="408"/>
      <c r="J15" s="408"/>
      <c r="K15" s="408"/>
      <c r="L15" s="408"/>
      <c r="M15" s="408"/>
      <c r="N15" s="408"/>
    </row>
    <row r="16" spans="1:19" x14ac:dyDescent="0.2">
      <c r="A16" s="408" t="s">
        <v>152</v>
      </c>
      <c r="B16" s="408"/>
      <c r="C16" s="408"/>
      <c r="E16" s="408"/>
      <c r="F16" s="628"/>
      <c r="G16" s="408"/>
      <c r="H16" s="408"/>
      <c r="I16" s="408"/>
      <c r="J16" s="408"/>
      <c r="K16" s="408"/>
      <c r="L16" s="408"/>
      <c r="M16" s="408"/>
      <c r="N16" s="408"/>
    </row>
    <row r="17" spans="1:14" x14ac:dyDescent="0.2">
      <c r="A17" s="630" t="s">
        <v>426</v>
      </c>
      <c r="B17" s="408"/>
      <c r="C17" s="408"/>
      <c r="E17" s="408"/>
      <c r="F17" s="628"/>
      <c r="G17" s="408"/>
      <c r="H17" s="408"/>
      <c r="I17" s="408"/>
      <c r="J17" s="408"/>
      <c r="K17" s="408"/>
      <c r="L17" s="408"/>
      <c r="M17" s="408"/>
      <c r="N17" s="408"/>
    </row>
    <row r="19" spans="1:14" x14ac:dyDescent="0.2">
      <c r="A19" s="608">
        <v>1</v>
      </c>
      <c r="B19" s="365" t="s">
        <v>403</v>
      </c>
    </row>
    <row r="20" spans="1:14" x14ac:dyDescent="0.2">
      <c r="A20" s="608">
        <v>2</v>
      </c>
      <c r="B20" s="411" t="s">
        <v>405</v>
      </c>
    </row>
    <row r="21" spans="1:14" x14ac:dyDescent="0.2">
      <c r="A21" s="608">
        <v>3</v>
      </c>
      <c r="B21" s="411" t="s">
        <v>406</v>
      </c>
    </row>
    <row r="22" spans="1:14" x14ac:dyDescent="0.2">
      <c r="A22" s="608">
        <v>4</v>
      </c>
      <c r="B22" s="411" t="s">
        <v>407</v>
      </c>
    </row>
    <row r="23" spans="1:14" x14ac:dyDescent="0.2">
      <c r="A23" s="608">
        <v>5</v>
      </c>
      <c r="B23" s="366" t="s">
        <v>404</v>
      </c>
    </row>
    <row r="24" spans="1:14" x14ac:dyDescent="0.2">
      <c r="A24" s="608">
        <v>6</v>
      </c>
      <c r="B24" s="411" t="s">
        <v>402</v>
      </c>
    </row>
  </sheetData>
  <conditionalFormatting sqref="G7:L12">
    <cfRule type="cellIs" dxfId="12" priority="27" stopIfTrue="1" operator="greaterThan">
      <formula>2</formula>
    </cfRule>
  </conditionalFormatting>
  <conditionalFormatting sqref="B7">
    <cfRule type="duplicateValues" dxfId="11" priority="24" stopIfTrue="1"/>
  </conditionalFormatting>
  <conditionalFormatting sqref="C7:C12">
    <cfRule type="duplicateValues" dxfId="10" priority="333" stopIfTrue="1"/>
  </conditionalFormatting>
  <conditionalFormatting sqref="B10:B12">
    <cfRule type="duplicateValues" dxfId="9" priority="334" stopIfTrue="1"/>
  </conditionalFormatting>
  <conditionalFormatting sqref="D7:D12">
    <cfRule type="duplicateValues" dxfId="8" priority="335" stopIfTrue="1"/>
  </conditionalFormatting>
  <conditionalFormatting sqref="B8">
    <cfRule type="duplicateValues" dxfId="7" priority="8" stopIfTrue="1"/>
  </conditionalFormatting>
  <conditionalFormatting sqref="B9">
    <cfRule type="duplicateValues" dxfId="6" priority="7" stopIfTrue="1"/>
  </conditionalFormatting>
  <conditionalFormatting sqref="B19">
    <cfRule type="duplicateValues" dxfId="5" priority="6" stopIfTrue="1"/>
  </conditionalFormatting>
  <conditionalFormatting sqref="B20">
    <cfRule type="duplicateValues" dxfId="4" priority="5" stopIfTrue="1"/>
  </conditionalFormatting>
  <conditionalFormatting sqref="B21">
    <cfRule type="duplicateValues" dxfId="3" priority="4" stopIfTrue="1"/>
  </conditionalFormatting>
  <conditionalFormatting sqref="B22">
    <cfRule type="duplicateValues" dxfId="2" priority="3" stopIfTrue="1"/>
  </conditionalFormatting>
  <conditionalFormatting sqref="B23">
    <cfRule type="duplicateValues" dxfId="1" priority="2" stopIfTrue="1"/>
  </conditionalFormatting>
  <conditionalFormatting sqref="B24">
    <cfRule type="duplicateValues" dxfId="0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  <ignoredErrors>
    <ignoredError sqref="C7: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26</vt:i4>
      </vt:variant>
    </vt:vector>
  </HeadingPairs>
  <TitlesOfParts>
    <vt:vector size="51" baseType="lpstr">
      <vt:lpstr>Kalend</vt:lpstr>
      <vt:lpstr>Kal E</vt:lpstr>
      <vt:lpstr>Reit</vt:lpstr>
      <vt:lpstr>Pl-Reit</vt:lpstr>
      <vt:lpstr>MiV</vt:lpstr>
      <vt:lpstr>1</vt:lpstr>
      <vt:lpstr>2</vt:lpstr>
      <vt:lpstr>AV</vt:lpstr>
      <vt:lpstr>3</vt:lpstr>
      <vt:lpstr>Sõ</vt:lpstr>
      <vt:lpstr>4</vt:lpstr>
      <vt:lpstr>5</vt:lpstr>
      <vt:lpstr>6</vt:lpstr>
      <vt:lpstr>As-Eel</vt:lpstr>
      <vt:lpstr>As-Sum</vt:lpstr>
      <vt:lpstr>As-Fin</vt:lpstr>
      <vt:lpstr>Tul-Eel</vt:lpstr>
      <vt:lpstr>Tul-Sum</vt:lpstr>
      <vt:lpstr>Tul-Fin</vt:lpstr>
      <vt:lpstr>Pl1</vt:lpstr>
      <vt:lpstr>Pl2</vt:lpstr>
      <vt:lpstr>Pl3</vt:lpstr>
      <vt:lpstr>Pl4</vt:lpstr>
      <vt:lpstr>Pl5</vt:lpstr>
      <vt:lpstr>Pl6</vt:lpstr>
      <vt:lpstr>MiV!Nimi</vt:lpstr>
      <vt:lpstr>Kalend!Print_Area</vt:lpstr>
      <vt:lpstr>MiV!Print_Area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'As-Eel'!Print_Titles</vt:lpstr>
      <vt:lpstr>'As-Fin'!Print_Titles</vt:lpstr>
      <vt:lpstr>'As-Sum'!Print_Titles</vt:lpstr>
      <vt:lpstr>AV!Print_Titles</vt:lpstr>
      <vt:lpstr>'Kal E'!Print_Titles</vt:lpstr>
      <vt:lpstr>Kalend!Print_Titles</vt:lpstr>
      <vt:lpstr>MiV!Print_Titles</vt:lpstr>
      <vt:lpstr>'Pl1'!Print_Titles</vt:lpstr>
      <vt:lpstr>'Pl2'!Print_Titles</vt:lpstr>
      <vt:lpstr>'Pl3'!Print_Titles</vt:lpstr>
      <vt:lpstr>'Pl4'!Print_Titles</vt:lpstr>
      <vt:lpstr>'Pl5'!Print_Titles</vt:lpstr>
      <vt:lpstr>'Pl6'!Print_Titles</vt:lpstr>
      <vt:lpstr>'Pl-Reit'!Print_Titles</vt:lpstr>
      <vt:lpstr>'Tul-Eel'!Print_Titles</vt:lpstr>
      <vt:lpstr>'Tul-Fin'!Print_Titles</vt:lpstr>
      <vt:lpstr>'Tul-Sum'!Print_Titles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2015-12-04T11:16:29Z</dcterms:created>
  <dcterms:modified xsi:type="dcterms:W3CDTF">2018-12-09T10:22:27Z</dcterms:modified>
</cp:coreProperties>
</file>