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545"/>
  </bookViews>
  <sheets>
    <sheet name="Kalend" sheetId="2" r:id="rId1"/>
    <sheet name="Reit" sheetId="3" r:id="rId2"/>
    <sheet name="KJ" sheetId="4" r:id="rId3"/>
    <sheet name="2" sheetId="14" r:id="rId4"/>
    <sheet name="Mu" sheetId="6" r:id="rId5"/>
    <sheet name="8" sheetId="12" r:id="rId6"/>
    <sheet name="Sü" sheetId="7" r:id="rId7"/>
    <sheet name="9" sheetId="10" r:id="rId8"/>
    <sheet name="10" sheetId="11" r:id="rId9"/>
    <sheet name="12" sheetId="9" r:id="rId10"/>
    <sheet name="M" sheetId="5" r:id="rId11"/>
    <sheet name="M4" sheetId="13" r:id="rId12"/>
    <sheet name="L" sheetId="8" r:id="rId13"/>
  </sheets>
  <definedNames>
    <definedName name="_xlnm._FilterDatabase" localSheetId="2" hidden="1">KJ!$I$6:$K$6</definedName>
    <definedName name="_xlnm._FilterDatabase" localSheetId="10" hidden="1">M!$U$6:$W$6</definedName>
    <definedName name="_xlnm._FilterDatabase" localSheetId="1" hidden="1">Reit!$R$7:$T$7</definedName>
    <definedName name="_xlnm.Print_Titles" localSheetId="8">'10'!$1:$2</definedName>
    <definedName name="_xlnm.Print_Titles" localSheetId="9">'12'!$1:$2</definedName>
    <definedName name="_xlnm.Print_Titles" localSheetId="3">'2'!$1:$2</definedName>
    <definedName name="_xlnm.Print_Titles" localSheetId="5">'8'!$1:$2</definedName>
    <definedName name="_xlnm.Print_Titles" localSheetId="7">'9'!$1:$2</definedName>
    <definedName name="_xlnm.Print_Titles" localSheetId="0">Kalend!$1:$2</definedName>
    <definedName name="_xlnm.Print_Titles" localSheetId="2">KJ!$1:$3</definedName>
    <definedName name="_xlnm.Print_Titles" localSheetId="12">L!$1:$2</definedName>
    <definedName name="_xlnm.Print_Titles" localSheetId="11">'M4'!$1:$2</definedName>
    <definedName name="_xlnm.Print_Titles" localSheetId="4">Mu!$1:$2</definedName>
    <definedName name="_xlnm.Print_Titles" localSheetId="1">Reit!$1:$7</definedName>
    <definedName name="_xlnm.Print_Titles" localSheetId="6">Sü!$1:$2</definedName>
  </definedNames>
  <calcPr calcId="145621"/>
</workbook>
</file>

<file path=xl/calcChain.xml><?xml version="1.0" encoding="utf-8"?>
<calcChain xmlns="http://schemas.openxmlformats.org/spreadsheetml/2006/main">
  <c r="J55" i="5" l="1"/>
  <c r="J54" i="5"/>
  <c r="J56" i="5"/>
  <c r="J57" i="5"/>
  <c r="J58" i="5"/>
  <c r="J59" i="5"/>
  <c r="J60" i="5"/>
  <c r="J61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5" i="5"/>
  <c r="K54" i="5"/>
  <c r="K56" i="5"/>
  <c r="K57" i="5"/>
  <c r="K58" i="5"/>
  <c r="K59" i="5"/>
  <c r="K60" i="5"/>
  <c r="K61" i="5"/>
  <c r="K7" i="5"/>
  <c r="N62" i="5"/>
  <c r="W61" i="5"/>
  <c r="V61" i="5"/>
  <c r="U61" i="5"/>
  <c r="M61" i="5" a="1"/>
  <c r="M61" i="5" s="1"/>
  <c r="S61" i="5" a="1"/>
  <c r="S61" i="5" s="1"/>
  <c r="W60" i="5"/>
  <c r="V60" i="5"/>
  <c r="U60" i="5"/>
  <c r="M60" i="5" a="1"/>
  <c r="M60" i="5" s="1"/>
  <c r="S60" i="5" a="1"/>
  <c r="S60" i="5" s="1"/>
  <c r="W59" i="5"/>
  <c r="V59" i="5"/>
  <c r="U59" i="5"/>
  <c r="M59" i="5" a="1"/>
  <c r="M59" i="5" s="1"/>
  <c r="S59" i="5" a="1"/>
  <c r="S59" i="5" s="1"/>
  <c r="W58" i="5"/>
  <c r="V58" i="5"/>
  <c r="U58" i="5"/>
  <c r="M58" i="5" a="1"/>
  <c r="M58" i="5" s="1"/>
  <c r="S58" i="5" a="1"/>
  <c r="S58" i="5" s="1"/>
  <c r="W57" i="5"/>
  <c r="V57" i="5"/>
  <c r="U57" i="5"/>
  <c r="M57" i="5" a="1"/>
  <c r="M57" i="5" s="1"/>
  <c r="S57" i="5" a="1"/>
  <c r="S57" i="5" s="1"/>
  <c r="W56" i="5"/>
  <c r="V56" i="5"/>
  <c r="U56" i="5"/>
  <c r="M56" i="5" a="1"/>
  <c r="M56" i="5" s="1"/>
  <c r="S56" i="5" a="1"/>
  <c r="S56" i="5" s="1"/>
  <c r="W54" i="5"/>
  <c r="V54" i="5"/>
  <c r="U54" i="5"/>
  <c r="M54" i="5" a="1"/>
  <c r="M54" i="5" s="1"/>
  <c r="S54" i="5" a="1"/>
  <c r="S54" i="5" s="1"/>
  <c r="W55" i="5"/>
  <c r="V55" i="5"/>
  <c r="U55" i="5"/>
  <c r="M55" i="5" a="1"/>
  <c r="M55" i="5" s="1"/>
  <c r="S55" i="5" a="1"/>
  <c r="S55" i="5" s="1"/>
  <c r="W53" i="5"/>
  <c r="V53" i="5"/>
  <c r="U53" i="5"/>
  <c r="M53" i="5" a="1"/>
  <c r="M53" i="5" s="1"/>
  <c r="S53" i="5" a="1"/>
  <c r="S53" i="5" s="1"/>
  <c r="W52" i="5"/>
  <c r="V52" i="5"/>
  <c r="U52" i="5"/>
  <c r="M52" i="5" a="1"/>
  <c r="M52" i="5" s="1"/>
  <c r="S52" i="5" a="1"/>
  <c r="S52" i="5" s="1"/>
  <c r="W51" i="5"/>
  <c r="V51" i="5"/>
  <c r="U51" i="5"/>
  <c r="M51" i="5" a="1"/>
  <c r="M51" i="5" s="1"/>
  <c r="S51" i="5" a="1"/>
  <c r="S51" i="5" s="1"/>
  <c r="W50" i="5"/>
  <c r="V50" i="5"/>
  <c r="U50" i="5"/>
  <c r="M50" i="5" a="1"/>
  <c r="M50" i="5" s="1"/>
  <c r="S50" i="5" a="1"/>
  <c r="S50" i="5" s="1"/>
  <c r="W49" i="5"/>
  <c r="V49" i="5"/>
  <c r="U49" i="5"/>
  <c r="M49" i="5" a="1"/>
  <c r="M49" i="5" s="1"/>
  <c r="S49" i="5" a="1"/>
  <c r="S49" i="5" s="1"/>
  <c r="W48" i="5"/>
  <c r="V48" i="5"/>
  <c r="U48" i="5"/>
  <c r="M48" i="5" a="1"/>
  <c r="M48" i="5" s="1"/>
  <c r="S48" i="5" a="1"/>
  <c r="S48" i="5" s="1"/>
  <c r="W47" i="5"/>
  <c r="V47" i="5"/>
  <c r="U47" i="5"/>
  <c r="M47" i="5" a="1"/>
  <c r="M47" i="5" s="1"/>
  <c r="S47" i="5" a="1"/>
  <c r="S47" i="5" s="1"/>
  <c r="W46" i="5"/>
  <c r="V46" i="5"/>
  <c r="U46" i="5"/>
  <c r="M46" i="5" a="1"/>
  <c r="M46" i="5" s="1"/>
  <c r="S46" i="5" a="1"/>
  <c r="S46" i="5" s="1"/>
  <c r="W45" i="5"/>
  <c r="V45" i="5"/>
  <c r="U45" i="5"/>
  <c r="M45" i="5" a="1"/>
  <c r="M45" i="5" s="1"/>
  <c r="S45" i="5" a="1"/>
  <c r="S45" i="5" s="1"/>
  <c r="W44" i="5"/>
  <c r="V44" i="5"/>
  <c r="U44" i="5"/>
  <c r="M44" i="5" a="1"/>
  <c r="M44" i="5" s="1"/>
  <c r="S44" i="5" a="1"/>
  <c r="S44" i="5" s="1"/>
  <c r="W43" i="5"/>
  <c r="V43" i="5"/>
  <c r="U43" i="5"/>
  <c r="M43" i="5" a="1"/>
  <c r="M43" i="5" s="1"/>
  <c r="S43" i="5" a="1"/>
  <c r="S43" i="5" s="1"/>
  <c r="W42" i="5"/>
  <c r="V42" i="5"/>
  <c r="U42" i="5"/>
  <c r="M42" i="5" a="1"/>
  <c r="M42" i="5" s="1"/>
  <c r="S42" i="5" a="1"/>
  <c r="S42" i="5" s="1"/>
  <c r="W41" i="5"/>
  <c r="V41" i="5"/>
  <c r="U41" i="5"/>
  <c r="M41" i="5" a="1"/>
  <c r="M41" i="5" s="1"/>
  <c r="S41" i="5" a="1"/>
  <c r="S41" i="5" s="1"/>
  <c r="W40" i="5"/>
  <c r="V40" i="5"/>
  <c r="U40" i="5"/>
  <c r="M40" i="5" a="1"/>
  <c r="M40" i="5" s="1"/>
  <c r="S40" i="5" a="1"/>
  <c r="S40" i="5" s="1"/>
  <c r="W39" i="5"/>
  <c r="V39" i="5"/>
  <c r="U39" i="5"/>
  <c r="M39" i="5" a="1"/>
  <c r="M39" i="5" s="1"/>
  <c r="S39" i="5" a="1"/>
  <c r="S39" i="5" s="1"/>
  <c r="W38" i="5"/>
  <c r="V38" i="5"/>
  <c r="U38" i="5"/>
  <c r="M38" i="5" a="1"/>
  <c r="M38" i="5" s="1"/>
  <c r="S38" i="5" a="1"/>
  <c r="S38" i="5" s="1"/>
  <c r="W37" i="5"/>
  <c r="V37" i="5"/>
  <c r="U37" i="5"/>
  <c r="M37" i="5" a="1"/>
  <c r="M37" i="5" s="1"/>
  <c r="S37" i="5" a="1"/>
  <c r="S37" i="5" s="1"/>
  <c r="W36" i="5"/>
  <c r="V36" i="5"/>
  <c r="U36" i="5"/>
  <c r="M36" i="5" a="1"/>
  <c r="M36" i="5" s="1"/>
  <c r="S36" i="5" a="1"/>
  <c r="S36" i="5" s="1"/>
  <c r="W35" i="5"/>
  <c r="V35" i="5"/>
  <c r="U35" i="5"/>
  <c r="M35" i="5" a="1"/>
  <c r="M35" i="5" s="1"/>
  <c r="S35" i="5" a="1"/>
  <c r="S35" i="5" s="1"/>
  <c r="W34" i="5"/>
  <c r="V34" i="5"/>
  <c r="U34" i="5"/>
  <c r="M34" i="5" a="1"/>
  <c r="M34" i="5" s="1"/>
  <c r="S34" i="5" a="1"/>
  <c r="S34" i="5" s="1"/>
  <c r="W33" i="5"/>
  <c r="V33" i="5"/>
  <c r="U33" i="5"/>
  <c r="M33" i="5" a="1"/>
  <c r="M33" i="5" s="1"/>
  <c r="S33" i="5" a="1"/>
  <c r="S33" i="5" s="1"/>
  <c r="W32" i="5"/>
  <c r="V32" i="5"/>
  <c r="U32" i="5"/>
  <c r="M32" i="5" a="1"/>
  <c r="M32" i="5" s="1"/>
  <c r="S32" i="5" a="1"/>
  <c r="S32" i="5" s="1"/>
  <c r="W31" i="5"/>
  <c r="V31" i="5"/>
  <c r="U31" i="5"/>
  <c r="M31" i="5" a="1"/>
  <c r="M31" i="5" s="1"/>
  <c r="S31" i="5" a="1"/>
  <c r="S31" i="5" s="1"/>
  <c r="W30" i="5"/>
  <c r="V30" i="5"/>
  <c r="U30" i="5"/>
  <c r="M30" i="5" a="1"/>
  <c r="M30" i="5" s="1"/>
  <c r="S30" i="5" a="1"/>
  <c r="S30" i="5" s="1"/>
  <c r="W29" i="5"/>
  <c r="V29" i="5"/>
  <c r="U29" i="5"/>
  <c r="M29" i="5" a="1"/>
  <c r="M29" i="5" s="1"/>
  <c r="S29" i="5" a="1"/>
  <c r="S29" i="5" s="1"/>
  <c r="W28" i="5"/>
  <c r="V28" i="5"/>
  <c r="U28" i="5"/>
  <c r="M28" i="5" a="1"/>
  <c r="M28" i="5" s="1"/>
  <c r="S28" i="5" a="1"/>
  <c r="S28" i="5" s="1"/>
  <c r="W27" i="5"/>
  <c r="V27" i="5"/>
  <c r="U27" i="5"/>
  <c r="M27" i="5" a="1"/>
  <c r="M27" i="5" s="1"/>
  <c r="S27" i="5" a="1"/>
  <c r="S27" i="5" s="1"/>
  <c r="W26" i="5"/>
  <c r="V26" i="5"/>
  <c r="U26" i="5"/>
  <c r="M26" i="5" a="1"/>
  <c r="M26" i="5" s="1"/>
  <c r="S26" i="5" a="1"/>
  <c r="S26" i="5" s="1"/>
  <c r="W25" i="5"/>
  <c r="V25" i="5"/>
  <c r="U25" i="5"/>
  <c r="M25" i="5" a="1"/>
  <c r="M25" i="5" s="1"/>
  <c r="S25" i="5" a="1"/>
  <c r="S25" i="5" s="1"/>
  <c r="W24" i="5"/>
  <c r="V24" i="5"/>
  <c r="U24" i="5"/>
  <c r="M24" i="5" a="1"/>
  <c r="M24" i="5" s="1"/>
  <c r="S24" i="5" a="1"/>
  <c r="S24" i="5" s="1"/>
  <c r="W23" i="5"/>
  <c r="V23" i="5"/>
  <c r="U23" i="5"/>
  <c r="M23" i="5" a="1"/>
  <c r="M23" i="5" s="1"/>
  <c r="S23" i="5" a="1"/>
  <c r="S23" i="5" s="1"/>
  <c r="W22" i="5"/>
  <c r="V22" i="5"/>
  <c r="U22" i="5"/>
  <c r="M22" i="5" a="1"/>
  <c r="M22" i="5" s="1"/>
  <c r="S22" i="5" a="1"/>
  <c r="S22" i="5" s="1"/>
  <c r="W21" i="5"/>
  <c r="V21" i="5"/>
  <c r="U21" i="5"/>
  <c r="M21" i="5" a="1"/>
  <c r="M21" i="5" s="1"/>
  <c r="S21" i="5" a="1"/>
  <c r="S21" i="5" s="1"/>
  <c r="W20" i="5"/>
  <c r="V20" i="5"/>
  <c r="U20" i="5"/>
  <c r="M20" i="5" a="1"/>
  <c r="M20" i="5" s="1"/>
  <c r="S20" i="5" a="1"/>
  <c r="S20" i="5" s="1"/>
  <c r="W19" i="5"/>
  <c r="V19" i="5"/>
  <c r="U19" i="5"/>
  <c r="M19" i="5" a="1"/>
  <c r="M19" i="5" s="1"/>
  <c r="S19" i="5" a="1"/>
  <c r="S19" i="5" s="1"/>
  <c r="W18" i="5"/>
  <c r="V18" i="5"/>
  <c r="U18" i="5"/>
  <c r="M18" i="5" a="1"/>
  <c r="M18" i="5" s="1"/>
  <c r="S18" i="5" a="1"/>
  <c r="S18" i="5" s="1"/>
  <c r="W17" i="5"/>
  <c r="V17" i="5"/>
  <c r="U17" i="5"/>
  <c r="M17" i="5" a="1"/>
  <c r="M17" i="5" s="1"/>
  <c r="S17" i="5" a="1"/>
  <c r="S17" i="5" s="1"/>
  <c r="W16" i="5"/>
  <c r="V16" i="5"/>
  <c r="U16" i="5"/>
  <c r="M16" i="5" a="1"/>
  <c r="M16" i="5" s="1"/>
  <c r="S16" i="5" a="1"/>
  <c r="S16" i="5" s="1"/>
  <c r="W15" i="5"/>
  <c r="V15" i="5"/>
  <c r="U15" i="5"/>
  <c r="M15" i="5" a="1"/>
  <c r="M15" i="5" s="1"/>
  <c r="S15" i="5" a="1"/>
  <c r="S15" i="5" s="1"/>
  <c r="W14" i="5"/>
  <c r="V14" i="5"/>
  <c r="U14" i="5"/>
  <c r="M14" i="5" a="1"/>
  <c r="M14" i="5" s="1"/>
  <c r="S14" i="5" a="1"/>
  <c r="S14" i="5" s="1"/>
  <c r="W13" i="5"/>
  <c r="V13" i="5"/>
  <c r="U13" i="5"/>
  <c r="M13" i="5" a="1"/>
  <c r="M13" i="5" s="1"/>
  <c r="S13" i="5" a="1"/>
  <c r="S13" i="5" s="1"/>
  <c r="W12" i="5"/>
  <c r="V12" i="5"/>
  <c r="U12" i="5"/>
  <c r="M12" i="5" a="1"/>
  <c r="M12" i="5" s="1"/>
  <c r="S12" i="5" a="1"/>
  <c r="S12" i="5" s="1"/>
  <c r="W11" i="5"/>
  <c r="V11" i="5"/>
  <c r="U11" i="5"/>
  <c r="M11" i="5" a="1"/>
  <c r="M11" i="5" s="1"/>
  <c r="S11" i="5" a="1"/>
  <c r="S11" i="5" s="1"/>
  <c r="W10" i="5"/>
  <c r="V10" i="5"/>
  <c r="U10" i="5"/>
  <c r="M10" i="5" a="1"/>
  <c r="M10" i="5" s="1"/>
  <c r="S10" i="5" a="1"/>
  <c r="S10" i="5" s="1"/>
  <c r="W9" i="5"/>
  <c r="V9" i="5"/>
  <c r="U9" i="5"/>
  <c r="M9" i="5" a="1"/>
  <c r="M9" i="5" s="1"/>
  <c r="S9" i="5" a="1"/>
  <c r="S9" i="5" s="1"/>
  <c r="W8" i="5"/>
  <c r="V8" i="5"/>
  <c r="U8" i="5"/>
  <c r="M8" i="5" a="1"/>
  <c r="M8" i="5" s="1"/>
  <c r="S8" i="5" a="1"/>
  <c r="S8" i="5" s="1"/>
  <c r="W7" i="5"/>
  <c r="V7" i="5"/>
  <c r="U7" i="5"/>
  <c r="M7" i="5"/>
  <c r="S7" i="5" a="1"/>
  <c r="S7" i="5" s="1"/>
  <c r="Q5" i="5"/>
  <c r="R4" i="5"/>
  <c r="Q4" i="5"/>
  <c r="P4" i="5"/>
  <c r="O4" i="5"/>
  <c r="N4" i="5"/>
  <c r="T8" i="5" a="1"/>
  <c r="T8" i="5" s="1"/>
  <c r="T9" i="5" a="1"/>
  <c r="T9" i="5" s="1"/>
  <c r="T10" i="5" a="1"/>
  <c r="T10" i="5" s="1"/>
  <c r="T11" i="5" a="1"/>
  <c r="T11" i="5" s="1"/>
  <c r="T12" i="5" a="1"/>
  <c r="T12" i="5" s="1"/>
  <c r="T13" i="5" a="1"/>
  <c r="T13" i="5" s="1"/>
  <c r="T14" i="5" a="1"/>
  <c r="T14" i="5" s="1"/>
  <c r="T15" i="5" a="1"/>
  <c r="T15" i="5" s="1"/>
  <c r="T16" i="5" a="1"/>
  <c r="T16" i="5" s="1"/>
  <c r="T17" i="5" a="1"/>
  <c r="T17" i="5" s="1"/>
  <c r="T18" i="5" a="1"/>
  <c r="T18" i="5" s="1"/>
  <c r="T19" i="5" a="1"/>
  <c r="T19" i="5" s="1"/>
  <c r="T20" i="5" a="1"/>
  <c r="T20" i="5" s="1"/>
  <c r="T21" i="5" a="1"/>
  <c r="T21" i="5" s="1"/>
  <c r="T22" i="5" a="1"/>
  <c r="T22" i="5" s="1"/>
  <c r="T23" i="5" a="1"/>
  <c r="T23" i="5" s="1"/>
  <c r="T24" i="5" a="1"/>
  <c r="T24" i="5" s="1"/>
  <c r="T25" i="5" a="1"/>
  <c r="T25" i="5" s="1"/>
  <c r="T26" i="5" a="1"/>
  <c r="T26" i="5" s="1"/>
  <c r="T27" i="5" a="1"/>
  <c r="T27" i="5" s="1"/>
  <c r="T28" i="5" a="1"/>
  <c r="T28" i="5" s="1"/>
  <c r="T29" i="5" a="1"/>
  <c r="T29" i="5" s="1"/>
  <c r="T30" i="5" a="1"/>
  <c r="T30" i="5" s="1"/>
  <c r="T31" i="5" a="1"/>
  <c r="T31" i="5" s="1"/>
  <c r="T32" i="5" a="1"/>
  <c r="T32" i="5" s="1"/>
  <c r="T33" i="5" a="1"/>
  <c r="T33" i="5" s="1"/>
  <c r="T34" i="5" a="1"/>
  <c r="T34" i="5" s="1"/>
  <c r="T35" i="5" a="1"/>
  <c r="T35" i="5" s="1"/>
  <c r="T36" i="5" a="1"/>
  <c r="T36" i="5" s="1"/>
  <c r="T37" i="5" a="1"/>
  <c r="T37" i="5" s="1"/>
  <c r="T38" i="5" a="1"/>
  <c r="T38" i="5" s="1"/>
  <c r="T39" i="5" a="1"/>
  <c r="T39" i="5" s="1"/>
  <c r="T40" i="5" a="1"/>
  <c r="T40" i="5" s="1"/>
  <c r="T41" i="5" a="1"/>
  <c r="T41" i="5" s="1"/>
  <c r="T42" i="5" a="1"/>
  <c r="T42" i="5" s="1"/>
  <c r="T43" i="5" a="1"/>
  <c r="T43" i="5" s="1"/>
  <c r="T44" i="5" a="1"/>
  <c r="T44" i="5" s="1"/>
  <c r="T45" i="5" a="1"/>
  <c r="T45" i="5" s="1"/>
  <c r="T46" i="5" a="1"/>
  <c r="T46" i="5" s="1"/>
  <c r="T47" i="5" a="1"/>
  <c r="T47" i="5" s="1"/>
  <c r="T48" i="5" a="1"/>
  <c r="T48" i="5" s="1"/>
  <c r="T49" i="5" a="1"/>
  <c r="T49" i="5" s="1"/>
  <c r="T50" i="5" a="1"/>
  <c r="T50" i="5" s="1"/>
  <c r="T51" i="5" a="1"/>
  <c r="T51" i="5" s="1"/>
  <c r="T52" i="5" a="1"/>
  <c r="T52" i="5" s="1"/>
  <c r="T53" i="5" a="1"/>
  <c r="T53" i="5" s="1"/>
  <c r="T55" i="5" a="1"/>
  <c r="T55" i="5" s="1"/>
  <c r="T54" i="5" a="1"/>
  <c r="T54" i="5" s="1"/>
  <c r="T56" i="5" a="1"/>
  <c r="T56" i="5" s="1"/>
  <c r="T57" i="5" a="1"/>
  <c r="T57" i="5" s="1"/>
  <c r="T58" i="5" a="1"/>
  <c r="T58" i="5" s="1"/>
  <c r="T59" i="5" a="1"/>
  <c r="T59" i="5" s="1"/>
  <c r="T60" i="5" a="1"/>
  <c r="T60" i="5" s="1"/>
  <c r="L60" i="5" s="1"/>
  <c r="T61" i="5" a="1"/>
  <c r="T61" i="5" s="1"/>
  <c r="L61" i="5" s="1"/>
  <c r="T7" i="5" a="1"/>
  <c r="T7" i="5" s="1"/>
  <c r="L8" i="5" l="1"/>
  <c r="L10" i="5"/>
  <c r="L58" i="5"/>
  <c r="L12" i="5"/>
  <c r="L14" i="5"/>
  <c r="L16" i="5"/>
  <c r="L18" i="5"/>
  <c r="L20" i="5"/>
  <c r="L22" i="5"/>
  <c r="L24" i="5"/>
  <c r="L26" i="5"/>
  <c r="L28" i="5"/>
  <c r="L30" i="5"/>
  <c r="L32" i="5"/>
  <c r="L34" i="5"/>
  <c r="L36" i="5"/>
  <c r="L38" i="5"/>
  <c r="L40" i="5"/>
  <c r="L42" i="5"/>
  <c r="L44" i="5"/>
  <c r="L46" i="5"/>
  <c r="L48" i="5"/>
  <c r="L50" i="5"/>
  <c r="L52" i="5"/>
  <c r="L55" i="5"/>
  <c r="L56" i="5"/>
  <c r="L7" i="5"/>
  <c r="L9" i="5"/>
  <c r="L11" i="5"/>
  <c r="L13" i="5"/>
  <c r="L15" i="5"/>
  <c r="L17" i="5"/>
  <c r="L19" i="5"/>
  <c r="L21" i="5"/>
  <c r="L23" i="5"/>
  <c r="L25" i="5"/>
  <c r="L27" i="5"/>
  <c r="L29" i="5"/>
  <c r="L31" i="5"/>
  <c r="L33" i="5"/>
  <c r="L35" i="5"/>
  <c r="L37" i="5"/>
  <c r="L39" i="5"/>
  <c r="L41" i="5"/>
  <c r="L43" i="5"/>
  <c r="L45" i="5"/>
  <c r="L47" i="5"/>
  <c r="L49" i="5"/>
  <c r="L51" i="5"/>
  <c r="L53" i="5"/>
  <c r="L54" i="5"/>
  <c r="L57" i="5"/>
  <c r="L59" i="5"/>
  <c r="I60" i="5"/>
  <c r="I59" i="5"/>
  <c r="I57" i="5"/>
  <c r="I54" i="5"/>
  <c r="I58" i="5"/>
  <c r="I56" i="5"/>
  <c r="I55" i="5"/>
  <c r="I61" i="5"/>
  <c r="C62" i="5" l="1"/>
  <c r="M4" i="3" l="1"/>
  <c r="D32" i="2" l="1"/>
  <c r="A4" i="14" l="1"/>
  <c r="A3" i="14"/>
  <c r="A2" i="14"/>
  <c r="D7" i="2"/>
  <c r="A1" i="14" s="1"/>
  <c r="G6" i="3"/>
  <c r="N6" i="3"/>
  <c r="M6" i="3"/>
  <c r="J8" i="5" l="1"/>
  <c r="I8" i="5" s="1"/>
  <c r="J9" i="5"/>
  <c r="I9" i="5" s="1"/>
  <c r="J10" i="5"/>
  <c r="I10" i="5" s="1"/>
  <c r="J11" i="5"/>
  <c r="I11" i="5" s="1"/>
  <c r="J12" i="5"/>
  <c r="I12" i="5" s="1"/>
  <c r="J13" i="5"/>
  <c r="I13" i="5" s="1"/>
  <c r="J14" i="5"/>
  <c r="I14" i="5" s="1"/>
  <c r="J15" i="5"/>
  <c r="I15" i="5" s="1"/>
  <c r="J22" i="5"/>
  <c r="I22" i="5" s="1"/>
  <c r="J18" i="5"/>
  <c r="I18" i="5" s="1"/>
  <c r="J16" i="5"/>
  <c r="I16" i="5" s="1"/>
  <c r="J17" i="5"/>
  <c r="I17" i="5" s="1"/>
  <c r="J19" i="5"/>
  <c r="I19" i="5" s="1"/>
  <c r="J20" i="5"/>
  <c r="I20" i="5" s="1"/>
  <c r="J21" i="5"/>
  <c r="I21" i="5" s="1"/>
  <c r="J23" i="5"/>
  <c r="I23" i="5" s="1"/>
  <c r="J24" i="5"/>
  <c r="I24" i="5" s="1"/>
  <c r="J25" i="5"/>
  <c r="I25" i="5" s="1"/>
  <c r="J26" i="5"/>
  <c r="I26" i="5" s="1"/>
  <c r="J27" i="5"/>
  <c r="I27" i="5" s="1"/>
  <c r="J29" i="5"/>
  <c r="I29" i="5" s="1"/>
  <c r="J30" i="5"/>
  <c r="I30" i="5" s="1"/>
  <c r="J28" i="5"/>
  <c r="I28" i="5" s="1"/>
  <c r="J31" i="5"/>
  <c r="I31" i="5" s="1"/>
  <c r="J32" i="5"/>
  <c r="I32" i="5" s="1"/>
  <c r="J33" i="5"/>
  <c r="I33" i="5" s="1"/>
  <c r="J34" i="5"/>
  <c r="I34" i="5" s="1"/>
  <c r="J35" i="5"/>
  <c r="I35" i="5" s="1"/>
  <c r="J36" i="5"/>
  <c r="I36" i="5" s="1"/>
  <c r="J37" i="5"/>
  <c r="I37" i="5" s="1"/>
  <c r="J38" i="5"/>
  <c r="I38" i="5" s="1"/>
  <c r="J40" i="5"/>
  <c r="I40" i="5" s="1"/>
  <c r="J41" i="5"/>
  <c r="I41" i="5" s="1"/>
  <c r="J39" i="5"/>
  <c r="I39" i="5" s="1"/>
  <c r="J42" i="5"/>
  <c r="I42" i="5" s="1"/>
  <c r="J43" i="5"/>
  <c r="I43" i="5" s="1"/>
  <c r="J44" i="5"/>
  <c r="I44" i="5" s="1"/>
  <c r="J45" i="5"/>
  <c r="I45" i="5" s="1"/>
  <c r="J46" i="5"/>
  <c r="I46" i="5" s="1"/>
  <c r="J47" i="5"/>
  <c r="I47" i="5" s="1"/>
  <c r="J48" i="5"/>
  <c r="I48" i="5" s="1"/>
  <c r="J49" i="5"/>
  <c r="I49" i="5" s="1"/>
  <c r="J50" i="5"/>
  <c r="I50" i="5" s="1"/>
  <c r="J51" i="5"/>
  <c r="I51" i="5" s="1"/>
  <c r="J52" i="5"/>
  <c r="I52" i="5" s="1"/>
  <c r="J53" i="5"/>
  <c r="I53" i="5" s="1"/>
  <c r="J7" i="5"/>
  <c r="I7" i="5" s="1"/>
  <c r="D34" i="2" l="1"/>
  <c r="A1" i="13" s="1"/>
  <c r="A4" i="13" l="1"/>
  <c r="A3" i="13"/>
  <c r="A2" i="13"/>
  <c r="D31" i="2"/>
  <c r="A1" i="12"/>
  <c r="A4" i="12"/>
  <c r="A3" i="12"/>
  <c r="A2" i="12"/>
  <c r="A4" i="11"/>
  <c r="A3" i="11"/>
  <c r="A2" i="11"/>
  <c r="A1" i="11"/>
  <c r="A4" i="10"/>
  <c r="A3" i="10"/>
  <c r="A2" i="10"/>
  <c r="D33" i="2"/>
  <c r="A1" i="10" s="1"/>
  <c r="D38" i="2"/>
  <c r="Q6" i="3" l="1"/>
  <c r="A4" i="9"/>
  <c r="A3" i="9"/>
  <c r="A2" i="9"/>
  <c r="A1" i="9"/>
  <c r="H4" i="4"/>
  <c r="G4" i="4"/>
  <c r="F4" i="4"/>
  <c r="D26" i="2"/>
  <c r="Q4" i="3" l="1"/>
  <c r="P4" i="3"/>
  <c r="O4" i="3"/>
  <c r="N4" i="3"/>
  <c r="L4" i="3"/>
  <c r="K4" i="3"/>
  <c r="J4" i="3"/>
  <c r="I4" i="3"/>
  <c r="H4" i="3"/>
  <c r="F4" i="3"/>
  <c r="G4" i="3"/>
  <c r="A4" i="8" l="1"/>
  <c r="A3" i="8"/>
  <c r="A2" i="8"/>
  <c r="D42" i="2"/>
  <c r="A1" i="8" s="1"/>
  <c r="A1" i="7"/>
  <c r="A4" i="7"/>
  <c r="A3" i="7"/>
  <c r="A2" i="7"/>
  <c r="A1" i="6"/>
  <c r="A4" i="6" l="1"/>
  <c r="A3" i="6"/>
  <c r="A2" i="6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L30" i="2" l="1"/>
  <c r="D12" i="2"/>
  <c r="D11" i="2"/>
  <c r="D24" i="2"/>
  <c r="D23" i="2"/>
  <c r="D21" i="2"/>
  <c r="D20" i="2"/>
  <c r="D17" i="2"/>
  <c r="D16" i="2"/>
  <c r="H5" i="3"/>
  <c r="Q5" i="3"/>
  <c r="P5" i="3"/>
  <c r="O5" i="3"/>
  <c r="N5" i="3"/>
  <c r="M5" i="3"/>
  <c r="L5" i="3"/>
  <c r="K5" i="3"/>
  <c r="J5" i="3"/>
  <c r="I5" i="3"/>
  <c r="G5" i="3"/>
  <c r="F5" i="3"/>
  <c r="I42" i="2" l="1"/>
  <c r="I41" i="2"/>
  <c r="I32" i="2"/>
  <c r="I30" i="2"/>
  <c r="I29" i="2"/>
  <c r="I27" i="2"/>
  <c r="I25" i="2"/>
  <c r="I24" i="2"/>
  <c r="I22" i="2"/>
  <c r="I21" i="2"/>
  <c r="I17" i="2"/>
  <c r="I16" i="2"/>
  <c r="I15" i="2"/>
  <c r="I12" i="2"/>
  <c r="I10" i="2"/>
  <c r="I9" i="2"/>
  <c r="I7" i="2"/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7" i="4"/>
  <c r="H42" i="2"/>
  <c r="H41" i="2"/>
  <c r="H38" i="2"/>
  <c r="H37" i="2"/>
  <c r="H36" i="2"/>
  <c r="H34" i="2"/>
  <c r="H33" i="2"/>
  <c r="H32" i="2"/>
  <c r="H30" i="2"/>
  <c r="H29" i="2"/>
  <c r="H27" i="2"/>
  <c r="H26" i="2"/>
  <c r="H25" i="2"/>
  <c r="H24" i="2"/>
  <c r="H23" i="2"/>
  <c r="H22" i="2"/>
  <c r="H21" i="2"/>
  <c r="H20" i="2"/>
  <c r="H18" i="2"/>
  <c r="H17" i="2"/>
  <c r="H16" i="2"/>
  <c r="H15" i="2"/>
  <c r="H13" i="2"/>
  <c r="H12" i="2"/>
  <c r="H11" i="2"/>
  <c r="H10" i="2"/>
  <c r="H9" i="2"/>
  <c r="H8" i="2"/>
  <c r="H7" i="2"/>
  <c r="H6" i="2"/>
  <c r="R62" i="5"/>
  <c r="Q62" i="5"/>
  <c r="P62" i="5"/>
  <c r="O62" i="5"/>
  <c r="F62" i="5"/>
  <c r="E62" i="5"/>
  <c r="D62" i="5"/>
  <c r="H48" i="4"/>
  <c r="G48" i="4"/>
  <c r="F48" i="4"/>
  <c r="C48" i="4"/>
  <c r="B48" i="4"/>
  <c r="A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K48" i="4" s="1"/>
  <c r="J7" i="4"/>
  <c r="J48" i="4" s="1"/>
  <c r="Q75" i="3"/>
  <c r="P75" i="3"/>
  <c r="O75" i="3"/>
  <c r="N75" i="3"/>
  <c r="M75" i="3"/>
  <c r="L75" i="3"/>
  <c r="K75" i="3"/>
  <c r="J75" i="3"/>
  <c r="I75" i="3"/>
  <c r="H75" i="3"/>
  <c r="G75" i="3"/>
  <c r="F75" i="3"/>
  <c r="C75" i="3"/>
  <c r="B75" i="3"/>
  <c r="A75" i="3"/>
  <c r="T74" i="3"/>
  <c r="S74" i="3"/>
  <c r="R74" i="3"/>
  <c r="T73" i="3"/>
  <c r="S73" i="3"/>
  <c r="R73" i="3"/>
  <c r="T72" i="3"/>
  <c r="S72" i="3"/>
  <c r="R72" i="3"/>
  <c r="T71" i="3"/>
  <c r="S71" i="3"/>
  <c r="R71" i="3"/>
  <c r="T70" i="3"/>
  <c r="S70" i="3"/>
  <c r="R70" i="3"/>
  <c r="T69" i="3"/>
  <c r="S69" i="3"/>
  <c r="R69" i="3"/>
  <c r="T68" i="3"/>
  <c r="S68" i="3"/>
  <c r="R68" i="3"/>
  <c r="T67" i="3"/>
  <c r="S67" i="3"/>
  <c r="R67" i="3"/>
  <c r="T66" i="3"/>
  <c r="S66" i="3"/>
  <c r="R66" i="3"/>
  <c r="T65" i="3"/>
  <c r="S65" i="3"/>
  <c r="R65" i="3"/>
  <c r="T64" i="3"/>
  <c r="S64" i="3"/>
  <c r="R64" i="3"/>
  <c r="T63" i="3"/>
  <c r="S63" i="3"/>
  <c r="R63" i="3"/>
  <c r="T62" i="3"/>
  <c r="S62" i="3"/>
  <c r="R62" i="3"/>
  <c r="T61" i="3"/>
  <c r="S61" i="3"/>
  <c r="R61" i="3"/>
  <c r="T60" i="3"/>
  <c r="S60" i="3"/>
  <c r="R60" i="3"/>
  <c r="T59" i="3"/>
  <c r="S59" i="3"/>
  <c r="R59" i="3"/>
  <c r="T58" i="3"/>
  <c r="S58" i="3"/>
  <c r="R58" i="3"/>
  <c r="T57" i="3"/>
  <c r="S57" i="3"/>
  <c r="R57" i="3"/>
  <c r="T56" i="3"/>
  <c r="S56" i="3"/>
  <c r="R56" i="3"/>
  <c r="T55" i="3"/>
  <c r="S55" i="3"/>
  <c r="R55" i="3"/>
  <c r="T54" i="3"/>
  <c r="S54" i="3"/>
  <c r="R54" i="3"/>
  <c r="T53" i="3"/>
  <c r="S53" i="3"/>
  <c r="R53" i="3"/>
  <c r="T52" i="3"/>
  <c r="S52" i="3"/>
  <c r="R52" i="3"/>
  <c r="T51" i="3"/>
  <c r="S51" i="3"/>
  <c r="R51" i="3"/>
  <c r="T50" i="3"/>
  <c r="S50" i="3"/>
  <c r="R50" i="3"/>
  <c r="T49" i="3"/>
  <c r="S49" i="3"/>
  <c r="R49" i="3"/>
  <c r="T48" i="3"/>
  <c r="S48" i="3"/>
  <c r="R48" i="3"/>
  <c r="T47" i="3"/>
  <c r="S47" i="3"/>
  <c r="R47" i="3"/>
  <c r="T46" i="3"/>
  <c r="S46" i="3"/>
  <c r="R46" i="3"/>
  <c r="T45" i="3"/>
  <c r="S45" i="3"/>
  <c r="R45" i="3"/>
  <c r="T44" i="3"/>
  <c r="S44" i="3"/>
  <c r="R44" i="3"/>
  <c r="T43" i="3"/>
  <c r="S43" i="3"/>
  <c r="R43" i="3"/>
  <c r="T42" i="3"/>
  <c r="S42" i="3"/>
  <c r="R42" i="3"/>
  <c r="T41" i="3"/>
  <c r="S41" i="3"/>
  <c r="R41" i="3"/>
  <c r="T40" i="3"/>
  <c r="S40" i="3"/>
  <c r="R40" i="3"/>
  <c r="T39" i="3"/>
  <c r="S39" i="3"/>
  <c r="R39" i="3"/>
  <c r="T38" i="3"/>
  <c r="S38" i="3"/>
  <c r="R38" i="3"/>
  <c r="T37" i="3"/>
  <c r="S37" i="3"/>
  <c r="R37" i="3"/>
  <c r="T36" i="3"/>
  <c r="S36" i="3"/>
  <c r="R36" i="3"/>
  <c r="T35" i="3"/>
  <c r="S35" i="3"/>
  <c r="R35" i="3"/>
  <c r="T34" i="3"/>
  <c r="S34" i="3"/>
  <c r="R34" i="3"/>
  <c r="T33" i="3"/>
  <c r="S33" i="3"/>
  <c r="R33" i="3"/>
  <c r="T32" i="3"/>
  <c r="S32" i="3"/>
  <c r="R32" i="3"/>
  <c r="T31" i="3"/>
  <c r="S31" i="3"/>
  <c r="R31" i="3"/>
  <c r="T30" i="3"/>
  <c r="S30" i="3"/>
  <c r="R30" i="3"/>
  <c r="T29" i="3"/>
  <c r="S29" i="3"/>
  <c r="R29" i="3"/>
  <c r="T28" i="3"/>
  <c r="S28" i="3"/>
  <c r="R28" i="3"/>
  <c r="T27" i="3"/>
  <c r="S27" i="3"/>
  <c r="R27" i="3"/>
  <c r="T26" i="3"/>
  <c r="S26" i="3"/>
  <c r="R26" i="3"/>
  <c r="T25" i="3"/>
  <c r="S25" i="3"/>
  <c r="R25" i="3"/>
  <c r="T24" i="3"/>
  <c r="S24" i="3"/>
  <c r="R24" i="3"/>
  <c r="T23" i="3"/>
  <c r="S23" i="3"/>
  <c r="R23" i="3"/>
  <c r="T22" i="3"/>
  <c r="S22" i="3"/>
  <c r="R22" i="3"/>
  <c r="T21" i="3"/>
  <c r="S21" i="3"/>
  <c r="R21" i="3"/>
  <c r="T20" i="3"/>
  <c r="S20" i="3"/>
  <c r="R20" i="3"/>
  <c r="T19" i="3"/>
  <c r="S19" i="3"/>
  <c r="R19" i="3"/>
  <c r="T18" i="3"/>
  <c r="S18" i="3"/>
  <c r="R18" i="3"/>
  <c r="T17" i="3"/>
  <c r="S17" i="3"/>
  <c r="R17" i="3"/>
  <c r="T16" i="3"/>
  <c r="S16" i="3"/>
  <c r="R16" i="3"/>
  <c r="T15" i="3"/>
  <c r="S15" i="3"/>
  <c r="R15" i="3"/>
  <c r="T14" i="3"/>
  <c r="S14" i="3"/>
  <c r="R14" i="3"/>
  <c r="T13" i="3"/>
  <c r="S13" i="3"/>
  <c r="R13" i="3"/>
  <c r="T12" i="3"/>
  <c r="S12" i="3"/>
  <c r="R12" i="3"/>
  <c r="T11" i="3"/>
  <c r="S11" i="3"/>
  <c r="R11" i="3"/>
  <c r="T10" i="3"/>
  <c r="S10" i="3"/>
  <c r="R10" i="3"/>
  <c r="T9" i="3"/>
  <c r="S9" i="3"/>
  <c r="R9" i="3"/>
  <c r="T8" i="3"/>
  <c r="S8" i="3"/>
  <c r="R8" i="3"/>
  <c r="S75" i="3" l="1"/>
  <c r="T75" i="3"/>
  <c r="A27" i="5" l="1"/>
  <c r="A36" i="5"/>
  <c r="A44" i="5"/>
  <c r="V62" i="5"/>
  <c r="W62" i="5"/>
  <c r="A52" i="5"/>
  <c r="A9" i="5"/>
  <c r="A15" i="5"/>
  <c r="A23" i="5"/>
  <c r="A28" i="5"/>
  <c r="A37" i="5"/>
  <c r="A45" i="5"/>
  <c r="A51" i="5"/>
  <c r="A59" i="5"/>
  <c r="A18" i="5"/>
  <c r="A25" i="5"/>
  <c r="A33" i="5"/>
  <c r="A42" i="5"/>
  <c r="A50" i="5"/>
  <c r="A60" i="5"/>
  <c r="A13" i="5"/>
  <c r="A20" i="5"/>
  <c r="A29" i="5"/>
  <c r="A43" i="5"/>
  <c r="A57" i="5"/>
  <c r="A14" i="5"/>
  <c r="A21" i="5"/>
  <c r="A31" i="5"/>
  <c r="A41" i="5"/>
  <c r="A55" i="5"/>
  <c r="A58" i="5"/>
  <c r="A12" i="5"/>
  <c r="A16" i="5"/>
  <c r="A26" i="5"/>
  <c r="A34" i="5"/>
  <c r="A39" i="5"/>
  <c r="A48" i="5"/>
  <c r="A54" i="5"/>
  <c r="A10" i="5"/>
  <c r="A19" i="5"/>
  <c r="A30" i="5"/>
  <c r="A38" i="5"/>
  <c r="A47" i="5"/>
  <c r="A56" i="5"/>
  <c r="A11" i="5"/>
  <c r="A22" i="5"/>
  <c r="A24" i="5"/>
  <c r="A32" i="5"/>
  <c r="A40" i="5"/>
  <c r="A46" i="5"/>
  <c r="A53" i="5"/>
  <c r="A61" i="5"/>
  <c r="A35" i="5"/>
  <c r="A49" i="5"/>
  <c r="A17" i="5"/>
  <c r="A7" i="5" l="1"/>
  <c r="A8" i="5"/>
  <c r="A62" i="5" l="1"/>
</calcChain>
</file>

<file path=xl/comments1.xml><?xml version="1.0" encoding="utf-8"?>
<comments xmlns="http://schemas.openxmlformats.org/spreadsheetml/2006/main">
  <authors>
    <author>Author</author>
  </authors>
  <commentList>
    <comment ref="A25" authorId="0">
      <text>
        <r>
          <rPr>
            <b/>
            <sz val="8"/>
            <color indexed="81"/>
            <rFont val="Tahoma"/>
            <family val="2"/>
            <charset val="186"/>
          </rPr>
          <t>kuskil oli kirjas 24.07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Q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  <comment ref="D10" authorId="0">
      <text>
        <r>
          <rPr>
            <b/>
            <sz val="8"/>
            <color indexed="81"/>
            <rFont val="Tahoma"/>
            <family val="2"/>
            <charset val="186"/>
          </rPr>
          <t>Aasta uustulnuk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H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H21" authorId="0">
      <text>
        <r>
          <rPr>
            <b/>
            <sz val="8"/>
            <color indexed="81"/>
            <rFont val="Tahoma"/>
            <family val="2"/>
            <charset val="186"/>
          </rPr>
          <t>protokollis on 3. ja 4. koht vastupidi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I137" authorId="0">
      <text>
        <r>
          <rPr>
            <b/>
            <sz val="8"/>
            <color indexed="81"/>
            <rFont val="Tahoma"/>
            <family val="2"/>
            <charset val="186"/>
          </rPr>
          <t>paremusjärjestuses oli 13:3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R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  <comment ref="I4" authorId="0">
      <text>
        <r>
          <rPr>
            <b/>
            <sz val="8"/>
            <color indexed="81"/>
            <rFont val="Tahoma"/>
            <family val="2"/>
            <charset val="186"/>
          </rPr>
          <t>Rea kõrgus väiksem, sest ei mahu ooo-s ühele lehele</t>
        </r>
      </text>
    </comment>
    <comment ref="A6" authorId="0">
      <text>
        <r>
          <rPr>
            <b/>
            <sz val="8"/>
            <color indexed="81"/>
            <rFont val="Tahoma"/>
            <family val="2"/>
            <charset val="186"/>
          </rPr>
          <t>Valem arvutab punktisumma järgi võistleja koha. 
Võdrse punktisumma korral annab parema koha võistlejale, kellel on üksikmängus rohkem punkte.
Valem töötab Microsoft ja WPS Office-ga. 
Vahel ei tööta Libre ja Open Office-ga.</t>
        </r>
      </text>
    </comment>
    <comment ref="F6" authorId="0">
      <text>
        <r>
          <rPr>
            <b/>
            <sz val="8"/>
            <color indexed="81"/>
            <rFont val="Tahoma"/>
            <family val="2"/>
            <charset val="186"/>
          </rPr>
          <t>Kohalikud mängijad</t>
        </r>
      </text>
    </comment>
    <comment ref="I6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Valem arvutab punktisumma ja võtab kehvemad tulemused maha.
Valem töötab Microsoft ja WPS Office-ga. 
Vahel ei tööta Libre ja Open Office-ga.
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Vajalik vaid siis kui võrdse punktisumma saanud mängijad pole osalenud üksikmängus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Loeb kokku 40 punktid, 34 punktid, 30 punktid jne ainult arvvesse minevatest punktidest (üksik, suurim duo, suurim trio)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186"/>
          </rPr>
          <t>Oli 16. koha asemel 10. koht</t>
        </r>
      </text>
    </comment>
    <comment ref="H22" authorId="0">
      <text>
        <r>
          <rPr>
            <b/>
            <sz val="8"/>
            <color indexed="81"/>
            <rFont val="Tahoma"/>
            <family val="2"/>
            <charset val="186"/>
          </rPr>
          <t>Oli 54 punkti asemel 60 punkti</t>
        </r>
      </text>
    </comment>
    <comment ref="Q22" authorId="0">
      <text>
        <r>
          <rPr>
            <b/>
            <sz val="8"/>
            <color indexed="81"/>
            <rFont val="Tahoma"/>
            <family val="2"/>
            <charset val="186"/>
          </rPr>
          <t>Oli 34 punkti asemel 40 punkti</t>
        </r>
      </text>
    </comment>
  </commentList>
</comments>
</file>

<file path=xl/sharedStrings.xml><?xml version="1.0" encoding="utf-8"?>
<sst xmlns="http://schemas.openxmlformats.org/spreadsheetml/2006/main" count="2417" uniqueCount="491">
  <si>
    <t>IDA-VIRUMAA PETANGIKALENDER 2012</t>
  </si>
  <si>
    <t>Kuupäev</t>
  </si>
  <si>
    <t>Aeg</t>
  </si>
  <si>
    <t>Võistlus</t>
  </si>
  <si>
    <t>Mänguviis</t>
  </si>
  <si>
    <t>Toimumiskoht</t>
  </si>
  <si>
    <t>Korraldaja</t>
  </si>
  <si>
    <t>Uudis</t>
  </si>
  <si>
    <t>Tasu</t>
  </si>
  <si>
    <t>Osal</t>
  </si>
  <si>
    <t>Mai 2012</t>
  </si>
  <si>
    <t>P, 29.04.2012</t>
  </si>
  <si>
    <t>10:00</t>
  </si>
  <si>
    <t>Hooaja avalöök</t>
  </si>
  <si>
    <t>Duo</t>
  </si>
  <si>
    <t>K-Järve, Järve Gümnaasiumi staadion</t>
  </si>
  <si>
    <t>K-Järve SHK</t>
  </si>
  <si>
    <t>P, 06.05.2012</t>
  </si>
  <si>
    <t>Trio</t>
  </si>
  <si>
    <t>P, 13.05.2012</t>
  </si>
  <si>
    <t>12:00</t>
  </si>
  <si>
    <t>T, 22.05.2012</t>
  </si>
  <si>
    <t>18:00</t>
  </si>
  <si>
    <t>Mäetaguse Põhikooli staadion</t>
  </si>
  <si>
    <t>Mäetaguse SK</t>
  </si>
  <si>
    <t>K, 23.05.2012</t>
  </si>
  <si>
    <t>Üksik</t>
  </si>
  <si>
    <t>N, 24.05.2012</t>
  </si>
  <si>
    <t>x</t>
  </si>
  <si>
    <t>L, 26.05.2012</t>
  </si>
  <si>
    <t>11:00</t>
  </si>
  <si>
    <t>Eesti 35+ MV</t>
  </si>
  <si>
    <t>K-Nõmme Kaevanduspark</t>
  </si>
  <si>
    <t>IVSL</t>
  </si>
  <si>
    <t>P, 27.05.2012</t>
  </si>
  <si>
    <t>EMSL Jõud MV</t>
  </si>
  <si>
    <t>Jõhvi, PK Neptun petangiväljakud</t>
  </si>
  <si>
    <t>N, 31.05.2012</t>
  </si>
  <si>
    <t>Kohtla-Nõmme asetusvõistlus</t>
  </si>
  <si>
    <t>Asetus</t>
  </si>
  <si>
    <t>K-Nõmme SK</t>
  </si>
  <si>
    <t>Juuni 2012</t>
  </si>
  <si>
    <t>L, 02.06.2012</t>
  </si>
  <si>
    <t>Jõhvi LTK Üks-Teist</t>
  </si>
  <si>
    <t>L, 16.06.2012</t>
  </si>
  <si>
    <t>P, 17.06.2012</t>
  </si>
  <si>
    <t>T, 19.06.2012</t>
  </si>
  <si>
    <t>TUL</t>
  </si>
  <si>
    <t>Juuli 2012</t>
  </si>
  <si>
    <t>L, 07.07.2012</t>
  </si>
  <si>
    <t>Eesti GP etapp</t>
  </si>
  <si>
    <t>Mäetaguse SK ja K-Järve SHK</t>
  </si>
  <si>
    <t>K-Nõmme SK ja K-Järve SHK</t>
  </si>
  <si>
    <t>T, 17.07.2012</t>
  </si>
  <si>
    <t>L, 21.07.2012</t>
  </si>
  <si>
    <t>EPKL ja K-Järve SHK</t>
  </si>
  <si>
    <t>P, 22.07.2012</t>
  </si>
  <si>
    <t>K, 25.07.2012</t>
  </si>
  <si>
    <t>L, 28.07.2012</t>
  </si>
  <si>
    <t>Voka staadion</t>
  </si>
  <si>
    <t>Toila VV</t>
  </si>
  <si>
    <t>T, 31.07.2012</t>
  </si>
  <si>
    <t>August 2012</t>
  </si>
  <si>
    <t>L, 04.08.2012</t>
  </si>
  <si>
    <t>16:00</t>
  </si>
  <si>
    <t>R, 17.08.2012</t>
  </si>
  <si>
    <t>Sünnipäevavälk</t>
  </si>
  <si>
    <t>E, 20.08.2012</t>
  </si>
  <si>
    <t>T, 28.08.2012</t>
  </si>
  <si>
    <t>September 2012</t>
  </si>
  <si>
    <t>P, 02.09.2012</t>
  </si>
  <si>
    <t>P, 16.09.2012</t>
  </si>
  <si>
    <t>Mäetaguse MV</t>
  </si>
  <si>
    <t>P, 23.09.2012</t>
  </si>
  <si>
    <t>P, 30.09.2012</t>
  </si>
  <si>
    <t>Ahtme Petanque</t>
  </si>
  <si>
    <t>Ahtme Gümnaasiumi spordiväljak</t>
  </si>
  <si>
    <t>Artjom Kolkin, Tõnis Anton ja Vadim Tihhonjuk</t>
  </si>
  <si>
    <t>Oktoober 2012</t>
  </si>
  <si>
    <t>P, 07.10.2012</t>
  </si>
  <si>
    <t>R, 12.10.2012</t>
  </si>
  <si>
    <t>17:00</t>
  </si>
  <si>
    <t>Sügisvälk ja hooaja lõpetamine</t>
  </si>
  <si>
    <t>Eesti reitingusarja võistlused on kollase taustaga</t>
  </si>
  <si>
    <t>IDA-VIRUMAA PETANGIREITING 2012</t>
  </si>
  <si>
    <t>Kuld</t>
  </si>
  <si>
    <t>Hõbe</t>
  </si>
  <si>
    <t>Pronks</t>
  </si>
  <si>
    <t>K-Järve 11. KV 1. etapp</t>
  </si>
  <si>
    <t>K-Järve 11. KV 2. etapp</t>
  </si>
  <si>
    <t>Jõhvi 12. MV</t>
  </si>
  <si>
    <t>Jõhvi 10. MV</t>
  </si>
  <si>
    <t>K-Järve 13. MV</t>
  </si>
  <si>
    <t>K-Järve 11. MV</t>
  </si>
  <si>
    <t>Medaleid</t>
  </si>
  <si>
    <t>Võite</t>
  </si>
  <si>
    <t>N</t>
  </si>
  <si>
    <t>J</t>
  </si>
  <si>
    <t>Nimi</t>
  </si>
  <si>
    <t>K</t>
  </si>
  <si>
    <t>***</t>
  </si>
  <si>
    <t>**</t>
  </si>
  <si>
    <t>*</t>
  </si>
  <si>
    <t>Ivar Viljaste</t>
  </si>
  <si>
    <t xml:space="preserve">  </t>
  </si>
  <si>
    <t>Pjotr Nikkar</t>
  </si>
  <si>
    <t>Vadim Tihhonjuk</t>
  </si>
  <si>
    <t>Sirje Viljaste</t>
  </si>
  <si>
    <t>Mait Metsla</t>
  </si>
  <si>
    <t>Matti Vinni</t>
  </si>
  <si>
    <t>Elmo Lageda</t>
  </si>
  <si>
    <t>Kalle Orro</t>
  </si>
  <si>
    <t>Enno Konsa</t>
  </si>
  <si>
    <t>Johannes Neiland</t>
  </si>
  <si>
    <t>Hillar Neiland</t>
  </si>
  <si>
    <t>Kristo Viljaste</t>
  </si>
  <si>
    <t>Aigi Orro</t>
  </si>
  <si>
    <t>Lemmit Toomra</t>
  </si>
  <si>
    <t>Tõnis Anton</t>
  </si>
  <si>
    <t>Aarne Välja</t>
  </si>
  <si>
    <t xml:space="preserve">Rene Kundla </t>
  </si>
  <si>
    <t>Anna Romanenko</t>
  </si>
  <si>
    <t>Artjom Kolkin</t>
  </si>
  <si>
    <t>Karla Purgats</t>
  </si>
  <si>
    <t>Hugo Müüdla</t>
  </si>
  <si>
    <t>Tõnu Kapper</t>
  </si>
  <si>
    <t>Svetlana Sobolko</t>
  </si>
  <si>
    <t>Andres Veski</t>
  </si>
  <si>
    <t>Andrei Grintšak</t>
  </si>
  <si>
    <t>Vladimir Ogneštšikov</t>
  </si>
  <si>
    <t>Tõnu Piik</t>
  </si>
  <si>
    <t>Jaan Sepp</t>
  </si>
  <si>
    <t>German Terehhov</t>
  </si>
  <si>
    <t>Tarmo Müür</t>
  </si>
  <si>
    <t>Rutt Voldek</t>
  </si>
  <si>
    <t>Argo Sepp</t>
  </si>
  <si>
    <t xml:space="preserve">Tõnu Kortel </t>
  </si>
  <si>
    <t>Oskar Sepp</t>
  </si>
  <si>
    <t>Emil Murzajev</t>
  </si>
  <si>
    <t>Ülo Piik</t>
  </si>
  <si>
    <t>Eve Müüdla</t>
  </si>
  <si>
    <t>Andrei Jõgi</t>
  </si>
  <si>
    <t>Marko Rooden</t>
  </si>
  <si>
    <t>Imbi-Indi Deljantintšuk</t>
  </si>
  <si>
    <t>Boriss Klubov</t>
  </si>
  <si>
    <t>Alari Keedus</t>
  </si>
  <si>
    <t>Arvi Pinna</t>
  </si>
  <si>
    <t>Martin Müüdla</t>
  </si>
  <si>
    <t>Mikk Rooden</t>
  </si>
  <si>
    <t>Klavdia Piik</t>
  </si>
  <si>
    <t>Maarika Raja</t>
  </si>
  <si>
    <t>Helen Mast</t>
  </si>
  <si>
    <t>Taavi Toomel</t>
  </si>
  <si>
    <t>Lana Tihhonjuk</t>
  </si>
  <si>
    <t>Martin Rooden</t>
  </si>
  <si>
    <t>Kristel Tihhonjuk</t>
  </si>
  <si>
    <t xml:space="preserve">Airi Kruusma </t>
  </si>
  <si>
    <t>Oleg Popov</t>
  </si>
  <si>
    <t>Meeli-Ingrid Fomina</t>
  </si>
  <si>
    <t>Maido Rooden</t>
  </si>
  <si>
    <t>Vladimir Trotski</t>
  </si>
  <si>
    <t>Ranel Laht</t>
  </si>
  <si>
    <t>Jaan Rooden</t>
  </si>
  <si>
    <t>Tõnis Neiland</t>
  </si>
  <si>
    <t>Andres Viisitam</t>
  </si>
  <si>
    <t>Osalejaid</t>
  </si>
  <si>
    <t>Võistkondi</t>
  </si>
  <si>
    <t xml:space="preserve">Rasvases trükis on aasta uustulnuka tiitli kandidaadid (mängijad, kes pole kolmel eelmisel </t>
  </si>
  <si>
    <t>aastal mahtunud reitingus 30 parema hulka)</t>
  </si>
  <si>
    <t xml:space="preserve">2012 aasta uustulnukaks ei saa kandideerida: </t>
  </si>
  <si>
    <t>Tanel Vähk</t>
  </si>
  <si>
    <t>Jaak Rooden</t>
  </si>
  <si>
    <t>Kolme etapi tulemused liidetakse kokku</t>
  </si>
  <si>
    <t>Daniil Alekankin</t>
  </si>
  <si>
    <t>Rene Kundla</t>
  </si>
  <si>
    <t>Mehis Kiik</t>
  </si>
  <si>
    <t>Viktor Fjodorov</t>
  </si>
  <si>
    <t>German Adamason</t>
  </si>
  <si>
    <t>Ainar Saatman</t>
  </si>
  <si>
    <t>Tanel Saatman</t>
  </si>
  <si>
    <t>Vadim Zigadlo</t>
  </si>
  <si>
    <t>Mart Ladoga</t>
  </si>
  <si>
    <t>Martin Ladoga</t>
  </si>
  <si>
    <t>Piret Niglas</t>
  </si>
  <si>
    <t>K, 08.07.2012</t>
  </si>
  <si>
    <t xml:space="preserve">Punktid </t>
  </si>
  <si>
    <t>Osalusi</t>
  </si>
  <si>
    <t>Fotod</t>
  </si>
  <si>
    <t>Arvesse läheb 7 võistlust 12st</t>
  </si>
  <si>
    <t>Arvesse läheb 3 võistlust 5st (üksikmäng + duo + trio)</t>
  </si>
  <si>
    <t>N, 09.08.2012</t>
  </si>
  <si>
    <t>T, 07.08.2012</t>
  </si>
  <si>
    <t>R</t>
  </si>
  <si>
    <t>Mäetaguse karikavõistlused on punase taustaga. Arvesse läheb 3 võistlust 5st (üksikmäng + duo + trio)</t>
  </si>
  <si>
    <t>Ida-Viru reitinguvõistlused on rasvases trükis. Arvesse läheb 7 võistlust 12st</t>
  </si>
  <si>
    <t>Mäetaguse 3. KV 1. etapp</t>
  </si>
  <si>
    <t>Mäetaguse 3. KV 2. etapp</t>
  </si>
  <si>
    <t>Mäetaguse 3. KV 3. etapp</t>
  </si>
  <si>
    <t>Mäetaguse 3. KV 4. etapp</t>
  </si>
  <si>
    <t>Mäetaguse 3. KV 5. etapp</t>
  </si>
  <si>
    <t>Voka 11. MV (11. muruturniir)</t>
  </si>
  <si>
    <t>MÄETAGUSE 3. KARIKAVÕISTLUSED 2012</t>
  </si>
  <si>
    <t>KOHTLA-JÄRVE 11. KARIKAVÕISTLUSED 2012</t>
  </si>
  <si>
    <t>K-Järve 11. KV 3. etapp 1. päev</t>
  </si>
  <si>
    <t>K-Järve 11. KV 3. etapp 2. päev</t>
  </si>
  <si>
    <t>K-Järve 13. MV - 1. päev</t>
  </si>
  <si>
    <t>K-Järve 13. MV - 2. päev</t>
  </si>
  <si>
    <t>Kõik mängud algasid seisult 1:1</t>
  </si>
  <si>
    <t>Plussring</t>
  </si>
  <si>
    <t>A</t>
  </si>
  <si>
    <t>F</t>
  </si>
  <si>
    <t>B</t>
  </si>
  <si>
    <t>-</t>
  </si>
  <si>
    <t>G</t>
  </si>
  <si>
    <t>12; 13</t>
  </si>
  <si>
    <t>C</t>
  </si>
  <si>
    <t>E</t>
  </si>
  <si>
    <t>Meelis Luud</t>
  </si>
  <si>
    <t>D</t>
  </si>
  <si>
    <t>Maksim Maksimov</t>
  </si>
  <si>
    <t>-Miinusringi võitja</t>
  </si>
  <si>
    <t>13;12</t>
  </si>
  <si>
    <t>Miinusring</t>
  </si>
  <si>
    <t>AA</t>
  </si>
  <si>
    <t xml:space="preserve">4. </t>
  </si>
  <si>
    <t xml:space="preserve">III </t>
  </si>
  <si>
    <t xml:space="preserve">  ---&gt;  finaali</t>
  </si>
  <si>
    <t>BB</t>
  </si>
  <si>
    <t xml:space="preserve"> </t>
  </si>
  <si>
    <t>4. koht</t>
  </si>
  <si>
    <t>5 - 6 koht</t>
  </si>
  <si>
    <t>5. koht</t>
  </si>
  <si>
    <t>6. koht</t>
  </si>
  <si>
    <t>7 - 8 koht</t>
  </si>
  <si>
    <t>7. koht</t>
  </si>
  <si>
    <t>8. koht</t>
  </si>
  <si>
    <t>9 - 12 koht</t>
  </si>
  <si>
    <t>9. koht</t>
  </si>
  <si>
    <t>10. koht</t>
  </si>
  <si>
    <t>11. koht</t>
  </si>
  <si>
    <t>12. koht</t>
  </si>
  <si>
    <t>13 - 16 koht</t>
  </si>
  <si>
    <t>13. koht</t>
  </si>
  <si>
    <t>14. koht</t>
  </si>
  <si>
    <t>15. koht</t>
  </si>
  <si>
    <t>16. koht</t>
  </si>
  <si>
    <t>17 - 24 koht</t>
  </si>
  <si>
    <t>17. koht</t>
  </si>
  <si>
    <t>18. koht</t>
  </si>
  <si>
    <t>19. koht</t>
  </si>
  <si>
    <t>20. koht</t>
  </si>
  <si>
    <t>1. Joana Taalberg</t>
  </si>
  <si>
    <t>2. Oskar Sepp</t>
  </si>
  <si>
    <t>3. Eenok Sepp</t>
  </si>
  <si>
    <t>Kohalike paremusjärjestus:</t>
  </si>
  <si>
    <t>1. Meelis Luud</t>
  </si>
  <si>
    <t>2. Johannes Neiland</t>
  </si>
  <si>
    <t>3. Joana Taalberg</t>
  </si>
  <si>
    <t>4. Jüri Mironjuk</t>
  </si>
  <si>
    <t>5. Sergei Tulski</t>
  </si>
  <si>
    <t>Paremusjärjestus:</t>
  </si>
  <si>
    <t>1. Boriss Klubov - kohamäng 13:9, 12:13, 13:12</t>
  </si>
  <si>
    <t>2. Elmo Lageda</t>
  </si>
  <si>
    <t>3. Tõnis Anton - 13:9</t>
  </si>
  <si>
    <t>4. Karla Purgats</t>
  </si>
  <si>
    <t>5. Enno Konsa - 13:2</t>
  </si>
  <si>
    <t>6. Artjom Kolkin</t>
  </si>
  <si>
    <t>7. Pjotr Nikkar - 13:12</t>
  </si>
  <si>
    <t>8. Aarne Välja</t>
  </si>
  <si>
    <t>9. Andrei Jõgi - 13:9</t>
  </si>
  <si>
    <t>10. Vadim Tihhonjuk</t>
  </si>
  <si>
    <t>11. Viktor Fjodorov - 13:11</t>
  </si>
  <si>
    <t>12. Ülo Piik</t>
  </si>
  <si>
    <t>13. Lemmit Toomra - 13:9</t>
  </si>
  <si>
    <t>14. Jaan Sepp</t>
  </si>
  <si>
    <t>15. Maksim Maksimov - 13:3</t>
  </si>
  <si>
    <t>16. Oskar Sepp</t>
  </si>
  <si>
    <t>17. Meelis Luud - 13:5</t>
  </si>
  <si>
    <t>18. Vladimir Ogneštšikov</t>
  </si>
  <si>
    <t>19. Johannes Neiland - 13:9</t>
  </si>
  <si>
    <t>20. Rene Kundla</t>
  </si>
  <si>
    <t>21. Tõnu Piik - 13:2</t>
  </si>
  <si>
    <t>22. Imbi-Indi Deljantintšuk</t>
  </si>
  <si>
    <t>Lisakohtumine Toila parimale, Johannes Neiland alistas Meelis Luua 2:8 kaotusseisust 13:10.</t>
  </si>
  <si>
    <t>Paremusjärjestus</t>
  </si>
  <si>
    <t>1. Karla Purgats 30</t>
  </si>
  <si>
    <t>2. Tõnu Kapper 28</t>
  </si>
  <si>
    <t>3. Ivar Viljaste 27</t>
  </si>
  <si>
    <t>4. (parim kohalik) Jaan Rooden 26</t>
  </si>
  <si>
    <t>5. Elmo Lageda 26</t>
  </si>
  <si>
    <t>6. Rene Kundla 26</t>
  </si>
  <si>
    <t>7. Vadim Tihhonjuk 26</t>
  </si>
  <si>
    <t>8. (naiste 1.) Svetlana Sobolko 25</t>
  </si>
  <si>
    <t>9.-10. Jaan Sepp 23</t>
  </si>
  <si>
    <t>9.-10. Andrei Grintšak 23</t>
  </si>
  <si>
    <t>11. Andrei Jõgi 22</t>
  </si>
  <si>
    <t>12. Artjom Kolkin 22</t>
  </si>
  <si>
    <t>13. Anna Romanenko 21</t>
  </si>
  <si>
    <t>14. Mait Metsla 19</t>
  </si>
  <si>
    <t>15. Emil Murzajev 19</t>
  </si>
  <si>
    <t>16. Pjotr Nikkar 17</t>
  </si>
  <si>
    <t>17. Andres Veski 16</t>
  </si>
  <si>
    <t>18. Tõnis Anton 15</t>
  </si>
  <si>
    <t>19. (juunioride 1.) Imbi-Indi Deljantintšuk 15</t>
  </si>
  <si>
    <t>20. Oskar Sepp 14 </t>
  </si>
  <si>
    <t>21. Piret Niglas 13</t>
  </si>
  <si>
    <t>Koht</t>
  </si>
  <si>
    <t>17-18</t>
  </si>
  <si>
    <t>5-6</t>
  </si>
  <si>
    <t>V-K</t>
  </si>
  <si>
    <t>I</t>
  </si>
  <si>
    <t>0-3</t>
  </si>
  <si>
    <t>IV</t>
  </si>
  <si>
    <t>2-1</t>
  </si>
  <si>
    <t>II</t>
  </si>
  <si>
    <t>Andrei Grintšak, Daniil Alekankin</t>
  </si>
  <si>
    <t>1-2</t>
  </si>
  <si>
    <t>III</t>
  </si>
  <si>
    <t>1. voor</t>
  </si>
  <si>
    <t>1-4</t>
  </si>
  <si>
    <t>2-3</t>
  </si>
  <si>
    <t>2. voor</t>
  </si>
  <si>
    <t>1-3</t>
  </si>
  <si>
    <t>2-4</t>
  </si>
  <si>
    <t>3. voor</t>
  </si>
  <si>
    <t>3-4</t>
  </si>
  <si>
    <t>3-1</t>
  </si>
  <si>
    <t>0-4</t>
  </si>
  <si>
    <t>V</t>
  </si>
  <si>
    <t>2-5</t>
  </si>
  <si>
    <t>3-5</t>
  </si>
  <si>
    <t>4-5</t>
  </si>
  <si>
    <t>4. voor</t>
  </si>
  <si>
    <t>5. voor</t>
  </si>
  <si>
    <t>1-5</t>
  </si>
  <si>
    <t>Pjotr Nikkar, Vadim Tihhonjuk</t>
  </si>
  <si>
    <t>Andres Veski, Svetlana Sobolko</t>
  </si>
  <si>
    <t>Mait Metsla, Matti Vinni</t>
  </si>
  <si>
    <t>Enno Konsa, Lemmit Toomra</t>
  </si>
  <si>
    <t>Argo Sepp, Jaan Sepp</t>
  </si>
  <si>
    <t>Ivar Viljaste, Kristo Viljaste</t>
  </si>
  <si>
    <t>Hugo Müüdla, Karla Purgats</t>
  </si>
  <si>
    <t>Aigi Orro, Kalle Orro</t>
  </si>
  <si>
    <t>Elmo Lageda, Tõnu Kapper</t>
  </si>
  <si>
    <t>Hillar Neiland, Rutt Voldek</t>
  </si>
  <si>
    <t>Tõnu Piik, Ülo Piik</t>
  </si>
  <si>
    <t>German Terehhov, Vladimir Ogneštšikov</t>
  </si>
  <si>
    <t>22. Daniil Alekankin 9</t>
  </si>
  <si>
    <t>Andrei Jõgi, Oleg Popov</t>
  </si>
  <si>
    <t>Imbi-Indi Deljantintšuk, Oskar Sepp</t>
  </si>
  <si>
    <t>Aarne Välja, Johannes Neiland</t>
  </si>
  <si>
    <t xml:space="preserve">Tõnis Anton, Viktor Fjodorov </t>
  </si>
  <si>
    <t>4-0</t>
  </si>
  <si>
    <t>2-2</t>
  </si>
  <si>
    <t>1 - 8 koht</t>
  </si>
  <si>
    <t>D1</t>
  </si>
  <si>
    <t>A2</t>
  </si>
  <si>
    <t>C1</t>
  </si>
  <si>
    <t>B2</t>
  </si>
  <si>
    <t>A1</t>
  </si>
  <si>
    <t>C2</t>
  </si>
  <si>
    <t>B1</t>
  </si>
  <si>
    <t>D2</t>
  </si>
  <si>
    <t>9 - 16 koht</t>
  </si>
  <si>
    <t>A3</t>
  </si>
  <si>
    <t>+</t>
  </si>
  <si>
    <t>D4</t>
  </si>
  <si>
    <t>B3</t>
  </si>
  <si>
    <t>C4</t>
  </si>
  <si>
    <t>C3</t>
  </si>
  <si>
    <t>B4</t>
  </si>
  <si>
    <t>D3</t>
  </si>
  <si>
    <t>A4</t>
  </si>
  <si>
    <t>D5</t>
  </si>
  <si>
    <t>17 - 20 koht</t>
  </si>
  <si>
    <t>German Terehhov, Tõnu Piik</t>
  </si>
  <si>
    <t>Klavdia Piik, Ülo Piik</t>
  </si>
  <si>
    <t>Andrei Jõgi, Artjom Kolkin</t>
  </si>
  <si>
    <t>Emil Murzajev, Bobir Doniorov</t>
  </si>
  <si>
    <t>Bobir Doniorov</t>
  </si>
  <si>
    <t>Tõnu Kortel</t>
  </si>
  <si>
    <t>Hristo Neiland</t>
  </si>
  <si>
    <t>Andrei Kolesnitšenko</t>
  </si>
  <si>
    <t>Airi Kruusma</t>
  </si>
  <si>
    <t>Eno Noorsalu</t>
  </si>
  <si>
    <t>Alari Keedus, Rene Kundla</t>
  </si>
  <si>
    <t>Andres Viisitam, Enno Konsa</t>
  </si>
  <si>
    <t>Eno Noorsalu, Marko Rooden</t>
  </si>
  <si>
    <t>+6</t>
  </si>
  <si>
    <t>-7</t>
  </si>
  <si>
    <t>+1</t>
  </si>
  <si>
    <t>-8</t>
  </si>
  <si>
    <t>+10</t>
  </si>
  <si>
    <t>-2</t>
  </si>
  <si>
    <t>+8</t>
  </si>
  <si>
    <t>1 - 3 koht</t>
  </si>
  <si>
    <t>4 - 6 koht</t>
  </si>
  <si>
    <t>7 - 9 koht</t>
  </si>
  <si>
    <t>Aigi Orro, Kalle Orro, Elmo Lageda</t>
  </si>
  <si>
    <t>Lana Tihhonjuk, Tõnis Anton, Viktor Fjodorov</t>
  </si>
  <si>
    <t>Hillar Neiland, Rutt Voldek, Tõnu Kortel</t>
  </si>
  <si>
    <t>Klavdia Piik, Tõnu Piik, Ülo Piik</t>
  </si>
  <si>
    <t>3-0</t>
  </si>
  <si>
    <t>Enno Konsa, Johannes Neiland, Lemmit Toomra</t>
  </si>
  <si>
    <t>Andrei Grintšak, Daniil Alekankin, Emil Murzajev</t>
  </si>
  <si>
    <t>Ivar Viljaste, Rene Kundla, Sirje Viljaste</t>
  </si>
  <si>
    <t>Argo Sepp, Jaan Sepp, Oskar Sepp</t>
  </si>
  <si>
    <t>Mait Metsla, Matti Vinni, Pjotr Nikkar</t>
  </si>
  <si>
    <t>2-0</t>
  </si>
  <si>
    <t>1-1</t>
  </si>
  <si>
    <t>0-1</t>
  </si>
  <si>
    <t>Aarne Välja, Andres Veski, Svetlana Sobolko</t>
  </si>
  <si>
    <t>Andrei Jõgi, Artjom Kolkin, Vadim Tihhonjuk</t>
  </si>
  <si>
    <t>10 - 11 koht</t>
  </si>
  <si>
    <t>0-2</t>
  </si>
  <si>
    <t>1-0</t>
  </si>
  <si>
    <t>3. koht</t>
  </si>
  <si>
    <t>1. koht</t>
  </si>
  <si>
    <t>2. koht</t>
  </si>
  <si>
    <t>1 - 4 koht</t>
  </si>
  <si>
    <t>E1</t>
  </si>
  <si>
    <t>H2</t>
  </si>
  <si>
    <t>G2</t>
  </si>
  <si>
    <t>F2</t>
  </si>
  <si>
    <t>H1</t>
  </si>
  <si>
    <t>F1</t>
  </si>
  <si>
    <t>G1</t>
  </si>
  <si>
    <t>E2</t>
  </si>
  <si>
    <t>5 - 8 koht</t>
  </si>
  <si>
    <t>G3</t>
  </si>
  <si>
    <t>F3</t>
  </si>
  <si>
    <t>H3</t>
  </si>
  <si>
    <t>E3</t>
  </si>
  <si>
    <t>21. koht</t>
  </si>
  <si>
    <t>22. koht</t>
  </si>
  <si>
    <t>23. koht</t>
  </si>
  <si>
    <t>24. koht</t>
  </si>
  <si>
    <t>25. koht</t>
  </si>
  <si>
    <t>26. koht</t>
  </si>
  <si>
    <t>27. koht</t>
  </si>
  <si>
    <t>H</t>
  </si>
  <si>
    <t>I2</t>
  </si>
  <si>
    <t>I1</t>
  </si>
  <si>
    <t>25 - 27 koht</t>
  </si>
  <si>
    <t>I4</t>
  </si>
  <si>
    <t>H4</t>
  </si>
  <si>
    <t>F4</t>
  </si>
  <si>
    <t>E4</t>
  </si>
  <si>
    <t>I3</t>
  </si>
  <si>
    <t>21 - 24 koht</t>
  </si>
  <si>
    <t>9 - 13 koht</t>
  </si>
  <si>
    <t>Anna Romanenko, Hillar Neiland, Mait Metsla, Rutt Voldek</t>
  </si>
  <si>
    <t>Imbi-Indi Deljantintšuk, Meeli-Ingrid Fomina, Rene Kundla</t>
  </si>
  <si>
    <t>Aigi Orro, Elmo Lageda, Kalle Orro</t>
  </si>
  <si>
    <t>Ainar Saatman, Taavi Toomel, Tanel Saatman</t>
  </si>
  <si>
    <t>Andrei Grintšak, Emil Murzajev, Vadim Zigadlo</t>
  </si>
  <si>
    <t>Hugo Müüdla, Karla Purgats, Tõnu Kapper</t>
  </si>
  <si>
    <t>M5</t>
  </si>
  <si>
    <t>M2</t>
  </si>
  <si>
    <t>M1</t>
  </si>
  <si>
    <t>M3</t>
  </si>
  <si>
    <t>val</t>
  </si>
  <si>
    <t>valem3</t>
  </si>
  <si>
    <t>valem1</t>
  </si>
  <si>
    <t>Andrei Grintšak, Emil Murzajev</t>
  </si>
  <si>
    <t>Anna Romanenko, Tarmo Müür</t>
  </si>
  <si>
    <t>Pjotr Nikkar, Vladimir Ogneštšikov</t>
  </si>
  <si>
    <t>Artjom Kolkin, Tõnis Anton</t>
  </si>
  <si>
    <t>Marko Rooden, Mikk Rooden</t>
  </si>
  <si>
    <t>Boriss Klubov, Elmo Lageda</t>
  </si>
  <si>
    <t>Tõnu Piik, Vladimir Trotski</t>
  </si>
  <si>
    <t>Jaan Sepp, Oskar Sepp</t>
  </si>
  <si>
    <t>Kristel Tihhonjuk, Vadim Tihhonjuk</t>
  </si>
  <si>
    <t>+5</t>
  </si>
  <si>
    <t>-3</t>
  </si>
  <si>
    <t>K-Nõmme 11. MV</t>
  </si>
  <si>
    <t>Ivari karikas</t>
  </si>
  <si>
    <t>M</t>
  </si>
  <si>
    <t>Üld</t>
  </si>
  <si>
    <t>KOHT</t>
  </si>
  <si>
    <t>KOKKU</t>
  </si>
  <si>
    <t>Parandatud 21.05.2017</t>
  </si>
  <si>
    <t>valem2</t>
  </si>
  <si>
    <t>suurim trio</t>
  </si>
  <si>
    <t>suurim duo</t>
  </si>
  <si>
    <t>valem2a</t>
  </si>
  <si>
    <r>
      <rPr>
        <b/>
        <u/>
        <sz val="10"/>
        <color rgb="FF00B050"/>
        <rFont val="Arial"/>
        <family val="2"/>
        <charset val="186"/>
      </rPr>
      <t>Noorte paremusjärjestus:</t>
    </r>
    <r>
      <rPr>
        <u/>
        <sz val="10"/>
        <color rgb="FF00B050"/>
        <rFont val="Arial"/>
        <family val="2"/>
        <charset val="186"/>
      </rPr>
      <t xml:space="preserve"> </t>
    </r>
  </si>
  <si>
    <t>21. Eesti MV</t>
  </si>
  <si>
    <t>22. Eesti MV</t>
  </si>
  <si>
    <t>Eesti 9. Klubide karikas, 1. päev</t>
  </si>
  <si>
    <t>Eesti 9. Klubide karikas, 2. päev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</si>
</sst>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dd/mm"/>
    <numFmt numFmtId="165" formatCode="#,##0&quot; €&quot;;[Red]\-#,##0&quot; €&quot;"/>
    <numFmt numFmtId="166" formatCode="ddd&quot;, &quot;dd/mm"/>
    <numFmt numFmtId="167" formatCode="0;\-0;;@"/>
    <numFmt numFmtId="168" formatCode="d/m/yy"/>
    <numFmt numFmtId="169" formatCode="###0;###0"/>
    <numFmt numFmtId="170" formatCode="0.00_ ;\-0.00\ "/>
    <numFmt numFmtId="171" formatCode="0_ ;\-0\ "/>
    <numFmt numFmtId="172" formatCode="0.000000000000000000_ ;\-0.000000000000000000\ "/>
  </numFmts>
  <fonts count="40" x14ac:knownFonts="1"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0"/>
      <color indexed="8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u/>
      <sz val="11"/>
      <color indexed="12"/>
      <name val="Calibri"/>
      <family val="2"/>
      <charset val="186"/>
    </font>
    <font>
      <b/>
      <u/>
      <sz val="10"/>
      <color indexed="12"/>
      <name val="Arial"/>
      <family val="2"/>
      <charset val="186"/>
    </font>
    <font>
      <b/>
      <sz val="10"/>
      <color indexed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b/>
      <sz val="8"/>
      <color indexed="81"/>
      <name val="Tahoma"/>
      <family val="2"/>
      <charset val="186"/>
    </font>
    <font>
      <sz val="8"/>
      <color indexed="8"/>
      <name val="Arial Narrow"/>
      <family val="2"/>
    </font>
    <font>
      <sz val="10"/>
      <color theme="1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0"/>
      <color theme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theme="0" tint="-0.499984740745262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sz val="10"/>
      <color rgb="FF00B05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u/>
      <sz val="10"/>
      <color theme="10"/>
      <name val="Arial"/>
      <family val="2"/>
      <charset val="186"/>
    </font>
    <font>
      <b/>
      <sz val="10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b/>
      <u/>
      <sz val="10"/>
      <color indexed="8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theme="0" tint="-0.34998626667073579"/>
      <name val="Arial"/>
      <family val="2"/>
      <charset val="186"/>
    </font>
    <font>
      <strike/>
      <sz val="10"/>
      <color rgb="FF00B0F0"/>
      <name val="Arial"/>
      <family val="2"/>
      <charset val="186"/>
    </font>
    <font>
      <sz val="10"/>
      <color rgb="FF0070C0"/>
      <name val="Arial"/>
      <family val="2"/>
      <charset val="186"/>
    </font>
    <font>
      <sz val="8"/>
      <color indexed="81"/>
      <name val="Tahoma"/>
      <family val="2"/>
      <charset val="186"/>
    </font>
    <font>
      <u/>
      <sz val="10"/>
      <color rgb="FF00B050"/>
      <name val="Arial"/>
      <family val="2"/>
      <charset val="186"/>
    </font>
    <font>
      <b/>
      <u/>
      <sz val="10"/>
      <color rgb="FF00B050"/>
      <name val="Arial"/>
      <family val="2"/>
      <charset val="186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rgb="FFFFCC99"/>
        <bgColor indexed="64"/>
      </patternFill>
    </fill>
    <fill>
      <gradientFill>
        <stop position="0">
          <color rgb="FFFFCC99"/>
        </stop>
        <stop position="1">
          <color rgb="FF66FF66"/>
        </stop>
      </gradientFill>
    </fill>
    <fill>
      <patternFill patternType="solid">
        <fgColor rgb="FFCCFF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CC99"/>
        <bgColor indexed="26"/>
      </patternFill>
    </fill>
    <fill>
      <patternFill patternType="solid">
        <fgColor rgb="FFCCFFCC"/>
        <bgColor indexed="26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26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9">
    <xf numFmtId="0" fontId="0" fillId="0" borderId="0"/>
    <xf numFmtId="0" fontId="1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0" fillId="0" borderId="0"/>
    <xf numFmtId="0" fontId="19" fillId="0" borderId="0"/>
    <xf numFmtId="0" fontId="20" fillId="0" borderId="0"/>
    <xf numFmtId="0" fontId="5" fillId="0" borderId="0"/>
    <xf numFmtId="0" fontId="5" fillId="0" borderId="0"/>
    <xf numFmtId="0" fontId="10" fillId="0" borderId="0"/>
    <xf numFmtId="0" fontId="20" fillId="0" borderId="0"/>
    <xf numFmtId="0" fontId="16" fillId="0" borderId="0"/>
    <xf numFmtId="49" fontId="15" fillId="3" borderId="0" applyBorder="0" applyProtection="0">
      <alignment horizontal="left" vertical="top" wrapText="1"/>
    </xf>
  </cellStyleXfs>
  <cellXfs count="500">
    <xf numFmtId="0" fontId="0" fillId="0" borderId="0" xfId="0"/>
    <xf numFmtId="0" fontId="3" fillId="0" borderId="0" xfId="4" applyFont="1" applyAlignment="1">
      <alignment horizontal="left"/>
    </xf>
    <xf numFmtId="0" fontId="1" fillId="0" borderId="0" xfId="4" applyFont="1"/>
    <xf numFmtId="0" fontId="1" fillId="0" borderId="0" xfId="4" applyFont="1" applyAlignment="1"/>
    <xf numFmtId="164" fontId="6" fillId="4" borderId="1" xfId="4" applyNumberFormat="1" applyFont="1" applyFill="1" applyBorder="1" applyAlignment="1">
      <alignment horizontal="left"/>
    </xf>
    <xf numFmtId="0" fontId="6" fillId="4" borderId="1" xfId="4" applyFont="1" applyFill="1" applyBorder="1" applyAlignment="1"/>
    <xf numFmtId="0" fontId="3" fillId="4" borderId="1" xfId="4" applyFont="1" applyFill="1" applyBorder="1" applyAlignment="1">
      <alignment horizontal="center"/>
    </xf>
    <xf numFmtId="0" fontId="21" fillId="0" borderId="0" xfId="4" applyFont="1" applyAlignment="1">
      <alignment vertical="center"/>
    </xf>
    <xf numFmtId="49" fontId="1" fillId="0" borderId="1" xfId="4" applyNumberFormat="1" applyFont="1" applyBorder="1" applyAlignment="1">
      <alignment horizontal="left"/>
    </xf>
    <xf numFmtId="49" fontId="1" fillId="0" borderId="1" xfId="4" applyNumberFormat="1" applyFont="1" applyBorder="1"/>
    <xf numFmtId="0" fontId="1" fillId="0" borderId="1" xfId="4" applyFont="1" applyBorder="1"/>
    <xf numFmtId="0" fontId="1" fillId="0" borderId="1" xfId="4" applyFont="1" applyBorder="1" applyAlignment="1"/>
    <xf numFmtId="165" fontId="1" fillId="0" borderId="1" xfId="4" applyNumberFormat="1" applyFont="1" applyBorder="1" applyAlignment="1">
      <alignment horizontal="center"/>
    </xf>
    <xf numFmtId="0" fontId="1" fillId="0" borderId="1" xfId="4" applyFont="1" applyBorder="1" applyAlignment="1">
      <alignment horizontal="center"/>
    </xf>
    <xf numFmtId="49" fontId="3" fillId="0" borderId="1" xfId="4" applyNumberFormat="1" applyFont="1" applyBorder="1" applyAlignment="1">
      <alignment horizontal="left"/>
    </xf>
    <xf numFmtId="49" fontId="3" fillId="0" borderId="1" xfId="4" applyNumberFormat="1" applyFont="1" applyBorder="1"/>
    <xf numFmtId="0" fontId="3" fillId="0" borderId="1" xfId="4" applyFont="1" applyBorder="1"/>
    <xf numFmtId="0" fontId="3" fillId="0" borderId="1" xfId="4" applyFont="1" applyBorder="1" applyAlignment="1"/>
    <xf numFmtId="0" fontId="8" fillId="0" borderId="1" xfId="2" applyNumberFormat="1" applyFont="1" applyFill="1" applyBorder="1" applyAlignment="1" applyProtection="1"/>
    <xf numFmtId="165" fontId="3" fillId="0" borderId="1" xfId="4" applyNumberFormat="1" applyFont="1" applyBorder="1" applyAlignment="1">
      <alignment horizontal="center"/>
    </xf>
    <xf numFmtId="0" fontId="3" fillId="0" borderId="0" xfId="4" applyFont="1"/>
    <xf numFmtId="0" fontId="4" fillId="0" borderId="1" xfId="2" applyNumberFormat="1" applyFont="1" applyFill="1" applyBorder="1" applyAlignment="1" applyProtection="1"/>
    <xf numFmtId="49" fontId="1" fillId="5" borderId="1" xfId="4" applyNumberFormat="1" applyFont="1" applyFill="1" applyBorder="1" applyAlignment="1">
      <alignment horizontal="left"/>
    </xf>
    <xf numFmtId="49" fontId="1" fillId="5" borderId="1" xfId="4" applyNumberFormat="1" applyFont="1" applyFill="1" applyBorder="1"/>
    <xf numFmtId="0" fontId="1" fillId="5" borderId="1" xfId="4" applyFont="1" applyFill="1" applyBorder="1"/>
    <xf numFmtId="0" fontId="1" fillId="5" borderId="1" xfId="4" applyFont="1" applyFill="1" applyBorder="1" applyAlignment="1"/>
    <xf numFmtId="165" fontId="1" fillId="5" borderId="1" xfId="4" applyNumberFormat="1" applyFont="1" applyFill="1" applyBorder="1" applyAlignment="1">
      <alignment horizontal="center"/>
    </xf>
    <xf numFmtId="0" fontId="1" fillId="5" borderId="1" xfId="4" applyFont="1" applyFill="1" applyBorder="1" applyAlignment="1">
      <alignment horizontal="center"/>
    </xf>
    <xf numFmtId="49" fontId="1" fillId="6" borderId="1" xfId="4" applyNumberFormat="1" applyFont="1" applyFill="1" applyBorder="1" applyAlignment="1">
      <alignment horizontal="left"/>
    </xf>
    <xf numFmtId="49" fontId="1" fillId="6" borderId="1" xfId="4" applyNumberFormat="1" applyFont="1" applyFill="1" applyBorder="1"/>
    <xf numFmtId="0" fontId="1" fillId="6" borderId="1" xfId="4" applyFont="1" applyFill="1" applyBorder="1"/>
    <xf numFmtId="0" fontId="1" fillId="6" borderId="1" xfId="4" applyFont="1" applyFill="1" applyBorder="1" applyAlignment="1"/>
    <xf numFmtId="0" fontId="4" fillId="6" borderId="1" xfId="2" applyNumberFormat="1" applyFont="1" applyFill="1" applyBorder="1" applyAlignment="1" applyProtection="1"/>
    <xf numFmtId="0" fontId="2" fillId="6" borderId="1" xfId="4" applyFont="1" applyFill="1" applyBorder="1" applyAlignment="1">
      <alignment horizontal="center"/>
    </xf>
    <xf numFmtId="0" fontId="1" fillId="6" borderId="1" xfId="4" applyFont="1" applyFill="1" applyBorder="1" applyAlignment="1">
      <alignment horizontal="center"/>
    </xf>
    <xf numFmtId="0" fontId="21" fillId="0" borderId="0" xfId="4" applyFont="1" applyAlignment="1">
      <alignment horizontal="center" vertical="center"/>
    </xf>
    <xf numFmtId="0" fontId="6" fillId="0" borderId="1" xfId="4" applyFont="1" applyBorder="1"/>
    <xf numFmtId="165" fontId="1" fillId="6" borderId="1" xfId="4" applyNumberFormat="1" applyFont="1" applyFill="1" applyBorder="1" applyAlignment="1">
      <alignment horizontal="center"/>
    </xf>
    <xf numFmtId="0" fontId="9" fillId="0" borderId="1" xfId="4" applyFont="1" applyBorder="1" applyAlignment="1">
      <alignment horizontal="center"/>
    </xf>
    <xf numFmtId="49" fontId="1" fillId="7" borderId="1" xfId="4" applyNumberFormat="1" applyFont="1" applyFill="1" applyBorder="1" applyAlignment="1">
      <alignment horizontal="left"/>
    </xf>
    <xf numFmtId="49" fontId="1" fillId="7" borderId="1" xfId="4" applyNumberFormat="1" applyFont="1" applyFill="1" applyBorder="1"/>
    <xf numFmtId="0" fontId="1" fillId="7" borderId="1" xfId="4" applyFont="1" applyFill="1" applyBorder="1"/>
    <xf numFmtId="0" fontId="1" fillId="7" borderId="1" xfId="4" applyFont="1" applyFill="1" applyBorder="1" applyAlignment="1"/>
    <xf numFmtId="165" fontId="1" fillId="7" borderId="1" xfId="4" applyNumberFormat="1" applyFont="1" applyFill="1" applyBorder="1" applyAlignment="1">
      <alignment horizontal="center"/>
    </xf>
    <xf numFmtId="0" fontId="1" fillId="7" borderId="1" xfId="4" applyFont="1" applyFill="1" applyBorder="1" applyAlignment="1">
      <alignment horizontal="center"/>
    </xf>
    <xf numFmtId="0" fontId="10" fillId="5" borderId="1" xfId="4" applyFont="1" applyFill="1" applyBorder="1"/>
    <xf numFmtId="49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20" fontId="1" fillId="0" borderId="0" xfId="4" applyNumberFormat="1" applyFont="1"/>
    <xf numFmtId="0" fontId="6" fillId="8" borderId="0" xfId="5" applyFont="1" applyFill="1" applyBorder="1" applyAlignment="1">
      <alignment horizontal="left" vertical="top"/>
    </xf>
    <xf numFmtId="0" fontId="10" fillId="5" borderId="0" xfId="5" applyFont="1" applyFill="1" applyBorder="1" applyAlignment="1">
      <alignment horizontal="left" vertical="top"/>
    </xf>
    <xf numFmtId="20" fontId="1" fillId="5" borderId="0" xfId="4" applyNumberFormat="1" applyFont="1" applyFill="1"/>
    <xf numFmtId="0" fontId="1" fillId="5" borderId="0" xfId="4" applyFont="1" applyFill="1"/>
    <xf numFmtId="0" fontId="1" fillId="5" borderId="0" xfId="4" applyFont="1" applyFill="1" applyAlignment="1"/>
    <xf numFmtId="166" fontId="3" fillId="6" borderId="0" xfId="4" applyNumberFormat="1" applyFont="1" applyFill="1" applyBorder="1" applyAlignment="1">
      <alignment horizontal="left"/>
    </xf>
    <xf numFmtId="0" fontId="1" fillId="6" borderId="0" xfId="4" applyFont="1" applyFill="1"/>
    <xf numFmtId="0" fontId="1" fillId="0" borderId="0" xfId="4" applyFont="1" applyAlignment="1">
      <alignment horizontal="left"/>
    </xf>
    <xf numFmtId="0" fontId="6" fillId="0" borderId="0" xfId="8" applyFont="1"/>
    <xf numFmtId="0" fontId="10" fillId="0" borderId="0" xfId="8" applyFont="1"/>
    <xf numFmtId="0" fontId="10" fillId="0" borderId="0" xfId="8" applyFont="1" applyAlignment="1">
      <alignment horizontal="center"/>
    </xf>
    <xf numFmtId="0" fontId="6" fillId="0" borderId="0" xfId="8" applyFont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Alignment="1">
      <alignment textRotation="90"/>
    </xf>
    <xf numFmtId="0" fontId="6" fillId="6" borderId="0" xfId="8" applyFont="1" applyFill="1" applyAlignment="1"/>
    <xf numFmtId="0" fontId="12" fillId="0" borderId="0" xfId="8" applyFont="1" applyFill="1" applyBorder="1" applyAlignment="1"/>
    <xf numFmtId="0" fontId="10" fillId="0" borderId="0" xfId="8" applyFont="1" applyFill="1" applyAlignment="1"/>
    <xf numFmtId="0" fontId="10" fillId="4" borderId="0" xfId="8" applyFont="1" applyFill="1" applyAlignment="1"/>
    <xf numFmtId="0" fontId="10" fillId="9" borderId="0" xfId="8" applyFont="1" applyFill="1" applyAlignment="1"/>
    <xf numFmtId="0" fontId="10" fillId="0" borderId="1" xfId="8" applyFont="1" applyBorder="1"/>
    <xf numFmtId="0" fontId="10" fillId="0" borderId="1" xfId="8" applyFont="1" applyBorder="1" applyAlignment="1">
      <alignment horizontal="center"/>
    </xf>
    <xf numFmtId="0" fontId="12" fillId="0" borderId="1" xfId="8" applyFont="1" applyBorder="1"/>
    <xf numFmtId="0" fontId="6" fillId="0" borderId="1" xfId="8" applyFont="1" applyBorder="1" applyAlignment="1">
      <alignment horizontal="center"/>
    </xf>
    <xf numFmtId="0" fontId="10" fillId="0" borderId="1" xfId="13" applyFont="1" applyFill="1" applyBorder="1" applyAlignment="1">
      <alignment horizontal="right" textRotation="90"/>
    </xf>
    <xf numFmtId="0" fontId="6" fillId="0" borderId="1" xfId="8" applyFont="1" applyFill="1" applyBorder="1" applyAlignment="1">
      <alignment horizontal="center"/>
    </xf>
    <xf numFmtId="0" fontId="10" fillId="0" borderId="0" xfId="8" applyFont="1" applyFill="1"/>
    <xf numFmtId="0" fontId="10" fillId="0" borderId="1" xfId="8" applyFont="1" applyBorder="1" applyAlignment="1"/>
    <xf numFmtId="0" fontId="10" fillId="0" borderId="1" xfId="13" applyFont="1" applyBorder="1" applyAlignment="1">
      <alignment horizontal="center"/>
    </xf>
    <xf numFmtId="167" fontId="10" fillId="0" borderId="0" xfId="8" applyNumberFormat="1" applyFont="1" applyFill="1"/>
    <xf numFmtId="0" fontId="10" fillId="4" borderId="1" xfId="8" applyFont="1" applyFill="1" applyBorder="1" applyAlignment="1"/>
    <xf numFmtId="0" fontId="6" fillId="10" borderId="1" xfId="8" applyFont="1" applyFill="1" applyBorder="1" applyAlignment="1"/>
    <xf numFmtId="0" fontId="22" fillId="0" borderId="1" xfId="8" applyFont="1" applyBorder="1" applyAlignment="1"/>
    <xf numFmtId="0" fontId="10" fillId="0" borderId="1" xfId="13" applyFont="1" applyFill="1" applyBorder="1" applyAlignment="1">
      <alignment horizontal="center"/>
    </xf>
    <xf numFmtId="0" fontId="10" fillId="0" borderId="1" xfId="8" applyFont="1" applyFill="1" applyBorder="1" applyAlignment="1"/>
    <xf numFmtId="0" fontId="22" fillId="0" borderId="1" xfId="8" applyFont="1" applyFill="1" applyBorder="1" applyAlignment="1"/>
    <xf numFmtId="0" fontId="6" fillId="0" borderId="1" xfId="8" applyFont="1" applyFill="1" applyBorder="1" applyAlignment="1"/>
    <xf numFmtId="0" fontId="10" fillId="0" borderId="1" xfId="8" applyFont="1" applyFill="1" applyBorder="1" applyAlignment="1">
      <alignment wrapText="1"/>
    </xf>
    <xf numFmtId="0" fontId="6" fillId="11" borderId="1" xfId="8" applyFont="1" applyFill="1" applyBorder="1" applyAlignment="1"/>
    <xf numFmtId="0" fontId="6" fillId="0" borderId="1" xfId="8" applyFont="1" applyFill="1" applyBorder="1" applyAlignment="1">
      <alignment wrapText="1"/>
    </xf>
    <xf numFmtId="0" fontId="23" fillId="0" borderId="1" xfId="8" applyFont="1" applyFill="1" applyBorder="1" applyAlignment="1"/>
    <xf numFmtId="0" fontId="23" fillId="11" borderId="1" xfId="8" applyFont="1" applyFill="1" applyBorder="1" applyAlignment="1">
      <alignment wrapText="1"/>
    </xf>
    <xf numFmtId="0" fontId="23" fillId="11" borderId="1" xfId="8" applyFont="1" applyFill="1" applyBorder="1" applyAlignment="1"/>
    <xf numFmtId="0" fontId="22" fillId="0" borderId="1" xfId="8" applyFont="1" applyFill="1" applyBorder="1" applyAlignment="1">
      <alignment wrapText="1"/>
    </xf>
    <xf numFmtId="0" fontId="6" fillId="4" borderId="0" xfId="8" applyFont="1" applyFill="1" applyAlignment="1"/>
    <xf numFmtId="0" fontId="10" fillId="4" borderId="0" xfId="8" applyFont="1" applyFill="1" applyAlignment="1">
      <alignment horizontal="right"/>
    </xf>
    <xf numFmtId="0" fontId="6" fillId="4" borderId="0" xfId="8" applyFont="1" applyFill="1" applyAlignment="1">
      <alignment horizontal="center"/>
    </xf>
    <xf numFmtId="167" fontId="10" fillId="4" borderId="0" xfId="8" applyNumberFormat="1" applyFont="1" applyFill="1" applyAlignment="1">
      <alignment horizontal="center"/>
    </xf>
    <xf numFmtId="0" fontId="10" fillId="4" borderId="0" xfId="8" applyFont="1" applyFill="1"/>
    <xf numFmtId="167" fontId="6" fillId="4" borderId="0" xfId="8" applyNumberFormat="1" applyFont="1" applyFill="1" applyAlignment="1"/>
    <xf numFmtId="0" fontId="10" fillId="4" borderId="0" xfId="8" applyFont="1" applyFill="1" applyAlignment="1">
      <alignment horizontal="center"/>
    </xf>
    <xf numFmtId="0" fontId="10" fillId="0" borderId="0" xfId="8" applyFont="1" applyAlignment="1"/>
    <xf numFmtId="0" fontId="10" fillId="0" borderId="0" xfId="8" applyFont="1" applyAlignment="1">
      <alignment horizontal="center" vertical="center"/>
    </xf>
    <xf numFmtId="0" fontId="6" fillId="0" borderId="0" xfId="8" applyFont="1" applyFill="1" applyAlignment="1"/>
    <xf numFmtId="0" fontId="13" fillId="0" borderId="0" xfId="8" applyFont="1" applyFill="1" applyAlignment="1"/>
    <xf numFmtId="0" fontId="6" fillId="0" borderId="0" xfId="4" applyFont="1" applyBorder="1"/>
    <xf numFmtId="0" fontId="1" fillId="0" borderId="0" xfId="4" applyFont="1" applyBorder="1"/>
    <xf numFmtId="0" fontId="22" fillId="0" borderId="0" xfId="8" applyFont="1" applyFill="1" applyAlignment="1">
      <alignment horizontal="right"/>
    </xf>
    <xf numFmtId="0" fontId="12" fillId="0" borderId="0" xfId="13" applyFont="1" applyBorder="1"/>
    <xf numFmtId="0" fontId="10" fillId="0" borderId="1" xfId="4" applyFont="1" applyFill="1" applyBorder="1" applyAlignment="1">
      <alignment horizontal="center"/>
    </xf>
    <xf numFmtId="167" fontId="10" fillId="0" borderId="0" xfId="8" applyNumberFormat="1" applyFont="1" applyFill="1" applyAlignment="1">
      <alignment horizontal="center"/>
    </xf>
    <xf numFmtId="0" fontId="10" fillId="4" borderId="1" xfId="8" applyFont="1" applyFill="1" applyBorder="1"/>
    <xf numFmtId="0" fontId="10" fillId="9" borderId="1" xfId="8" applyFont="1" applyFill="1" applyBorder="1"/>
    <xf numFmtId="0" fontId="22" fillId="0" borderId="1" xfId="8" applyFont="1" applyBorder="1"/>
    <xf numFmtId="0" fontId="10" fillId="11" borderId="1" xfId="8" applyFont="1" applyFill="1" applyBorder="1"/>
    <xf numFmtId="0" fontId="3" fillId="4" borderId="0" xfId="4" applyFont="1" applyFill="1" applyAlignment="1"/>
    <xf numFmtId="0" fontId="1" fillId="4" borderId="0" xfId="4" applyFont="1" applyFill="1"/>
    <xf numFmtId="167" fontId="3" fillId="4" borderId="0" xfId="4" applyNumberFormat="1" applyFont="1" applyFill="1" applyAlignment="1">
      <alignment horizontal="center"/>
    </xf>
    <xf numFmtId="0" fontId="12" fillId="8" borderId="0" xfId="5" applyFont="1" applyFill="1" applyBorder="1" applyAlignment="1">
      <alignment horizontal="left" vertical="top"/>
    </xf>
    <xf numFmtId="0" fontId="3" fillId="0" borderId="1" xfId="4" applyFont="1" applyBorder="1" applyAlignment="1">
      <alignment horizontal="center"/>
    </xf>
    <xf numFmtId="169" fontId="1" fillId="2" borderId="1" xfId="4" applyNumberFormat="1" applyFont="1" applyFill="1" applyBorder="1" applyAlignment="1">
      <alignment wrapText="1"/>
    </xf>
    <xf numFmtId="0" fontId="22" fillId="2" borderId="1" xfId="4" applyFont="1" applyFill="1" applyBorder="1" applyAlignment="1">
      <alignment wrapText="1"/>
    </xf>
    <xf numFmtId="0" fontId="24" fillId="2" borderId="1" xfId="4" applyFont="1" applyFill="1" applyBorder="1" applyAlignment="1">
      <alignment wrapText="1"/>
    </xf>
    <xf numFmtId="0" fontId="1" fillId="2" borderId="1" xfId="4" applyFont="1" applyFill="1" applyBorder="1" applyAlignment="1">
      <alignment wrapText="1"/>
    </xf>
    <xf numFmtId="169" fontId="1" fillId="2" borderId="1" xfId="4" applyNumberFormat="1" applyFont="1" applyFill="1" applyBorder="1" applyAlignment="1">
      <alignment horizontal="center" wrapText="1"/>
    </xf>
    <xf numFmtId="0" fontId="1" fillId="2" borderId="1" xfId="4" applyFont="1" applyFill="1" applyBorder="1" applyAlignment="1">
      <alignment horizontal="center" wrapText="1"/>
    </xf>
    <xf numFmtId="169" fontId="22" fillId="2" borderId="1" xfId="4" applyNumberFormat="1" applyFont="1" applyFill="1" applyBorder="1" applyAlignment="1">
      <alignment wrapText="1"/>
    </xf>
    <xf numFmtId="169" fontId="24" fillId="2" borderId="1" xfId="4" applyNumberFormat="1" applyFont="1" applyFill="1" applyBorder="1" applyAlignment="1">
      <alignment wrapText="1"/>
    </xf>
    <xf numFmtId="169" fontId="1" fillId="0" borderId="1" xfId="4" applyNumberFormat="1" applyFont="1" applyFill="1" applyBorder="1" applyAlignment="1">
      <alignment horizontal="center" wrapText="1"/>
    </xf>
    <xf numFmtId="0" fontId="23" fillId="4" borderId="0" xfId="4" applyFont="1" applyFill="1" applyAlignment="1"/>
    <xf numFmtId="0" fontId="25" fillId="4" borderId="0" xfId="4" applyFont="1" applyFill="1" applyAlignment="1"/>
    <xf numFmtId="0" fontId="1" fillId="4" borderId="0" xfId="4" applyFont="1" applyFill="1" applyAlignment="1"/>
    <xf numFmtId="167" fontId="1" fillId="4" borderId="0" xfId="4" applyNumberFormat="1" applyFont="1" applyFill="1" applyAlignment="1">
      <alignment horizontal="center"/>
    </xf>
    <xf numFmtId="0" fontId="1" fillId="4" borderId="0" xfId="4" applyFont="1" applyFill="1" applyAlignment="1">
      <alignment horizontal="center"/>
    </xf>
    <xf numFmtId="0" fontId="22" fillId="0" borderId="0" xfId="8" applyFont="1" applyFill="1" applyAlignment="1">
      <alignment horizontal="right"/>
    </xf>
    <xf numFmtId="0" fontId="17" fillId="0" borderId="1" xfId="1" applyBorder="1"/>
    <xf numFmtId="0" fontId="17" fillId="5" borderId="1" xfId="1" applyFill="1" applyBorder="1"/>
    <xf numFmtId="0" fontId="17" fillId="6" borderId="1" xfId="1" applyFill="1" applyBorder="1"/>
    <xf numFmtId="0" fontId="26" fillId="0" borderId="1" xfId="1" applyFont="1" applyBorder="1"/>
    <xf numFmtId="0" fontId="17" fillId="7" borderId="1" xfId="1" applyFill="1" applyBorder="1"/>
    <xf numFmtId="0" fontId="17" fillId="16" borderId="1" xfId="1" applyFill="1" applyBorder="1" applyAlignment="1">
      <alignment textRotation="90"/>
    </xf>
    <xf numFmtId="0" fontId="17" fillId="16" borderId="1" xfId="1" applyFill="1" applyBorder="1" applyAlignment="1">
      <alignment textRotation="90" wrapText="1"/>
    </xf>
    <xf numFmtId="0" fontId="16" fillId="16" borderId="1" xfId="9" applyFont="1" applyFill="1" applyBorder="1" applyAlignment="1">
      <alignment horizontal="center"/>
    </xf>
    <xf numFmtId="0" fontId="1" fillId="2" borderId="0" xfId="4" applyFont="1" applyFill="1" applyBorder="1" applyAlignment="1">
      <alignment horizontal="center" wrapText="1"/>
    </xf>
    <xf numFmtId="0" fontId="10" fillId="0" borderId="0" xfId="4" applyFont="1" applyFill="1" applyBorder="1" applyAlignment="1">
      <alignment horizontal="center"/>
    </xf>
    <xf numFmtId="0" fontId="10" fillId="6" borderId="0" xfId="8" applyFont="1" applyFill="1" applyAlignment="1"/>
    <xf numFmtId="0" fontId="16" fillId="17" borderId="1" xfId="1" applyFont="1" applyFill="1" applyBorder="1" applyAlignment="1">
      <alignment horizontal="center"/>
    </xf>
    <xf numFmtId="0" fontId="17" fillId="17" borderId="1" xfId="1" applyFill="1" applyBorder="1" applyAlignment="1">
      <alignment horizontal="center" vertical="center"/>
    </xf>
    <xf numFmtId="0" fontId="17" fillId="5" borderId="1" xfId="1" applyFill="1" applyBorder="1" applyAlignment="1">
      <alignment horizontal="center" vertical="center"/>
    </xf>
    <xf numFmtId="0" fontId="24" fillId="0" borderId="1" xfId="8" applyFont="1" applyBorder="1" applyAlignment="1"/>
    <xf numFmtId="168" fontId="24" fillId="0" borderId="1" xfId="8" applyNumberFormat="1" applyFont="1" applyBorder="1" applyAlignment="1"/>
    <xf numFmtId="0" fontId="24" fillId="0" borderId="1" xfId="4" applyFont="1" applyBorder="1" applyAlignment="1"/>
    <xf numFmtId="0" fontId="23" fillId="4" borderId="0" xfId="8" applyFont="1" applyFill="1" applyAlignment="1"/>
    <xf numFmtId="168" fontId="24" fillId="0" borderId="1" xfId="8" applyNumberFormat="1" applyFont="1" applyFill="1" applyBorder="1" applyAlignment="1"/>
    <xf numFmtId="0" fontId="24" fillId="0" borderId="1" xfId="8" applyFont="1" applyFill="1" applyBorder="1" applyAlignment="1"/>
    <xf numFmtId="0" fontId="25" fillId="4" borderId="0" xfId="8" applyFont="1" applyFill="1" applyAlignment="1"/>
    <xf numFmtId="0" fontId="12" fillId="0" borderId="0" xfId="6" applyFont="1"/>
    <xf numFmtId="0" fontId="17" fillId="16" borderId="1" xfId="1" applyFill="1" applyBorder="1" applyAlignment="1">
      <alignment horizontal="center" textRotation="90" wrapText="1"/>
    </xf>
    <xf numFmtId="49" fontId="29" fillId="0" borderId="1" xfId="4" applyNumberFormat="1" applyFont="1" applyBorder="1" applyAlignment="1">
      <alignment horizontal="left"/>
    </xf>
    <xf numFmtId="0" fontId="28" fillId="0" borderId="1" xfId="4" applyFont="1" applyBorder="1"/>
    <xf numFmtId="0" fontId="17" fillId="0" borderId="0" xfId="1"/>
    <xf numFmtId="0" fontId="28" fillId="0" borderId="0" xfId="6" applyFont="1" applyBorder="1" applyAlignment="1"/>
    <xf numFmtId="0" fontId="16" fillId="0" borderId="0" xfId="9" applyFont="1"/>
    <xf numFmtId="0" fontId="12" fillId="0" borderId="0" xfId="4" applyFont="1" applyFill="1"/>
    <xf numFmtId="0" fontId="16" fillId="0" borderId="0" xfId="4" applyFont="1" applyFill="1"/>
    <xf numFmtId="0" fontId="31" fillId="0" borderId="0" xfId="4" applyFont="1" applyFill="1"/>
    <xf numFmtId="0" fontId="28" fillId="0" borderId="0" xfId="4" applyFont="1" applyFill="1" applyBorder="1" applyAlignment="1">
      <alignment horizontal="right"/>
    </xf>
    <xf numFmtId="0" fontId="16" fillId="0" borderId="0" xfId="4" applyFont="1" applyFill="1" applyBorder="1"/>
    <xf numFmtId="0" fontId="16" fillId="0" borderId="0" xfId="4" applyFont="1" applyFill="1" applyAlignment="1">
      <alignment horizontal="left"/>
    </xf>
    <xf numFmtId="0" fontId="28" fillId="0" borderId="0" xfId="4" applyFont="1" applyFill="1" applyAlignment="1">
      <alignment horizontal="right"/>
    </xf>
    <xf numFmtId="0" fontId="28" fillId="0" borderId="0" xfId="4" applyFont="1" applyFill="1" applyBorder="1" applyAlignment="1"/>
    <xf numFmtId="0" fontId="16" fillId="0" borderId="3" xfId="4" applyFont="1" applyFill="1" applyBorder="1"/>
    <xf numFmtId="0" fontId="16" fillId="0" borderId="4" xfId="4" applyFont="1" applyFill="1" applyBorder="1" applyAlignment="1">
      <alignment horizontal="left"/>
    </xf>
    <xf numFmtId="0" fontId="28" fillId="0" borderId="5" xfId="4" applyFont="1" applyFill="1" applyBorder="1"/>
    <xf numFmtId="0" fontId="10" fillId="0" borderId="5" xfId="4" applyFont="1" applyFill="1" applyBorder="1" applyAlignment="1">
      <alignment horizontal="left"/>
    </xf>
    <xf numFmtId="0" fontId="16" fillId="0" borderId="4" xfId="4" applyFont="1" applyFill="1" applyBorder="1"/>
    <xf numFmtId="0" fontId="28" fillId="0" borderId="6" xfId="4" applyFont="1" applyFill="1" applyBorder="1" applyAlignment="1"/>
    <xf numFmtId="0" fontId="16" fillId="0" borderId="7" xfId="4" applyFont="1" applyFill="1" applyBorder="1"/>
    <xf numFmtId="0" fontId="16" fillId="0" borderId="5" xfId="4" applyFont="1" applyFill="1" applyBorder="1" applyAlignment="1">
      <alignment horizontal="left"/>
    </xf>
    <xf numFmtId="0" fontId="16" fillId="0" borderId="8" xfId="4" applyFont="1" applyFill="1" applyBorder="1" applyAlignment="1">
      <alignment horizontal="left"/>
    </xf>
    <xf numFmtId="0" fontId="16" fillId="0" borderId="5" xfId="4" applyFont="1" applyFill="1" applyBorder="1"/>
    <xf numFmtId="0" fontId="28" fillId="0" borderId="0" xfId="4" applyFont="1" applyFill="1"/>
    <xf numFmtId="0" fontId="28" fillId="0" borderId="5" xfId="4" applyFont="1" applyFill="1" applyBorder="1" applyAlignment="1">
      <alignment horizontal="right"/>
    </xf>
    <xf numFmtId="0" fontId="16" fillId="0" borderId="9" xfId="4" applyFont="1" applyFill="1" applyBorder="1"/>
    <xf numFmtId="0" fontId="16" fillId="0" borderId="0" xfId="4" applyFont="1" applyFill="1" applyBorder="1" applyAlignment="1">
      <alignment horizontal="left"/>
    </xf>
    <xf numFmtId="0" fontId="16" fillId="0" borderId="10" xfId="4" applyFont="1" applyFill="1" applyBorder="1"/>
    <xf numFmtId="0" fontId="16" fillId="0" borderId="11" xfId="4" applyFont="1" applyFill="1" applyBorder="1"/>
    <xf numFmtId="0" fontId="16" fillId="0" borderId="12" xfId="4" applyFont="1" applyFill="1" applyBorder="1"/>
    <xf numFmtId="0" fontId="16" fillId="0" borderId="13" xfId="4" applyFont="1" applyFill="1" applyBorder="1"/>
    <xf numFmtId="0" fontId="16" fillId="0" borderId="14" xfId="4" applyFont="1" applyFill="1" applyBorder="1"/>
    <xf numFmtId="0" fontId="28" fillId="0" borderId="15" xfId="4" applyFont="1" applyFill="1" applyBorder="1"/>
    <xf numFmtId="0" fontId="6" fillId="0" borderId="0" xfId="4" quotePrefix="1" applyFont="1" applyFill="1" applyAlignment="1">
      <alignment horizontal="right"/>
    </xf>
    <xf numFmtId="0" fontId="10" fillId="0" borderId="0" xfId="4" applyFont="1" applyFill="1" applyAlignment="1">
      <alignment horizontal="left"/>
    </xf>
    <xf numFmtId="0" fontId="16" fillId="0" borderId="6" xfId="4" applyFont="1" applyFill="1" applyBorder="1"/>
    <xf numFmtId="0" fontId="31" fillId="0" borderId="0" xfId="4" applyFont="1" applyFill="1" applyAlignment="1"/>
    <xf numFmtId="0" fontId="16" fillId="0" borderId="16" xfId="4" applyFont="1" applyFill="1" applyBorder="1"/>
    <xf numFmtId="0" fontId="16" fillId="0" borderId="6" xfId="4" applyFont="1" applyFill="1" applyBorder="1" applyAlignment="1">
      <alignment horizontal="left"/>
    </xf>
    <xf numFmtId="0" fontId="16" fillId="0" borderId="4" xfId="4" applyFont="1" applyFill="1" applyBorder="1" applyAlignment="1"/>
    <xf numFmtId="0" fontId="16" fillId="0" borderId="8" xfId="4" applyFont="1" applyFill="1" applyBorder="1"/>
    <xf numFmtId="0" fontId="28" fillId="0" borderId="4" xfId="4" applyFont="1" applyFill="1" applyBorder="1" applyAlignment="1"/>
    <xf numFmtId="0" fontId="30" fillId="0" borderId="0" xfId="4" applyFont="1" applyFill="1"/>
    <xf numFmtId="0" fontId="28" fillId="0" borderId="0" xfId="4" applyFont="1" applyFill="1" applyBorder="1"/>
    <xf numFmtId="0" fontId="28" fillId="0" borderId="4" xfId="4" applyFont="1" applyFill="1" applyBorder="1" applyAlignment="1">
      <alignment horizontal="right"/>
    </xf>
    <xf numFmtId="0" fontId="16" fillId="0" borderId="17" xfId="4" applyFont="1" applyFill="1" applyBorder="1"/>
    <xf numFmtId="0" fontId="16" fillId="0" borderId="10" xfId="4" applyFont="1" applyFill="1" applyBorder="1" applyAlignment="1">
      <alignment horizontal="left"/>
    </xf>
    <xf numFmtId="0" fontId="28" fillId="0" borderId="4" xfId="4" applyFont="1" applyFill="1" applyBorder="1"/>
    <xf numFmtId="0" fontId="16" fillId="0" borderId="18" xfId="4" applyFont="1" applyFill="1" applyBorder="1"/>
    <xf numFmtId="0" fontId="29" fillId="0" borderId="0" xfId="4" applyFont="1" applyFill="1"/>
    <xf numFmtId="0" fontId="30" fillId="0" borderId="0" xfId="4" applyFont="1" applyFill="1" applyBorder="1"/>
    <xf numFmtId="0" fontId="29" fillId="0" borderId="0" xfId="4" applyFont="1" applyFill="1" applyBorder="1"/>
    <xf numFmtId="0" fontId="31" fillId="0" borderId="0" xfId="9" applyFont="1"/>
    <xf numFmtId="0" fontId="1" fillId="0" borderId="0" xfId="4" applyFont="1" applyAlignment="1">
      <alignment vertical="center"/>
    </xf>
    <xf numFmtId="0" fontId="32" fillId="0" borderId="0" xfId="4" applyFont="1"/>
    <xf numFmtId="0" fontId="16" fillId="0" borderId="0" xfId="9" applyFont="1" applyAlignment="1">
      <alignment horizontal="center"/>
    </xf>
    <xf numFmtId="0" fontId="16" fillId="0" borderId="18" xfId="9" applyFont="1" applyBorder="1"/>
    <xf numFmtId="0" fontId="29" fillId="0" borderId="18" xfId="9" applyFont="1" applyBorder="1" applyAlignment="1">
      <alignment horizontal="center"/>
    </xf>
    <xf numFmtId="0" fontId="28" fillId="0" borderId="18" xfId="9" applyFont="1" applyFill="1" applyBorder="1" applyAlignment="1">
      <alignment horizontal="center"/>
    </xf>
    <xf numFmtId="0" fontId="16" fillId="18" borderId="18" xfId="9" applyFont="1" applyFill="1" applyBorder="1" applyAlignment="1">
      <alignment horizontal="center"/>
    </xf>
    <xf numFmtId="0" fontId="16" fillId="0" borderId="18" xfId="9" applyFont="1" applyBorder="1" applyAlignment="1">
      <alignment horizontal="center"/>
    </xf>
    <xf numFmtId="0" fontId="16" fillId="4" borderId="18" xfId="9" applyFont="1" applyFill="1" applyBorder="1"/>
    <xf numFmtId="0" fontId="29" fillId="4" borderId="18" xfId="9" quotePrefix="1" applyFont="1" applyFill="1" applyBorder="1" applyAlignment="1">
      <alignment horizontal="center"/>
    </xf>
    <xf numFmtId="0" fontId="29" fillId="0" borderId="18" xfId="9" quotePrefix="1" applyFont="1" applyBorder="1" applyAlignment="1">
      <alignment horizontal="center"/>
    </xf>
    <xf numFmtId="0" fontId="29" fillId="0" borderId="18" xfId="9" quotePrefix="1" applyFont="1" applyFill="1" applyBorder="1" applyAlignment="1">
      <alignment horizontal="center"/>
    </xf>
    <xf numFmtId="0" fontId="29" fillId="0" borderId="18" xfId="9" applyFont="1" applyFill="1" applyBorder="1" applyAlignment="1">
      <alignment horizontal="center"/>
    </xf>
    <xf numFmtId="16" fontId="29" fillId="0" borderId="18" xfId="9" quotePrefix="1" applyNumberFormat="1" applyFont="1" applyBorder="1" applyAlignment="1">
      <alignment horizontal="center"/>
    </xf>
    <xf numFmtId="0" fontId="29" fillId="6" borderId="18" xfId="9" quotePrefix="1" applyFont="1" applyFill="1" applyBorder="1" applyAlignment="1">
      <alignment horizontal="center"/>
    </xf>
    <xf numFmtId="0" fontId="16" fillId="9" borderId="18" xfId="9" applyFont="1" applyFill="1" applyBorder="1"/>
    <xf numFmtId="0" fontId="29" fillId="9" borderId="18" xfId="9" quotePrefix="1" applyFont="1" applyFill="1" applyBorder="1" applyAlignment="1">
      <alignment horizontal="center"/>
    </xf>
    <xf numFmtId="0" fontId="16" fillId="0" borderId="18" xfId="9" applyFont="1" applyFill="1" applyBorder="1"/>
    <xf numFmtId="0" fontId="3" fillId="0" borderId="1" xfId="4" applyFont="1" applyBorder="1" applyAlignment="1">
      <alignment horizontal="left"/>
    </xf>
    <xf numFmtId="0" fontId="28" fillId="0" borderId="1" xfId="4" applyFont="1" applyBorder="1" applyAlignment="1">
      <alignment horizontal="left"/>
    </xf>
    <xf numFmtId="0" fontId="28" fillId="0" borderId="1" xfId="2" applyNumberFormat="1" applyFont="1" applyFill="1" applyBorder="1" applyAlignment="1" applyProtection="1">
      <alignment horizontal="left"/>
    </xf>
    <xf numFmtId="0" fontId="10" fillId="0" borderId="1" xfId="13" applyFont="1" applyFill="1" applyBorder="1" applyAlignment="1">
      <alignment horizontal="center" textRotation="90"/>
    </xf>
    <xf numFmtId="0" fontId="17" fillId="17" borderId="1" xfId="1" applyFill="1" applyBorder="1" applyAlignment="1">
      <alignment horizontal="center" vertical="center" wrapText="1"/>
    </xf>
    <xf numFmtId="0" fontId="28" fillId="0" borderId="18" xfId="4" applyFont="1" applyBorder="1" applyAlignment="1"/>
    <xf numFmtId="0" fontId="28" fillId="0" borderId="18" xfId="4" applyFont="1" applyBorder="1" applyAlignment="1">
      <alignment horizontal="center"/>
    </xf>
    <xf numFmtId="0" fontId="6" fillId="0" borderId="18" xfId="12" applyFont="1" applyFill="1" applyBorder="1" applyAlignment="1">
      <alignment horizontal="center"/>
    </xf>
    <xf numFmtId="0" fontId="10" fillId="18" borderId="18" xfId="12" applyFont="1" applyFill="1" applyBorder="1" applyAlignment="1">
      <alignment horizontal="center"/>
    </xf>
    <xf numFmtId="49" fontId="10" fillId="0" borderId="18" xfId="12" applyNumberFormat="1" applyFont="1" applyFill="1" applyBorder="1" applyAlignment="1">
      <alignment horizontal="center"/>
    </xf>
    <xf numFmtId="0" fontId="10" fillId="0" borderId="18" xfId="12" applyFont="1" applyFill="1" applyBorder="1" applyAlignment="1">
      <alignment horizontal="center"/>
    </xf>
    <xf numFmtId="0" fontId="16" fillId="0" borderId="18" xfId="4" applyFont="1" applyFill="1" applyBorder="1" applyAlignment="1">
      <alignment horizontal="center"/>
    </xf>
    <xf numFmtId="0" fontId="16" fillId="0" borderId="18" xfId="4" applyFont="1" applyBorder="1" applyAlignment="1"/>
    <xf numFmtId="0" fontId="16" fillId="0" borderId="0" xfId="4" applyFont="1" applyBorder="1" applyAlignment="1">
      <alignment horizontal="right"/>
    </xf>
    <xf numFmtId="49" fontId="16" fillId="0" borderId="0" xfId="4" applyNumberFormat="1" applyFont="1" applyBorder="1" applyAlignment="1">
      <alignment horizontal="center"/>
    </xf>
    <xf numFmtId="0" fontId="6" fillId="0" borderId="18" xfId="12" applyFont="1" applyBorder="1" applyAlignment="1"/>
    <xf numFmtId="0" fontId="6" fillId="0" borderId="18" xfId="12" applyFont="1" applyBorder="1" applyAlignment="1">
      <alignment horizontal="center"/>
    </xf>
    <xf numFmtId="0" fontId="10" fillId="0" borderId="18" xfId="6" applyFont="1" applyFill="1" applyBorder="1" applyAlignment="1"/>
    <xf numFmtId="0" fontId="10" fillId="0" borderId="18" xfId="12" applyFont="1" applyBorder="1" applyAlignment="1">
      <alignment horizontal="center"/>
    </xf>
    <xf numFmtId="0" fontId="10" fillId="0" borderId="0" xfId="12" applyFont="1" applyAlignment="1"/>
    <xf numFmtId="0" fontId="10" fillId="0" borderId="0" xfId="12" applyFont="1" applyAlignment="1">
      <alignment horizontal="center"/>
    </xf>
    <xf numFmtId="0" fontId="10" fillId="0" borderId="0" xfId="12" applyFont="1" applyFill="1" applyAlignment="1">
      <alignment horizontal="center"/>
    </xf>
    <xf numFmtId="49" fontId="10" fillId="0" borderId="0" xfId="12" applyNumberFormat="1" applyFont="1" applyFill="1" applyAlignment="1">
      <alignment horizontal="center"/>
    </xf>
    <xf numFmtId="0" fontId="16" fillId="0" borderId="0" xfId="12" applyFont="1" applyBorder="1" applyAlignment="1">
      <alignment horizontal="right"/>
    </xf>
    <xf numFmtId="49" fontId="16" fillId="0" borderId="0" xfId="12" applyNumberFormat="1" applyFont="1" applyBorder="1" applyAlignment="1">
      <alignment horizontal="center"/>
    </xf>
    <xf numFmtId="0" fontId="16" fillId="0" borderId="0" xfId="4" applyFont="1"/>
    <xf numFmtId="0" fontId="16" fillId="0" borderId="0" xfId="12" applyFont="1" applyBorder="1" applyAlignment="1">
      <alignment horizontal="center"/>
    </xf>
    <xf numFmtId="16" fontId="16" fillId="0" borderId="0" xfId="12" applyNumberFormat="1" applyFont="1" applyBorder="1" applyAlignment="1">
      <alignment horizontal="center"/>
    </xf>
    <xf numFmtId="0" fontId="10" fillId="0" borderId="18" xfId="12" applyFont="1" applyBorder="1" applyAlignment="1"/>
    <xf numFmtId="0" fontId="16" fillId="0" borderId="0" xfId="12" applyFont="1" applyBorder="1" applyAlignment="1"/>
    <xf numFmtId="0" fontId="0" fillId="0" borderId="18" xfId="7" applyFont="1" applyFill="1" applyBorder="1" applyAlignment="1"/>
    <xf numFmtId="0" fontId="0" fillId="0" borderId="18" xfId="4" applyFont="1" applyBorder="1" applyAlignment="1"/>
    <xf numFmtId="0" fontId="0" fillId="0" borderId="18" xfId="4" applyFont="1" applyFill="1" applyBorder="1" applyAlignment="1"/>
    <xf numFmtId="0" fontId="31" fillId="0" borderId="0" xfId="7" applyFont="1" applyAlignment="1"/>
    <xf numFmtId="0" fontId="16" fillId="0" borderId="0" xfId="7" applyFont="1" applyAlignment="1"/>
    <xf numFmtId="0" fontId="28" fillId="0" borderId="0" xfId="7" applyFont="1" applyAlignment="1">
      <alignment horizontal="right"/>
    </xf>
    <xf numFmtId="0" fontId="16" fillId="0" borderId="0" xfId="7" applyFont="1" applyAlignment="1">
      <alignment horizontal="left"/>
    </xf>
    <xf numFmtId="0" fontId="16" fillId="0" borderId="0" xfId="7" applyFont="1" applyAlignment="1">
      <alignment horizontal="right"/>
    </xf>
    <xf numFmtId="0" fontId="16" fillId="0" borderId="6" xfId="7" applyFont="1" applyBorder="1" applyAlignment="1"/>
    <xf numFmtId="0" fontId="16" fillId="0" borderId="16" xfId="7" applyFont="1" applyBorder="1" applyAlignment="1"/>
    <xf numFmtId="0" fontId="16" fillId="0" borderId="3" xfId="7" applyFont="1" applyBorder="1" applyAlignment="1"/>
    <xf numFmtId="0" fontId="16" fillId="0" borderId="9" xfId="7" applyFont="1" applyFill="1" applyBorder="1" applyAlignment="1"/>
    <xf numFmtId="0" fontId="16" fillId="0" borderId="14" xfId="7" applyFont="1" applyBorder="1" applyAlignment="1">
      <alignment horizontal="left"/>
    </xf>
    <xf numFmtId="0" fontId="16" fillId="0" borderId="4" xfId="7" applyFont="1" applyBorder="1" applyAlignment="1"/>
    <xf numFmtId="0" fontId="16" fillId="0" borderId="0" xfId="7" applyFont="1" applyBorder="1" applyAlignment="1"/>
    <xf numFmtId="0" fontId="16" fillId="0" borderId="5" xfId="7" applyFont="1" applyBorder="1" applyAlignment="1"/>
    <xf numFmtId="0" fontId="16" fillId="0" borderId="3" xfId="7" applyFont="1" applyFill="1" applyBorder="1" applyAlignment="1"/>
    <xf numFmtId="0" fontId="16" fillId="0" borderId="0" xfId="7" applyFont="1" applyBorder="1" applyAlignment="1">
      <alignment horizontal="left"/>
    </xf>
    <xf numFmtId="0" fontId="16" fillId="0" borderId="14" xfId="7" applyFont="1" applyBorder="1" applyAlignment="1"/>
    <xf numFmtId="0" fontId="16" fillId="0" borderId="9" xfId="7" applyFont="1" applyBorder="1" applyAlignment="1"/>
    <xf numFmtId="0" fontId="16" fillId="0" borderId="8" xfId="7" applyFont="1" applyBorder="1" applyAlignment="1">
      <alignment horizontal="left"/>
    </xf>
    <xf numFmtId="0" fontId="16" fillId="0" borderId="17" xfId="7" applyFont="1" applyBorder="1" applyAlignment="1"/>
    <xf numFmtId="0" fontId="28" fillId="0" borderId="15" xfId="7" applyFont="1" applyBorder="1" applyAlignment="1"/>
    <xf numFmtId="0" fontId="16" fillId="0" borderId="15" xfId="7" applyFont="1" applyBorder="1" applyAlignment="1"/>
    <xf numFmtId="0" fontId="16" fillId="0" borderId="13" xfId="7" applyFont="1" applyBorder="1" applyAlignment="1"/>
    <xf numFmtId="0" fontId="28" fillId="0" borderId="0" xfId="7" applyFont="1" applyBorder="1" applyAlignment="1"/>
    <xf numFmtId="0" fontId="28" fillId="0" borderId="0" xfId="7" applyFont="1" applyAlignment="1"/>
    <xf numFmtId="0" fontId="28" fillId="6" borderId="18" xfId="4" applyFont="1" applyFill="1" applyBorder="1" applyAlignment="1"/>
    <xf numFmtId="0" fontId="16" fillId="4" borderId="18" xfId="4" applyFont="1" applyFill="1" applyBorder="1" applyAlignment="1"/>
    <xf numFmtId="0" fontId="16" fillId="9" borderId="18" xfId="4" applyFont="1" applyFill="1" applyBorder="1" applyAlignment="1"/>
    <xf numFmtId="0" fontId="0" fillId="0" borderId="0" xfId="7" quotePrefix="1" applyFont="1" applyAlignment="1">
      <alignment horizontal="left"/>
    </xf>
    <xf numFmtId="0" fontId="0" fillId="0" borderId="14" xfId="7" quotePrefix="1" applyFont="1" applyBorder="1" applyAlignment="1">
      <alignment horizontal="left"/>
    </xf>
    <xf numFmtId="0" fontId="0" fillId="0" borderId="0" xfId="7" quotePrefix="1" applyFont="1" applyBorder="1" applyAlignment="1">
      <alignment horizontal="left"/>
    </xf>
    <xf numFmtId="0" fontId="0" fillId="0" borderId="8" xfId="7" quotePrefix="1" applyFont="1" applyBorder="1" applyAlignment="1">
      <alignment horizontal="left"/>
    </xf>
    <xf numFmtId="0" fontId="0" fillId="0" borderId="0" xfId="7" applyFont="1" applyAlignment="1"/>
    <xf numFmtId="0" fontId="28" fillId="0" borderId="0" xfId="9" applyFont="1" applyAlignment="1">
      <alignment horizontal="right"/>
    </xf>
    <xf numFmtId="0" fontId="17" fillId="16" borderId="1" xfId="1" applyFill="1" applyBorder="1" applyAlignment="1">
      <alignment horizontal="center"/>
    </xf>
    <xf numFmtId="0" fontId="33" fillId="0" borderId="6" xfId="4" applyFont="1" applyFill="1" applyBorder="1" applyAlignment="1"/>
    <xf numFmtId="0" fontId="33" fillId="0" borderId="5" xfId="4" applyFont="1" applyFill="1" applyBorder="1"/>
    <xf numFmtId="0" fontId="33" fillId="0" borderId="5" xfId="4" applyFont="1" applyFill="1" applyBorder="1" applyAlignment="1">
      <alignment horizontal="right"/>
    </xf>
    <xf numFmtId="0" fontId="26" fillId="0" borderId="1" xfId="1" applyFont="1" applyBorder="1" applyAlignment="1">
      <alignment horizontal="left"/>
    </xf>
    <xf numFmtId="49" fontId="10" fillId="19" borderId="18" xfId="12" applyNumberFormat="1" applyFont="1" applyFill="1" applyBorder="1" applyAlignment="1">
      <alignment horizontal="center"/>
    </xf>
    <xf numFmtId="0" fontId="10" fillId="20" borderId="18" xfId="12" applyFont="1" applyFill="1" applyBorder="1" applyAlignment="1">
      <alignment horizontal="center"/>
    </xf>
    <xf numFmtId="0" fontId="0" fillId="0" borderId="0" xfId="9" quotePrefix="1" applyFont="1"/>
    <xf numFmtId="0" fontId="0" fillId="0" borderId="18" xfId="9" applyFont="1" applyBorder="1"/>
    <xf numFmtId="0" fontId="0" fillId="0" borderId="0" xfId="7" applyFont="1" applyAlignment="1">
      <alignment horizontal="left"/>
    </xf>
    <xf numFmtId="0" fontId="0" fillId="0" borderId="0" xfId="7" applyFont="1" applyBorder="1" applyAlignment="1">
      <alignment horizontal="left"/>
    </xf>
    <xf numFmtId="0" fontId="0" fillId="0" borderId="0" xfId="9" applyFont="1"/>
    <xf numFmtId="0" fontId="28" fillId="0" borderId="0" xfId="9" applyFont="1"/>
    <xf numFmtId="0" fontId="16" fillId="20" borderId="18" xfId="4" applyFont="1" applyFill="1" applyBorder="1" applyAlignment="1">
      <alignment horizontal="center"/>
    </xf>
    <xf numFmtId="0" fontId="16" fillId="0" borderId="0" xfId="9" applyFont="1" applyAlignment="1">
      <alignment horizontal="left"/>
    </xf>
    <xf numFmtId="0" fontId="28" fillId="0" borderId="0" xfId="4" applyFont="1" applyBorder="1" applyAlignment="1"/>
    <xf numFmtId="0" fontId="0" fillId="0" borderId="0" xfId="7" applyFont="1" applyFill="1" applyBorder="1" applyAlignment="1"/>
    <xf numFmtId="0" fontId="16" fillId="0" borderId="0" xfId="4" applyFont="1" applyFill="1" applyBorder="1" applyAlignment="1">
      <alignment horizontal="center"/>
    </xf>
    <xf numFmtId="49" fontId="10" fillId="0" borderId="0" xfId="12" applyNumberFormat="1" applyFont="1" applyFill="1" applyBorder="1" applyAlignment="1">
      <alignment horizontal="center"/>
    </xf>
    <xf numFmtId="0" fontId="10" fillId="0" borderId="0" xfId="12" applyFont="1" applyFill="1" applyBorder="1" applyAlignment="1">
      <alignment horizontal="center"/>
    </xf>
    <xf numFmtId="0" fontId="31" fillId="0" borderId="0" xfId="12" applyFont="1" applyBorder="1"/>
    <xf numFmtId="0" fontId="16" fillId="0" borderId="0" xfId="12" applyFont="1" applyBorder="1"/>
    <xf numFmtId="0" fontId="16" fillId="0" borderId="0" xfId="12" applyFont="1" applyFill="1" applyBorder="1" applyAlignment="1">
      <alignment horizontal="center"/>
    </xf>
    <xf numFmtId="0" fontId="16" fillId="0" borderId="0" xfId="12" applyFont="1"/>
    <xf numFmtId="0" fontId="28" fillId="0" borderId="0" xfId="12" applyFont="1" applyFill="1" applyBorder="1" applyAlignment="1">
      <alignment horizontal="right"/>
    </xf>
    <xf numFmtId="0" fontId="16" fillId="0" borderId="0" xfId="12" applyFont="1" applyAlignment="1">
      <alignment horizontal="left"/>
    </xf>
    <xf numFmtId="0" fontId="28" fillId="0" borderId="0" xfId="12" applyFont="1" applyAlignment="1">
      <alignment horizontal="right"/>
    </xf>
    <xf numFmtId="0" fontId="16" fillId="0" borderId="6" xfId="12" applyFont="1" applyBorder="1"/>
    <xf numFmtId="0" fontId="16" fillId="0" borderId="16" xfId="12" applyFont="1" applyBorder="1"/>
    <xf numFmtId="0" fontId="16" fillId="0" borderId="3" xfId="12" applyFont="1" applyBorder="1"/>
    <xf numFmtId="0" fontId="16" fillId="0" borderId="14" xfId="12" applyFont="1" applyBorder="1" applyAlignment="1">
      <alignment horizontal="left"/>
    </xf>
    <xf numFmtId="0" fontId="16" fillId="0" borderId="4" xfId="12" applyFont="1" applyBorder="1"/>
    <xf numFmtId="0" fontId="16" fillId="0" borderId="5" xfId="12" applyFont="1" applyBorder="1"/>
    <xf numFmtId="0" fontId="16" fillId="0" borderId="14" xfId="12" applyFont="1" applyBorder="1"/>
    <xf numFmtId="0" fontId="16" fillId="0" borderId="0" xfId="12" applyFont="1" applyBorder="1" applyAlignment="1">
      <alignment horizontal="left"/>
    </xf>
    <xf numFmtId="0" fontId="16" fillId="0" borderId="8" xfId="12" applyFont="1" applyBorder="1"/>
    <xf numFmtId="0" fontId="16" fillId="0" borderId="9" xfId="12" applyFont="1" applyBorder="1"/>
    <xf numFmtId="0" fontId="16" fillId="0" borderId="8" xfId="12" applyFont="1" applyBorder="1" applyAlignment="1">
      <alignment horizontal="left"/>
    </xf>
    <xf numFmtId="0" fontId="28" fillId="0" borderId="0" xfId="12" applyFont="1"/>
    <xf numFmtId="0" fontId="16" fillId="0" borderId="17" xfId="12" applyFont="1" applyBorder="1"/>
    <xf numFmtId="0" fontId="28" fillId="0" borderId="15" xfId="12" applyFont="1" applyBorder="1"/>
    <xf numFmtId="0" fontId="16" fillId="0" borderId="15" xfId="12" applyFont="1" applyBorder="1"/>
    <xf numFmtId="0" fontId="16" fillId="0" borderId="13" xfId="12" applyFont="1" applyBorder="1"/>
    <xf numFmtId="0" fontId="28" fillId="0" borderId="0" xfId="12" applyFont="1" applyBorder="1"/>
    <xf numFmtId="0" fontId="31" fillId="0" borderId="0" xfId="12" applyFont="1"/>
    <xf numFmtId="0" fontId="16" fillId="0" borderId="6" xfId="12" applyFont="1" applyBorder="1" applyAlignment="1">
      <alignment horizontal="left"/>
    </xf>
    <xf numFmtId="0" fontId="16" fillId="0" borderId="4" xfId="12" applyFont="1" applyBorder="1" applyAlignment="1">
      <alignment horizontal="left"/>
    </xf>
    <xf numFmtId="0" fontId="16" fillId="0" borderId="3" xfId="12" applyFont="1" applyBorder="1" applyAlignment="1">
      <alignment horizontal="left"/>
    </xf>
    <xf numFmtId="0" fontId="16" fillId="0" borderId="9" xfId="12" applyFont="1" applyBorder="1" applyAlignment="1">
      <alignment horizontal="left"/>
    </xf>
    <xf numFmtId="0" fontId="16" fillId="0" borderId="5" xfId="12" applyFont="1" applyBorder="1" applyAlignment="1">
      <alignment horizontal="left"/>
    </xf>
    <xf numFmtId="0" fontId="16" fillId="0" borderId="17" xfId="12" applyFont="1" applyBorder="1" applyAlignment="1">
      <alignment horizontal="left"/>
    </xf>
    <xf numFmtId="0" fontId="16" fillId="0" borderId="13" xfId="12" applyFont="1" applyBorder="1" applyAlignment="1">
      <alignment horizontal="left"/>
    </xf>
    <xf numFmtId="17" fontId="31" fillId="0" borderId="0" xfId="12" applyNumberFormat="1" applyFont="1"/>
    <xf numFmtId="17" fontId="28" fillId="0" borderId="0" xfId="12" applyNumberFormat="1" applyFont="1"/>
    <xf numFmtId="0" fontId="10" fillId="0" borderId="0" xfId="6" applyFont="1" applyAlignment="1"/>
    <xf numFmtId="0" fontId="10" fillId="0" borderId="0" xfId="6" applyFont="1" applyAlignment="1">
      <alignment horizontal="left"/>
    </xf>
    <xf numFmtId="0" fontId="10" fillId="0" borderId="6" xfId="6" applyFont="1" applyBorder="1" applyAlignment="1"/>
    <xf numFmtId="0" fontId="10" fillId="0" borderId="4" xfId="6" applyFont="1" applyBorder="1" applyAlignment="1"/>
    <xf numFmtId="0" fontId="10" fillId="0" borderId="16" xfId="6" applyFont="1" applyBorder="1" applyAlignment="1"/>
    <xf numFmtId="0" fontId="10" fillId="0" borderId="3" xfId="6" applyFont="1" applyBorder="1" applyAlignment="1"/>
    <xf numFmtId="0" fontId="10" fillId="0" borderId="14" xfId="6" applyFont="1" applyBorder="1" applyAlignment="1">
      <alignment horizontal="left"/>
    </xf>
    <xf numFmtId="0" fontId="10" fillId="0" borderId="0" xfId="6" applyFont="1" applyBorder="1" applyAlignment="1"/>
    <xf numFmtId="0" fontId="10" fillId="0" borderId="5" xfId="6" applyFont="1" applyBorder="1" applyAlignment="1"/>
    <xf numFmtId="0" fontId="10" fillId="0" borderId="0" xfId="6" applyFont="1" applyBorder="1" applyAlignment="1">
      <alignment horizontal="left"/>
    </xf>
    <xf numFmtId="0" fontId="10" fillId="0" borderId="14" xfId="6" applyFont="1" applyBorder="1" applyAlignment="1"/>
    <xf numFmtId="0" fontId="10" fillId="0" borderId="9" xfId="6" applyFont="1" applyBorder="1" applyAlignment="1"/>
    <xf numFmtId="0" fontId="10" fillId="0" borderId="8" xfId="6" applyFont="1" applyBorder="1" applyAlignment="1">
      <alignment horizontal="left"/>
    </xf>
    <xf numFmtId="0" fontId="10" fillId="0" borderId="17" xfId="6" applyFont="1" applyBorder="1" applyAlignment="1"/>
    <xf numFmtId="0" fontId="6" fillId="0" borderId="15" xfId="6" applyFont="1" applyBorder="1" applyAlignment="1"/>
    <xf numFmtId="0" fontId="10" fillId="0" borderId="13" xfId="6" applyFont="1" applyBorder="1" applyAlignment="1"/>
    <xf numFmtId="0" fontId="6" fillId="0" borderId="0" xfId="6" applyFont="1" applyBorder="1" applyAlignment="1"/>
    <xf numFmtId="0" fontId="6" fillId="0" borderId="0" xfId="6" applyFont="1" applyAlignment="1"/>
    <xf numFmtId="0" fontId="0" fillId="0" borderId="0" xfId="12" applyFont="1"/>
    <xf numFmtId="0" fontId="0" fillId="0" borderId="16" xfId="12" applyFont="1" applyBorder="1"/>
    <xf numFmtId="0" fontId="0" fillId="0" borderId="0" xfId="12" applyFont="1" applyFill="1" applyBorder="1" applyAlignment="1">
      <alignment horizontal="left"/>
    </xf>
    <xf numFmtId="0" fontId="0" fillId="0" borderId="0" xfId="12" applyFont="1" applyAlignment="1">
      <alignment horizontal="left"/>
    </xf>
    <xf numFmtId="0" fontId="0" fillId="0" borderId="0" xfId="12" applyFont="1" applyBorder="1" applyAlignment="1">
      <alignment horizontal="left"/>
    </xf>
    <xf numFmtId="0" fontId="28" fillId="0" borderId="0" xfId="12" applyFont="1" applyFill="1" applyAlignment="1">
      <alignment horizontal="right"/>
    </xf>
    <xf numFmtId="0" fontId="16" fillId="0" borderId="0" xfId="12" applyFont="1" applyFill="1"/>
    <xf numFmtId="0" fontId="0" fillId="0" borderId="0" xfId="12" applyFont="1" applyBorder="1"/>
    <xf numFmtId="0" fontId="0" fillId="0" borderId="8" xfId="12" applyFont="1" applyBorder="1" applyAlignment="1">
      <alignment horizontal="left"/>
    </xf>
    <xf numFmtId="0" fontId="0" fillId="0" borderId="3" xfId="12" applyFont="1" applyBorder="1"/>
    <xf numFmtId="0" fontId="0" fillId="0" borderId="0" xfId="12" quotePrefix="1" applyFont="1" applyAlignment="1">
      <alignment horizontal="left"/>
    </xf>
    <xf numFmtId="0" fontId="0" fillId="0" borderId="14" xfId="12" quotePrefix="1" applyFont="1" applyBorder="1" applyAlignment="1">
      <alignment horizontal="left"/>
    </xf>
    <xf numFmtId="0" fontId="16" fillId="6" borderId="0" xfId="12" applyFont="1" applyFill="1" applyAlignment="1">
      <alignment horizontal="left"/>
    </xf>
    <xf numFmtId="0" fontId="0" fillId="0" borderId="14" xfId="12" applyFont="1" applyBorder="1"/>
    <xf numFmtId="0" fontId="0" fillId="0" borderId="13" xfId="12" applyFont="1" applyBorder="1"/>
    <xf numFmtId="0" fontId="0" fillId="0" borderId="6" xfId="12" applyFont="1" applyBorder="1" applyAlignment="1">
      <alignment horizontal="left"/>
    </xf>
    <xf numFmtId="0" fontId="0" fillId="6" borderId="0" xfId="12" applyFont="1" applyFill="1" applyBorder="1" applyAlignment="1">
      <alignment horizontal="left"/>
    </xf>
    <xf numFmtId="0" fontId="17" fillId="5" borderId="1" xfId="1" applyFill="1" applyBorder="1" applyAlignment="1">
      <alignment horizontal="center"/>
    </xf>
    <xf numFmtId="0" fontId="0" fillId="5" borderId="1" xfId="1" applyFont="1" applyFill="1" applyBorder="1" applyAlignment="1">
      <alignment horizontal="center"/>
    </xf>
    <xf numFmtId="0" fontId="34" fillId="0" borderId="18" xfId="6" applyFont="1" applyFill="1" applyBorder="1" applyAlignment="1">
      <alignment horizontal="center"/>
    </xf>
    <xf numFmtId="167" fontId="34" fillId="0" borderId="18" xfId="6" applyNumberFormat="1" applyFont="1" applyFill="1" applyBorder="1" applyAlignment="1">
      <alignment horizontal="center"/>
    </xf>
    <xf numFmtId="170" fontId="34" fillId="0" borderId="18" xfId="6" applyNumberFormat="1" applyFont="1" applyFill="1" applyBorder="1" applyAlignment="1">
      <alignment horizontal="center"/>
    </xf>
    <xf numFmtId="0" fontId="34" fillId="0" borderId="1" xfId="10" applyFont="1" applyFill="1" applyBorder="1" applyAlignment="1">
      <alignment horizontal="center"/>
    </xf>
    <xf numFmtId="0" fontId="34" fillId="0" borderId="1" xfId="6" applyFont="1" applyBorder="1" applyAlignment="1"/>
    <xf numFmtId="169" fontId="16" fillId="2" borderId="1" xfId="4" applyNumberFormat="1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 wrapText="1"/>
    </xf>
    <xf numFmtId="0" fontId="17" fillId="0" borderId="1" xfId="1" applyBorder="1" applyAlignment="1">
      <alignment horizontal="left"/>
    </xf>
    <xf numFmtId="0" fontId="0" fillId="0" borderId="8" xfId="7" applyFont="1" applyBorder="1" applyAlignment="1">
      <alignment horizontal="left"/>
    </xf>
    <xf numFmtId="49" fontId="3" fillId="21" borderId="1" xfId="4" applyNumberFormat="1" applyFont="1" applyFill="1" applyBorder="1" applyAlignment="1">
      <alignment horizontal="left"/>
    </xf>
    <xf numFmtId="49" fontId="3" fillId="21" borderId="1" xfId="4" applyNumberFormat="1" applyFont="1" applyFill="1" applyBorder="1" applyAlignment="1">
      <alignment vertical="center"/>
    </xf>
    <xf numFmtId="0" fontId="3" fillId="21" borderId="1" xfId="4" applyFont="1" applyFill="1" applyBorder="1" applyAlignment="1">
      <alignment horizontal="left" vertical="center"/>
    </xf>
    <xf numFmtId="0" fontId="3" fillId="21" borderId="1" xfId="4" applyFont="1" applyFill="1" applyBorder="1" applyAlignment="1">
      <alignment vertical="center"/>
    </xf>
    <xf numFmtId="0" fontId="3" fillId="21" borderId="1" xfId="4" applyFont="1" applyFill="1" applyBorder="1"/>
    <xf numFmtId="0" fontId="26" fillId="21" borderId="1" xfId="1" applyFont="1" applyFill="1" applyBorder="1"/>
    <xf numFmtId="0" fontId="9" fillId="21" borderId="1" xfId="4" applyFont="1" applyFill="1" applyBorder="1" applyAlignment="1">
      <alignment horizontal="center"/>
    </xf>
    <xf numFmtId="0" fontId="3" fillId="21" borderId="1" xfId="4" applyFont="1" applyFill="1" applyBorder="1" applyAlignment="1">
      <alignment horizontal="center"/>
    </xf>
    <xf numFmtId="0" fontId="27" fillId="16" borderId="1" xfId="13" applyFont="1" applyFill="1" applyBorder="1" applyAlignment="1">
      <alignment horizontal="center"/>
    </xf>
    <xf numFmtId="0" fontId="27" fillId="16" borderId="1" xfId="8" applyFont="1" applyFill="1" applyBorder="1" applyAlignment="1">
      <alignment horizontal="center"/>
    </xf>
    <xf numFmtId="0" fontId="35" fillId="0" borderId="1" xfId="13" applyFont="1" applyFill="1" applyBorder="1" applyAlignment="1">
      <alignment horizontal="center"/>
    </xf>
    <xf numFmtId="0" fontId="27" fillId="6" borderId="1" xfId="4" applyFont="1" applyFill="1" applyBorder="1" applyAlignment="1">
      <alignment horizontal="center"/>
    </xf>
    <xf numFmtId="0" fontId="27" fillId="6" borderId="1" xfId="8" applyFont="1" applyFill="1" applyBorder="1" applyAlignment="1">
      <alignment horizontal="center"/>
    </xf>
    <xf numFmtId="0" fontId="27" fillId="22" borderId="1" xfId="4" applyFont="1" applyFill="1" applyBorder="1" applyAlignment="1">
      <alignment horizontal="center" wrapText="1"/>
    </xf>
    <xf numFmtId="169" fontId="35" fillId="0" borderId="1" xfId="4" applyNumberFormat="1" applyFont="1" applyFill="1" applyBorder="1" applyAlignment="1">
      <alignment horizontal="center" wrapText="1"/>
    </xf>
    <xf numFmtId="0" fontId="35" fillId="0" borderId="1" xfId="4" applyFont="1" applyFill="1" applyBorder="1" applyAlignment="1">
      <alignment horizontal="center" wrapText="1"/>
    </xf>
    <xf numFmtId="0" fontId="10" fillId="6" borderId="1" xfId="8" applyFont="1" applyFill="1" applyBorder="1" applyAlignment="1"/>
    <xf numFmtId="0" fontId="10" fillId="6" borderId="1" xfId="8" applyFont="1" applyFill="1" applyBorder="1"/>
    <xf numFmtId="0" fontId="23" fillId="15" borderId="1" xfId="4" applyFont="1" applyFill="1" applyBorder="1" applyAlignment="1">
      <alignment horizontal="left"/>
    </xf>
    <xf numFmtId="0" fontId="10" fillId="12" borderId="1" xfId="4" applyFont="1" applyFill="1" applyBorder="1" applyAlignment="1">
      <alignment horizontal="left"/>
    </xf>
    <xf numFmtId="0" fontId="10" fillId="13" borderId="1" xfId="4" applyFont="1" applyFill="1" applyBorder="1" applyAlignment="1">
      <alignment horizontal="left"/>
    </xf>
    <xf numFmtId="0" fontId="10" fillId="14" borderId="1" xfId="4" applyFont="1" applyFill="1" applyBorder="1" applyAlignment="1">
      <alignment horizontal="left"/>
    </xf>
    <xf numFmtId="0" fontId="10" fillId="2" borderId="1" xfId="4" applyFont="1" applyFill="1" applyBorder="1" applyAlignment="1">
      <alignment horizontal="left"/>
    </xf>
    <xf numFmtId="0" fontId="22" fillId="2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left"/>
    </xf>
    <xf numFmtId="0" fontId="6" fillId="0" borderId="1" xfId="4" applyFont="1" applyFill="1" applyBorder="1" applyAlignment="1">
      <alignment horizontal="left"/>
    </xf>
    <xf numFmtId="0" fontId="6" fillId="15" borderId="1" xfId="4" applyFont="1" applyFill="1" applyBorder="1" applyAlignment="1">
      <alignment horizontal="left"/>
    </xf>
    <xf numFmtId="0" fontId="22" fillId="15" borderId="1" xfId="4" applyFont="1" applyFill="1" applyBorder="1" applyAlignment="1">
      <alignment horizontal="left"/>
    </xf>
    <xf numFmtId="0" fontId="10" fillId="15" borderId="1" xfId="4" applyFont="1" applyFill="1" applyBorder="1" applyAlignment="1">
      <alignment horizontal="left"/>
    </xf>
    <xf numFmtId="0" fontId="23" fillId="2" borderId="1" xfId="4" applyFont="1" applyFill="1" applyBorder="1" applyAlignment="1">
      <alignment horizontal="left"/>
    </xf>
    <xf numFmtId="0" fontId="36" fillId="0" borderId="1" xfId="6" applyFont="1" applyBorder="1" applyAlignment="1"/>
    <xf numFmtId="0" fontId="33" fillId="4" borderId="0" xfId="4" applyFont="1" applyFill="1" applyAlignment="1"/>
    <xf numFmtId="0" fontId="6" fillId="4" borderId="1" xfId="8" applyFont="1" applyFill="1" applyBorder="1" applyAlignment="1"/>
    <xf numFmtId="0" fontId="10" fillId="4" borderId="1" xfId="8" applyFont="1" applyFill="1" applyBorder="1" applyAlignment="1">
      <alignment horizontal="center"/>
    </xf>
    <xf numFmtId="0" fontId="6" fillId="4" borderId="1" xfId="8" applyFont="1" applyFill="1" applyBorder="1" applyAlignment="1">
      <alignment horizontal="center"/>
    </xf>
    <xf numFmtId="167" fontId="6" fillId="4" borderId="1" xfId="8" applyNumberFormat="1" applyFont="1" applyFill="1" applyBorder="1" applyAlignment="1">
      <alignment horizontal="center"/>
    </xf>
    <xf numFmtId="0" fontId="28" fillId="4" borderId="19" xfId="7" applyFont="1" applyFill="1" applyBorder="1" applyAlignment="1"/>
    <xf numFmtId="0" fontId="28" fillId="4" borderId="20" xfId="7" applyFont="1" applyFill="1" applyBorder="1" applyAlignment="1"/>
    <xf numFmtId="0" fontId="28" fillId="4" borderId="20" xfId="7" applyFont="1" applyFill="1" applyBorder="1" applyAlignment="1">
      <alignment horizontal="center"/>
    </xf>
    <xf numFmtId="0" fontId="16" fillId="0" borderId="18" xfId="7" applyFont="1" applyBorder="1" applyAlignment="1">
      <alignment horizontal="center"/>
    </xf>
    <xf numFmtId="0" fontId="16" fillId="4" borderId="18" xfId="7" applyFont="1" applyFill="1" applyBorder="1" applyAlignment="1">
      <alignment horizontal="center"/>
    </xf>
    <xf numFmtId="0" fontId="28" fillId="4" borderId="18" xfId="7" applyFont="1" applyFill="1" applyBorder="1" applyAlignment="1">
      <alignment horizontal="center"/>
    </xf>
    <xf numFmtId="0" fontId="23" fillId="0" borderId="18" xfId="7" applyFont="1" applyBorder="1" applyAlignment="1">
      <alignment horizontal="center"/>
    </xf>
    <xf numFmtId="0" fontId="25" fillId="0" borderId="18" xfId="7" applyFont="1" applyBorder="1" applyAlignment="1">
      <alignment horizontal="center"/>
    </xf>
    <xf numFmtId="0" fontId="28" fillId="0" borderId="18" xfId="7" applyFont="1" applyBorder="1" applyAlignment="1">
      <alignment horizontal="center"/>
    </xf>
    <xf numFmtId="167" fontId="6" fillId="4" borderId="1" xfId="4" applyNumberFormat="1" applyFont="1" applyFill="1" applyBorder="1" applyAlignment="1">
      <alignment horizontal="center"/>
    </xf>
    <xf numFmtId="167" fontId="3" fillId="4" borderId="1" xfId="4" applyNumberFormat="1" applyFont="1" applyFill="1" applyBorder="1" applyAlignment="1">
      <alignment horizontal="center"/>
    </xf>
    <xf numFmtId="0" fontId="16" fillId="0" borderId="18" xfId="6" applyFont="1" applyBorder="1" applyAlignment="1">
      <alignment horizontal="center"/>
    </xf>
    <xf numFmtId="0" fontId="28" fillId="4" borderId="18" xfId="6" applyFont="1" applyFill="1" applyBorder="1" applyAlignment="1">
      <alignment horizontal="center"/>
    </xf>
    <xf numFmtId="0" fontId="33" fillId="0" borderId="18" xfId="6" applyFont="1" applyBorder="1" applyAlignment="1">
      <alignment horizontal="center"/>
    </xf>
    <xf numFmtId="0" fontId="23" fillId="0" borderId="18" xfId="6" applyFont="1" applyBorder="1" applyAlignment="1">
      <alignment horizontal="center"/>
    </xf>
    <xf numFmtId="0" fontId="25" fillId="0" borderId="18" xfId="6" applyFont="1" applyBorder="1" applyAlignment="1">
      <alignment horizontal="center"/>
    </xf>
    <xf numFmtId="0" fontId="28" fillId="0" borderId="18" xfId="6" applyFont="1" applyBorder="1" applyAlignment="1">
      <alignment horizontal="center"/>
    </xf>
    <xf numFmtId="0" fontId="28" fillId="23" borderId="19" xfId="6" applyFont="1" applyFill="1" applyBorder="1" applyAlignment="1"/>
    <xf numFmtId="0" fontId="28" fillId="23" borderId="20" xfId="6" applyFont="1" applyFill="1" applyBorder="1" applyAlignment="1"/>
    <xf numFmtId="0" fontId="28" fillId="23" borderId="20" xfId="6" applyFont="1" applyFill="1" applyBorder="1" applyAlignment="1">
      <alignment horizontal="center"/>
    </xf>
    <xf numFmtId="0" fontId="16" fillId="23" borderId="21" xfId="6" applyFont="1" applyFill="1" applyBorder="1" applyAlignment="1">
      <alignment horizontal="center"/>
    </xf>
    <xf numFmtId="0" fontId="28" fillId="4" borderId="22" xfId="6" applyFont="1" applyFill="1" applyBorder="1" applyAlignment="1"/>
    <xf numFmtId="0" fontId="1" fillId="4" borderId="23" xfId="4" applyFont="1" applyFill="1" applyBorder="1" applyAlignment="1">
      <alignment horizontal="center"/>
    </xf>
    <xf numFmtId="167" fontId="3" fillId="13" borderId="1" xfId="4" applyNumberFormat="1" applyFont="1" applyFill="1" applyBorder="1" applyAlignment="1">
      <alignment horizontal="center" wrapText="1"/>
    </xf>
    <xf numFmtId="0" fontId="28" fillId="4" borderId="1" xfId="6" applyFont="1" applyFill="1" applyBorder="1" applyAlignment="1"/>
    <xf numFmtId="0" fontId="1" fillId="0" borderId="1" xfId="4" applyFont="1" applyFill="1" applyBorder="1" applyAlignment="1">
      <alignment horizontal="center" wrapText="1"/>
    </xf>
    <xf numFmtId="167" fontId="28" fillId="13" borderId="1" xfId="4" applyNumberFormat="1" applyFont="1" applyFill="1" applyBorder="1" applyAlignment="1">
      <alignment horizontal="center" wrapText="1"/>
    </xf>
    <xf numFmtId="171" fontId="34" fillId="0" borderId="18" xfId="6" applyNumberFormat="1" applyFont="1" applyFill="1" applyBorder="1" applyAlignment="1">
      <alignment horizontal="center"/>
    </xf>
    <xf numFmtId="172" fontId="34" fillId="0" borderId="18" xfId="6" applyNumberFormat="1" applyFont="1" applyFill="1" applyBorder="1" applyAlignment="1">
      <alignment horizontal="center"/>
    </xf>
    <xf numFmtId="0" fontId="34" fillId="11" borderId="18" xfId="6" applyFont="1" applyFill="1" applyBorder="1" applyAlignment="1"/>
    <xf numFmtId="0" fontId="34" fillId="11" borderId="18" xfId="6" applyFont="1" applyFill="1" applyBorder="1" applyAlignment="1">
      <alignment horizontal="center"/>
    </xf>
    <xf numFmtId="0" fontId="10" fillId="6" borderId="18" xfId="12" applyFont="1" applyFill="1" applyBorder="1" applyAlignment="1">
      <alignment horizontal="center"/>
    </xf>
    <xf numFmtId="0" fontId="23" fillId="0" borderId="24" xfId="7" applyFont="1" applyFill="1" applyBorder="1" applyAlignment="1">
      <alignment horizontal="center"/>
    </xf>
    <xf numFmtId="0" fontId="25" fillId="0" borderId="24" xfId="7" applyFont="1" applyFill="1" applyBorder="1" applyAlignment="1">
      <alignment horizontal="center"/>
    </xf>
    <xf numFmtId="0" fontId="28" fillId="4" borderId="24" xfId="7" applyFont="1" applyFill="1" applyBorder="1" applyAlignment="1"/>
    <xf numFmtId="0" fontId="28" fillId="4" borderId="25" xfId="8" applyFont="1" applyFill="1" applyBorder="1" applyAlignment="1"/>
    <xf numFmtId="0" fontId="16" fillId="4" borderId="26" xfId="8" applyFont="1" applyFill="1" applyBorder="1" applyAlignment="1"/>
    <xf numFmtId="0" fontId="28" fillId="4" borderId="26" xfId="8" applyFont="1" applyFill="1" applyBorder="1" applyAlignment="1">
      <alignment horizontal="center"/>
    </xf>
    <xf numFmtId="0" fontId="0" fillId="0" borderId="0" xfId="4" applyFont="1" applyFill="1" applyAlignment="1">
      <alignment horizontal="left"/>
    </xf>
    <xf numFmtId="0" fontId="0" fillId="0" borderId="0" xfId="4" applyFont="1" applyFill="1" applyBorder="1" applyAlignment="1">
      <alignment horizontal="left"/>
    </xf>
    <xf numFmtId="0" fontId="16" fillId="0" borderId="14" xfId="4" applyFont="1" applyFill="1" applyBorder="1" applyAlignment="1">
      <alignment horizontal="left"/>
    </xf>
    <xf numFmtId="0" fontId="6" fillId="0" borderId="0" xfId="4" quotePrefix="1" applyFont="1" applyFill="1" applyAlignment="1"/>
    <xf numFmtId="0" fontId="0" fillId="0" borderId="0" xfId="4" applyFont="1" applyFill="1" applyBorder="1"/>
    <xf numFmtId="0" fontId="1" fillId="6" borderId="0" xfId="4" applyFont="1" applyFill="1" applyAlignment="1">
      <alignment horizontal="right"/>
    </xf>
    <xf numFmtId="49" fontId="28" fillId="4" borderId="0" xfId="4" applyNumberFormat="1" applyFont="1" applyFill="1" applyBorder="1" applyAlignment="1">
      <alignment horizontal="left" vertical="center"/>
    </xf>
    <xf numFmtId="49" fontId="16" fillId="4" borderId="0" xfId="4" applyNumberFormat="1" applyFont="1" applyFill="1" applyAlignment="1">
      <alignment vertical="center"/>
    </xf>
    <xf numFmtId="49" fontId="28" fillId="4" borderId="0" xfId="4" applyNumberFormat="1" applyFont="1" applyFill="1" applyAlignment="1">
      <alignment horizontal="left" vertical="center"/>
    </xf>
    <xf numFmtId="0" fontId="16" fillId="4" borderId="0" xfId="4" applyFont="1" applyFill="1" applyAlignment="1">
      <alignment vertical="center"/>
    </xf>
    <xf numFmtId="0" fontId="0" fillId="20" borderId="0" xfId="9" quotePrefix="1" applyFont="1" applyFill="1"/>
    <xf numFmtId="0" fontId="0" fillId="0" borderId="0" xfId="4" applyFont="1" applyFill="1"/>
    <xf numFmtId="0" fontId="0" fillId="0" borderId="5" xfId="4" applyFont="1" applyFill="1" applyBorder="1" applyAlignment="1">
      <alignment horizontal="left"/>
    </xf>
    <xf numFmtId="0" fontId="0" fillId="0" borderId="3" xfId="4" applyFont="1" applyFill="1" applyBorder="1"/>
    <xf numFmtId="0" fontId="0" fillId="0" borderId="10" xfId="4" applyFont="1" applyFill="1" applyBorder="1" applyAlignment="1">
      <alignment horizontal="left"/>
    </xf>
    <xf numFmtId="0" fontId="0" fillId="0" borderId="9" xfId="4" applyFont="1" applyFill="1" applyBorder="1"/>
    <xf numFmtId="0" fontId="0" fillId="0" borderId="8" xfId="4" applyFont="1" applyFill="1" applyBorder="1" applyAlignment="1">
      <alignment horizontal="left"/>
    </xf>
    <xf numFmtId="0" fontId="0" fillId="0" borderId="16" xfId="4" applyFont="1" applyFill="1" applyBorder="1"/>
    <xf numFmtId="0" fontId="0" fillId="0" borderId="7" xfId="4" applyFont="1" applyFill="1" applyBorder="1"/>
    <xf numFmtId="0" fontId="0" fillId="0" borderId="13" xfId="4" applyFont="1" applyFill="1" applyBorder="1"/>
    <xf numFmtId="0" fontId="28" fillId="0" borderId="18" xfId="4" applyFont="1" applyFill="1" applyBorder="1"/>
    <xf numFmtId="0" fontId="16" fillId="0" borderId="15" xfId="4" applyFont="1" applyFill="1" applyBorder="1"/>
    <xf numFmtId="0" fontId="38" fillId="0" borderId="0" xfId="4" applyFont="1" applyFill="1"/>
    <xf numFmtId="0" fontId="16" fillId="0" borderId="0" xfId="4" applyFont="1" applyAlignment="1">
      <alignment vertical="center"/>
    </xf>
    <xf numFmtId="0" fontId="0" fillId="0" borderId="0" xfId="12" applyFont="1" applyAlignment="1"/>
    <xf numFmtId="0" fontId="22" fillId="0" borderId="18" xfId="9" applyFont="1" applyBorder="1"/>
    <xf numFmtId="0" fontId="22" fillId="6" borderId="18" xfId="9" applyFont="1" applyFill="1" applyBorder="1"/>
    <xf numFmtId="0" fontId="28" fillId="4" borderId="18" xfId="9" applyFont="1" applyFill="1" applyBorder="1" applyAlignment="1">
      <alignment horizontal="center"/>
    </xf>
    <xf numFmtId="0" fontId="10" fillId="0" borderId="2" xfId="8" applyFont="1" applyFill="1" applyBorder="1" applyAlignment="1">
      <alignment textRotation="90"/>
    </xf>
    <xf numFmtId="0" fontId="10" fillId="0" borderId="0" xfId="8" applyFont="1" applyFill="1" applyAlignment="1">
      <alignment textRotation="90"/>
    </xf>
    <xf numFmtId="0" fontId="10" fillId="0" borderId="2" xfId="8" applyFont="1" applyBorder="1" applyAlignment="1">
      <alignment horizontal="center" textRotation="90"/>
    </xf>
    <xf numFmtId="0" fontId="1" fillId="0" borderId="0" xfId="13" applyFont="1" applyAlignment="1">
      <alignment horizontal="center" textRotation="90"/>
    </xf>
    <xf numFmtId="0" fontId="10" fillId="2" borderId="0" xfId="4" applyFont="1" applyFill="1" applyBorder="1" applyAlignment="1">
      <alignment horizontal="center" textRotation="90"/>
    </xf>
  </cellXfs>
  <cellStyles count="19">
    <cellStyle name="Hyperlink" xfId="1" builtinId="8"/>
    <cellStyle name="Hyperlink 2" xfId="2"/>
    <cellStyle name="Hyperlink 3" xfId="3"/>
    <cellStyle name="Normal" xfId="0" builtinId="0"/>
    <cellStyle name="Normal 2" xfId="4"/>
    <cellStyle name="Normal 2 2" xfId="5"/>
    <cellStyle name="Normal 2 2 2" xfId="6"/>
    <cellStyle name="Normal 2 2 2 2" xfId="7"/>
    <cellStyle name="Normal 2 3" xfId="8"/>
    <cellStyle name="Normal 3" xfId="9"/>
    <cellStyle name="Normal 3 2" xfId="10"/>
    <cellStyle name="Normal 4" xfId="11"/>
    <cellStyle name="Normal 5" xfId="12"/>
    <cellStyle name="Normal 6" xfId="13"/>
    <cellStyle name="Normal 6 2" xfId="14"/>
    <cellStyle name="Normal 7" xfId="15"/>
    <cellStyle name="Normal 8" xfId="16"/>
    <cellStyle name="Normal 9" xfId="17"/>
    <cellStyle name="WinCalendar_BlankCells_35" xfId="18"/>
  </cellStyles>
  <dxfs count="45">
    <dxf>
      <font>
        <b/>
        <i val="0"/>
      </font>
    </dxf>
    <dxf>
      <font>
        <color theme="9" tint="0.39994506668294322"/>
      </font>
    </dxf>
    <dxf>
      <font>
        <color theme="9" tint="0.39994506668294322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0000"/>
      <color rgb="FFFFFF99"/>
      <color rgb="FFCCFFCC"/>
      <color rgb="FFFFCCCC"/>
      <color rgb="FFCCECFF"/>
      <color rgb="FFFF9999"/>
      <color rgb="FFFF7C8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114300</xdr:colOff>
      <xdr:row>2</xdr:row>
      <xdr:rowOff>152400</xdr:rowOff>
    </xdr:to>
    <xdr:pic>
      <xdr:nvPicPr>
        <xdr:cNvPr id="103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61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123825</xdr:colOff>
      <xdr:row>2</xdr:row>
      <xdr:rowOff>152400</xdr:rowOff>
    </xdr:to>
    <xdr:pic>
      <xdr:nvPicPr>
        <xdr:cNvPr id="205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2</xdr:col>
      <xdr:colOff>104775</xdr:colOff>
      <xdr:row>2</xdr:row>
      <xdr:rowOff>152400</xdr:rowOff>
    </xdr:to>
    <xdr:pic>
      <xdr:nvPicPr>
        <xdr:cNvPr id="308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524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4"/>
  <sheetViews>
    <sheetView showGridLines="0" showRowColHeaders="0" tabSelected="1" workbookViewId="0">
      <pane ySplit="3" topLeftCell="A4" activePane="bottomLeft" state="frozen"/>
      <selection activeCell="K1" sqref="K1"/>
      <selection pane="bottomLeft" activeCell="C25" sqref="C25"/>
    </sheetView>
  </sheetViews>
  <sheetFormatPr defaultRowHeight="12.75" x14ac:dyDescent="0.2"/>
  <cols>
    <col min="1" max="1" width="12.42578125" style="56" customWidth="1"/>
    <col min="2" max="2" width="5.5703125" style="2" customWidth="1"/>
    <col min="3" max="3" width="29.85546875" style="2" bestFit="1" customWidth="1"/>
    <col min="4" max="4" width="5" style="2" bestFit="1" customWidth="1"/>
    <col min="5" max="5" width="6.7109375" style="3" customWidth="1"/>
    <col min="6" max="6" width="33.85546875" style="2" customWidth="1"/>
    <col min="7" max="7" width="16.7109375" style="2" customWidth="1"/>
    <col min="8" max="8" width="6" style="2" bestFit="1" customWidth="1"/>
    <col min="9" max="9" width="6.140625" style="2" bestFit="1" customWidth="1"/>
    <col min="10" max="10" width="5.28515625" style="2" customWidth="1"/>
    <col min="11" max="11" width="5" style="2" bestFit="1" customWidth="1"/>
    <col min="12" max="12" width="3.85546875" style="2" bestFit="1" customWidth="1"/>
    <col min="13" max="16384" width="9.140625" style="2"/>
  </cols>
  <sheetData>
    <row r="1" spans="1:16" x14ac:dyDescent="0.2">
      <c r="A1" s="1" t="s">
        <v>0</v>
      </c>
    </row>
    <row r="3" spans="1:16" x14ac:dyDescent="0.2">
      <c r="A3" s="4" t="s">
        <v>1</v>
      </c>
      <c r="B3" s="5" t="s">
        <v>2</v>
      </c>
      <c r="C3" s="5" t="s">
        <v>3</v>
      </c>
      <c r="D3" s="5" t="s">
        <v>192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187</v>
      </c>
      <c r="J3" s="5" t="s">
        <v>8</v>
      </c>
      <c r="K3" s="6" t="s">
        <v>9</v>
      </c>
    </row>
    <row r="4" spans="1:16" s="7" customFormat="1" x14ac:dyDescent="0.2">
      <c r="A4" s="475" t="s">
        <v>10</v>
      </c>
      <c r="B4" s="476"/>
      <c r="M4" s="2"/>
      <c r="N4" s="2"/>
      <c r="O4" s="2"/>
      <c r="P4" s="2"/>
    </row>
    <row r="5" spans="1:16" x14ac:dyDescent="0.2">
      <c r="A5" s="8" t="s">
        <v>11</v>
      </c>
      <c r="B5" s="9" t="s">
        <v>12</v>
      </c>
      <c r="C5" s="10" t="s">
        <v>13</v>
      </c>
      <c r="D5" s="10"/>
      <c r="E5" s="11" t="s">
        <v>14</v>
      </c>
      <c r="F5" s="10" t="s">
        <v>15</v>
      </c>
      <c r="G5" s="10" t="s">
        <v>16</v>
      </c>
      <c r="H5" s="10"/>
      <c r="I5" s="10"/>
      <c r="J5" s="12">
        <v>1</v>
      </c>
      <c r="K5" s="13"/>
    </row>
    <row r="6" spans="1:16" s="20" customFormat="1" x14ac:dyDescent="0.2">
      <c r="A6" s="14" t="s">
        <v>17</v>
      </c>
      <c r="B6" s="15" t="s">
        <v>12</v>
      </c>
      <c r="C6" s="16" t="s">
        <v>88</v>
      </c>
      <c r="D6" s="227">
        <v>1</v>
      </c>
      <c r="E6" s="17" t="s">
        <v>18</v>
      </c>
      <c r="F6" s="16" t="s">
        <v>15</v>
      </c>
      <c r="G6" s="16" t="s">
        <v>16</v>
      </c>
      <c r="H6" s="136" t="str">
        <f>HYPERLINK("http://www.sportiv.ee/index.php?2/10438","Uudis")</f>
        <v>Uudis</v>
      </c>
      <c r="I6" s="16"/>
      <c r="J6" s="19">
        <v>2</v>
      </c>
      <c r="K6" s="117">
        <v>34</v>
      </c>
      <c r="M6" s="2"/>
      <c r="N6" s="2"/>
      <c r="O6" s="2"/>
      <c r="P6" s="2"/>
    </row>
    <row r="7" spans="1:16" s="20" customFormat="1" x14ac:dyDescent="0.2">
      <c r="A7" s="14" t="s">
        <v>19</v>
      </c>
      <c r="B7" s="15" t="s">
        <v>20</v>
      </c>
      <c r="C7" s="16" t="s">
        <v>89</v>
      </c>
      <c r="D7" s="391" t="str">
        <f>HYPERLINK("#2!H1","2")</f>
        <v>2</v>
      </c>
      <c r="E7" s="17" t="s">
        <v>14</v>
      </c>
      <c r="F7" s="16" t="s">
        <v>15</v>
      </c>
      <c r="G7" s="16" t="s">
        <v>16</v>
      </c>
      <c r="H7" s="136" t="str">
        <f>HYPERLINK("http://www.sportiv.ee/index.php?2/10458","Uudis")</f>
        <v>Uudis</v>
      </c>
      <c r="I7" s="136" t="str">
        <f>HYPERLINK("http://Fotod.sportiv.ee/thumbnails.php?album=2332","Fotod")</f>
        <v>Fotod</v>
      </c>
      <c r="J7" s="19">
        <v>2</v>
      </c>
      <c r="K7" s="117">
        <v>32</v>
      </c>
      <c r="M7" s="2"/>
      <c r="N7" s="2"/>
      <c r="O7" s="2"/>
      <c r="P7" s="2"/>
    </row>
    <row r="8" spans="1:16" s="20" customFormat="1" x14ac:dyDescent="0.2">
      <c r="A8" s="22" t="s">
        <v>21</v>
      </c>
      <c r="B8" s="23" t="s">
        <v>22</v>
      </c>
      <c r="C8" s="24" t="s">
        <v>195</v>
      </c>
      <c r="D8" s="24"/>
      <c r="E8" s="25" t="s">
        <v>14</v>
      </c>
      <c r="F8" s="24" t="s">
        <v>23</v>
      </c>
      <c r="G8" s="24" t="s">
        <v>24</v>
      </c>
      <c r="H8" s="134" t="str">
        <f>HYPERLINK("http://www.sportiv.ee/index.php?2/10486","Uudis")</f>
        <v>Uudis</v>
      </c>
      <c r="I8" s="24"/>
      <c r="J8" s="26">
        <v>0</v>
      </c>
      <c r="K8" s="27">
        <v>23</v>
      </c>
      <c r="M8" s="2"/>
      <c r="N8" s="2"/>
      <c r="O8" s="2"/>
      <c r="P8" s="2"/>
    </row>
    <row r="9" spans="1:16" s="20" customFormat="1" x14ac:dyDescent="0.2">
      <c r="A9" s="14" t="s">
        <v>25</v>
      </c>
      <c r="B9" s="15" t="s">
        <v>22</v>
      </c>
      <c r="C9" s="16" t="s">
        <v>203</v>
      </c>
      <c r="D9" s="227">
        <v>3</v>
      </c>
      <c r="E9" s="17" t="s">
        <v>26</v>
      </c>
      <c r="F9" s="16" t="s">
        <v>15</v>
      </c>
      <c r="G9" s="16" t="s">
        <v>16</v>
      </c>
      <c r="H9" s="136" t="str">
        <f>HYPERLINK("http://www.sportiv.ee/index.php?2/10498","Uudis")</f>
        <v>Uudis</v>
      </c>
      <c r="I9" s="136" t="str">
        <f>HYPERLINK("http://Fotod.sportiv.ee/thumbnails.php?album=2345","Fotod")</f>
        <v>Fotod</v>
      </c>
      <c r="J9" s="19">
        <v>2</v>
      </c>
      <c r="K9" s="117">
        <v>25</v>
      </c>
      <c r="M9" s="2"/>
      <c r="N9" s="2"/>
      <c r="O9" s="2"/>
      <c r="P9" s="2"/>
    </row>
    <row r="10" spans="1:16" s="20" customFormat="1" x14ac:dyDescent="0.2">
      <c r="A10" s="14" t="s">
        <v>27</v>
      </c>
      <c r="B10" s="15" t="s">
        <v>22</v>
      </c>
      <c r="C10" s="16" t="s">
        <v>204</v>
      </c>
      <c r="D10" s="227">
        <v>3</v>
      </c>
      <c r="E10" s="17" t="s">
        <v>26</v>
      </c>
      <c r="F10" s="16" t="s">
        <v>15</v>
      </c>
      <c r="G10" s="16" t="s">
        <v>16</v>
      </c>
      <c r="H10" s="136" t="str">
        <f>HYPERLINK("http://www.sportiv.ee/index.php?2/10498","Uudis")</f>
        <v>Uudis</v>
      </c>
      <c r="I10" s="136" t="str">
        <f>HYPERLINK("http://Fotod.sportiv.ee/thumbnails.php?album=2345","Fotod")</f>
        <v>Fotod</v>
      </c>
      <c r="J10" s="19"/>
      <c r="K10" s="117" t="s">
        <v>28</v>
      </c>
      <c r="M10" s="2"/>
      <c r="N10" s="2"/>
      <c r="O10" s="2"/>
      <c r="P10" s="2"/>
    </row>
    <row r="11" spans="1:16" x14ac:dyDescent="0.2">
      <c r="A11" s="28" t="s">
        <v>29</v>
      </c>
      <c r="B11" s="29" t="s">
        <v>30</v>
      </c>
      <c r="C11" s="30" t="s">
        <v>31</v>
      </c>
      <c r="D11" s="135" t="str">
        <f>HYPERLINK("http://www.petanque.ee/index.php?id=103589&amp;cid=168","esl")</f>
        <v>esl</v>
      </c>
      <c r="E11" s="31" t="s">
        <v>26</v>
      </c>
      <c r="F11" s="30" t="s">
        <v>32</v>
      </c>
      <c r="G11" s="30" t="s">
        <v>33</v>
      </c>
      <c r="H11" s="135" t="str">
        <f>HYPERLINK("http://www.sportiv.ee/index.php?2/10502","Uudis")</f>
        <v>Uudis</v>
      </c>
      <c r="I11" s="30"/>
      <c r="J11" s="33"/>
      <c r="K11" s="34">
        <v>68</v>
      </c>
    </row>
    <row r="12" spans="1:16" x14ac:dyDescent="0.2">
      <c r="A12" s="28" t="s">
        <v>34</v>
      </c>
      <c r="B12" s="29" t="s">
        <v>12</v>
      </c>
      <c r="C12" s="30" t="s">
        <v>35</v>
      </c>
      <c r="D12" s="135" t="str">
        <f>HYPERLINK("http://www.petanque.ee/index.php?id=103589&amp;cid=169","emsl")</f>
        <v>emsl</v>
      </c>
      <c r="E12" s="31" t="s">
        <v>18</v>
      </c>
      <c r="F12" s="30" t="s">
        <v>36</v>
      </c>
      <c r="G12" s="30" t="s">
        <v>33</v>
      </c>
      <c r="H12" s="135" t="str">
        <f>HYPERLINK("http://www.sportiv.ee/index.php?2/10503","Uudis")</f>
        <v>Uudis</v>
      </c>
      <c r="I12" s="135" t="str">
        <f>HYPERLINK("http://Fotod.sportiv.ee/thumbnails.php?album=2350","Fotod")</f>
        <v>Fotod</v>
      </c>
      <c r="J12" s="33"/>
      <c r="K12" s="34">
        <v>21</v>
      </c>
    </row>
    <row r="13" spans="1:16" x14ac:dyDescent="0.2">
      <c r="A13" s="8" t="s">
        <v>37</v>
      </c>
      <c r="B13" s="9" t="s">
        <v>22</v>
      </c>
      <c r="C13" s="10" t="s">
        <v>38</v>
      </c>
      <c r="D13" s="10"/>
      <c r="E13" s="11" t="s">
        <v>39</v>
      </c>
      <c r="F13" s="10" t="s">
        <v>32</v>
      </c>
      <c r="G13" s="10" t="s">
        <v>40</v>
      </c>
      <c r="H13" s="133" t="str">
        <f>HYPERLINK("http://www.sportiv.ee/index.php?2/10513","Uudis")</f>
        <v>Uudis</v>
      </c>
      <c r="I13" s="10"/>
      <c r="J13" s="12">
        <v>1</v>
      </c>
      <c r="K13" s="13">
        <v>13</v>
      </c>
    </row>
    <row r="14" spans="1:16" s="7" customFormat="1" x14ac:dyDescent="0.2">
      <c r="A14" s="473" t="s">
        <v>41</v>
      </c>
      <c r="B14" s="474"/>
      <c r="J14" s="35"/>
      <c r="K14" s="35"/>
      <c r="M14" s="2"/>
      <c r="N14" s="2"/>
      <c r="O14" s="2"/>
      <c r="P14" s="2"/>
    </row>
    <row r="15" spans="1:16" s="20" customFormat="1" x14ac:dyDescent="0.2">
      <c r="A15" s="14" t="s">
        <v>42</v>
      </c>
      <c r="B15" s="15" t="s">
        <v>12</v>
      </c>
      <c r="C15" s="16" t="s">
        <v>90</v>
      </c>
      <c r="D15" s="227">
        <v>4</v>
      </c>
      <c r="E15" s="17" t="s">
        <v>26</v>
      </c>
      <c r="F15" s="16" t="s">
        <v>36</v>
      </c>
      <c r="G15" s="36" t="s">
        <v>43</v>
      </c>
      <c r="H15" s="136" t="str">
        <f>HYPERLINK("http://www.sportiv.ee/index.php?2/10516","Uudis")</f>
        <v>Uudis</v>
      </c>
      <c r="I15" s="136" t="str">
        <f>HYPERLINK("http://Fotod.sportiv.ee/thumbnails.php?album=2356","Fotod")</f>
        <v>Fotod</v>
      </c>
      <c r="J15" s="19">
        <v>1</v>
      </c>
      <c r="K15" s="117">
        <v>15</v>
      </c>
      <c r="M15" s="2"/>
      <c r="N15" s="2"/>
      <c r="O15" s="2"/>
      <c r="P15" s="2"/>
    </row>
    <row r="16" spans="1:16" x14ac:dyDescent="0.2">
      <c r="A16" s="28" t="s">
        <v>44</v>
      </c>
      <c r="B16" s="29" t="s">
        <v>12</v>
      </c>
      <c r="C16" s="30" t="s">
        <v>487</v>
      </c>
      <c r="D16" s="135" t="str">
        <f>HYPERLINK("http://www.petanque.ee/index.php?id=103589&amp;cid=175","e3")</f>
        <v>e3</v>
      </c>
      <c r="E16" s="31" t="s">
        <v>18</v>
      </c>
      <c r="F16" s="30" t="s">
        <v>15</v>
      </c>
      <c r="G16" s="30" t="s">
        <v>16</v>
      </c>
      <c r="H16" s="135" t="str">
        <f>HYPERLINK("http://www.sportiv.ee/index.php?2/10578","Uudis")</f>
        <v>Uudis</v>
      </c>
      <c r="I16" s="135" t="str">
        <f>HYPERLINK("http://Fotod.sportiv.ee/thumbnails.php?album=2368","Fotod")</f>
        <v>Fotod</v>
      </c>
      <c r="J16" s="37">
        <v>7</v>
      </c>
      <c r="K16" s="34">
        <v>48</v>
      </c>
    </row>
    <row r="17" spans="1:16" x14ac:dyDescent="0.2">
      <c r="A17" s="28" t="s">
        <v>45</v>
      </c>
      <c r="B17" s="29" t="s">
        <v>12</v>
      </c>
      <c r="C17" s="30" t="s">
        <v>488</v>
      </c>
      <c r="D17" s="135" t="str">
        <f>HYPERLINK("http://www.petanque.ee/index.php?id=103589&amp;cid=176","e4")</f>
        <v>e4</v>
      </c>
      <c r="E17" s="31" t="s">
        <v>26</v>
      </c>
      <c r="F17" s="30" t="s">
        <v>36</v>
      </c>
      <c r="G17" s="30" t="s">
        <v>43</v>
      </c>
      <c r="H17" s="135" t="str">
        <f>HYPERLINK("http://www.sportiv.ee/index.php?2/10578","Uudis")</f>
        <v>Uudis</v>
      </c>
      <c r="I17" s="135" t="str">
        <f>HYPERLINK("http://Fotod.sportiv.ee/thumbnails.php?album=2366","Fotod")</f>
        <v>Fotod</v>
      </c>
      <c r="J17" s="37">
        <v>7</v>
      </c>
      <c r="K17" s="34">
        <v>39</v>
      </c>
    </row>
    <row r="18" spans="1:16" s="20" customFormat="1" x14ac:dyDescent="0.2">
      <c r="A18" s="14" t="s">
        <v>46</v>
      </c>
      <c r="B18" s="15" t="s">
        <v>22</v>
      </c>
      <c r="C18" s="16" t="s">
        <v>476</v>
      </c>
      <c r="D18" s="229">
        <v>5</v>
      </c>
      <c r="E18" s="17" t="s">
        <v>47</v>
      </c>
      <c r="F18" s="16" t="s">
        <v>36</v>
      </c>
      <c r="G18" s="16" t="s">
        <v>16</v>
      </c>
      <c r="H18" s="136" t="str">
        <f>HYPERLINK("http://www.sportiv.ee/index.php?2/10582","Uudis")</f>
        <v>Uudis</v>
      </c>
      <c r="I18" s="18"/>
      <c r="J18" s="38"/>
      <c r="K18" s="117">
        <v>16</v>
      </c>
      <c r="M18" s="2"/>
      <c r="N18" s="2"/>
      <c r="O18" s="2"/>
      <c r="P18" s="2"/>
    </row>
    <row r="19" spans="1:16" s="7" customFormat="1" x14ac:dyDescent="0.2">
      <c r="A19" s="473" t="s">
        <v>48</v>
      </c>
      <c r="B19" s="474"/>
      <c r="J19" s="35"/>
      <c r="K19" s="35"/>
      <c r="M19" s="2"/>
      <c r="N19" s="2"/>
      <c r="O19" s="2"/>
      <c r="P19" s="2"/>
    </row>
    <row r="20" spans="1:16" x14ac:dyDescent="0.2">
      <c r="A20" s="28" t="s">
        <v>49</v>
      </c>
      <c r="B20" s="29" t="s">
        <v>20</v>
      </c>
      <c r="C20" s="30" t="s">
        <v>50</v>
      </c>
      <c r="D20" s="135" t="str">
        <f>HYPERLINK("http://www.petanque.ee/index.php?id=103674&amp;cid=179","e5")</f>
        <v>e5</v>
      </c>
      <c r="E20" s="31" t="s">
        <v>18</v>
      </c>
      <c r="F20" s="30" t="s">
        <v>23</v>
      </c>
      <c r="G20" s="30" t="s">
        <v>51</v>
      </c>
      <c r="H20" s="135" t="str">
        <f>HYPERLINK("http://www.sportiv.ee/index.php?2/10614","Uudis")</f>
        <v>Uudis</v>
      </c>
      <c r="I20" s="32"/>
      <c r="J20" s="37">
        <v>7</v>
      </c>
      <c r="K20" s="34">
        <v>36</v>
      </c>
    </row>
    <row r="21" spans="1:16" x14ac:dyDescent="0.2">
      <c r="A21" s="28" t="s">
        <v>184</v>
      </c>
      <c r="B21" s="29" t="s">
        <v>12</v>
      </c>
      <c r="C21" s="30" t="s">
        <v>50</v>
      </c>
      <c r="D21" s="135" t="str">
        <f>HYPERLINK("http://www.petanque.ee/index.php?id=103674&amp;cid=180","e6")</f>
        <v>e6</v>
      </c>
      <c r="E21" s="31" t="s">
        <v>14</v>
      </c>
      <c r="F21" s="30" t="s">
        <v>32</v>
      </c>
      <c r="G21" s="30" t="s">
        <v>52</v>
      </c>
      <c r="H21" s="135" t="str">
        <f>HYPERLINK("http://www.sportiv.ee/index.php?2/10614","Uudis")</f>
        <v>Uudis</v>
      </c>
      <c r="I21" s="135" t="str">
        <f>HYPERLINK("http://Fotod.sportiv.ee/thumbnails.php?album=2379","Fotod")</f>
        <v>Fotod</v>
      </c>
      <c r="J21" s="37">
        <v>7</v>
      </c>
      <c r="K21" s="34">
        <v>48</v>
      </c>
    </row>
    <row r="22" spans="1:16" s="20" customFormat="1" x14ac:dyDescent="0.2">
      <c r="A22" s="14" t="s">
        <v>53</v>
      </c>
      <c r="B22" s="15" t="s">
        <v>22</v>
      </c>
      <c r="C22" s="16" t="s">
        <v>91</v>
      </c>
      <c r="D22" s="227">
        <v>6</v>
      </c>
      <c r="E22" s="17" t="s">
        <v>18</v>
      </c>
      <c r="F22" s="16" t="s">
        <v>36</v>
      </c>
      <c r="G22" s="16" t="s">
        <v>43</v>
      </c>
      <c r="H22" s="136" t="str">
        <f>HYPERLINK("http://www.sportiv.ee/index.php?2/10634","Uudis")</f>
        <v>Uudis</v>
      </c>
      <c r="I22" s="136" t="str">
        <f>HYPERLINK("http://Fotod.sportiv.ee/thumbnails.php?album=2387","Fotod")</f>
        <v>Fotod</v>
      </c>
      <c r="J22" s="19">
        <v>1</v>
      </c>
      <c r="K22" s="117">
        <v>42</v>
      </c>
      <c r="M22" s="2"/>
      <c r="N22" s="2"/>
      <c r="O22" s="2"/>
      <c r="P22" s="2"/>
    </row>
    <row r="23" spans="1:16" x14ac:dyDescent="0.2">
      <c r="A23" s="28" t="s">
        <v>54</v>
      </c>
      <c r="B23" s="29" t="s">
        <v>12</v>
      </c>
      <c r="C23" s="30" t="s">
        <v>489</v>
      </c>
      <c r="D23" s="135" t="str">
        <f>HYPERLINK("http://www.petanque.ee/index.php?id=103589&amp;cid=183","kk1")</f>
        <v>kk1</v>
      </c>
      <c r="E23" s="30" t="s">
        <v>18</v>
      </c>
      <c r="F23" s="30" t="s">
        <v>36</v>
      </c>
      <c r="G23" s="30" t="s">
        <v>55</v>
      </c>
      <c r="H23" s="135" t="str">
        <f>HYPERLINK("http://www.sportiv.ee/index.php?2/10643","Uudis")</f>
        <v>Uudis</v>
      </c>
      <c r="I23" s="32"/>
      <c r="J23" s="37">
        <v>7</v>
      </c>
      <c r="K23" s="34">
        <v>32</v>
      </c>
    </row>
    <row r="24" spans="1:16" x14ac:dyDescent="0.2">
      <c r="A24" s="28" t="s">
        <v>56</v>
      </c>
      <c r="B24" s="29" t="s">
        <v>12</v>
      </c>
      <c r="C24" s="30" t="s">
        <v>490</v>
      </c>
      <c r="D24" s="135" t="str">
        <f>HYPERLINK("http://www.petanque.ee/index.php?id=103589&amp;cid=183","kk2")</f>
        <v>kk2</v>
      </c>
      <c r="E24" s="31" t="s">
        <v>14</v>
      </c>
      <c r="F24" s="30" t="s">
        <v>36</v>
      </c>
      <c r="G24" s="30" t="s">
        <v>55</v>
      </c>
      <c r="H24" s="135" t="str">
        <f>HYPERLINK("http://www.sportiv.ee/index.php?2/10643","Uudis")</f>
        <v>Uudis</v>
      </c>
      <c r="I24" s="135" t="str">
        <f>HYPERLINK("http://Fotod.sportiv.ee/index.php?cat=129","Fotod")</f>
        <v>Fotod</v>
      </c>
      <c r="J24" s="37"/>
      <c r="K24" s="34" t="s">
        <v>28</v>
      </c>
    </row>
    <row r="25" spans="1:16" s="20" customFormat="1" x14ac:dyDescent="0.2">
      <c r="A25" s="156" t="s">
        <v>57</v>
      </c>
      <c r="B25" s="15" t="s">
        <v>22</v>
      </c>
      <c r="C25" s="16" t="s">
        <v>475</v>
      </c>
      <c r="D25" s="227">
        <v>7</v>
      </c>
      <c r="E25" s="17" t="s">
        <v>14</v>
      </c>
      <c r="F25" s="16" t="s">
        <v>32</v>
      </c>
      <c r="G25" s="16" t="s">
        <v>40</v>
      </c>
      <c r="H25" s="136" t="str">
        <f>HYPERLINK("http://www.sportiv.ee/index.php?2/10652","Uudis")</f>
        <v>Uudis</v>
      </c>
      <c r="I25" s="136" t="str">
        <f>HYPERLINK("http://Fotod.sportiv.ee/thumbnails.php?album=2416","Fotod")</f>
        <v>Fotod</v>
      </c>
      <c r="J25" s="19">
        <v>2</v>
      </c>
      <c r="K25" s="117">
        <v>38</v>
      </c>
      <c r="M25" s="2"/>
      <c r="N25" s="2"/>
      <c r="O25" s="2"/>
      <c r="P25" s="2"/>
    </row>
    <row r="26" spans="1:16" x14ac:dyDescent="0.2">
      <c r="A26" s="39" t="s">
        <v>58</v>
      </c>
      <c r="B26" s="40" t="s">
        <v>30</v>
      </c>
      <c r="C26" s="41" t="s">
        <v>200</v>
      </c>
      <c r="D26" s="137" t="str">
        <f>HYPERLINK("#Mu!E1","Mu")</f>
        <v>Mu</v>
      </c>
      <c r="E26" s="42" t="s">
        <v>26</v>
      </c>
      <c r="F26" s="41" t="s">
        <v>59</v>
      </c>
      <c r="G26" s="41" t="s">
        <v>60</v>
      </c>
      <c r="H26" s="137" t="str">
        <f>HYPERLINK("http://www.sportiv.ee/index.php?2/10657","Uudis")</f>
        <v>Uudis</v>
      </c>
      <c r="I26" s="41"/>
      <c r="J26" s="43">
        <v>1</v>
      </c>
      <c r="K26" s="44">
        <v>22</v>
      </c>
    </row>
    <row r="27" spans="1:16" x14ac:dyDescent="0.2">
      <c r="A27" s="22" t="s">
        <v>61</v>
      </c>
      <c r="B27" s="23" t="s">
        <v>22</v>
      </c>
      <c r="C27" s="45" t="s">
        <v>196</v>
      </c>
      <c r="D27" s="45"/>
      <c r="E27" s="25" t="s">
        <v>14</v>
      </c>
      <c r="F27" s="24" t="s">
        <v>23</v>
      </c>
      <c r="G27" s="24" t="s">
        <v>24</v>
      </c>
      <c r="H27" s="134" t="str">
        <f>HYPERLINK("http://www.sportiv.ee/index.php?2/10670","Uudis")</f>
        <v>Uudis</v>
      </c>
      <c r="I27" s="134" t="str">
        <f>HYPERLINK("http://Fotod.sportiv.ee/thumbnails.php?album=2419","Fotod")</f>
        <v>Fotod</v>
      </c>
      <c r="J27" s="26">
        <v>0</v>
      </c>
      <c r="K27" s="27">
        <v>21</v>
      </c>
    </row>
    <row r="28" spans="1:16" s="7" customFormat="1" x14ac:dyDescent="0.2">
      <c r="A28" s="473" t="s">
        <v>62</v>
      </c>
      <c r="B28" s="474"/>
      <c r="J28" s="35"/>
      <c r="K28" s="35"/>
      <c r="M28" s="2"/>
      <c r="N28" s="2"/>
      <c r="O28" s="2"/>
      <c r="P28" s="2"/>
    </row>
    <row r="29" spans="1:16" x14ac:dyDescent="0.2">
      <c r="A29" s="22" t="s">
        <v>63</v>
      </c>
      <c r="B29" s="23" t="s">
        <v>64</v>
      </c>
      <c r="C29" s="45" t="s">
        <v>197</v>
      </c>
      <c r="D29" s="45"/>
      <c r="E29" s="25" t="s">
        <v>18</v>
      </c>
      <c r="F29" s="24" t="s">
        <v>23</v>
      </c>
      <c r="G29" s="24" t="s">
        <v>24</v>
      </c>
      <c r="H29" s="134" t="str">
        <f>HYPERLINK("http://www.sportiv.ee/index.php?2/10685","Uudis")</f>
        <v>Uudis</v>
      </c>
      <c r="I29" s="134" t="str">
        <f>HYPERLINK("http://Fotod.sportiv.ee/thumbnails.php?album=2420","Fotod")</f>
        <v>Fotod</v>
      </c>
      <c r="J29" s="26">
        <v>0</v>
      </c>
      <c r="K29" s="27">
        <v>18</v>
      </c>
    </row>
    <row r="30" spans="1:16" s="20" customFormat="1" x14ac:dyDescent="0.2">
      <c r="A30" s="14" t="s">
        <v>191</v>
      </c>
      <c r="B30" s="15" t="s">
        <v>22</v>
      </c>
      <c r="C30" s="157" t="s">
        <v>205</v>
      </c>
      <c r="D30" s="228">
        <v>8</v>
      </c>
      <c r="E30" s="17" t="s">
        <v>26</v>
      </c>
      <c r="F30" s="16" t="s">
        <v>15</v>
      </c>
      <c r="G30" s="16" t="s">
        <v>16</v>
      </c>
      <c r="H30" s="136" t="str">
        <f>HYPERLINK("http://www.sportiv.ee/index.php?2/10700","Uudis")</f>
        <v>Uudis</v>
      </c>
      <c r="I30" s="136" t="str">
        <f>HYPERLINK("http://Fotod.sportiv.ee/thumbnails.php?album=2427","Fotod")</f>
        <v>Fotod</v>
      </c>
      <c r="J30" s="19">
        <v>2</v>
      </c>
      <c r="K30" s="117">
        <v>27</v>
      </c>
      <c r="L30" s="158" t="str">
        <f>HYPERLINK("http://www.sportiv.ee/index.php?2/10422","Info")</f>
        <v>Info</v>
      </c>
      <c r="M30" s="2"/>
      <c r="N30" s="2"/>
      <c r="O30" s="2"/>
      <c r="P30" s="2"/>
    </row>
    <row r="31" spans="1:16" s="20" customFormat="1" x14ac:dyDescent="0.2">
      <c r="A31" s="14" t="s">
        <v>190</v>
      </c>
      <c r="B31" s="15" t="s">
        <v>22</v>
      </c>
      <c r="C31" s="157" t="s">
        <v>206</v>
      </c>
      <c r="D31" s="297" t="str">
        <f>HYPERLINK("#8!K1","8")</f>
        <v>8</v>
      </c>
      <c r="E31" s="17" t="s">
        <v>26</v>
      </c>
      <c r="F31" s="16" t="s">
        <v>15</v>
      </c>
      <c r="G31" s="16" t="s">
        <v>16</v>
      </c>
      <c r="H31" s="136"/>
      <c r="I31" s="136"/>
      <c r="J31" s="19"/>
      <c r="K31" s="117"/>
      <c r="M31" s="2"/>
      <c r="N31" s="2"/>
      <c r="O31" s="2"/>
      <c r="P31" s="2"/>
    </row>
    <row r="32" spans="1:16" x14ac:dyDescent="0.2">
      <c r="A32" s="8" t="s">
        <v>65</v>
      </c>
      <c r="B32" s="9" t="s">
        <v>22</v>
      </c>
      <c r="C32" s="10" t="s">
        <v>66</v>
      </c>
      <c r="D32" s="133" t="str">
        <f>HYPERLINK("#Sü!I1","Sü")</f>
        <v>Sü</v>
      </c>
      <c r="E32" s="11" t="s">
        <v>26</v>
      </c>
      <c r="F32" s="10" t="s">
        <v>32</v>
      </c>
      <c r="G32" s="10" t="s">
        <v>40</v>
      </c>
      <c r="H32" s="133" t="str">
        <f>HYPERLINK("http://www.sportiv.ee/index.php?2/10715","Uudis")</f>
        <v>Uudis</v>
      </c>
      <c r="I32" s="133" t="str">
        <f>HYPERLINK("http://Fotod.sportiv.ee/thumbnails.php?album=2436","Fotod")</f>
        <v>Fotod</v>
      </c>
      <c r="J32" s="12">
        <v>1</v>
      </c>
      <c r="K32" s="13">
        <v>22</v>
      </c>
    </row>
    <row r="33" spans="1:16" s="20" customFormat="1" x14ac:dyDescent="0.2">
      <c r="A33" s="14" t="s">
        <v>67</v>
      </c>
      <c r="B33" s="15" t="s">
        <v>12</v>
      </c>
      <c r="C33" s="16" t="s">
        <v>92</v>
      </c>
      <c r="D33" s="297" t="str">
        <f>HYPERLINK("#9!H1","9")</f>
        <v>9</v>
      </c>
      <c r="E33" s="17" t="s">
        <v>14</v>
      </c>
      <c r="F33" s="16" t="s">
        <v>15</v>
      </c>
      <c r="G33" s="16" t="s">
        <v>16</v>
      </c>
      <c r="H33" s="136" t="str">
        <f>HYPERLINK("http://www.sportiv.ee/index.php?2/10725","Uudis")</f>
        <v>Uudis</v>
      </c>
      <c r="I33" s="16"/>
      <c r="J33" s="19">
        <v>2</v>
      </c>
      <c r="K33" s="117">
        <v>40</v>
      </c>
      <c r="M33" s="2"/>
      <c r="N33" s="2"/>
      <c r="O33" s="2"/>
      <c r="P33" s="2"/>
    </row>
    <row r="34" spans="1:16" x14ac:dyDescent="0.2">
      <c r="A34" s="22" t="s">
        <v>68</v>
      </c>
      <c r="B34" s="23" t="s">
        <v>22</v>
      </c>
      <c r="C34" s="24" t="s">
        <v>198</v>
      </c>
      <c r="D34" s="134" t="str">
        <f>HYPERLINK("#M4!H1","M4")</f>
        <v>M4</v>
      </c>
      <c r="E34" s="25" t="s">
        <v>18</v>
      </c>
      <c r="F34" s="24" t="s">
        <v>23</v>
      </c>
      <c r="G34" s="24" t="s">
        <v>24</v>
      </c>
      <c r="H34" s="134" t="str">
        <f>HYPERLINK("http://www.sportiv.ee/index.php?2/10753","Uudis")</f>
        <v>Uudis</v>
      </c>
      <c r="I34" s="24"/>
      <c r="J34" s="26">
        <v>0</v>
      </c>
      <c r="K34" s="27">
        <v>28</v>
      </c>
    </row>
    <row r="35" spans="1:16" s="7" customFormat="1" x14ac:dyDescent="0.2">
      <c r="A35" s="473" t="s">
        <v>69</v>
      </c>
      <c r="B35" s="474"/>
      <c r="J35" s="35"/>
      <c r="K35" s="35"/>
      <c r="M35" s="2"/>
      <c r="N35" s="2"/>
      <c r="O35" s="2"/>
      <c r="P35" s="2"/>
    </row>
    <row r="36" spans="1:16" s="20" customFormat="1" x14ac:dyDescent="0.2">
      <c r="A36" s="14" t="s">
        <v>70</v>
      </c>
      <c r="B36" s="46" t="s">
        <v>12</v>
      </c>
      <c r="C36" s="16" t="s">
        <v>93</v>
      </c>
      <c r="D36" s="227">
        <v>10</v>
      </c>
      <c r="E36" s="47" t="s">
        <v>18</v>
      </c>
      <c r="F36" s="16" t="s">
        <v>15</v>
      </c>
      <c r="G36" s="16" t="s">
        <v>16</v>
      </c>
      <c r="H36" s="136" t="str">
        <f>HYPERLINK("http://www.sportiv.ee/index.php?2/10765","Uudis")</f>
        <v>Uudis</v>
      </c>
      <c r="I36" s="47"/>
      <c r="J36" s="19">
        <v>2</v>
      </c>
      <c r="K36" s="117">
        <v>33</v>
      </c>
      <c r="M36" s="2"/>
      <c r="N36" s="2"/>
      <c r="O36" s="2"/>
      <c r="P36" s="2"/>
    </row>
    <row r="37" spans="1:16" s="20" customFormat="1" x14ac:dyDescent="0.2">
      <c r="A37" s="393" t="s">
        <v>71</v>
      </c>
      <c r="B37" s="394" t="s">
        <v>64</v>
      </c>
      <c r="C37" s="395" t="s">
        <v>72</v>
      </c>
      <c r="D37" s="395">
        <v>11</v>
      </c>
      <c r="E37" s="396" t="s">
        <v>18</v>
      </c>
      <c r="F37" s="397" t="s">
        <v>23</v>
      </c>
      <c r="G37" s="397" t="s">
        <v>24</v>
      </c>
      <c r="H37" s="398" t="str">
        <f>HYPERLINK("http://www.sportiv.ee/index.php?2/10797","Uudis")</f>
        <v>Uudis</v>
      </c>
      <c r="I37" s="396"/>
      <c r="J37" s="399"/>
      <c r="K37" s="400">
        <v>40</v>
      </c>
      <c r="M37" s="2"/>
      <c r="N37" s="2"/>
      <c r="O37" s="2"/>
      <c r="P37" s="2"/>
    </row>
    <row r="38" spans="1:16" s="20" customFormat="1" x14ac:dyDescent="0.2">
      <c r="A38" s="14" t="s">
        <v>73</v>
      </c>
      <c r="B38" s="15" t="s">
        <v>12</v>
      </c>
      <c r="C38" s="16" t="s">
        <v>90</v>
      </c>
      <c r="D38" s="297" t="str">
        <f>HYPERLINK("#12!H1","12")</f>
        <v>12</v>
      </c>
      <c r="E38" s="17" t="s">
        <v>14</v>
      </c>
      <c r="F38" s="16" t="s">
        <v>36</v>
      </c>
      <c r="G38" s="16" t="s">
        <v>43</v>
      </c>
      <c r="H38" s="136" t="str">
        <f>HYPERLINK("http://www.sportiv.ee/index.php?2/10813","Uudis")</f>
        <v>Uudis</v>
      </c>
      <c r="I38" s="16"/>
      <c r="J38" s="19">
        <v>1</v>
      </c>
      <c r="K38" s="117">
        <v>34</v>
      </c>
      <c r="M38" s="2"/>
      <c r="N38" s="2"/>
      <c r="O38" s="2"/>
      <c r="P38" s="2"/>
    </row>
    <row r="39" spans="1:16" x14ac:dyDescent="0.2">
      <c r="A39" s="8" t="s">
        <v>74</v>
      </c>
      <c r="B39" s="9" t="s">
        <v>12</v>
      </c>
      <c r="C39" s="10" t="s">
        <v>75</v>
      </c>
      <c r="D39" s="10"/>
      <c r="E39" s="11" t="s">
        <v>14</v>
      </c>
      <c r="F39" s="10" t="s">
        <v>76</v>
      </c>
      <c r="G39" s="10" t="s">
        <v>77</v>
      </c>
      <c r="H39" s="21"/>
      <c r="I39" s="10"/>
      <c r="J39" s="12">
        <v>5</v>
      </c>
      <c r="K39" s="13"/>
    </row>
    <row r="40" spans="1:16" s="7" customFormat="1" x14ac:dyDescent="0.2">
      <c r="A40" s="473" t="s">
        <v>78</v>
      </c>
      <c r="B40" s="474"/>
      <c r="J40" s="35"/>
      <c r="K40" s="35"/>
      <c r="M40" s="2"/>
      <c r="N40" s="2"/>
      <c r="O40" s="2"/>
      <c r="P40" s="2"/>
    </row>
    <row r="41" spans="1:16" x14ac:dyDescent="0.2">
      <c r="A41" s="22" t="s">
        <v>79</v>
      </c>
      <c r="B41" s="23" t="s">
        <v>12</v>
      </c>
      <c r="C41" s="24" t="s">
        <v>199</v>
      </c>
      <c r="D41" s="24"/>
      <c r="E41" s="25" t="s">
        <v>26</v>
      </c>
      <c r="F41" s="24" t="s">
        <v>23</v>
      </c>
      <c r="G41" s="24" t="s">
        <v>24</v>
      </c>
      <c r="H41" s="134" t="str">
        <f>HYPERLINK("http://www.sportiv.ee/index.php?2/10856","Uudis")</f>
        <v>Uudis</v>
      </c>
      <c r="I41" s="134" t="str">
        <f>HYPERLINK("http://Fotod.sportiv.ee/thumbnails.php?album=2513","Fotod")</f>
        <v>Fotod</v>
      </c>
      <c r="J41" s="26">
        <v>0</v>
      </c>
      <c r="K41" s="27">
        <v>28</v>
      </c>
    </row>
    <row r="42" spans="1:16" x14ac:dyDescent="0.2">
      <c r="A42" s="8" t="s">
        <v>80</v>
      </c>
      <c r="B42" s="9" t="s">
        <v>81</v>
      </c>
      <c r="C42" s="10" t="s">
        <v>82</v>
      </c>
      <c r="D42" s="133" t="str">
        <f>HYPERLINK("#L!K1","L")</f>
        <v>L</v>
      </c>
      <c r="E42" s="11" t="s">
        <v>26</v>
      </c>
      <c r="F42" s="10" t="s">
        <v>36</v>
      </c>
      <c r="G42" s="10" t="s">
        <v>16</v>
      </c>
      <c r="H42" s="133" t="str">
        <f>HYPERLINK("http://www.sportiv.ee/index.php?2/10879","Uudis")</f>
        <v>Uudis</v>
      </c>
      <c r="I42" s="133" t="str">
        <f>HYPERLINK("http://Fotod.sportiv.ee/thumbnails.php?album=2512","Fotod")</f>
        <v>Fotod</v>
      </c>
      <c r="J42" s="12">
        <v>1</v>
      </c>
      <c r="K42" s="13">
        <v>21</v>
      </c>
    </row>
    <row r="43" spans="1:16" x14ac:dyDescent="0.2">
      <c r="A43" s="49" t="s">
        <v>194</v>
      </c>
      <c r="B43" s="48"/>
      <c r="G43" s="54"/>
      <c r="H43" s="55"/>
      <c r="I43" s="55"/>
      <c r="J43" s="55"/>
      <c r="K43" s="472" t="s">
        <v>83</v>
      </c>
      <c r="M43" s="20"/>
    </row>
    <row r="44" spans="1:16" x14ac:dyDescent="0.2">
      <c r="A44" s="50" t="s">
        <v>193</v>
      </c>
      <c r="B44" s="51"/>
      <c r="C44" s="52"/>
      <c r="D44" s="52"/>
      <c r="E44" s="53"/>
      <c r="F44" s="52"/>
    </row>
  </sheetData>
  <sheetProtection selectLockedCells="1" selectUnlockedCells="1"/>
  <conditionalFormatting sqref="K5:K10 K13 K15 K18 K22 K25:K34">
    <cfRule type="top10" dxfId="44" priority="1" stopIfTrue="1" rank="1"/>
  </conditionalFormatting>
  <pageMargins left="0.78740157480314965" right="0.39370078740157483" top="0.27559055118110237" bottom="0.19685039370078741" header="0.27559055118110237" footer="0"/>
  <pageSetup paperSize="9" firstPageNumber="0" fitToHeight="0" orientation="landscape" verticalDpi="300" r:id="rId1"/>
  <headerFooter alignWithMargins="0">
    <oddHeader>&amp;R&amp;"Arial,Regular"&amp;9Page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T92"/>
  <sheetViews>
    <sheetView showGridLines="0" showRowColHeaders="0" zoomScaleNormal="100" workbookViewId="0">
      <pane ySplit="7" topLeftCell="A8" activePane="bottomLeft" state="frozen"/>
      <selection activeCell="K1" sqref="K1"/>
      <selection pane="bottomLeft" activeCell="H1" sqref="H1"/>
    </sheetView>
  </sheetViews>
  <sheetFormatPr defaultColWidth="11.5703125" defaultRowHeight="12.75" x14ac:dyDescent="0.2"/>
  <cols>
    <col min="1" max="1" width="4" style="58" customWidth="1"/>
    <col min="2" max="2" width="3.28515625" style="58" customWidth="1"/>
    <col min="3" max="3" width="3.28515625" style="59" customWidth="1"/>
    <col min="4" max="4" width="21.7109375" style="58" customWidth="1"/>
    <col min="5" max="5" width="4" style="60" customWidth="1"/>
    <col min="6" max="7" width="3.28515625" style="59" customWidth="1"/>
    <col min="8" max="8" width="5.7109375" style="59" bestFit="1" customWidth="1"/>
    <col min="9" max="12" width="3.28515625" style="59" customWidth="1"/>
    <col min="13" max="13" width="5.7109375" style="59" customWidth="1"/>
    <col min="14" max="16" width="3.28515625" style="59" customWidth="1"/>
    <col min="17" max="17" width="3.28515625" style="100" customWidth="1"/>
    <col min="18" max="20" width="3.28515625" style="74" bestFit="1" customWidth="1"/>
    <col min="21" max="16384" width="11.5703125" style="58"/>
  </cols>
  <sheetData>
    <row r="1" spans="1:20" x14ac:dyDescent="0.2">
      <c r="C1" s="57" t="s">
        <v>84</v>
      </c>
      <c r="O1" s="61"/>
      <c r="Q1" s="132" t="s">
        <v>185</v>
      </c>
      <c r="R1" s="62"/>
      <c r="S1" s="63" t="s">
        <v>85</v>
      </c>
      <c r="T1" s="63"/>
    </row>
    <row r="2" spans="1:20" x14ac:dyDescent="0.2">
      <c r="C2" s="154" t="s">
        <v>188</v>
      </c>
      <c r="Q2" s="64"/>
      <c r="R2" s="65"/>
      <c r="S2" s="66" t="s">
        <v>86</v>
      </c>
      <c r="T2" s="66"/>
    </row>
    <row r="3" spans="1:20" x14ac:dyDescent="0.2"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65"/>
      <c r="S3" s="67" t="s">
        <v>87</v>
      </c>
      <c r="T3" s="67"/>
    </row>
    <row r="4" spans="1:20" ht="91.5" customHeight="1" x14ac:dyDescent="0.2">
      <c r="A4" s="68"/>
      <c r="B4" s="68"/>
      <c r="C4" s="69"/>
      <c r="D4" s="70"/>
      <c r="E4" s="71"/>
      <c r="F4" s="72" t="str">
        <f>Kalend!C6</f>
        <v>K-Järve 11. KV 1. etapp</v>
      </c>
      <c r="G4" s="72" t="str">
        <f>Kalend!C7</f>
        <v>K-Järve 11. KV 2. etapp</v>
      </c>
      <c r="H4" s="230" t="str">
        <f>Kalend!C9</f>
        <v>K-Järve 11. KV 3. etapp 1. päev</v>
      </c>
      <c r="I4" s="72" t="str">
        <f>Kalend!C15</f>
        <v>Jõhvi 12. MV</v>
      </c>
      <c r="J4" s="72" t="str">
        <f>Kalend!C18</f>
        <v>Ivari karikas</v>
      </c>
      <c r="K4" s="72" t="str">
        <f>Kalend!C22</f>
        <v>Jõhvi 10. MV</v>
      </c>
      <c r="L4" s="72" t="str">
        <f>Kalend!C25</f>
        <v>K-Nõmme 11. MV</v>
      </c>
      <c r="M4" s="230" t="str">
        <f>LEFT((Kalend!C30),14)</f>
        <v>K-Järve 13. MV</v>
      </c>
      <c r="N4" s="72" t="str">
        <f>Kalend!C33</f>
        <v>K-Järve 13. MV</v>
      </c>
      <c r="O4" s="72" t="str">
        <f>Kalend!C36</f>
        <v>K-Järve 11. MV</v>
      </c>
      <c r="P4" s="72" t="str">
        <f>Kalend!C37</f>
        <v>Mäetaguse MV</v>
      </c>
      <c r="Q4" s="72" t="str">
        <f>Kalend!C38</f>
        <v>Jõhvi 12. MV</v>
      </c>
      <c r="R4" s="495" t="s">
        <v>186</v>
      </c>
      <c r="S4" s="496" t="s">
        <v>94</v>
      </c>
      <c r="T4" s="496" t="s">
        <v>95</v>
      </c>
    </row>
    <row r="5" spans="1:20" ht="29.25" customHeight="1" x14ac:dyDescent="0.2">
      <c r="A5" s="69"/>
      <c r="B5" s="69"/>
      <c r="C5" s="69"/>
      <c r="D5" s="69"/>
      <c r="E5" s="69"/>
      <c r="F5" s="138" t="str">
        <f>HYPERLINK("http://www.sportiv.ee/index.php?2/10438",MID(Kalend!A6,4,5))</f>
        <v>06.05</v>
      </c>
      <c r="G5" s="138" t="str">
        <f>HYPERLINK("http://www.sportiv.ee/index.php?2/10458",MID(Kalend!A7,4,5))</f>
        <v>13.05</v>
      </c>
      <c r="H5" s="155" t="str">
        <f>HYPERLINK("http://www.sportiv.ee/index.php?2/10498",MID(Kalend!A9,4,5)&amp;MID(Kalend!A10,4,5))</f>
        <v>23.0524.05</v>
      </c>
      <c r="I5" s="138" t="str">
        <f>HYPERLINK("http://www.sportiv.ee/index.php?2/10582",MID(Kalend!A15,4,5))</f>
        <v>02.06</v>
      </c>
      <c r="J5" s="138" t="str">
        <f>HYPERLINK("http://www.sportiv.ee/index.php?2/10634",MID(Kalend!A18,4,5))</f>
        <v>19.06</v>
      </c>
      <c r="K5" s="138" t="str">
        <f>HYPERLINK("http://www.sportiv.ee/index.php?2/10652",MID(Kalend!A22,4,5))</f>
        <v>17.07</v>
      </c>
      <c r="L5" s="138" t="str">
        <f>HYPERLINK("http://www.sportiv.ee/index.php?2/10652",MID(Kalend!A25,4,5))</f>
        <v>25.07</v>
      </c>
      <c r="M5" s="139" t="str">
        <f>HYPERLINK("http://www.sportiv.ee/index.php?2/10700",MID(Kalend!A30,4,5)&amp;MID(Kalend!A31,4,5))</f>
        <v>07.0809.08</v>
      </c>
      <c r="N5" s="138" t="str">
        <f>HYPERLINK("http://www.sportiv.ee/index.php?2/10725",MID(Kalend!A33,4,5))</f>
        <v>20.08</v>
      </c>
      <c r="O5" s="138" t="str">
        <f>HYPERLINK("http://www.sportiv.ee/index.php?2/10765",MID(Kalend!A36,4,5))</f>
        <v>02.09</v>
      </c>
      <c r="P5" s="138" t="str">
        <f>HYPERLINK("http://www.sportiv.ee/index.php?2/10797",MID(Kalend!A37,4,5))</f>
        <v>16.09</v>
      </c>
      <c r="Q5" s="138" t="str">
        <f>HYPERLINK("http://www.sportiv.ee/index.php?2/10813",MID(Kalend!A38,4,5))</f>
        <v>23.09</v>
      </c>
      <c r="R5" s="495"/>
      <c r="S5" s="496"/>
      <c r="T5" s="496"/>
    </row>
    <row r="6" spans="1:20" x14ac:dyDescent="0.2">
      <c r="A6" s="464" t="s">
        <v>479</v>
      </c>
      <c r="B6" s="465"/>
      <c r="C6" s="466"/>
      <c r="D6" s="69"/>
      <c r="E6" s="426"/>
      <c r="F6" s="140">
        <v>1</v>
      </c>
      <c r="G6" s="293" t="str">
        <f>HYPERLINK("#2!H1"," 2 ")</f>
        <v xml:space="preserve"> 2 </v>
      </c>
      <c r="H6" s="140">
        <v>3</v>
      </c>
      <c r="I6" s="140">
        <v>4</v>
      </c>
      <c r="J6" s="140">
        <v>5</v>
      </c>
      <c r="K6" s="140">
        <v>6</v>
      </c>
      <c r="L6" s="140">
        <v>7</v>
      </c>
      <c r="M6" s="293" t="str">
        <f>HYPERLINK("#8!K1"," 8 ")</f>
        <v xml:space="preserve"> 8 </v>
      </c>
      <c r="N6" s="293" t="str">
        <f>HYPERLINK("#9!G1"," 9 ")</f>
        <v xml:space="preserve"> 9 </v>
      </c>
      <c r="O6" s="140">
        <v>10</v>
      </c>
      <c r="P6" s="140">
        <v>11</v>
      </c>
      <c r="Q6" s="293" t="str">
        <f>HYPERLINK("#12!G1","12")</f>
        <v>12</v>
      </c>
      <c r="R6" s="495"/>
      <c r="S6" s="496"/>
      <c r="T6" s="496"/>
    </row>
    <row r="7" spans="1:20" s="60" customFormat="1" x14ac:dyDescent="0.2">
      <c r="A7" s="463" t="s">
        <v>478</v>
      </c>
      <c r="B7" s="461" t="s">
        <v>96</v>
      </c>
      <c r="C7" s="462" t="s">
        <v>97</v>
      </c>
      <c r="D7" s="73" t="s">
        <v>98</v>
      </c>
      <c r="E7" s="427" t="s">
        <v>99</v>
      </c>
      <c r="F7" s="401" t="s">
        <v>100</v>
      </c>
      <c r="G7" s="401" t="s">
        <v>101</v>
      </c>
      <c r="H7" s="402" t="s">
        <v>102</v>
      </c>
      <c r="I7" s="402" t="s">
        <v>102</v>
      </c>
      <c r="J7" s="402" t="s">
        <v>47</v>
      </c>
      <c r="K7" s="401" t="s">
        <v>100</v>
      </c>
      <c r="L7" s="401" t="s">
        <v>101</v>
      </c>
      <c r="M7" s="402" t="s">
        <v>102</v>
      </c>
      <c r="N7" s="401" t="s">
        <v>101</v>
      </c>
      <c r="O7" s="401" t="s">
        <v>100</v>
      </c>
      <c r="P7" s="401" t="s">
        <v>100</v>
      </c>
      <c r="Q7" s="401" t="s">
        <v>101</v>
      </c>
      <c r="R7" s="62"/>
      <c r="S7" s="74"/>
      <c r="T7" s="74"/>
    </row>
    <row r="8" spans="1:20" x14ac:dyDescent="0.2">
      <c r="A8" s="425">
        <v>1</v>
      </c>
      <c r="B8" s="80"/>
      <c r="C8" s="147"/>
      <c r="D8" s="409" t="s">
        <v>103</v>
      </c>
      <c r="E8" s="428">
        <v>260</v>
      </c>
      <c r="F8" s="403">
        <v>26</v>
      </c>
      <c r="G8" s="76">
        <v>40</v>
      </c>
      <c r="H8" s="76">
        <v>30</v>
      </c>
      <c r="I8" s="403" t="s">
        <v>104</v>
      </c>
      <c r="J8" s="403">
        <v>24</v>
      </c>
      <c r="K8" s="76">
        <v>40</v>
      </c>
      <c r="L8" s="76">
        <v>30</v>
      </c>
      <c r="M8" s="403">
        <v>24</v>
      </c>
      <c r="N8" s="403">
        <v>26</v>
      </c>
      <c r="O8" s="76">
        <v>40</v>
      </c>
      <c r="P8" s="76">
        <v>40</v>
      </c>
      <c r="Q8" s="76">
        <v>40</v>
      </c>
      <c r="R8" s="77">
        <f>COUNTIF(F8:Q8,"&gt;=0")</f>
        <v>11</v>
      </c>
      <c r="S8" s="77">
        <f t="shared" ref="S8:S71" si="0">COUNTIF(F8:Q8,"&gt;=30")</f>
        <v>7</v>
      </c>
      <c r="T8" s="77">
        <f t="shared" ref="T8:T71" si="1">COUNTIF(F8:Q8,"=40")</f>
        <v>5</v>
      </c>
    </row>
    <row r="9" spans="1:20" x14ac:dyDescent="0.2">
      <c r="A9" s="425">
        <v>2</v>
      </c>
      <c r="B9" s="80"/>
      <c r="C9" s="147"/>
      <c r="D9" s="78" t="s">
        <v>105</v>
      </c>
      <c r="E9" s="428">
        <v>246</v>
      </c>
      <c r="F9" s="76">
        <v>40</v>
      </c>
      <c r="G9" s="403">
        <v>16</v>
      </c>
      <c r="H9" s="76">
        <v>34</v>
      </c>
      <c r="I9" s="403" t="s">
        <v>104</v>
      </c>
      <c r="J9" s="76">
        <v>34</v>
      </c>
      <c r="K9" s="403">
        <v>20</v>
      </c>
      <c r="L9" s="76">
        <v>40</v>
      </c>
      <c r="M9" s="403">
        <v>1</v>
      </c>
      <c r="N9" s="403">
        <v>6</v>
      </c>
      <c r="O9" s="76">
        <v>34</v>
      </c>
      <c r="P9" s="76">
        <v>30</v>
      </c>
      <c r="Q9" s="76">
        <v>34</v>
      </c>
      <c r="R9" s="77">
        <f t="shared" ref="R9:R72" si="2">COUNTIF(F9:Q9,"&gt;=0")</f>
        <v>11</v>
      </c>
      <c r="S9" s="77">
        <f t="shared" si="0"/>
        <v>7</v>
      </c>
      <c r="T9" s="77">
        <f t="shared" si="1"/>
        <v>2</v>
      </c>
    </row>
    <row r="10" spans="1:20" s="60" customFormat="1" x14ac:dyDescent="0.2">
      <c r="A10" s="425">
        <v>3</v>
      </c>
      <c r="B10" s="80"/>
      <c r="C10" s="147"/>
      <c r="D10" s="79" t="s">
        <v>106</v>
      </c>
      <c r="E10" s="428">
        <v>222</v>
      </c>
      <c r="F10" s="403">
        <v>16</v>
      </c>
      <c r="G10" s="403">
        <v>12</v>
      </c>
      <c r="H10" s="76">
        <v>40</v>
      </c>
      <c r="I10" s="76">
        <v>34</v>
      </c>
      <c r="J10" s="76">
        <v>30</v>
      </c>
      <c r="K10" s="76">
        <v>26</v>
      </c>
      <c r="L10" s="76">
        <v>40</v>
      </c>
      <c r="M10" s="403">
        <v>14</v>
      </c>
      <c r="N10" s="403">
        <v>6</v>
      </c>
      <c r="O10" s="76">
        <v>18</v>
      </c>
      <c r="P10" s="403">
        <v>16</v>
      </c>
      <c r="Q10" s="76">
        <v>34</v>
      </c>
      <c r="R10" s="77">
        <f t="shared" si="2"/>
        <v>12</v>
      </c>
      <c r="S10" s="77">
        <f t="shared" si="0"/>
        <v>5</v>
      </c>
      <c r="T10" s="77">
        <f t="shared" si="1"/>
        <v>2</v>
      </c>
    </row>
    <row r="11" spans="1:20" x14ac:dyDescent="0.2">
      <c r="A11" s="425">
        <v>4</v>
      </c>
      <c r="B11" s="80">
        <v>1</v>
      </c>
      <c r="C11" s="147"/>
      <c r="D11" s="80" t="s">
        <v>107</v>
      </c>
      <c r="E11" s="428">
        <v>202</v>
      </c>
      <c r="F11" s="76">
        <v>26</v>
      </c>
      <c r="G11" s="403" t="s">
        <v>104</v>
      </c>
      <c r="H11" s="76">
        <v>26</v>
      </c>
      <c r="I11" s="403" t="s">
        <v>104</v>
      </c>
      <c r="J11" s="403" t="s">
        <v>104</v>
      </c>
      <c r="K11" s="76">
        <v>40</v>
      </c>
      <c r="L11" s="76">
        <v>30</v>
      </c>
      <c r="M11" s="403" t="s">
        <v>104</v>
      </c>
      <c r="N11" s="403" t="s">
        <v>104</v>
      </c>
      <c r="O11" s="76">
        <v>40</v>
      </c>
      <c r="P11" s="76">
        <v>40</v>
      </c>
      <c r="Q11" s="76"/>
      <c r="R11" s="77">
        <f t="shared" si="2"/>
        <v>6</v>
      </c>
      <c r="S11" s="77">
        <f t="shared" si="0"/>
        <v>4</v>
      </c>
      <c r="T11" s="77">
        <f t="shared" si="1"/>
        <v>3</v>
      </c>
    </row>
    <row r="12" spans="1:20" x14ac:dyDescent="0.2">
      <c r="A12" s="425">
        <v>5</v>
      </c>
      <c r="B12" s="80"/>
      <c r="C12" s="147"/>
      <c r="D12" s="75" t="s">
        <v>108</v>
      </c>
      <c r="E12" s="428">
        <v>202</v>
      </c>
      <c r="F12" s="76">
        <v>40</v>
      </c>
      <c r="G12" s="403">
        <v>20</v>
      </c>
      <c r="H12" s="403">
        <v>1</v>
      </c>
      <c r="I12" s="76">
        <v>24</v>
      </c>
      <c r="J12" s="403" t="s">
        <v>104</v>
      </c>
      <c r="K12" s="76">
        <v>20</v>
      </c>
      <c r="L12" s="76">
        <v>24</v>
      </c>
      <c r="M12" s="403">
        <v>12</v>
      </c>
      <c r="N12" s="403">
        <v>16</v>
      </c>
      <c r="O12" s="76">
        <v>34</v>
      </c>
      <c r="P12" s="76">
        <v>30</v>
      </c>
      <c r="Q12" s="76">
        <v>30</v>
      </c>
      <c r="R12" s="77">
        <f t="shared" si="2"/>
        <v>11</v>
      </c>
      <c r="S12" s="77">
        <f t="shared" si="0"/>
        <v>4</v>
      </c>
      <c r="T12" s="77">
        <f t="shared" si="1"/>
        <v>1</v>
      </c>
    </row>
    <row r="13" spans="1:20" x14ac:dyDescent="0.2">
      <c r="A13" s="425">
        <v>6</v>
      </c>
      <c r="B13" s="80"/>
      <c r="C13" s="147"/>
      <c r="D13" s="75" t="s">
        <v>109</v>
      </c>
      <c r="E13" s="428">
        <v>198</v>
      </c>
      <c r="F13" s="81">
        <v>40</v>
      </c>
      <c r="G13" s="81">
        <v>20</v>
      </c>
      <c r="H13" s="403" t="s">
        <v>104</v>
      </c>
      <c r="I13" s="403" t="s">
        <v>104</v>
      </c>
      <c r="J13" s="403" t="s">
        <v>104</v>
      </c>
      <c r="K13" s="76">
        <v>20</v>
      </c>
      <c r="L13" s="81">
        <v>24</v>
      </c>
      <c r="M13" s="403">
        <v>1</v>
      </c>
      <c r="N13" s="403">
        <v>16</v>
      </c>
      <c r="O13" s="81">
        <v>34</v>
      </c>
      <c r="P13" s="76">
        <v>30</v>
      </c>
      <c r="Q13" s="81">
        <v>30</v>
      </c>
      <c r="R13" s="77">
        <f t="shared" si="2"/>
        <v>9</v>
      </c>
      <c r="S13" s="77">
        <f t="shared" si="0"/>
        <v>4</v>
      </c>
      <c r="T13" s="77">
        <f t="shared" si="1"/>
        <v>1</v>
      </c>
    </row>
    <row r="14" spans="1:20" x14ac:dyDescent="0.2">
      <c r="A14" s="425">
        <v>7</v>
      </c>
      <c r="B14" s="80"/>
      <c r="C14" s="147"/>
      <c r="D14" s="75" t="s">
        <v>110</v>
      </c>
      <c r="E14" s="428">
        <v>198</v>
      </c>
      <c r="F14" s="76">
        <v>30</v>
      </c>
      <c r="G14" s="403">
        <v>24</v>
      </c>
      <c r="H14" s="403">
        <v>1</v>
      </c>
      <c r="I14" s="76">
        <v>26</v>
      </c>
      <c r="J14" s="403" t="s">
        <v>104</v>
      </c>
      <c r="K14" s="76">
        <v>24</v>
      </c>
      <c r="L14" s="403">
        <v>6</v>
      </c>
      <c r="M14" s="76">
        <v>26</v>
      </c>
      <c r="N14" s="76">
        <v>40</v>
      </c>
      <c r="O14" s="76">
        <v>26</v>
      </c>
      <c r="P14" s="76">
        <v>26</v>
      </c>
      <c r="Q14" s="403">
        <v>18</v>
      </c>
      <c r="R14" s="77">
        <f t="shared" si="2"/>
        <v>11</v>
      </c>
      <c r="S14" s="77">
        <f t="shared" si="0"/>
        <v>2</v>
      </c>
      <c r="T14" s="77">
        <f t="shared" si="1"/>
        <v>1</v>
      </c>
    </row>
    <row r="15" spans="1:20" s="60" customFormat="1" x14ac:dyDescent="0.2">
      <c r="A15" s="425">
        <v>8</v>
      </c>
      <c r="B15" s="80"/>
      <c r="C15" s="147"/>
      <c r="D15" s="75" t="s">
        <v>111</v>
      </c>
      <c r="E15" s="428">
        <v>194</v>
      </c>
      <c r="F15" s="81">
        <v>30</v>
      </c>
      <c r="G15" s="403">
        <v>18</v>
      </c>
      <c r="H15" s="403" t="s">
        <v>104</v>
      </c>
      <c r="I15" s="403" t="s">
        <v>104</v>
      </c>
      <c r="J15" s="81">
        <v>40</v>
      </c>
      <c r="K15" s="76">
        <v>24</v>
      </c>
      <c r="L15" s="81">
        <v>26</v>
      </c>
      <c r="M15" s="403" t="s">
        <v>104</v>
      </c>
      <c r="N15" s="403">
        <v>14</v>
      </c>
      <c r="O15" s="81">
        <v>26</v>
      </c>
      <c r="P15" s="76">
        <v>26</v>
      </c>
      <c r="Q15" s="81">
        <v>22</v>
      </c>
      <c r="R15" s="77">
        <f t="shared" si="2"/>
        <v>9</v>
      </c>
      <c r="S15" s="77">
        <f t="shared" si="0"/>
        <v>2</v>
      </c>
      <c r="T15" s="77">
        <f t="shared" si="1"/>
        <v>1</v>
      </c>
    </row>
    <row r="16" spans="1:20" s="60" customFormat="1" x14ac:dyDescent="0.2">
      <c r="A16" s="425">
        <v>9</v>
      </c>
      <c r="B16" s="80"/>
      <c r="C16" s="147"/>
      <c r="D16" s="75" t="s">
        <v>112</v>
      </c>
      <c r="E16" s="428">
        <v>184</v>
      </c>
      <c r="F16" s="76">
        <v>34</v>
      </c>
      <c r="G16" s="76">
        <v>30</v>
      </c>
      <c r="H16" s="403">
        <v>20</v>
      </c>
      <c r="I16" s="403">
        <v>14</v>
      </c>
      <c r="J16" s="403" t="s">
        <v>104</v>
      </c>
      <c r="K16" s="403">
        <v>14</v>
      </c>
      <c r="L16" s="76">
        <v>20</v>
      </c>
      <c r="M16" s="76">
        <v>34</v>
      </c>
      <c r="N16" s="403">
        <v>1</v>
      </c>
      <c r="O16" s="76">
        <v>22</v>
      </c>
      <c r="P16" s="76">
        <v>24</v>
      </c>
      <c r="Q16" s="76">
        <v>20</v>
      </c>
      <c r="R16" s="77">
        <f t="shared" si="2"/>
        <v>11</v>
      </c>
      <c r="S16" s="77">
        <f t="shared" si="0"/>
        <v>3</v>
      </c>
      <c r="T16" s="77">
        <f t="shared" si="1"/>
        <v>0</v>
      </c>
    </row>
    <row r="17" spans="1:20" s="60" customFormat="1" x14ac:dyDescent="0.2">
      <c r="A17" s="425">
        <v>10</v>
      </c>
      <c r="B17" s="80"/>
      <c r="C17" s="147"/>
      <c r="D17" s="75" t="s">
        <v>113</v>
      </c>
      <c r="E17" s="428">
        <v>182</v>
      </c>
      <c r="F17" s="76">
        <v>34</v>
      </c>
      <c r="G17" s="76">
        <v>26</v>
      </c>
      <c r="H17" s="76">
        <v>24</v>
      </c>
      <c r="I17" s="76">
        <v>30</v>
      </c>
      <c r="J17" s="403" t="s">
        <v>104</v>
      </c>
      <c r="K17" s="403">
        <v>14</v>
      </c>
      <c r="L17" s="403">
        <v>14</v>
      </c>
      <c r="M17" s="403">
        <v>8</v>
      </c>
      <c r="N17" s="76">
        <v>22</v>
      </c>
      <c r="O17" s="76">
        <v>22</v>
      </c>
      <c r="P17" s="76">
        <v>24</v>
      </c>
      <c r="Q17" s="403">
        <v>2</v>
      </c>
      <c r="R17" s="77">
        <f t="shared" si="2"/>
        <v>11</v>
      </c>
      <c r="S17" s="77">
        <f t="shared" si="0"/>
        <v>2</v>
      </c>
      <c r="T17" s="77">
        <f t="shared" si="1"/>
        <v>0</v>
      </c>
    </row>
    <row r="18" spans="1:20" x14ac:dyDescent="0.2">
      <c r="A18" s="425">
        <v>11</v>
      </c>
      <c r="B18" s="80"/>
      <c r="C18" s="147"/>
      <c r="D18" s="75" t="s">
        <v>114</v>
      </c>
      <c r="E18" s="428">
        <v>180</v>
      </c>
      <c r="F18" s="76">
        <v>20</v>
      </c>
      <c r="G18" s="403" t="s">
        <v>104</v>
      </c>
      <c r="H18" s="403" t="s">
        <v>104</v>
      </c>
      <c r="I18" s="76">
        <v>40</v>
      </c>
      <c r="J18" s="403" t="s">
        <v>104</v>
      </c>
      <c r="K18" s="76">
        <v>30</v>
      </c>
      <c r="L18" s="403">
        <v>1</v>
      </c>
      <c r="M18" s="403" t="s">
        <v>104</v>
      </c>
      <c r="N18" s="76">
        <v>30</v>
      </c>
      <c r="O18" s="76">
        <v>30</v>
      </c>
      <c r="P18" s="76">
        <v>14</v>
      </c>
      <c r="Q18" s="76">
        <v>16</v>
      </c>
      <c r="R18" s="77">
        <f t="shared" si="2"/>
        <v>8</v>
      </c>
      <c r="S18" s="77">
        <f t="shared" si="0"/>
        <v>4</v>
      </c>
      <c r="T18" s="77">
        <f t="shared" si="1"/>
        <v>1</v>
      </c>
    </row>
    <row r="19" spans="1:20" s="60" customFormat="1" x14ac:dyDescent="0.2">
      <c r="A19" s="425">
        <v>12</v>
      </c>
      <c r="B19" s="80"/>
      <c r="C19" s="147"/>
      <c r="D19" s="75" t="s">
        <v>115</v>
      </c>
      <c r="E19" s="428">
        <v>173</v>
      </c>
      <c r="F19" s="76">
        <v>26</v>
      </c>
      <c r="G19" s="76">
        <v>40</v>
      </c>
      <c r="H19" s="76">
        <v>1</v>
      </c>
      <c r="I19" s="403" t="s">
        <v>104</v>
      </c>
      <c r="J19" s="403" t="s">
        <v>104</v>
      </c>
      <c r="K19" s="76">
        <v>40</v>
      </c>
      <c r="L19" s="403" t="s">
        <v>104</v>
      </c>
      <c r="M19" s="403" t="s">
        <v>104</v>
      </c>
      <c r="N19" s="76">
        <v>26</v>
      </c>
      <c r="O19" s="403" t="s">
        <v>104</v>
      </c>
      <c r="P19" s="76"/>
      <c r="Q19" s="76">
        <v>40</v>
      </c>
      <c r="R19" s="77">
        <f t="shared" si="2"/>
        <v>6</v>
      </c>
      <c r="S19" s="77">
        <f t="shared" si="0"/>
        <v>3</v>
      </c>
      <c r="T19" s="77">
        <f t="shared" si="1"/>
        <v>3</v>
      </c>
    </row>
    <row r="20" spans="1:20" x14ac:dyDescent="0.2">
      <c r="A20" s="425">
        <v>13</v>
      </c>
      <c r="B20" s="83">
        <v>2</v>
      </c>
      <c r="C20" s="151"/>
      <c r="D20" s="83" t="s">
        <v>116</v>
      </c>
      <c r="E20" s="428">
        <v>172</v>
      </c>
      <c r="F20" s="76">
        <v>30</v>
      </c>
      <c r="G20" s="76">
        <v>18</v>
      </c>
      <c r="H20" s="403" t="s">
        <v>104</v>
      </c>
      <c r="I20" s="403" t="s">
        <v>104</v>
      </c>
      <c r="J20" s="403" t="s">
        <v>104</v>
      </c>
      <c r="K20" s="76">
        <v>24</v>
      </c>
      <c r="L20" s="76">
        <v>26</v>
      </c>
      <c r="M20" s="403" t="s">
        <v>104</v>
      </c>
      <c r="N20" s="403">
        <v>14</v>
      </c>
      <c r="O20" s="76">
        <v>26</v>
      </c>
      <c r="P20" s="76">
        <v>26</v>
      </c>
      <c r="Q20" s="76">
        <v>22</v>
      </c>
      <c r="R20" s="77">
        <f t="shared" si="2"/>
        <v>8</v>
      </c>
      <c r="S20" s="77">
        <f t="shared" si="0"/>
        <v>1</v>
      </c>
      <c r="T20" s="77">
        <f t="shared" si="1"/>
        <v>0</v>
      </c>
    </row>
    <row r="21" spans="1:20" x14ac:dyDescent="0.2">
      <c r="A21" s="425">
        <v>14</v>
      </c>
      <c r="B21" s="83"/>
      <c r="C21" s="152"/>
      <c r="D21" s="82" t="s">
        <v>117</v>
      </c>
      <c r="E21" s="428">
        <v>164</v>
      </c>
      <c r="F21" s="76">
        <v>34</v>
      </c>
      <c r="G21" s="76">
        <v>30</v>
      </c>
      <c r="H21" s="403">
        <v>14</v>
      </c>
      <c r="I21" s="76">
        <v>20</v>
      </c>
      <c r="J21" s="403">
        <v>12</v>
      </c>
      <c r="K21" s="76">
        <v>14</v>
      </c>
      <c r="L21" s="403" t="s">
        <v>104</v>
      </c>
      <c r="M21" s="403" t="s">
        <v>104</v>
      </c>
      <c r="N21" s="403" t="s">
        <v>104</v>
      </c>
      <c r="O21" s="76">
        <v>22</v>
      </c>
      <c r="P21" s="76">
        <v>24</v>
      </c>
      <c r="Q21" s="76">
        <v>20</v>
      </c>
      <c r="R21" s="77">
        <f t="shared" si="2"/>
        <v>9</v>
      </c>
      <c r="S21" s="77">
        <f t="shared" si="0"/>
        <v>2</v>
      </c>
      <c r="T21" s="77">
        <f t="shared" si="1"/>
        <v>0</v>
      </c>
    </row>
    <row r="22" spans="1:20" x14ac:dyDescent="0.2">
      <c r="A22" s="425">
        <v>15</v>
      </c>
      <c r="B22" s="83"/>
      <c r="C22" s="152"/>
      <c r="D22" s="84" t="s">
        <v>118</v>
      </c>
      <c r="E22" s="428">
        <v>148</v>
      </c>
      <c r="F22" s="76">
        <v>16</v>
      </c>
      <c r="G22" s="76">
        <v>22</v>
      </c>
      <c r="H22" s="403">
        <v>1</v>
      </c>
      <c r="I22" s="403">
        <v>8</v>
      </c>
      <c r="J22" s="403" t="s">
        <v>104</v>
      </c>
      <c r="K22" s="76">
        <v>34</v>
      </c>
      <c r="L22" s="76">
        <v>20</v>
      </c>
      <c r="M22" s="76">
        <v>30</v>
      </c>
      <c r="N22" s="403">
        <v>8</v>
      </c>
      <c r="O22" s="76">
        <v>16</v>
      </c>
      <c r="P22" s="76">
        <v>10</v>
      </c>
      <c r="Q22" s="403">
        <v>1</v>
      </c>
      <c r="R22" s="77">
        <f t="shared" si="2"/>
        <v>11</v>
      </c>
      <c r="S22" s="77">
        <f t="shared" si="0"/>
        <v>2</v>
      </c>
      <c r="T22" s="77">
        <f t="shared" si="1"/>
        <v>0</v>
      </c>
    </row>
    <row r="23" spans="1:20" x14ac:dyDescent="0.2">
      <c r="A23" s="425">
        <v>16</v>
      </c>
      <c r="B23" s="83"/>
      <c r="C23" s="152"/>
      <c r="D23" s="82" t="s">
        <v>119</v>
      </c>
      <c r="E23" s="428">
        <v>144</v>
      </c>
      <c r="F23" s="76">
        <v>18</v>
      </c>
      <c r="G23" s="76">
        <v>26</v>
      </c>
      <c r="H23" s="403">
        <v>12</v>
      </c>
      <c r="I23" s="76">
        <v>22</v>
      </c>
      <c r="J23" s="403" t="s">
        <v>104</v>
      </c>
      <c r="K23" s="76">
        <v>18</v>
      </c>
      <c r="L23" s="76">
        <v>14</v>
      </c>
      <c r="M23" s="403">
        <v>4</v>
      </c>
      <c r="N23" s="76">
        <v>22</v>
      </c>
      <c r="O23" s="76">
        <v>24</v>
      </c>
      <c r="P23" s="403" t="s">
        <v>104</v>
      </c>
      <c r="Q23" s="403">
        <v>2</v>
      </c>
      <c r="R23" s="77">
        <f t="shared" si="2"/>
        <v>10</v>
      </c>
      <c r="S23" s="77">
        <f t="shared" si="0"/>
        <v>0</v>
      </c>
      <c r="T23" s="77">
        <f t="shared" si="1"/>
        <v>0</v>
      </c>
    </row>
    <row r="24" spans="1:20" x14ac:dyDescent="0.2">
      <c r="A24" s="425">
        <v>17</v>
      </c>
      <c r="B24" s="83"/>
      <c r="C24" s="152"/>
      <c r="D24" s="85" t="s">
        <v>174</v>
      </c>
      <c r="E24" s="428">
        <v>142</v>
      </c>
      <c r="F24" s="403" t="s">
        <v>104</v>
      </c>
      <c r="G24" s="403" t="s">
        <v>104</v>
      </c>
      <c r="H24" s="403" t="s">
        <v>104</v>
      </c>
      <c r="I24" s="403" t="s">
        <v>104</v>
      </c>
      <c r="J24" s="403" t="s">
        <v>104</v>
      </c>
      <c r="K24" s="76">
        <v>16</v>
      </c>
      <c r="L24" s="76">
        <v>18</v>
      </c>
      <c r="M24" s="76"/>
      <c r="N24" s="76">
        <v>34</v>
      </c>
      <c r="O24" s="76">
        <v>40</v>
      </c>
      <c r="P24" s="76">
        <v>34</v>
      </c>
      <c r="Q24" s="76"/>
      <c r="R24" s="77">
        <f t="shared" si="2"/>
        <v>5</v>
      </c>
      <c r="S24" s="77">
        <f t="shared" si="0"/>
        <v>3</v>
      </c>
      <c r="T24" s="77">
        <f t="shared" si="1"/>
        <v>1</v>
      </c>
    </row>
    <row r="25" spans="1:20" x14ac:dyDescent="0.2">
      <c r="A25" s="425">
        <v>18</v>
      </c>
      <c r="B25" s="83">
        <v>3</v>
      </c>
      <c r="C25" s="152"/>
      <c r="D25" s="83" t="s">
        <v>121</v>
      </c>
      <c r="E25" s="428">
        <v>142</v>
      </c>
      <c r="F25" s="403" t="s">
        <v>104</v>
      </c>
      <c r="G25" s="76">
        <v>34</v>
      </c>
      <c r="H25" s="76">
        <v>10</v>
      </c>
      <c r="I25" s="403" t="s">
        <v>104</v>
      </c>
      <c r="J25" s="76">
        <v>26</v>
      </c>
      <c r="K25" s="76">
        <v>26</v>
      </c>
      <c r="L25" s="76">
        <v>10</v>
      </c>
      <c r="M25" s="76">
        <v>22</v>
      </c>
      <c r="N25" s="403" t="s">
        <v>104</v>
      </c>
      <c r="O25" s="403" t="s">
        <v>104</v>
      </c>
      <c r="P25" s="76">
        <v>14</v>
      </c>
      <c r="Q25" s="403" t="s">
        <v>104</v>
      </c>
      <c r="R25" s="77">
        <f t="shared" si="2"/>
        <v>7</v>
      </c>
      <c r="S25" s="77">
        <f t="shared" si="0"/>
        <v>1</v>
      </c>
      <c r="T25" s="77">
        <f t="shared" si="1"/>
        <v>0</v>
      </c>
    </row>
    <row r="26" spans="1:20" x14ac:dyDescent="0.2">
      <c r="A26" s="425">
        <v>19</v>
      </c>
      <c r="B26" s="83"/>
      <c r="C26" s="152"/>
      <c r="D26" s="82" t="s">
        <v>122</v>
      </c>
      <c r="E26" s="428">
        <v>136</v>
      </c>
      <c r="F26" s="76">
        <v>16</v>
      </c>
      <c r="G26" s="76">
        <v>22</v>
      </c>
      <c r="H26" s="403">
        <v>4</v>
      </c>
      <c r="I26" s="403">
        <v>6</v>
      </c>
      <c r="J26" s="403" t="s">
        <v>104</v>
      </c>
      <c r="K26" s="76">
        <v>34</v>
      </c>
      <c r="L26" s="81">
        <v>12</v>
      </c>
      <c r="M26" s="76">
        <v>16</v>
      </c>
      <c r="N26" s="76">
        <v>18</v>
      </c>
      <c r="O26" s="76">
        <v>18</v>
      </c>
      <c r="P26" s="403">
        <v>10</v>
      </c>
      <c r="Q26" s="403" t="s">
        <v>104</v>
      </c>
      <c r="R26" s="77">
        <f t="shared" si="2"/>
        <v>10</v>
      </c>
      <c r="S26" s="77">
        <f t="shared" si="0"/>
        <v>1</v>
      </c>
      <c r="T26" s="77">
        <f t="shared" si="1"/>
        <v>0</v>
      </c>
    </row>
    <row r="27" spans="1:20" x14ac:dyDescent="0.2">
      <c r="A27" s="425">
        <v>20</v>
      </c>
      <c r="B27" s="83"/>
      <c r="C27" s="152"/>
      <c r="D27" s="82" t="s">
        <v>123</v>
      </c>
      <c r="E27" s="428">
        <v>136</v>
      </c>
      <c r="F27" s="76">
        <v>24</v>
      </c>
      <c r="G27" s="76">
        <v>8</v>
      </c>
      <c r="H27" s="403" t="s">
        <v>104</v>
      </c>
      <c r="I27" s="403" t="s">
        <v>104</v>
      </c>
      <c r="J27" s="403" t="s">
        <v>104</v>
      </c>
      <c r="K27" s="76">
        <v>12</v>
      </c>
      <c r="L27" s="76">
        <v>22</v>
      </c>
      <c r="M27" s="403" t="s">
        <v>104</v>
      </c>
      <c r="N27" s="76">
        <v>24</v>
      </c>
      <c r="O27" s="403" t="s">
        <v>104</v>
      </c>
      <c r="P27" s="76">
        <v>20</v>
      </c>
      <c r="Q27" s="76">
        <v>26</v>
      </c>
      <c r="R27" s="77">
        <f t="shared" si="2"/>
        <v>7</v>
      </c>
      <c r="S27" s="77">
        <f t="shared" si="0"/>
        <v>0</v>
      </c>
      <c r="T27" s="77">
        <f t="shared" si="1"/>
        <v>0</v>
      </c>
    </row>
    <row r="28" spans="1:20" x14ac:dyDescent="0.2">
      <c r="A28" s="425">
        <v>20</v>
      </c>
      <c r="B28" s="83"/>
      <c r="C28" s="152"/>
      <c r="D28" s="84" t="s">
        <v>124</v>
      </c>
      <c r="E28" s="428">
        <v>136</v>
      </c>
      <c r="F28" s="76">
        <v>24</v>
      </c>
      <c r="G28" s="76">
        <v>8</v>
      </c>
      <c r="H28" s="403" t="s">
        <v>104</v>
      </c>
      <c r="I28" s="403" t="s">
        <v>104</v>
      </c>
      <c r="J28" s="403" t="s">
        <v>104</v>
      </c>
      <c r="K28" s="76">
        <v>12</v>
      </c>
      <c r="L28" s="76">
        <v>22</v>
      </c>
      <c r="M28" s="403" t="s">
        <v>104</v>
      </c>
      <c r="N28" s="76">
        <v>24</v>
      </c>
      <c r="O28" s="403" t="s">
        <v>104</v>
      </c>
      <c r="P28" s="76">
        <v>20</v>
      </c>
      <c r="Q28" s="76">
        <v>26</v>
      </c>
      <c r="R28" s="77">
        <f t="shared" si="2"/>
        <v>7</v>
      </c>
      <c r="S28" s="77">
        <f t="shared" si="0"/>
        <v>0</v>
      </c>
      <c r="T28" s="77">
        <f t="shared" si="1"/>
        <v>0</v>
      </c>
    </row>
    <row r="29" spans="1:20" x14ac:dyDescent="0.2">
      <c r="A29" s="425">
        <v>22</v>
      </c>
      <c r="B29" s="83"/>
      <c r="C29" s="152"/>
      <c r="D29" s="82" t="s">
        <v>125</v>
      </c>
      <c r="E29" s="428">
        <v>134</v>
      </c>
      <c r="F29" s="76">
        <v>20</v>
      </c>
      <c r="G29" s="403" t="s">
        <v>104</v>
      </c>
      <c r="H29" s="403">
        <v>1</v>
      </c>
      <c r="I29" s="403">
        <v>4</v>
      </c>
      <c r="J29" s="76">
        <v>6</v>
      </c>
      <c r="K29" s="76">
        <v>16</v>
      </c>
      <c r="L29" s="76">
        <v>16</v>
      </c>
      <c r="M29" s="76">
        <v>18</v>
      </c>
      <c r="N29" s="76">
        <v>40</v>
      </c>
      <c r="O29" s="403" t="s">
        <v>104</v>
      </c>
      <c r="P29" s="403" t="s">
        <v>104</v>
      </c>
      <c r="Q29" s="76">
        <v>18</v>
      </c>
      <c r="R29" s="77">
        <f t="shared" si="2"/>
        <v>9</v>
      </c>
      <c r="S29" s="77">
        <f t="shared" si="0"/>
        <v>1</v>
      </c>
      <c r="T29" s="77">
        <f t="shared" si="1"/>
        <v>1</v>
      </c>
    </row>
    <row r="30" spans="1:20" x14ac:dyDescent="0.2">
      <c r="A30" s="425">
        <v>23</v>
      </c>
      <c r="B30" s="83">
        <v>4</v>
      </c>
      <c r="C30" s="152"/>
      <c r="D30" s="83" t="s">
        <v>126</v>
      </c>
      <c r="E30" s="428">
        <v>132</v>
      </c>
      <c r="F30" s="76">
        <v>18</v>
      </c>
      <c r="G30" s="76">
        <v>14</v>
      </c>
      <c r="H30" s="403">
        <v>6</v>
      </c>
      <c r="I30" s="76">
        <v>16</v>
      </c>
      <c r="J30" s="403">
        <v>12</v>
      </c>
      <c r="K30" s="403" t="s">
        <v>104</v>
      </c>
      <c r="L30" s="403" t="s">
        <v>104</v>
      </c>
      <c r="M30" s="76">
        <v>20</v>
      </c>
      <c r="N30" s="403">
        <v>10</v>
      </c>
      <c r="O30" s="76">
        <v>24</v>
      </c>
      <c r="P30" s="76">
        <v>16</v>
      </c>
      <c r="Q30" s="76">
        <v>24</v>
      </c>
      <c r="R30" s="77">
        <f t="shared" si="2"/>
        <v>10</v>
      </c>
      <c r="S30" s="77">
        <f t="shared" si="0"/>
        <v>0</v>
      </c>
      <c r="T30" s="77">
        <f t="shared" si="1"/>
        <v>0</v>
      </c>
    </row>
    <row r="31" spans="1:20" x14ac:dyDescent="0.2">
      <c r="A31" s="425">
        <v>24</v>
      </c>
      <c r="B31" s="83"/>
      <c r="C31" s="152"/>
      <c r="D31" s="82" t="s">
        <v>127</v>
      </c>
      <c r="E31" s="428">
        <v>132</v>
      </c>
      <c r="F31" s="76">
        <v>18</v>
      </c>
      <c r="G31" s="76">
        <v>14</v>
      </c>
      <c r="H31" s="403">
        <v>1</v>
      </c>
      <c r="I31" s="76">
        <v>18</v>
      </c>
      <c r="J31" s="403">
        <v>12</v>
      </c>
      <c r="K31" s="76">
        <v>18</v>
      </c>
      <c r="L31" s="403" t="s">
        <v>104</v>
      </c>
      <c r="M31" s="403">
        <v>1</v>
      </c>
      <c r="N31" s="403">
        <v>10</v>
      </c>
      <c r="O31" s="76">
        <v>24</v>
      </c>
      <c r="P31" s="76">
        <v>16</v>
      </c>
      <c r="Q31" s="76">
        <v>24</v>
      </c>
      <c r="R31" s="77">
        <f t="shared" si="2"/>
        <v>11</v>
      </c>
      <c r="S31" s="77">
        <f t="shared" si="0"/>
        <v>0</v>
      </c>
      <c r="T31" s="77">
        <f t="shared" si="1"/>
        <v>0</v>
      </c>
    </row>
    <row r="32" spans="1:20" x14ac:dyDescent="0.2">
      <c r="A32" s="425">
        <v>25</v>
      </c>
      <c r="B32" s="83"/>
      <c r="C32" s="152"/>
      <c r="D32" s="82" t="s">
        <v>128</v>
      </c>
      <c r="E32" s="428">
        <v>126</v>
      </c>
      <c r="F32" s="76">
        <v>22</v>
      </c>
      <c r="G32" s="76">
        <v>10</v>
      </c>
      <c r="H32" s="403">
        <v>1</v>
      </c>
      <c r="I32" s="403" t="s">
        <v>104</v>
      </c>
      <c r="J32" s="76">
        <v>16</v>
      </c>
      <c r="K32" s="76">
        <v>26</v>
      </c>
      <c r="L32" s="403">
        <v>2</v>
      </c>
      <c r="M32" s="403">
        <v>1</v>
      </c>
      <c r="N32" s="403">
        <v>1</v>
      </c>
      <c r="O32" s="76">
        <v>20</v>
      </c>
      <c r="P32" s="76">
        <v>22</v>
      </c>
      <c r="Q32" s="76">
        <v>10</v>
      </c>
      <c r="R32" s="77">
        <f t="shared" si="2"/>
        <v>11</v>
      </c>
      <c r="S32" s="77">
        <f t="shared" si="0"/>
        <v>0</v>
      </c>
      <c r="T32" s="77">
        <f t="shared" si="1"/>
        <v>0</v>
      </c>
    </row>
    <row r="33" spans="1:20" x14ac:dyDescent="0.2">
      <c r="A33" s="425">
        <v>26</v>
      </c>
      <c r="B33" s="83"/>
      <c r="C33" s="152"/>
      <c r="D33" s="82" t="s">
        <v>129</v>
      </c>
      <c r="E33" s="428">
        <v>122</v>
      </c>
      <c r="F33" s="403" t="s">
        <v>104</v>
      </c>
      <c r="G33" s="76">
        <v>16</v>
      </c>
      <c r="H33" s="76">
        <v>16</v>
      </c>
      <c r="I33" s="76">
        <v>12</v>
      </c>
      <c r="J33" s="403">
        <v>2</v>
      </c>
      <c r="K33" s="76">
        <v>16</v>
      </c>
      <c r="L33" s="76">
        <v>16</v>
      </c>
      <c r="M33" s="403" t="s">
        <v>104</v>
      </c>
      <c r="N33" s="403" t="s">
        <v>104</v>
      </c>
      <c r="O33" s="403" t="s">
        <v>104</v>
      </c>
      <c r="P33" s="76">
        <v>34</v>
      </c>
      <c r="Q33" s="76">
        <v>12</v>
      </c>
      <c r="R33" s="77">
        <f t="shared" si="2"/>
        <v>8</v>
      </c>
      <c r="S33" s="77">
        <f t="shared" si="0"/>
        <v>1</v>
      </c>
      <c r="T33" s="77">
        <f t="shared" si="1"/>
        <v>0</v>
      </c>
    </row>
    <row r="34" spans="1:20" x14ac:dyDescent="0.2">
      <c r="A34" s="425">
        <v>27</v>
      </c>
      <c r="B34" s="83"/>
      <c r="C34" s="152"/>
      <c r="D34" s="84" t="s">
        <v>130</v>
      </c>
      <c r="E34" s="428">
        <v>112</v>
      </c>
      <c r="F34" s="403" t="s">
        <v>104</v>
      </c>
      <c r="G34" s="76">
        <v>2</v>
      </c>
      <c r="H34" s="403">
        <v>1</v>
      </c>
      <c r="I34" s="403" t="s">
        <v>104</v>
      </c>
      <c r="J34" s="403" t="s">
        <v>104</v>
      </c>
      <c r="K34" s="76">
        <v>22</v>
      </c>
      <c r="L34" s="76">
        <v>34</v>
      </c>
      <c r="M34" s="403">
        <v>1</v>
      </c>
      <c r="N34" s="76">
        <v>20</v>
      </c>
      <c r="O34" s="76">
        <v>12</v>
      </c>
      <c r="P34" s="76">
        <v>8</v>
      </c>
      <c r="Q34" s="76">
        <v>14</v>
      </c>
      <c r="R34" s="77">
        <f t="shared" si="2"/>
        <v>9</v>
      </c>
      <c r="S34" s="77">
        <f t="shared" si="0"/>
        <v>1</v>
      </c>
      <c r="T34" s="77">
        <f t="shared" si="1"/>
        <v>0</v>
      </c>
    </row>
    <row r="35" spans="1:20" x14ac:dyDescent="0.2">
      <c r="A35" s="425">
        <v>28</v>
      </c>
      <c r="B35" s="83"/>
      <c r="C35" s="152"/>
      <c r="D35" s="82" t="s">
        <v>131</v>
      </c>
      <c r="E35" s="428">
        <v>108</v>
      </c>
      <c r="F35" s="76">
        <v>14</v>
      </c>
      <c r="G35" s="403">
        <v>6</v>
      </c>
      <c r="H35" s="81">
        <v>8</v>
      </c>
      <c r="I35" s="76">
        <v>10</v>
      </c>
      <c r="J35" s="403">
        <v>6</v>
      </c>
      <c r="K35" s="76">
        <v>10</v>
      </c>
      <c r="L35" s="403">
        <v>8</v>
      </c>
      <c r="M35" s="76">
        <v>40</v>
      </c>
      <c r="N35" s="403">
        <v>1</v>
      </c>
      <c r="O35" s="76">
        <v>14</v>
      </c>
      <c r="P35" s="76">
        <v>12</v>
      </c>
      <c r="Q35" s="403">
        <v>6</v>
      </c>
      <c r="R35" s="77">
        <f t="shared" si="2"/>
        <v>12</v>
      </c>
      <c r="S35" s="77">
        <f t="shared" si="0"/>
        <v>1</v>
      </c>
      <c r="T35" s="77">
        <f t="shared" si="1"/>
        <v>1</v>
      </c>
    </row>
    <row r="36" spans="1:20" x14ac:dyDescent="0.2">
      <c r="A36" s="425">
        <v>29</v>
      </c>
      <c r="B36" s="83"/>
      <c r="C36" s="152"/>
      <c r="D36" s="85" t="s">
        <v>132</v>
      </c>
      <c r="E36" s="428">
        <v>100</v>
      </c>
      <c r="F36" s="403" t="s">
        <v>104</v>
      </c>
      <c r="G36" s="403" t="s">
        <v>104</v>
      </c>
      <c r="H36" s="403" t="s">
        <v>104</v>
      </c>
      <c r="I36" s="403" t="s">
        <v>104</v>
      </c>
      <c r="J36" s="403" t="s">
        <v>104</v>
      </c>
      <c r="K36" s="76">
        <v>22</v>
      </c>
      <c r="L36" s="76"/>
      <c r="M36" s="76">
        <v>6</v>
      </c>
      <c r="N36" s="76">
        <v>20</v>
      </c>
      <c r="O36" s="76"/>
      <c r="P36" s="76">
        <v>40</v>
      </c>
      <c r="Q36" s="76">
        <v>12</v>
      </c>
      <c r="R36" s="77">
        <f t="shared" si="2"/>
        <v>5</v>
      </c>
      <c r="S36" s="77">
        <f t="shared" si="0"/>
        <v>1</v>
      </c>
      <c r="T36" s="77">
        <f t="shared" si="1"/>
        <v>1</v>
      </c>
    </row>
    <row r="37" spans="1:20" x14ac:dyDescent="0.2">
      <c r="A37" s="425">
        <v>30</v>
      </c>
      <c r="B37" s="83"/>
      <c r="C37" s="152"/>
      <c r="D37" s="82" t="s">
        <v>133</v>
      </c>
      <c r="E37" s="428">
        <v>95</v>
      </c>
      <c r="F37" s="76">
        <v>20</v>
      </c>
      <c r="G37" s="76">
        <v>34</v>
      </c>
      <c r="H37" s="76">
        <v>1</v>
      </c>
      <c r="I37" s="403" t="s">
        <v>104</v>
      </c>
      <c r="J37" s="403" t="s">
        <v>104</v>
      </c>
      <c r="K37" s="76">
        <v>30</v>
      </c>
      <c r="L37" s="76">
        <v>10</v>
      </c>
      <c r="M37" s="403" t="s">
        <v>104</v>
      </c>
      <c r="N37" s="403" t="s">
        <v>104</v>
      </c>
      <c r="O37" s="403" t="s">
        <v>104</v>
      </c>
      <c r="P37" s="76"/>
      <c r="Q37" s="76"/>
      <c r="R37" s="77">
        <f t="shared" si="2"/>
        <v>5</v>
      </c>
      <c r="S37" s="77">
        <f t="shared" si="0"/>
        <v>2</v>
      </c>
      <c r="T37" s="77">
        <f t="shared" si="1"/>
        <v>0</v>
      </c>
    </row>
    <row r="38" spans="1:20" x14ac:dyDescent="0.2">
      <c r="A38" s="425">
        <v>31</v>
      </c>
      <c r="B38" s="83">
        <v>5</v>
      </c>
      <c r="C38" s="152"/>
      <c r="D38" s="83" t="s">
        <v>134</v>
      </c>
      <c r="E38" s="428">
        <v>90</v>
      </c>
      <c r="F38" s="403" t="s">
        <v>104</v>
      </c>
      <c r="G38" s="403" t="s">
        <v>104</v>
      </c>
      <c r="H38" s="403" t="s">
        <v>104</v>
      </c>
      <c r="I38" s="403" t="s">
        <v>104</v>
      </c>
      <c r="J38" s="403" t="s">
        <v>104</v>
      </c>
      <c r="K38" s="76"/>
      <c r="L38" s="76"/>
      <c r="M38" s="76"/>
      <c r="N38" s="76">
        <v>30</v>
      </c>
      <c r="O38" s="76">
        <v>30</v>
      </c>
      <c r="P38" s="76">
        <v>14</v>
      </c>
      <c r="Q38" s="76">
        <v>16</v>
      </c>
      <c r="R38" s="77">
        <f t="shared" si="2"/>
        <v>4</v>
      </c>
      <c r="S38" s="77">
        <f t="shared" si="0"/>
        <v>2</v>
      </c>
      <c r="T38" s="77">
        <f t="shared" si="1"/>
        <v>0</v>
      </c>
    </row>
    <row r="39" spans="1:20" x14ac:dyDescent="0.2">
      <c r="A39" s="425">
        <v>32</v>
      </c>
      <c r="B39" s="83"/>
      <c r="C39" s="152"/>
      <c r="D39" s="82" t="s">
        <v>135</v>
      </c>
      <c r="E39" s="428">
        <v>88</v>
      </c>
      <c r="F39" s="76">
        <v>14</v>
      </c>
      <c r="G39" s="403" t="s">
        <v>104</v>
      </c>
      <c r="H39" s="76">
        <v>18</v>
      </c>
      <c r="I39" s="403" t="s">
        <v>104</v>
      </c>
      <c r="J39" s="76">
        <v>22</v>
      </c>
      <c r="K39" s="403" t="s">
        <v>104</v>
      </c>
      <c r="L39" s="403" t="s">
        <v>104</v>
      </c>
      <c r="M39" s="76">
        <v>2</v>
      </c>
      <c r="N39" s="403">
        <v>1</v>
      </c>
      <c r="O39" s="76">
        <v>14</v>
      </c>
      <c r="P39" s="76">
        <v>12</v>
      </c>
      <c r="Q39" s="76">
        <v>6</v>
      </c>
      <c r="R39" s="77">
        <f t="shared" si="2"/>
        <v>8</v>
      </c>
      <c r="S39" s="77">
        <f t="shared" si="0"/>
        <v>0</v>
      </c>
      <c r="T39" s="77">
        <f t="shared" si="1"/>
        <v>0</v>
      </c>
    </row>
    <row r="40" spans="1:20" x14ac:dyDescent="0.2">
      <c r="A40" s="425">
        <v>33</v>
      </c>
      <c r="B40" s="83"/>
      <c r="C40" s="152"/>
      <c r="D40" s="85" t="s">
        <v>380</v>
      </c>
      <c r="E40" s="428">
        <v>86</v>
      </c>
      <c r="F40" s="403" t="s">
        <v>104</v>
      </c>
      <c r="G40" s="403" t="s">
        <v>104</v>
      </c>
      <c r="H40" s="403" t="s">
        <v>104</v>
      </c>
      <c r="I40" s="403" t="s">
        <v>104</v>
      </c>
      <c r="J40" s="403" t="s">
        <v>104</v>
      </c>
      <c r="K40" s="76">
        <v>22</v>
      </c>
      <c r="L40" s="76"/>
      <c r="M40" s="76"/>
      <c r="N40" s="76"/>
      <c r="O40" s="76">
        <v>30</v>
      </c>
      <c r="P40" s="76">
        <v>34</v>
      </c>
      <c r="Q40" s="76"/>
      <c r="R40" s="77">
        <f t="shared" si="2"/>
        <v>3</v>
      </c>
      <c r="S40" s="77">
        <f t="shared" si="0"/>
        <v>2</v>
      </c>
      <c r="T40" s="77">
        <f t="shared" si="1"/>
        <v>0</v>
      </c>
    </row>
    <row r="41" spans="1:20" x14ac:dyDescent="0.2">
      <c r="A41" s="425">
        <v>34</v>
      </c>
      <c r="B41" s="83"/>
      <c r="C41" s="152">
        <v>1</v>
      </c>
      <c r="D41" s="86" t="s">
        <v>137</v>
      </c>
      <c r="E41" s="428">
        <v>84</v>
      </c>
      <c r="F41" s="76">
        <v>14</v>
      </c>
      <c r="G41" s="76">
        <v>6</v>
      </c>
      <c r="H41" s="403" t="s">
        <v>104</v>
      </c>
      <c r="I41" s="403" t="s">
        <v>104</v>
      </c>
      <c r="J41" s="76">
        <v>20</v>
      </c>
      <c r="K41" s="76">
        <v>10</v>
      </c>
      <c r="L41" s="76">
        <v>8</v>
      </c>
      <c r="M41" s="403">
        <v>1</v>
      </c>
      <c r="N41" s="403">
        <v>4</v>
      </c>
      <c r="O41" s="76">
        <v>14</v>
      </c>
      <c r="P41" s="76">
        <v>12</v>
      </c>
      <c r="Q41" s="403">
        <v>4</v>
      </c>
      <c r="R41" s="77">
        <f t="shared" si="2"/>
        <v>10</v>
      </c>
      <c r="S41" s="77">
        <f t="shared" si="0"/>
        <v>0</v>
      </c>
      <c r="T41" s="77">
        <f t="shared" si="1"/>
        <v>0</v>
      </c>
    </row>
    <row r="42" spans="1:20" x14ac:dyDescent="0.2">
      <c r="A42" s="425">
        <v>35</v>
      </c>
      <c r="B42" s="83"/>
      <c r="C42" s="152"/>
      <c r="D42" s="87" t="s">
        <v>176</v>
      </c>
      <c r="E42" s="428">
        <v>82</v>
      </c>
      <c r="F42" s="403" t="s">
        <v>104</v>
      </c>
      <c r="G42" s="403" t="s">
        <v>104</v>
      </c>
      <c r="H42" s="403" t="s">
        <v>104</v>
      </c>
      <c r="I42" s="403" t="s">
        <v>104</v>
      </c>
      <c r="J42" s="403" t="s">
        <v>104</v>
      </c>
      <c r="K42" s="76">
        <v>34</v>
      </c>
      <c r="L42" s="76">
        <v>12</v>
      </c>
      <c r="M42" s="76">
        <v>1</v>
      </c>
      <c r="N42" s="76">
        <v>8</v>
      </c>
      <c r="O42" s="76">
        <v>16</v>
      </c>
      <c r="P42" s="76">
        <v>10</v>
      </c>
      <c r="Q42" s="76">
        <v>1</v>
      </c>
      <c r="R42" s="77">
        <f t="shared" si="2"/>
        <v>7</v>
      </c>
      <c r="S42" s="77">
        <f t="shared" si="0"/>
        <v>1</v>
      </c>
      <c r="T42" s="77">
        <f t="shared" si="1"/>
        <v>0</v>
      </c>
    </row>
    <row r="43" spans="1:20" x14ac:dyDescent="0.2">
      <c r="A43" s="425">
        <v>36</v>
      </c>
      <c r="B43" s="83"/>
      <c r="C43" s="152"/>
      <c r="D43" s="84" t="s">
        <v>173</v>
      </c>
      <c r="E43" s="428">
        <v>82</v>
      </c>
      <c r="F43" s="76">
        <v>22</v>
      </c>
      <c r="G43" s="403" t="s">
        <v>104</v>
      </c>
      <c r="H43" s="403" t="s">
        <v>104</v>
      </c>
      <c r="I43" s="403" t="s">
        <v>104</v>
      </c>
      <c r="J43" s="403" t="s">
        <v>104</v>
      </c>
      <c r="K43" s="76">
        <v>6</v>
      </c>
      <c r="L43" s="403" t="s">
        <v>104</v>
      </c>
      <c r="M43" s="81">
        <v>1</v>
      </c>
      <c r="N43" s="76">
        <v>1</v>
      </c>
      <c r="O43" s="76">
        <v>20</v>
      </c>
      <c r="P43" s="76">
        <v>22</v>
      </c>
      <c r="Q43" s="76">
        <v>10</v>
      </c>
      <c r="R43" s="77">
        <f t="shared" si="2"/>
        <v>7</v>
      </c>
      <c r="S43" s="77">
        <f t="shared" si="0"/>
        <v>0</v>
      </c>
      <c r="T43" s="77">
        <f t="shared" si="1"/>
        <v>0</v>
      </c>
    </row>
    <row r="44" spans="1:20" x14ac:dyDescent="0.2">
      <c r="A44" s="425">
        <v>37</v>
      </c>
      <c r="B44" s="83"/>
      <c r="C44" s="152"/>
      <c r="D44" s="82" t="s">
        <v>138</v>
      </c>
      <c r="E44" s="428">
        <v>72</v>
      </c>
      <c r="F44" s="403" t="s">
        <v>104</v>
      </c>
      <c r="G44" s="76">
        <v>10</v>
      </c>
      <c r="H44" s="403" t="s">
        <v>104</v>
      </c>
      <c r="I44" s="403" t="s">
        <v>104</v>
      </c>
      <c r="J44" s="403" t="s">
        <v>104</v>
      </c>
      <c r="K44" s="76">
        <v>6</v>
      </c>
      <c r="L44" s="76">
        <v>2</v>
      </c>
      <c r="M44" s="403" t="s">
        <v>104</v>
      </c>
      <c r="N44" s="76">
        <v>12</v>
      </c>
      <c r="O44" s="76">
        <v>20</v>
      </c>
      <c r="P44" s="76">
        <v>22</v>
      </c>
      <c r="Q44" s="76"/>
      <c r="R44" s="77">
        <f t="shared" si="2"/>
        <v>6</v>
      </c>
      <c r="S44" s="77">
        <f t="shared" si="0"/>
        <v>0</v>
      </c>
      <c r="T44" s="77">
        <f t="shared" si="1"/>
        <v>0</v>
      </c>
    </row>
    <row r="45" spans="1:20" x14ac:dyDescent="0.2">
      <c r="A45" s="425">
        <v>38</v>
      </c>
      <c r="B45" s="83"/>
      <c r="C45" s="152"/>
      <c r="D45" s="87" t="s">
        <v>139</v>
      </c>
      <c r="E45" s="428">
        <v>70</v>
      </c>
      <c r="F45" s="403" t="s">
        <v>104</v>
      </c>
      <c r="G45" s="403" t="s">
        <v>104</v>
      </c>
      <c r="H45" s="403" t="s">
        <v>104</v>
      </c>
      <c r="I45" s="403" t="s">
        <v>104</v>
      </c>
      <c r="J45" s="403" t="s">
        <v>104</v>
      </c>
      <c r="K45" s="403" t="s">
        <v>104</v>
      </c>
      <c r="L45" s="76">
        <v>34</v>
      </c>
      <c r="M45" s="76">
        <v>1</v>
      </c>
      <c r="N45" s="76">
        <v>1</v>
      </c>
      <c r="O45" s="76">
        <v>12</v>
      </c>
      <c r="P45" s="76">
        <v>8</v>
      </c>
      <c r="Q45" s="76">
        <v>14</v>
      </c>
      <c r="R45" s="77">
        <f t="shared" si="2"/>
        <v>6</v>
      </c>
      <c r="S45" s="77">
        <f t="shared" si="0"/>
        <v>1</v>
      </c>
      <c r="T45" s="77">
        <f t="shared" si="1"/>
        <v>0</v>
      </c>
    </row>
    <row r="46" spans="1:20" x14ac:dyDescent="0.2">
      <c r="A46" s="425">
        <v>39</v>
      </c>
      <c r="B46" s="83">
        <v>6</v>
      </c>
      <c r="C46" s="152"/>
      <c r="D46" s="88" t="s">
        <v>140</v>
      </c>
      <c r="E46" s="428">
        <v>56</v>
      </c>
      <c r="F46" s="76">
        <v>24</v>
      </c>
      <c r="G46" s="403" t="s">
        <v>104</v>
      </c>
      <c r="H46" s="403" t="s">
        <v>104</v>
      </c>
      <c r="I46" s="403" t="s">
        <v>104</v>
      </c>
      <c r="J46" s="403" t="s">
        <v>104</v>
      </c>
      <c r="K46" s="76">
        <v>12</v>
      </c>
      <c r="L46" s="403" t="s">
        <v>104</v>
      </c>
      <c r="M46" s="76"/>
      <c r="N46" s="76"/>
      <c r="O46" s="76"/>
      <c r="P46" s="76">
        <v>20</v>
      </c>
      <c r="Q46" s="76"/>
      <c r="R46" s="77">
        <f t="shared" si="2"/>
        <v>3</v>
      </c>
      <c r="S46" s="77">
        <f t="shared" si="0"/>
        <v>0</v>
      </c>
      <c r="T46" s="77">
        <f t="shared" si="1"/>
        <v>0</v>
      </c>
    </row>
    <row r="47" spans="1:20" x14ac:dyDescent="0.2">
      <c r="A47" s="425">
        <v>40</v>
      </c>
      <c r="B47" s="83"/>
      <c r="C47" s="152"/>
      <c r="D47" s="82" t="s">
        <v>141</v>
      </c>
      <c r="E47" s="428">
        <v>55</v>
      </c>
      <c r="F47" s="403" t="s">
        <v>104</v>
      </c>
      <c r="G47" s="403" t="s">
        <v>104</v>
      </c>
      <c r="H47" s="403" t="s">
        <v>104</v>
      </c>
      <c r="I47" s="403" t="s">
        <v>104</v>
      </c>
      <c r="J47" s="403" t="s">
        <v>104</v>
      </c>
      <c r="K47" s="76"/>
      <c r="L47" s="76"/>
      <c r="M47" s="76">
        <v>1</v>
      </c>
      <c r="N47" s="76">
        <v>18</v>
      </c>
      <c r="O47" s="76">
        <v>18</v>
      </c>
      <c r="P47" s="76">
        <v>10</v>
      </c>
      <c r="Q47" s="76">
        <v>8</v>
      </c>
      <c r="R47" s="77">
        <f t="shared" si="2"/>
        <v>5</v>
      </c>
      <c r="S47" s="77">
        <f t="shared" si="0"/>
        <v>0</v>
      </c>
      <c r="T47" s="77">
        <f t="shared" si="1"/>
        <v>0</v>
      </c>
    </row>
    <row r="48" spans="1:20" x14ac:dyDescent="0.2">
      <c r="A48" s="425">
        <v>41</v>
      </c>
      <c r="B48" s="83"/>
      <c r="C48" s="152"/>
      <c r="D48" s="82" t="s">
        <v>142</v>
      </c>
      <c r="E48" s="428">
        <v>52</v>
      </c>
      <c r="F48" s="76">
        <v>12</v>
      </c>
      <c r="G48" s="76">
        <v>4</v>
      </c>
      <c r="H48" s="76">
        <v>22</v>
      </c>
      <c r="I48" s="403" t="s">
        <v>104</v>
      </c>
      <c r="J48" s="403" t="s">
        <v>104</v>
      </c>
      <c r="K48" s="76">
        <v>8</v>
      </c>
      <c r="L48" s="76">
        <v>4</v>
      </c>
      <c r="M48" s="403" t="s">
        <v>104</v>
      </c>
      <c r="N48" s="76">
        <v>2</v>
      </c>
      <c r="O48" s="76"/>
      <c r="P48" s="76"/>
      <c r="Q48" s="76"/>
      <c r="R48" s="77">
        <f t="shared" si="2"/>
        <v>6</v>
      </c>
      <c r="S48" s="77">
        <f t="shared" si="0"/>
        <v>0</v>
      </c>
      <c r="T48" s="77">
        <f t="shared" si="1"/>
        <v>0</v>
      </c>
    </row>
    <row r="49" spans="1:20" x14ac:dyDescent="0.2">
      <c r="A49" s="425">
        <v>42</v>
      </c>
      <c r="B49" s="83">
        <v>7</v>
      </c>
      <c r="C49" s="152">
        <v>2</v>
      </c>
      <c r="D49" s="89" t="s">
        <v>143</v>
      </c>
      <c r="E49" s="428">
        <v>45</v>
      </c>
      <c r="F49" s="403" t="s">
        <v>104</v>
      </c>
      <c r="G49" s="403" t="s">
        <v>104</v>
      </c>
      <c r="H49" s="403" t="s">
        <v>104</v>
      </c>
      <c r="I49" s="403" t="s">
        <v>104</v>
      </c>
      <c r="J49" s="76">
        <v>18</v>
      </c>
      <c r="K49" s="403" t="s">
        <v>104</v>
      </c>
      <c r="L49" s="76">
        <v>1</v>
      </c>
      <c r="M49" s="76"/>
      <c r="N49" s="76">
        <v>4</v>
      </c>
      <c r="O49" s="76"/>
      <c r="P49" s="76">
        <v>18</v>
      </c>
      <c r="Q49" s="76">
        <v>4</v>
      </c>
      <c r="R49" s="77">
        <f t="shared" si="2"/>
        <v>5</v>
      </c>
      <c r="S49" s="77">
        <f t="shared" si="0"/>
        <v>0</v>
      </c>
      <c r="T49" s="77">
        <f t="shared" si="1"/>
        <v>0</v>
      </c>
    </row>
    <row r="50" spans="1:20" x14ac:dyDescent="0.2">
      <c r="A50" s="425">
        <v>43</v>
      </c>
      <c r="B50" s="83"/>
      <c r="C50" s="152"/>
      <c r="D50" s="82" t="s">
        <v>144</v>
      </c>
      <c r="E50" s="428">
        <v>42</v>
      </c>
      <c r="F50" s="403" t="s">
        <v>104</v>
      </c>
      <c r="G50" s="76">
        <v>24</v>
      </c>
      <c r="H50" s="76">
        <v>2</v>
      </c>
      <c r="I50" s="403" t="s">
        <v>104</v>
      </c>
      <c r="J50" s="403" t="s">
        <v>104</v>
      </c>
      <c r="K50" s="403" t="s">
        <v>104</v>
      </c>
      <c r="L50" s="76">
        <v>6</v>
      </c>
      <c r="M50" s="76">
        <v>10</v>
      </c>
      <c r="N50" s="403" t="s">
        <v>104</v>
      </c>
      <c r="O50" s="76"/>
      <c r="P50" s="76"/>
      <c r="Q50" s="76"/>
      <c r="R50" s="77">
        <f t="shared" si="2"/>
        <v>4</v>
      </c>
      <c r="S50" s="77">
        <f t="shared" si="0"/>
        <v>0</v>
      </c>
      <c r="T50" s="77">
        <f t="shared" si="1"/>
        <v>0</v>
      </c>
    </row>
    <row r="51" spans="1:20" x14ac:dyDescent="0.2">
      <c r="A51" s="425">
        <v>44</v>
      </c>
      <c r="B51" s="83"/>
      <c r="C51" s="152"/>
      <c r="D51" s="85" t="s">
        <v>145</v>
      </c>
      <c r="E51" s="428">
        <v>34</v>
      </c>
      <c r="F51" s="403" t="s">
        <v>104</v>
      </c>
      <c r="G51" s="403" t="s">
        <v>104</v>
      </c>
      <c r="H51" s="403" t="s">
        <v>104</v>
      </c>
      <c r="I51" s="403" t="s">
        <v>104</v>
      </c>
      <c r="J51" s="403" t="s">
        <v>104</v>
      </c>
      <c r="K51" s="76"/>
      <c r="L51" s="76"/>
      <c r="M51" s="76"/>
      <c r="N51" s="76">
        <v>34</v>
      </c>
      <c r="O51" s="76"/>
      <c r="P51" s="76"/>
      <c r="Q51" s="76"/>
      <c r="R51" s="77">
        <f t="shared" si="2"/>
        <v>1</v>
      </c>
      <c r="S51" s="77">
        <f t="shared" si="0"/>
        <v>1</v>
      </c>
      <c r="T51" s="77">
        <f t="shared" si="1"/>
        <v>0</v>
      </c>
    </row>
    <row r="52" spans="1:20" x14ac:dyDescent="0.2">
      <c r="A52" s="425">
        <v>45</v>
      </c>
      <c r="B52" s="83"/>
      <c r="C52" s="152"/>
      <c r="D52" s="87" t="s">
        <v>381</v>
      </c>
      <c r="E52" s="428">
        <v>30</v>
      </c>
      <c r="F52" s="403" t="s">
        <v>104</v>
      </c>
      <c r="G52" s="403" t="s">
        <v>104</v>
      </c>
      <c r="H52" s="403" t="s">
        <v>104</v>
      </c>
      <c r="I52" s="403" t="s">
        <v>104</v>
      </c>
      <c r="J52" s="403" t="s">
        <v>104</v>
      </c>
      <c r="K52" s="76">
        <v>30</v>
      </c>
      <c r="L52" s="76"/>
      <c r="M52" s="76"/>
      <c r="N52" s="76"/>
      <c r="O52" s="76"/>
      <c r="P52" s="76"/>
      <c r="Q52" s="76"/>
      <c r="R52" s="77">
        <f t="shared" si="2"/>
        <v>1</v>
      </c>
      <c r="S52" s="77">
        <f t="shared" si="0"/>
        <v>1</v>
      </c>
      <c r="T52" s="77">
        <f t="shared" si="1"/>
        <v>0</v>
      </c>
    </row>
    <row r="53" spans="1:20" x14ac:dyDescent="0.2">
      <c r="A53" s="425">
        <v>46</v>
      </c>
      <c r="B53" s="83"/>
      <c r="C53" s="152"/>
      <c r="D53" s="84" t="s">
        <v>146</v>
      </c>
      <c r="E53" s="428">
        <v>28</v>
      </c>
      <c r="F53" s="76">
        <v>22</v>
      </c>
      <c r="G53" s="403" t="s">
        <v>104</v>
      </c>
      <c r="H53" s="403" t="s">
        <v>104</v>
      </c>
      <c r="I53" s="403" t="s">
        <v>104</v>
      </c>
      <c r="J53" s="403" t="s">
        <v>104</v>
      </c>
      <c r="K53" s="76">
        <v>6</v>
      </c>
      <c r="L53" s="403" t="s">
        <v>104</v>
      </c>
      <c r="M53" s="76"/>
      <c r="N53" s="76"/>
      <c r="O53" s="76"/>
      <c r="P53" s="76"/>
      <c r="Q53" s="76"/>
      <c r="R53" s="77">
        <f t="shared" si="2"/>
        <v>2</v>
      </c>
      <c r="S53" s="77">
        <f t="shared" si="0"/>
        <v>0</v>
      </c>
      <c r="T53" s="77">
        <f t="shared" si="1"/>
        <v>0</v>
      </c>
    </row>
    <row r="54" spans="1:20" x14ac:dyDescent="0.2">
      <c r="A54" s="425">
        <v>47</v>
      </c>
      <c r="B54" s="83"/>
      <c r="C54" s="152">
        <v>3</v>
      </c>
      <c r="D54" s="86" t="s">
        <v>147</v>
      </c>
      <c r="E54" s="428">
        <v>24</v>
      </c>
      <c r="F54" s="76">
        <v>24</v>
      </c>
      <c r="G54" s="403" t="s">
        <v>104</v>
      </c>
      <c r="H54" s="403" t="s">
        <v>104</v>
      </c>
      <c r="I54" s="403" t="s">
        <v>104</v>
      </c>
      <c r="J54" s="403" t="s">
        <v>104</v>
      </c>
      <c r="K54" s="403" t="s">
        <v>104</v>
      </c>
      <c r="L54" s="76"/>
      <c r="M54" s="76"/>
      <c r="N54" s="76"/>
      <c r="O54" s="76"/>
      <c r="P54" s="76"/>
      <c r="Q54" s="76"/>
      <c r="R54" s="77">
        <f t="shared" si="2"/>
        <v>1</v>
      </c>
      <c r="S54" s="77">
        <f t="shared" si="0"/>
        <v>0</v>
      </c>
      <c r="T54" s="77">
        <f t="shared" si="1"/>
        <v>0</v>
      </c>
    </row>
    <row r="55" spans="1:20" x14ac:dyDescent="0.2">
      <c r="A55" s="425">
        <v>48</v>
      </c>
      <c r="B55" s="83"/>
      <c r="C55" s="152">
        <v>4</v>
      </c>
      <c r="D55" s="86" t="s">
        <v>148</v>
      </c>
      <c r="E55" s="428">
        <v>24</v>
      </c>
      <c r="F55" s="76">
        <v>12</v>
      </c>
      <c r="G55" s="76">
        <v>4</v>
      </c>
      <c r="H55" s="403" t="s">
        <v>104</v>
      </c>
      <c r="I55" s="403" t="s">
        <v>104</v>
      </c>
      <c r="J55" s="403" t="s">
        <v>104</v>
      </c>
      <c r="K55" s="76">
        <v>8</v>
      </c>
      <c r="L55" s="403" t="s">
        <v>104</v>
      </c>
      <c r="M55" s="76"/>
      <c r="N55" s="76"/>
      <c r="O55" s="76"/>
      <c r="P55" s="76"/>
      <c r="Q55" s="76"/>
      <c r="R55" s="77">
        <f t="shared" si="2"/>
        <v>3</v>
      </c>
      <c r="S55" s="77">
        <f t="shared" si="0"/>
        <v>0</v>
      </c>
      <c r="T55" s="77">
        <f t="shared" si="1"/>
        <v>0</v>
      </c>
    </row>
    <row r="56" spans="1:20" x14ac:dyDescent="0.2">
      <c r="A56" s="425">
        <v>49</v>
      </c>
      <c r="B56" s="83">
        <v>8</v>
      </c>
      <c r="C56" s="152"/>
      <c r="D56" s="88" t="s">
        <v>149</v>
      </c>
      <c r="E56" s="428">
        <v>22</v>
      </c>
      <c r="F56" s="403" t="s">
        <v>104</v>
      </c>
      <c r="G56" s="403" t="s">
        <v>104</v>
      </c>
      <c r="H56" s="403" t="s">
        <v>104</v>
      </c>
      <c r="I56" s="403" t="s">
        <v>104</v>
      </c>
      <c r="J56" s="403" t="s">
        <v>104</v>
      </c>
      <c r="K56" s="76"/>
      <c r="L56" s="76"/>
      <c r="M56" s="76">
        <v>1</v>
      </c>
      <c r="N56" s="76">
        <v>1</v>
      </c>
      <c r="O56" s="76">
        <v>12</v>
      </c>
      <c r="P56" s="76">
        <v>8</v>
      </c>
      <c r="Q56" s="76"/>
      <c r="R56" s="77">
        <f t="shared" si="2"/>
        <v>4</v>
      </c>
      <c r="S56" s="77">
        <f t="shared" si="0"/>
        <v>0</v>
      </c>
      <c r="T56" s="77">
        <f t="shared" si="1"/>
        <v>0</v>
      </c>
    </row>
    <row r="57" spans="1:20" x14ac:dyDescent="0.2">
      <c r="A57" s="425">
        <v>50</v>
      </c>
      <c r="B57" s="83"/>
      <c r="C57" s="152"/>
      <c r="D57" s="87" t="s">
        <v>382</v>
      </c>
      <c r="E57" s="428">
        <v>18</v>
      </c>
      <c r="F57" s="403" t="s">
        <v>104</v>
      </c>
      <c r="G57" s="403" t="s">
        <v>104</v>
      </c>
      <c r="H57" s="403" t="s">
        <v>104</v>
      </c>
      <c r="I57" s="403" t="s">
        <v>104</v>
      </c>
      <c r="J57" s="403" t="s">
        <v>104</v>
      </c>
      <c r="K57" s="76">
        <v>18</v>
      </c>
      <c r="L57" s="76"/>
      <c r="M57" s="76"/>
      <c r="N57" s="76"/>
      <c r="O57" s="76"/>
      <c r="P57" s="76"/>
      <c r="Q57" s="76"/>
      <c r="R57" s="77">
        <f t="shared" si="2"/>
        <v>1</v>
      </c>
      <c r="S57" s="77">
        <f t="shared" si="0"/>
        <v>0</v>
      </c>
      <c r="T57" s="77">
        <f t="shared" si="1"/>
        <v>0</v>
      </c>
    </row>
    <row r="58" spans="1:20" x14ac:dyDescent="0.2">
      <c r="A58" s="425">
        <v>50</v>
      </c>
      <c r="B58" s="83">
        <v>9</v>
      </c>
      <c r="C58" s="152"/>
      <c r="D58" s="88" t="s">
        <v>150</v>
      </c>
      <c r="E58" s="428">
        <v>18</v>
      </c>
      <c r="F58" s="403" t="s">
        <v>104</v>
      </c>
      <c r="G58" s="403" t="s">
        <v>104</v>
      </c>
      <c r="H58" s="403" t="s">
        <v>104</v>
      </c>
      <c r="I58" s="403" t="s">
        <v>104</v>
      </c>
      <c r="J58" s="403" t="s">
        <v>104</v>
      </c>
      <c r="K58" s="76"/>
      <c r="L58" s="76">
        <v>18</v>
      </c>
      <c r="M58" s="76"/>
      <c r="N58" s="76"/>
      <c r="O58" s="76"/>
      <c r="P58" s="76"/>
      <c r="Q58" s="76"/>
      <c r="R58" s="77">
        <f t="shared" si="2"/>
        <v>1</v>
      </c>
      <c r="S58" s="77">
        <f t="shared" si="0"/>
        <v>0</v>
      </c>
      <c r="T58" s="77">
        <f t="shared" si="1"/>
        <v>0</v>
      </c>
    </row>
    <row r="59" spans="1:20" x14ac:dyDescent="0.2">
      <c r="A59" s="425">
        <v>50</v>
      </c>
      <c r="B59" s="83">
        <v>9</v>
      </c>
      <c r="C59" s="152"/>
      <c r="D59" s="88" t="s">
        <v>151</v>
      </c>
      <c r="E59" s="428">
        <v>18</v>
      </c>
      <c r="F59" s="403" t="s">
        <v>104</v>
      </c>
      <c r="G59" s="403" t="s">
        <v>104</v>
      </c>
      <c r="H59" s="403" t="s">
        <v>104</v>
      </c>
      <c r="I59" s="403" t="s">
        <v>104</v>
      </c>
      <c r="J59" s="403" t="s">
        <v>104</v>
      </c>
      <c r="K59" s="76"/>
      <c r="L59" s="76"/>
      <c r="M59" s="76"/>
      <c r="N59" s="76"/>
      <c r="O59" s="76"/>
      <c r="P59" s="76">
        <v>18</v>
      </c>
      <c r="Q59" s="76"/>
      <c r="R59" s="77">
        <f t="shared" si="2"/>
        <v>1</v>
      </c>
      <c r="S59" s="77">
        <f t="shared" si="0"/>
        <v>0</v>
      </c>
      <c r="T59" s="77">
        <f t="shared" si="1"/>
        <v>0</v>
      </c>
    </row>
    <row r="60" spans="1:20" x14ac:dyDescent="0.2">
      <c r="A60" s="425">
        <v>50</v>
      </c>
      <c r="B60" s="83"/>
      <c r="C60" s="152"/>
      <c r="D60" s="84" t="s">
        <v>152</v>
      </c>
      <c r="E60" s="428">
        <v>18</v>
      </c>
      <c r="F60" s="403" t="s">
        <v>104</v>
      </c>
      <c r="G60" s="403" t="s">
        <v>104</v>
      </c>
      <c r="H60" s="403" t="s">
        <v>104</v>
      </c>
      <c r="I60" s="403" t="s">
        <v>104</v>
      </c>
      <c r="J60" s="403" t="s">
        <v>104</v>
      </c>
      <c r="K60" s="76"/>
      <c r="L60" s="76"/>
      <c r="M60" s="76"/>
      <c r="N60" s="76"/>
      <c r="O60" s="76"/>
      <c r="P60" s="76">
        <v>18</v>
      </c>
      <c r="Q60" s="76"/>
      <c r="R60" s="77">
        <f t="shared" si="2"/>
        <v>1</v>
      </c>
      <c r="S60" s="77">
        <f t="shared" si="0"/>
        <v>0</v>
      </c>
      <c r="T60" s="77">
        <f t="shared" si="1"/>
        <v>0</v>
      </c>
    </row>
    <row r="61" spans="1:20" x14ac:dyDescent="0.2">
      <c r="A61" s="425">
        <v>54</v>
      </c>
      <c r="B61" s="83">
        <v>11</v>
      </c>
      <c r="C61" s="152">
        <v>5</v>
      </c>
      <c r="D61" s="90" t="s">
        <v>153</v>
      </c>
      <c r="E61" s="428">
        <v>16</v>
      </c>
      <c r="F61" s="403" t="s">
        <v>104</v>
      </c>
      <c r="G61" s="403" t="s">
        <v>104</v>
      </c>
      <c r="H61" s="403" t="s">
        <v>104</v>
      </c>
      <c r="I61" s="403" t="s">
        <v>104</v>
      </c>
      <c r="J61" s="403" t="s">
        <v>104</v>
      </c>
      <c r="K61" s="76"/>
      <c r="L61" s="76"/>
      <c r="M61" s="76"/>
      <c r="N61" s="76"/>
      <c r="O61" s="76">
        <v>16</v>
      </c>
      <c r="P61" s="76"/>
      <c r="Q61" s="76"/>
      <c r="R61" s="77">
        <f t="shared" si="2"/>
        <v>1</v>
      </c>
      <c r="S61" s="77">
        <f t="shared" si="0"/>
        <v>0</v>
      </c>
      <c r="T61" s="77">
        <f t="shared" si="1"/>
        <v>0</v>
      </c>
    </row>
    <row r="62" spans="1:20" x14ac:dyDescent="0.2">
      <c r="A62" s="425">
        <v>55</v>
      </c>
      <c r="B62" s="83"/>
      <c r="C62" s="152"/>
      <c r="D62" s="84" t="s">
        <v>154</v>
      </c>
      <c r="E62" s="428">
        <v>12</v>
      </c>
      <c r="F62" s="76">
        <v>12</v>
      </c>
      <c r="G62" s="403" t="s">
        <v>104</v>
      </c>
      <c r="H62" s="403" t="s">
        <v>104</v>
      </c>
      <c r="I62" s="403" t="s">
        <v>104</v>
      </c>
      <c r="J62" s="403" t="s">
        <v>104</v>
      </c>
      <c r="K62" s="403" t="s">
        <v>104</v>
      </c>
      <c r="L62" s="76"/>
      <c r="M62" s="76"/>
      <c r="N62" s="76"/>
      <c r="O62" s="76"/>
      <c r="P62" s="76"/>
      <c r="Q62" s="76"/>
      <c r="R62" s="77">
        <f t="shared" si="2"/>
        <v>1</v>
      </c>
      <c r="S62" s="77">
        <f t="shared" si="0"/>
        <v>0</v>
      </c>
      <c r="T62" s="77">
        <f t="shared" si="1"/>
        <v>0</v>
      </c>
    </row>
    <row r="63" spans="1:20" x14ac:dyDescent="0.2">
      <c r="A63" s="425">
        <v>55</v>
      </c>
      <c r="B63" s="83">
        <v>12</v>
      </c>
      <c r="C63" s="152"/>
      <c r="D63" s="88" t="s">
        <v>155</v>
      </c>
      <c r="E63" s="428">
        <v>12</v>
      </c>
      <c r="F63" s="403" t="s">
        <v>104</v>
      </c>
      <c r="G63" s="76">
        <v>12</v>
      </c>
      <c r="H63" s="403" t="s">
        <v>104</v>
      </c>
      <c r="I63" s="403" t="s">
        <v>104</v>
      </c>
      <c r="J63" s="403" t="s">
        <v>104</v>
      </c>
      <c r="K63" s="403" t="s">
        <v>104</v>
      </c>
      <c r="L63" s="76"/>
      <c r="M63" s="76"/>
      <c r="N63" s="76"/>
      <c r="O63" s="76"/>
      <c r="P63" s="76"/>
      <c r="Q63" s="76"/>
      <c r="R63" s="77">
        <f t="shared" si="2"/>
        <v>1</v>
      </c>
      <c r="S63" s="77">
        <f t="shared" si="0"/>
        <v>0</v>
      </c>
      <c r="T63" s="77">
        <f t="shared" si="1"/>
        <v>0</v>
      </c>
    </row>
    <row r="64" spans="1:20" x14ac:dyDescent="0.2">
      <c r="A64" s="425">
        <v>55</v>
      </c>
      <c r="B64" s="83"/>
      <c r="C64" s="152"/>
      <c r="D64" s="87" t="s">
        <v>379</v>
      </c>
      <c r="E64" s="428">
        <v>12</v>
      </c>
      <c r="F64" s="403" t="s">
        <v>104</v>
      </c>
      <c r="G64" s="403" t="s">
        <v>104</v>
      </c>
      <c r="H64" s="403" t="s">
        <v>104</v>
      </c>
      <c r="I64" s="403" t="s">
        <v>104</v>
      </c>
      <c r="J64" s="403" t="s">
        <v>104</v>
      </c>
      <c r="K64" s="76"/>
      <c r="L64" s="76"/>
      <c r="M64" s="76"/>
      <c r="N64" s="76">
        <v>12</v>
      </c>
      <c r="O64" s="76"/>
      <c r="P64" s="76"/>
      <c r="Q64" s="76"/>
      <c r="R64" s="77">
        <f t="shared" si="2"/>
        <v>1</v>
      </c>
      <c r="S64" s="77">
        <f t="shared" si="0"/>
        <v>0</v>
      </c>
      <c r="T64" s="77">
        <f t="shared" si="1"/>
        <v>0</v>
      </c>
    </row>
    <row r="65" spans="1:20" x14ac:dyDescent="0.2">
      <c r="A65" s="425">
        <v>58</v>
      </c>
      <c r="B65" s="83">
        <v>13</v>
      </c>
      <c r="C65" s="152"/>
      <c r="D65" s="91" t="s">
        <v>383</v>
      </c>
      <c r="E65" s="428">
        <v>10</v>
      </c>
      <c r="F65" s="403" t="s">
        <v>104</v>
      </c>
      <c r="G65" s="403" t="s">
        <v>104</v>
      </c>
      <c r="H65" s="403" t="s">
        <v>104</v>
      </c>
      <c r="I65" s="403" t="s">
        <v>104</v>
      </c>
      <c r="J65" s="403" t="s">
        <v>104</v>
      </c>
      <c r="K65" s="76">
        <v>10</v>
      </c>
      <c r="L65" s="76"/>
      <c r="M65" s="76"/>
      <c r="N65" s="76"/>
      <c r="O65" s="76"/>
      <c r="P65" s="76"/>
      <c r="Q65" s="76"/>
      <c r="R65" s="77">
        <f t="shared" si="2"/>
        <v>1</v>
      </c>
      <c r="S65" s="77">
        <f t="shared" si="0"/>
        <v>0</v>
      </c>
      <c r="T65" s="77">
        <f t="shared" si="1"/>
        <v>0</v>
      </c>
    </row>
    <row r="66" spans="1:20" x14ac:dyDescent="0.2">
      <c r="A66" s="425">
        <v>59</v>
      </c>
      <c r="B66" s="83"/>
      <c r="C66" s="152"/>
      <c r="D66" s="87" t="s">
        <v>384</v>
      </c>
      <c r="E66" s="428">
        <v>10</v>
      </c>
      <c r="F66" s="403" t="s">
        <v>104</v>
      </c>
      <c r="G66" s="403" t="s">
        <v>104</v>
      </c>
      <c r="H66" s="403" t="s">
        <v>104</v>
      </c>
      <c r="I66" s="403" t="s">
        <v>104</v>
      </c>
      <c r="J66" s="403" t="s">
        <v>104</v>
      </c>
      <c r="K66" s="76">
        <v>8</v>
      </c>
      <c r="L66" s="76"/>
      <c r="M66" s="76"/>
      <c r="N66" s="76">
        <v>2</v>
      </c>
      <c r="O66" s="76"/>
      <c r="P66" s="76"/>
      <c r="Q66" s="76"/>
      <c r="R66" s="77">
        <f t="shared" si="2"/>
        <v>2</v>
      </c>
      <c r="S66" s="77">
        <f t="shared" si="0"/>
        <v>0</v>
      </c>
      <c r="T66" s="77">
        <f t="shared" si="1"/>
        <v>0</v>
      </c>
    </row>
    <row r="67" spans="1:20" x14ac:dyDescent="0.2">
      <c r="A67" s="425">
        <v>60</v>
      </c>
      <c r="B67" s="83"/>
      <c r="C67" s="152"/>
      <c r="D67" s="84" t="s">
        <v>157</v>
      </c>
      <c r="E67" s="428">
        <v>8</v>
      </c>
      <c r="F67" s="403" t="s">
        <v>104</v>
      </c>
      <c r="G67" s="403" t="s">
        <v>104</v>
      </c>
      <c r="H67" s="403" t="s">
        <v>104</v>
      </c>
      <c r="I67" s="403" t="s">
        <v>104</v>
      </c>
      <c r="J67" s="403" t="s">
        <v>104</v>
      </c>
      <c r="K67" s="76"/>
      <c r="L67" s="76"/>
      <c r="M67" s="76"/>
      <c r="N67" s="76"/>
      <c r="O67" s="76"/>
      <c r="P67" s="76"/>
      <c r="Q67" s="76">
        <v>8</v>
      </c>
      <c r="R67" s="77">
        <f t="shared" si="2"/>
        <v>1</v>
      </c>
      <c r="S67" s="77">
        <f t="shared" si="0"/>
        <v>0</v>
      </c>
      <c r="T67" s="77">
        <f t="shared" si="1"/>
        <v>0</v>
      </c>
    </row>
    <row r="68" spans="1:20" x14ac:dyDescent="0.2">
      <c r="A68" s="425">
        <v>61</v>
      </c>
      <c r="B68" s="83">
        <v>14</v>
      </c>
      <c r="C68" s="152">
        <v>6</v>
      </c>
      <c r="D68" s="89" t="s">
        <v>158</v>
      </c>
      <c r="E68" s="428">
        <v>7</v>
      </c>
      <c r="F68" s="403" t="s">
        <v>104</v>
      </c>
      <c r="G68" s="403" t="s">
        <v>104</v>
      </c>
      <c r="H68" s="403" t="s">
        <v>104</v>
      </c>
      <c r="I68" s="403" t="s">
        <v>104</v>
      </c>
      <c r="J68" s="76">
        <v>6</v>
      </c>
      <c r="K68" s="403" t="s">
        <v>104</v>
      </c>
      <c r="L68" s="76">
        <v>1</v>
      </c>
      <c r="M68" s="76"/>
      <c r="N68" s="76"/>
      <c r="O68" s="76"/>
      <c r="P68" s="76"/>
      <c r="Q68" s="76"/>
      <c r="R68" s="77">
        <f t="shared" si="2"/>
        <v>2</v>
      </c>
      <c r="S68" s="77">
        <f t="shared" si="0"/>
        <v>0</v>
      </c>
      <c r="T68" s="77">
        <f t="shared" si="1"/>
        <v>0</v>
      </c>
    </row>
    <row r="69" spans="1:20" x14ac:dyDescent="0.2">
      <c r="A69" s="425">
        <v>62</v>
      </c>
      <c r="B69" s="83"/>
      <c r="C69" s="152"/>
      <c r="D69" s="84" t="s">
        <v>159</v>
      </c>
      <c r="E69" s="428">
        <v>4</v>
      </c>
      <c r="F69" s="403" t="s">
        <v>104</v>
      </c>
      <c r="G69" s="403" t="s">
        <v>104</v>
      </c>
      <c r="H69" s="403" t="s">
        <v>104</v>
      </c>
      <c r="I69" s="403" t="s">
        <v>104</v>
      </c>
      <c r="J69" s="403" t="s">
        <v>104</v>
      </c>
      <c r="K69" s="76"/>
      <c r="L69" s="76">
        <v>4</v>
      </c>
      <c r="M69" s="76"/>
      <c r="N69" s="76"/>
      <c r="O69" s="76"/>
      <c r="P69" s="76"/>
      <c r="Q69" s="76"/>
      <c r="R69" s="77">
        <f t="shared" si="2"/>
        <v>1</v>
      </c>
      <c r="S69" s="77">
        <f t="shared" si="0"/>
        <v>0</v>
      </c>
      <c r="T69" s="77">
        <f t="shared" si="1"/>
        <v>0</v>
      </c>
    </row>
    <row r="70" spans="1:20" x14ac:dyDescent="0.2">
      <c r="A70" s="425">
        <v>63</v>
      </c>
      <c r="B70" s="83"/>
      <c r="C70" s="152"/>
      <c r="D70" s="84" t="s">
        <v>160</v>
      </c>
      <c r="E70" s="428">
        <v>2</v>
      </c>
      <c r="F70" s="403" t="s">
        <v>104</v>
      </c>
      <c r="G70" s="76">
        <v>2</v>
      </c>
      <c r="H70" s="403" t="s">
        <v>104</v>
      </c>
      <c r="I70" s="403" t="s">
        <v>104</v>
      </c>
      <c r="J70" s="403" t="s">
        <v>104</v>
      </c>
      <c r="K70" s="76"/>
      <c r="L70" s="76"/>
      <c r="M70" s="76"/>
      <c r="N70" s="76"/>
      <c r="O70" s="76"/>
      <c r="P70" s="76"/>
      <c r="Q70" s="76"/>
      <c r="R70" s="77">
        <f t="shared" si="2"/>
        <v>1</v>
      </c>
      <c r="S70" s="77">
        <f t="shared" si="0"/>
        <v>0</v>
      </c>
      <c r="T70" s="77">
        <f t="shared" si="1"/>
        <v>0</v>
      </c>
    </row>
    <row r="71" spans="1:20" x14ac:dyDescent="0.2">
      <c r="A71" s="425">
        <v>64</v>
      </c>
      <c r="B71" s="83"/>
      <c r="C71" s="152"/>
      <c r="D71" s="84" t="s">
        <v>161</v>
      </c>
      <c r="E71" s="428">
        <v>1</v>
      </c>
      <c r="F71" s="403" t="s">
        <v>104</v>
      </c>
      <c r="G71" s="403" t="s">
        <v>104</v>
      </c>
      <c r="H71" s="403" t="s">
        <v>104</v>
      </c>
      <c r="I71" s="403" t="s">
        <v>104</v>
      </c>
      <c r="J71" s="403" t="s">
        <v>104</v>
      </c>
      <c r="K71" s="76"/>
      <c r="L71" s="76">
        <v>1</v>
      </c>
      <c r="M71" s="76"/>
      <c r="N71" s="76"/>
      <c r="O71" s="76"/>
      <c r="P71" s="76"/>
      <c r="Q71" s="76"/>
      <c r="R71" s="77">
        <f t="shared" si="2"/>
        <v>1</v>
      </c>
      <c r="S71" s="77">
        <f t="shared" si="0"/>
        <v>0</v>
      </c>
      <c r="T71" s="77">
        <f t="shared" si="1"/>
        <v>0</v>
      </c>
    </row>
    <row r="72" spans="1:20" x14ac:dyDescent="0.2">
      <c r="A72" s="425">
        <v>64</v>
      </c>
      <c r="B72" s="83"/>
      <c r="C72" s="152"/>
      <c r="D72" s="84" t="s">
        <v>162</v>
      </c>
      <c r="E72" s="428">
        <v>1</v>
      </c>
      <c r="F72" s="403" t="s">
        <v>104</v>
      </c>
      <c r="G72" s="403" t="s">
        <v>104</v>
      </c>
      <c r="H72" s="403" t="s">
        <v>104</v>
      </c>
      <c r="I72" s="403" t="s">
        <v>104</v>
      </c>
      <c r="J72" s="403" t="s">
        <v>104</v>
      </c>
      <c r="K72" s="76"/>
      <c r="L72" s="76">
        <v>1</v>
      </c>
      <c r="M72" s="76"/>
      <c r="N72" s="76"/>
      <c r="O72" s="76"/>
      <c r="P72" s="76"/>
      <c r="Q72" s="76"/>
      <c r="R72" s="77">
        <f t="shared" si="2"/>
        <v>1</v>
      </c>
      <c r="S72" s="77">
        <f>COUNTIF(F72:Q72,"&gt;=30")</f>
        <v>0</v>
      </c>
      <c r="T72" s="77">
        <f>COUNTIF(F72:Q72,"=40")</f>
        <v>0</v>
      </c>
    </row>
    <row r="73" spans="1:20" x14ac:dyDescent="0.2">
      <c r="A73" s="425">
        <v>64</v>
      </c>
      <c r="B73" s="83"/>
      <c r="C73" s="152"/>
      <c r="D73" s="85" t="s">
        <v>163</v>
      </c>
      <c r="E73" s="428">
        <v>1</v>
      </c>
      <c r="F73" s="403" t="s">
        <v>104</v>
      </c>
      <c r="G73" s="403" t="s">
        <v>104</v>
      </c>
      <c r="H73" s="403" t="s">
        <v>104</v>
      </c>
      <c r="I73" s="403" t="s">
        <v>104</v>
      </c>
      <c r="J73" s="403" t="s">
        <v>104</v>
      </c>
      <c r="K73" s="76"/>
      <c r="L73" s="76">
        <v>1</v>
      </c>
      <c r="M73" s="76"/>
      <c r="N73" s="76"/>
      <c r="O73" s="76"/>
      <c r="P73" s="76"/>
      <c r="Q73" s="76"/>
      <c r="R73" s="77">
        <f>COUNTIF(F73:Q73,"&gt;=0")</f>
        <v>1</v>
      </c>
      <c r="S73" s="77">
        <f>COUNTIF(F73:Q73,"&gt;=30")</f>
        <v>0</v>
      </c>
      <c r="T73" s="77">
        <f>COUNTIF(F73:Q73,"=40")</f>
        <v>0</v>
      </c>
    </row>
    <row r="74" spans="1:20" x14ac:dyDescent="0.2">
      <c r="A74" s="425">
        <v>64</v>
      </c>
      <c r="B74" s="83"/>
      <c r="C74" s="152"/>
      <c r="D74" s="82" t="s">
        <v>164</v>
      </c>
      <c r="E74" s="428">
        <v>1</v>
      </c>
      <c r="F74" s="403" t="s">
        <v>104</v>
      </c>
      <c r="G74" s="403" t="s">
        <v>104</v>
      </c>
      <c r="H74" s="403" t="s">
        <v>104</v>
      </c>
      <c r="I74" s="403" t="s">
        <v>104</v>
      </c>
      <c r="J74" s="403" t="s">
        <v>104</v>
      </c>
      <c r="K74" s="76"/>
      <c r="L74" s="76"/>
      <c r="M74" s="76"/>
      <c r="N74" s="76">
        <v>1</v>
      </c>
      <c r="O74" s="76"/>
      <c r="P74" s="76"/>
      <c r="Q74" s="76"/>
      <c r="R74" s="77">
        <f>COUNTIF(F74:Q74,"&gt;=0")</f>
        <v>1</v>
      </c>
      <c r="S74" s="77">
        <f>COUNTIF(F74:Q74,"&gt;=30")</f>
        <v>0</v>
      </c>
      <c r="T74" s="77">
        <f>COUNTIF(F74:Q74,"=40")</f>
        <v>0</v>
      </c>
    </row>
    <row r="75" spans="1:20" x14ac:dyDescent="0.2">
      <c r="A75" s="92">
        <f>COUNT(A8:A74)</f>
        <v>67</v>
      </c>
      <c r="B75" s="150">
        <f>COUNT(B8:B74)</f>
        <v>14</v>
      </c>
      <c r="C75" s="153">
        <f>COUNT(C8:C74)</f>
        <v>6</v>
      </c>
      <c r="D75" s="93" t="s">
        <v>165</v>
      </c>
      <c r="E75" s="94"/>
      <c r="F75" s="95">
        <f t="shared" ref="F75:Q75" si="3">COUNTIF(F8:F74,"&gt;=0")</f>
        <v>34</v>
      </c>
      <c r="G75" s="95">
        <f t="shared" si="3"/>
        <v>32</v>
      </c>
      <c r="H75" s="95">
        <f t="shared" si="3"/>
        <v>25</v>
      </c>
      <c r="I75" s="95">
        <f t="shared" si="3"/>
        <v>15</v>
      </c>
      <c r="J75" s="95">
        <f t="shared" si="3"/>
        <v>16</v>
      </c>
      <c r="K75" s="95">
        <f t="shared" si="3"/>
        <v>42</v>
      </c>
      <c r="L75" s="95">
        <f t="shared" si="3"/>
        <v>38</v>
      </c>
      <c r="M75" s="95">
        <f t="shared" si="3"/>
        <v>27</v>
      </c>
      <c r="N75" s="95">
        <f t="shared" si="3"/>
        <v>40</v>
      </c>
      <c r="O75" s="95">
        <f t="shared" si="3"/>
        <v>33</v>
      </c>
      <c r="P75" s="95">
        <f t="shared" si="3"/>
        <v>40</v>
      </c>
      <c r="Q75" s="95">
        <f t="shared" si="3"/>
        <v>34</v>
      </c>
      <c r="R75" s="96"/>
      <c r="S75" s="97">
        <f>SUM(S8:S74)</f>
        <v>72</v>
      </c>
      <c r="T75" s="97">
        <f>SUM(T8:T74)</f>
        <v>24</v>
      </c>
    </row>
    <row r="76" spans="1:20" x14ac:dyDescent="0.2">
      <c r="A76" s="96"/>
      <c r="B76" s="66"/>
      <c r="C76" s="98"/>
      <c r="D76" s="93" t="s">
        <v>166</v>
      </c>
      <c r="E76" s="94"/>
      <c r="F76" s="98">
        <v>11</v>
      </c>
      <c r="G76" s="98">
        <v>16</v>
      </c>
      <c r="H76" s="98"/>
      <c r="I76" s="98"/>
      <c r="J76" s="98"/>
      <c r="K76" s="98">
        <v>14</v>
      </c>
      <c r="L76" s="98">
        <v>19</v>
      </c>
      <c r="M76" s="98"/>
      <c r="N76" s="98">
        <v>20</v>
      </c>
      <c r="O76" s="98">
        <v>11</v>
      </c>
      <c r="P76" s="98">
        <v>13</v>
      </c>
      <c r="Q76" s="98">
        <v>17</v>
      </c>
      <c r="R76" s="96"/>
      <c r="S76" s="96"/>
      <c r="T76" s="96"/>
    </row>
    <row r="77" spans="1:20" x14ac:dyDescent="0.2">
      <c r="B77" s="99"/>
      <c r="D77" s="99"/>
    </row>
    <row r="78" spans="1:20" x14ac:dyDescent="0.2">
      <c r="A78" s="101" t="s">
        <v>167</v>
      </c>
    </row>
    <row r="79" spans="1:20" s="74" customFormat="1" x14ac:dyDescent="0.2">
      <c r="A79" s="101" t="s">
        <v>168</v>
      </c>
      <c r="B79" s="58"/>
      <c r="C79" s="59"/>
      <c r="D79" s="58"/>
      <c r="E79" s="60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100"/>
    </row>
    <row r="81" spans="1:17" s="74" customFormat="1" x14ac:dyDescent="0.2">
      <c r="A81" s="102" t="s">
        <v>169</v>
      </c>
      <c r="B81" s="58"/>
      <c r="C81" s="59"/>
      <c r="D81" s="58"/>
      <c r="E81" s="60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100"/>
    </row>
    <row r="82" spans="1:17" s="74" customFormat="1" x14ac:dyDescent="0.2">
      <c r="A82" s="58"/>
      <c r="B82" s="58"/>
      <c r="C82" s="59"/>
      <c r="D82" s="58" t="s">
        <v>119</v>
      </c>
      <c r="E82" s="58" t="s">
        <v>122</v>
      </c>
      <c r="F82" s="59"/>
      <c r="G82" s="59"/>
      <c r="H82" s="59"/>
      <c r="I82" s="59"/>
      <c r="J82" s="58" t="s">
        <v>113</v>
      </c>
      <c r="K82" s="59"/>
      <c r="L82" s="59"/>
      <c r="M82" s="59"/>
      <c r="N82" s="59"/>
      <c r="O82" s="58" t="s">
        <v>134</v>
      </c>
    </row>
    <row r="83" spans="1:17" s="74" customFormat="1" x14ac:dyDescent="0.2">
      <c r="A83" s="58"/>
      <c r="B83" s="58"/>
      <c r="C83" s="59"/>
      <c r="D83" s="58" t="s">
        <v>116</v>
      </c>
      <c r="E83" s="58" t="s">
        <v>144</v>
      </c>
      <c r="F83" s="59"/>
      <c r="G83" s="59"/>
      <c r="H83" s="59"/>
      <c r="I83" s="59"/>
      <c r="J83" s="58" t="s">
        <v>111</v>
      </c>
      <c r="K83" s="59"/>
      <c r="L83" s="59"/>
      <c r="M83" s="59"/>
      <c r="N83" s="59"/>
      <c r="O83" s="58" t="s">
        <v>107</v>
      </c>
    </row>
    <row r="84" spans="1:17" s="74" customFormat="1" x14ac:dyDescent="0.2">
      <c r="A84" s="58"/>
      <c r="B84" s="58"/>
      <c r="C84" s="59"/>
      <c r="D84" s="58" t="s">
        <v>156</v>
      </c>
      <c r="E84" s="58" t="s">
        <v>110</v>
      </c>
      <c r="F84" s="59"/>
      <c r="G84" s="59"/>
      <c r="H84" s="59"/>
      <c r="I84" s="59"/>
      <c r="J84" s="58" t="s">
        <v>123</v>
      </c>
      <c r="K84" s="59"/>
      <c r="L84" s="59"/>
      <c r="M84" s="59"/>
      <c r="N84" s="59"/>
      <c r="O84" s="58" t="s">
        <v>126</v>
      </c>
    </row>
    <row r="85" spans="1:17" s="74" customFormat="1" x14ac:dyDescent="0.2">
      <c r="A85" s="58"/>
      <c r="B85" s="58"/>
      <c r="C85" s="59"/>
      <c r="D85" s="58" t="s">
        <v>145</v>
      </c>
      <c r="E85" s="58" t="s">
        <v>138</v>
      </c>
      <c r="F85" s="59"/>
      <c r="G85" s="59"/>
      <c r="H85" s="59"/>
      <c r="I85" s="59"/>
      <c r="J85" s="58" t="s">
        <v>115</v>
      </c>
      <c r="K85" s="59"/>
      <c r="L85" s="59"/>
      <c r="M85" s="59"/>
      <c r="N85" s="59"/>
      <c r="O85" s="58" t="s">
        <v>170</v>
      </c>
    </row>
    <row r="86" spans="1:17" s="74" customFormat="1" x14ac:dyDescent="0.2">
      <c r="A86" s="58"/>
      <c r="B86" s="58"/>
      <c r="C86" s="59"/>
      <c r="D86" s="58" t="s">
        <v>128</v>
      </c>
      <c r="E86" s="58" t="s">
        <v>112</v>
      </c>
      <c r="F86" s="59"/>
      <c r="G86" s="59"/>
      <c r="H86" s="59"/>
      <c r="I86" s="59"/>
      <c r="J86" s="58" t="s">
        <v>117</v>
      </c>
      <c r="K86" s="59"/>
      <c r="L86" s="59"/>
      <c r="M86" s="59"/>
      <c r="N86" s="59"/>
      <c r="O86" s="58" t="s">
        <v>133</v>
      </c>
    </row>
    <row r="87" spans="1:17" s="74" customFormat="1" x14ac:dyDescent="0.2">
      <c r="A87" s="58"/>
      <c r="B87" s="58"/>
      <c r="C87" s="59"/>
      <c r="D87" s="58" t="s">
        <v>141</v>
      </c>
      <c r="E87" s="58" t="s">
        <v>132</v>
      </c>
      <c r="F87" s="59"/>
      <c r="G87" s="59"/>
      <c r="H87" s="59"/>
      <c r="I87" s="59"/>
      <c r="J87" s="58" t="s">
        <v>108</v>
      </c>
      <c r="K87" s="59"/>
      <c r="L87" s="59"/>
      <c r="M87" s="59"/>
      <c r="N87" s="59"/>
      <c r="O87" s="58" t="s">
        <v>163</v>
      </c>
    </row>
    <row r="88" spans="1:17" s="74" customFormat="1" x14ac:dyDescent="0.2">
      <c r="A88" s="58"/>
      <c r="B88" s="58"/>
      <c r="C88" s="59"/>
      <c r="D88" s="58" t="s">
        <v>127</v>
      </c>
      <c r="E88" s="58" t="s">
        <v>114</v>
      </c>
      <c r="F88" s="59"/>
      <c r="G88" s="59"/>
      <c r="H88" s="59"/>
      <c r="I88" s="59"/>
      <c r="J88" s="58" t="s">
        <v>142</v>
      </c>
      <c r="K88" s="59"/>
      <c r="L88" s="59"/>
      <c r="M88" s="59"/>
      <c r="N88" s="59"/>
      <c r="O88" s="58" t="s">
        <v>125</v>
      </c>
    </row>
    <row r="89" spans="1:17" s="74" customFormat="1" x14ac:dyDescent="0.2">
      <c r="A89" s="58"/>
      <c r="B89" s="58"/>
      <c r="C89" s="59"/>
      <c r="D89" s="58" t="s">
        <v>164</v>
      </c>
      <c r="E89" s="58" t="s">
        <v>103</v>
      </c>
      <c r="F89" s="59"/>
      <c r="G89" s="59"/>
      <c r="H89" s="59"/>
      <c r="I89" s="59"/>
      <c r="J89" s="58" t="s">
        <v>109</v>
      </c>
      <c r="K89" s="59"/>
      <c r="L89" s="59"/>
      <c r="M89" s="59"/>
      <c r="N89" s="59"/>
      <c r="O89" s="58" t="s">
        <v>136</v>
      </c>
    </row>
    <row r="90" spans="1:17" s="74" customFormat="1" x14ac:dyDescent="0.2">
      <c r="A90" s="58"/>
      <c r="B90" s="58"/>
      <c r="C90" s="59"/>
      <c r="D90" s="58" t="s">
        <v>121</v>
      </c>
      <c r="E90" s="58" t="s">
        <v>171</v>
      </c>
      <c r="F90" s="59"/>
      <c r="G90" s="59"/>
      <c r="H90" s="59"/>
      <c r="I90" s="59"/>
      <c r="J90" s="58" t="s">
        <v>105</v>
      </c>
      <c r="K90" s="59"/>
      <c r="L90" s="59"/>
      <c r="M90" s="59"/>
      <c r="N90" s="59"/>
      <c r="O90" s="58" t="s">
        <v>129</v>
      </c>
    </row>
    <row r="91" spans="1:17" s="74" customFormat="1" x14ac:dyDescent="0.2">
      <c r="A91" s="58"/>
      <c r="B91" s="58"/>
      <c r="C91" s="59"/>
      <c r="D91" s="58" t="s">
        <v>135</v>
      </c>
      <c r="E91" s="58" t="s">
        <v>131</v>
      </c>
      <c r="F91" s="59"/>
      <c r="G91" s="59"/>
      <c r="H91" s="59"/>
      <c r="I91" s="59"/>
      <c r="J91" s="58" t="s">
        <v>120</v>
      </c>
      <c r="K91" s="59"/>
      <c r="L91" s="59"/>
      <c r="M91" s="59"/>
      <c r="N91" s="59"/>
      <c r="O91" s="59"/>
      <c r="P91" s="100"/>
    </row>
    <row r="92" spans="1:17" x14ac:dyDescent="0.2">
      <c r="P92" s="100"/>
    </row>
  </sheetData>
  <sheetProtection selectLockedCells="1" selectUnlockedCells="1"/>
  <autoFilter ref="R7:T7"/>
  <mergeCells count="3">
    <mergeCell ref="R4:R6"/>
    <mergeCell ref="S4:S6"/>
    <mergeCell ref="T4:T6"/>
  </mergeCells>
  <conditionalFormatting sqref="F8:Q74">
    <cfRule type="cellIs" dxfId="43" priority="5" stopIfTrue="1" operator="equal">
      <formula>30</formula>
    </cfRule>
    <cfRule type="cellIs" dxfId="42" priority="6" stopIfTrue="1" operator="equal">
      <formula>34</formula>
    </cfRule>
    <cfRule type="cellIs" dxfId="41" priority="7" stopIfTrue="1" operator="equal">
      <formula>40</formula>
    </cfRule>
  </conditionalFormatting>
  <conditionalFormatting sqref="F75:Q75">
    <cfRule type="top10" dxfId="40" priority="4" stopIfTrue="1" rank="1"/>
  </conditionalFormatting>
  <conditionalFormatting sqref="R8:R74">
    <cfRule type="top10" dxfId="39" priority="3" stopIfTrue="1" rank="1"/>
  </conditionalFormatting>
  <conditionalFormatting sqref="S8:S74">
    <cfRule type="top10" dxfId="38" priority="2" stopIfTrue="1" rank="1"/>
  </conditionalFormatting>
  <conditionalFormatting sqref="T8:T74">
    <cfRule type="top10" dxfId="37" priority="1" stopIfTrue="1" rank="1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300" r:id="rId1"/>
  <headerFooter alignWithMargins="0">
    <oddHeader>&amp;R&amp;"Arial,Regular"&amp;9Page &amp;P of &amp;N</oddHeader>
  </headerFooter>
  <rowBreaks count="1" manualBreakCount="1">
    <brk id="51" max="16383" man="1"/>
  </rowBreaks>
  <ignoredErrors>
    <ignoredError sqref="R10:T10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K49"/>
  <sheetViews>
    <sheetView showGridLines="0" showRowColHeaders="0" workbookViewId="0">
      <pane ySplit="6" topLeftCell="A7" activePane="bottomLeft" state="frozen"/>
      <selection activeCell="I1" sqref="I1"/>
      <selection pane="bottomLeft" activeCell="M1" sqref="M1"/>
    </sheetView>
  </sheetViews>
  <sheetFormatPr defaultRowHeight="12.75" x14ac:dyDescent="0.2"/>
  <cols>
    <col min="1" max="1" width="4" style="2" customWidth="1"/>
    <col min="2" max="3" width="3.28515625" style="2" customWidth="1"/>
    <col min="4" max="4" width="19.5703125" style="2" customWidth="1"/>
    <col min="5" max="5" width="4" style="2" customWidth="1"/>
    <col min="6" max="8" width="7.7109375" style="2" customWidth="1"/>
    <col min="9" max="11" width="3.28515625" style="2" customWidth="1"/>
    <col min="12" max="16384" width="9.140625" style="2"/>
  </cols>
  <sheetData>
    <row r="1" spans="1:11" x14ac:dyDescent="0.2">
      <c r="B1" s="104"/>
      <c r="C1" s="103" t="s">
        <v>202</v>
      </c>
      <c r="D1" s="104"/>
      <c r="H1" s="105" t="s">
        <v>185</v>
      </c>
      <c r="I1" s="132"/>
      <c r="J1" s="63" t="s">
        <v>85</v>
      </c>
      <c r="K1" s="143"/>
    </row>
    <row r="2" spans="1:11" x14ac:dyDescent="0.2">
      <c r="B2" s="104"/>
      <c r="C2" s="106" t="s">
        <v>172</v>
      </c>
      <c r="D2" s="104"/>
      <c r="H2" s="64"/>
      <c r="I2" s="64"/>
      <c r="J2" s="66" t="s">
        <v>86</v>
      </c>
      <c r="K2" s="66"/>
    </row>
    <row r="3" spans="1:11" x14ac:dyDescent="0.2">
      <c r="J3" s="67" t="s">
        <v>87</v>
      </c>
      <c r="K3" s="67"/>
    </row>
    <row r="4" spans="1:11" ht="31.5" customHeight="1" x14ac:dyDescent="0.2">
      <c r="A4" s="69"/>
      <c r="B4" s="69"/>
      <c r="C4" s="69"/>
      <c r="D4" s="69"/>
      <c r="E4" s="69"/>
      <c r="F4" s="145" t="str">
        <f>HYPERLINK("http://www.sportiv.ee/index.php?2/10438",MID(Kalend!A6,4,5))</f>
        <v>06.05</v>
      </c>
      <c r="G4" s="145" t="str">
        <f>HYPERLINK("http://www.sportiv.ee/index.php?2/10458",MID(Kalend!A7,4,5))</f>
        <v>13.05</v>
      </c>
      <c r="H4" s="231" t="str">
        <f>HYPERLINK("http://www.sportiv.ee/index.php?2/10498",MID(Kalend!A9,4,5)&amp;" "&amp;MID(Kalend!A10,4,5))</f>
        <v>23.05 24.05</v>
      </c>
      <c r="I4" s="497" t="s">
        <v>186</v>
      </c>
      <c r="J4" s="498" t="s">
        <v>94</v>
      </c>
      <c r="K4" s="498" t="s">
        <v>95</v>
      </c>
    </row>
    <row r="5" spans="1:11" x14ac:dyDescent="0.2">
      <c r="A5" s="429" t="s">
        <v>479</v>
      </c>
      <c r="B5" s="430"/>
      <c r="C5" s="431"/>
      <c r="D5" s="432"/>
      <c r="E5" s="433" t="s">
        <v>228</v>
      </c>
      <c r="F5" s="144">
        <v>1</v>
      </c>
      <c r="G5" s="144">
        <v>2</v>
      </c>
      <c r="H5" s="144">
        <v>3</v>
      </c>
      <c r="I5" s="497"/>
      <c r="J5" s="498"/>
      <c r="K5" s="498"/>
    </row>
    <row r="6" spans="1:11" x14ac:dyDescent="0.2">
      <c r="A6" s="434" t="s">
        <v>478</v>
      </c>
      <c r="B6" s="435" t="s">
        <v>96</v>
      </c>
      <c r="C6" s="436" t="s">
        <v>97</v>
      </c>
      <c r="D6" s="437" t="s">
        <v>98</v>
      </c>
      <c r="E6" s="434" t="s">
        <v>99</v>
      </c>
      <c r="F6" s="404" t="s">
        <v>100</v>
      </c>
      <c r="G6" s="404" t="s">
        <v>101</v>
      </c>
      <c r="H6" s="405" t="s">
        <v>102</v>
      </c>
    </row>
    <row r="7" spans="1:11" x14ac:dyDescent="0.2">
      <c r="A7" s="425">
        <v>1</v>
      </c>
      <c r="B7" s="80"/>
      <c r="C7" s="147"/>
      <c r="D7" s="410" t="s">
        <v>103</v>
      </c>
      <c r="E7" s="438">
        <v>96</v>
      </c>
      <c r="F7" s="107">
        <v>26</v>
      </c>
      <c r="G7" s="107">
        <v>40</v>
      </c>
      <c r="H7" s="107">
        <v>30</v>
      </c>
      <c r="I7" s="142">
        <f>COUNTIF(F7:H7,"&gt;=0")</f>
        <v>3</v>
      </c>
      <c r="J7" s="108">
        <f>COUNTIF(F7:H7,"&gt;=30")</f>
        <v>2</v>
      </c>
      <c r="K7" s="108">
        <f>COUNTIF(F7:H7,"=40")</f>
        <v>1</v>
      </c>
    </row>
    <row r="8" spans="1:11" x14ac:dyDescent="0.2">
      <c r="A8" s="425">
        <v>2</v>
      </c>
      <c r="B8" s="80"/>
      <c r="C8" s="147"/>
      <c r="D8" s="109" t="s">
        <v>105</v>
      </c>
      <c r="E8" s="438">
        <v>90</v>
      </c>
      <c r="F8" s="107">
        <v>40</v>
      </c>
      <c r="G8" s="107">
        <v>16</v>
      </c>
      <c r="H8" s="107">
        <v>34</v>
      </c>
      <c r="I8" s="142">
        <f t="shared" ref="I8:I47" si="0">COUNTIF(F8:H8,"&gt;=0")</f>
        <v>3</v>
      </c>
      <c r="J8" s="108">
        <f t="shared" ref="J8:J46" si="1">COUNTIF(F8:H8,"&gt;=30")</f>
        <v>2</v>
      </c>
      <c r="K8" s="108">
        <f t="shared" ref="K8:K46" si="2">COUNTIF(F8:H8,"=40")</f>
        <v>1</v>
      </c>
    </row>
    <row r="9" spans="1:11" x14ac:dyDescent="0.2">
      <c r="A9" s="425">
        <v>3</v>
      </c>
      <c r="B9" s="80"/>
      <c r="C9" s="147"/>
      <c r="D9" s="110" t="s">
        <v>112</v>
      </c>
      <c r="E9" s="438">
        <v>84</v>
      </c>
      <c r="F9" s="107">
        <v>34</v>
      </c>
      <c r="G9" s="107">
        <v>30</v>
      </c>
      <c r="H9" s="107">
        <v>20</v>
      </c>
      <c r="I9" s="142">
        <f t="shared" si="0"/>
        <v>3</v>
      </c>
      <c r="J9" s="108">
        <f t="shared" si="1"/>
        <v>2</v>
      </c>
      <c r="K9" s="108">
        <f t="shared" si="2"/>
        <v>0</v>
      </c>
    </row>
    <row r="10" spans="1:11" x14ac:dyDescent="0.2">
      <c r="A10" s="425">
        <v>4</v>
      </c>
      <c r="B10" s="80"/>
      <c r="C10" s="147"/>
      <c r="D10" s="68" t="s">
        <v>113</v>
      </c>
      <c r="E10" s="438">
        <v>84</v>
      </c>
      <c r="F10" s="107">
        <v>34</v>
      </c>
      <c r="G10" s="107">
        <v>26</v>
      </c>
      <c r="H10" s="107">
        <v>24</v>
      </c>
      <c r="I10" s="142">
        <f t="shared" si="0"/>
        <v>3</v>
      </c>
      <c r="J10" s="108">
        <f t="shared" si="1"/>
        <v>1</v>
      </c>
      <c r="K10" s="108">
        <f t="shared" si="2"/>
        <v>0</v>
      </c>
    </row>
    <row r="11" spans="1:11" x14ac:dyDescent="0.2">
      <c r="A11" s="425">
        <v>5</v>
      </c>
      <c r="B11" s="80"/>
      <c r="C11" s="147"/>
      <c r="D11" s="68" t="s">
        <v>117</v>
      </c>
      <c r="E11" s="439">
        <v>78</v>
      </c>
      <c r="F11" s="107">
        <v>34</v>
      </c>
      <c r="G11" s="107">
        <v>30</v>
      </c>
      <c r="H11" s="107">
        <v>14</v>
      </c>
      <c r="I11" s="142">
        <f t="shared" si="0"/>
        <v>3</v>
      </c>
      <c r="J11" s="108">
        <f t="shared" si="1"/>
        <v>2</v>
      </c>
      <c r="K11" s="108">
        <f t="shared" si="2"/>
        <v>0</v>
      </c>
    </row>
    <row r="12" spans="1:11" x14ac:dyDescent="0.2">
      <c r="A12" s="425">
        <v>6</v>
      </c>
      <c r="B12" s="80"/>
      <c r="C12" s="147"/>
      <c r="D12" s="68" t="s">
        <v>106</v>
      </c>
      <c r="E12" s="439">
        <v>68</v>
      </c>
      <c r="F12" s="107">
        <v>16</v>
      </c>
      <c r="G12" s="107">
        <v>12</v>
      </c>
      <c r="H12" s="107">
        <v>40</v>
      </c>
      <c r="I12" s="142">
        <f t="shared" si="0"/>
        <v>3</v>
      </c>
      <c r="J12" s="108">
        <f t="shared" si="1"/>
        <v>1</v>
      </c>
      <c r="K12" s="108">
        <f t="shared" si="2"/>
        <v>1</v>
      </c>
    </row>
    <row r="13" spans="1:11" x14ac:dyDescent="0.2">
      <c r="A13" s="425">
        <v>7</v>
      </c>
      <c r="B13" s="80"/>
      <c r="C13" s="147"/>
      <c r="D13" s="68" t="s">
        <v>115</v>
      </c>
      <c r="E13" s="439">
        <v>67</v>
      </c>
      <c r="F13" s="107">
        <v>26</v>
      </c>
      <c r="G13" s="107">
        <v>40</v>
      </c>
      <c r="H13" s="107">
        <v>1</v>
      </c>
      <c r="I13" s="142">
        <f t="shared" si="0"/>
        <v>3</v>
      </c>
      <c r="J13" s="108">
        <f t="shared" si="1"/>
        <v>1</v>
      </c>
      <c r="K13" s="108">
        <f t="shared" si="2"/>
        <v>1</v>
      </c>
    </row>
    <row r="14" spans="1:11" x14ac:dyDescent="0.2">
      <c r="A14" s="425">
        <v>8</v>
      </c>
      <c r="B14" s="80"/>
      <c r="C14" s="147"/>
      <c r="D14" s="68" t="s">
        <v>108</v>
      </c>
      <c r="E14" s="439">
        <v>61</v>
      </c>
      <c r="F14" s="107">
        <v>40</v>
      </c>
      <c r="G14" s="107">
        <v>20</v>
      </c>
      <c r="H14" s="107">
        <v>1</v>
      </c>
      <c r="I14" s="142">
        <f t="shared" si="0"/>
        <v>3</v>
      </c>
      <c r="J14" s="108">
        <f t="shared" si="1"/>
        <v>1</v>
      </c>
      <c r="K14" s="108">
        <f t="shared" si="2"/>
        <v>1</v>
      </c>
    </row>
    <row r="15" spans="1:11" x14ac:dyDescent="0.2">
      <c r="A15" s="425">
        <v>9</v>
      </c>
      <c r="B15" s="80"/>
      <c r="C15" s="147"/>
      <c r="D15" s="68" t="s">
        <v>109</v>
      </c>
      <c r="E15" s="439">
        <v>60</v>
      </c>
      <c r="F15" s="107">
        <v>40</v>
      </c>
      <c r="G15" s="107">
        <v>20</v>
      </c>
      <c r="H15" s="107"/>
      <c r="I15" s="142">
        <f t="shared" si="0"/>
        <v>2</v>
      </c>
      <c r="J15" s="108">
        <f t="shared" si="1"/>
        <v>1</v>
      </c>
      <c r="K15" s="108">
        <f t="shared" si="2"/>
        <v>1</v>
      </c>
    </row>
    <row r="16" spans="1:11" x14ac:dyDescent="0.2">
      <c r="A16" s="425">
        <v>10</v>
      </c>
      <c r="B16" s="80"/>
      <c r="C16" s="147"/>
      <c r="D16" s="68" t="s">
        <v>119</v>
      </c>
      <c r="E16" s="439">
        <v>56</v>
      </c>
      <c r="F16" s="107">
        <v>18</v>
      </c>
      <c r="G16" s="107">
        <v>26</v>
      </c>
      <c r="H16" s="107">
        <v>12</v>
      </c>
      <c r="I16" s="142">
        <f t="shared" si="0"/>
        <v>3</v>
      </c>
      <c r="J16" s="108">
        <f t="shared" si="1"/>
        <v>0</v>
      </c>
      <c r="K16" s="108">
        <f t="shared" si="2"/>
        <v>0</v>
      </c>
    </row>
    <row r="17" spans="1:11" x14ac:dyDescent="0.2">
      <c r="A17" s="425">
        <v>11</v>
      </c>
      <c r="B17" s="80"/>
      <c r="C17" s="147"/>
      <c r="D17" s="68" t="s">
        <v>133</v>
      </c>
      <c r="E17" s="439">
        <v>55</v>
      </c>
      <c r="F17" s="107">
        <v>20</v>
      </c>
      <c r="G17" s="107">
        <v>34</v>
      </c>
      <c r="H17" s="107">
        <v>1</v>
      </c>
      <c r="I17" s="142">
        <f t="shared" si="0"/>
        <v>3</v>
      </c>
      <c r="J17" s="108">
        <f t="shared" si="1"/>
        <v>1</v>
      </c>
      <c r="K17" s="108">
        <f t="shared" si="2"/>
        <v>0</v>
      </c>
    </row>
    <row r="18" spans="1:11" x14ac:dyDescent="0.2">
      <c r="A18" s="425">
        <v>12</v>
      </c>
      <c r="B18" s="80"/>
      <c r="C18" s="147"/>
      <c r="D18" s="68" t="s">
        <v>110</v>
      </c>
      <c r="E18" s="439">
        <v>55</v>
      </c>
      <c r="F18" s="107">
        <v>30</v>
      </c>
      <c r="G18" s="107">
        <v>24</v>
      </c>
      <c r="H18" s="107">
        <v>1</v>
      </c>
      <c r="I18" s="142">
        <f t="shared" si="0"/>
        <v>3</v>
      </c>
      <c r="J18" s="108">
        <f t="shared" si="1"/>
        <v>1</v>
      </c>
      <c r="K18" s="108">
        <f t="shared" si="2"/>
        <v>0</v>
      </c>
    </row>
    <row r="19" spans="1:11" x14ac:dyDescent="0.2">
      <c r="A19" s="425">
        <v>13</v>
      </c>
      <c r="B19" s="80">
        <v>1</v>
      </c>
      <c r="C19" s="148"/>
      <c r="D19" s="111" t="s">
        <v>107</v>
      </c>
      <c r="E19" s="439">
        <v>52</v>
      </c>
      <c r="F19" s="107">
        <v>26</v>
      </c>
      <c r="G19" s="107"/>
      <c r="H19" s="107">
        <v>26</v>
      </c>
      <c r="I19" s="142">
        <f t="shared" si="0"/>
        <v>2</v>
      </c>
      <c r="J19" s="108">
        <f t="shared" si="1"/>
        <v>0</v>
      </c>
      <c r="K19" s="108">
        <f t="shared" si="2"/>
        <v>0</v>
      </c>
    </row>
    <row r="20" spans="1:11" x14ac:dyDescent="0.2">
      <c r="A20" s="425">
        <v>14</v>
      </c>
      <c r="B20" s="80">
        <v>2</v>
      </c>
      <c r="C20" s="147"/>
      <c r="D20" s="111" t="s">
        <v>116</v>
      </c>
      <c r="E20" s="439">
        <v>48</v>
      </c>
      <c r="F20" s="107">
        <v>30</v>
      </c>
      <c r="G20" s="107">
        <v>18</v>
      </c>
      <c r="H20" s="107"/>
      <c r="I20" s="142">
        <f t="shared" si="0"/>
        <v>2</v>
      </c>
      <c r="J20" s="108">
        <f t="shared" si="1"/>
        <v>1</v>
      </c>
      <c r="K20" s="108">
        <f t="shared" si="2"/>
        <v>0</v>
      </c>
    </row>
    <row r="21" spans="1:11" x14ac:dyDescent="0.2">
      <c r="A21" s="425">
        <v>14</v>
      </c>
      <c r="B21" s="80"/>
      <c r="C21" s="147"/>
      <c r="D21" s="68" t="s">
        <v>111</v>
      </c>
      <c r="E21" s="439">
        <v>48</v>
      </c>
      <c r="F21" s="107">
        <v>30</v>
      </c>
      <c r="G21" s="107">
        <v>18</v>
      </c>
      <c r="H21" s="107"/>
      <c r="I21" s="142">
        <f t="shared" si="0"/>
        <v>2</v>
      </c>
      <c r="J21" s="108">
        <f t="shared" si="1"/>
        <v>1</v>
      </c>
      <c r="K21" s="108">
        <f t="shared" si="2"/>
        <v>0</v>
      </c>
    </row>
    <row r="22" spans="1:11" x14ac:dyDescent="0.2">
      <c r="A22" s="425">
        <v>16</v>
      </c>
      <c r="B22" s="80">
        <v>3</v>
      </c>
      <c r="C22" s="147"/>
      <c r="D22" s="111" t="s">
        <v>121</v>
      </c>
      <c r="E22" s="439">
        <v>44</v>
      </c>
      <c r="F22" s="107"/>
      <c r="G22" s="107">
        <v>34</v>
      </c>
      <c r="H22" s="107">
        <v>10</v>
      </c>
      <c r="I22" s="142">
        <f t="shared" si="0"/>
        <v>2</v>
      </c>
      <c r="J22" s="108">
        <f t="shared" si="1"/>
        <v>1</v>
      </c>
      <c r="K22" s="108">
        <f t="shared" si="2"/>
        <v>0</v>
      </c>
    </row>
    <row r="23" spans="1:11" x14ac:dyDescent="0.2">
      <c r="A23" s="425">
        <v>17</v>
      </c>
      <c r="B23" s="80"/>
      <c r="C23" s="147"/>
      <c r="D23" s="68" t="s">
        <v>122</v>
      </c>
      <c r="E23" s="439">
        <v>42</v>
      </c>
      <c r="F23" s="107">
        <v>16</v>
      </c>
      <c r="G23" s="107">
        <v>22</v>
      </c>
      <c r="H23" s="107">
        <v>4</v>
      </c>
      <c r="I23" s="142">
        <f t="shared" si="0"/>
        <v>3</v>
      </c>
      <c r="J23" s="108">
        <f t="shared" si="1"/>
        <v>0</v>
      </c>
      <c r="K23" s="108">
        <f t="shared" si="2"/>
        <v>0</v>
      </c>
    </row>
    <row r="24" spans="1:11" x14ac:dyDescent="0.2">
      <c r="A24" s="425">
        <v>18</v>
      </c>
      <c r="B24" s="80"/>
      <c r="C24" s="147"/>
      <c r="D24" s="68" t="s">
        <v>118</v>
      </c>
      <c r="E24" s="439">
        <v>39</v>
      </c>
      <c r="F24" s="107">
        <v>16</v>
      </c>
      <c r="G24" s="107">
        <v>22</v>
      </c>
      <c r="H24" s="107">
        <v>1</v>
      </c>
      <c r="I24" s="142">
        <f t="shared" si="0"/>
        <v>3</v>
      </c>
      <c r="J24" s="108">
        <f t="shared" si="1"/>
        <v>0</v>
      </c>
      <c r="K24" s="108">
        <f t="shared" si="2"/>
        <v>0</v>
      </c>
    </row>
    <row r="25" spans="1:11" x14ac:dyDescent="0.2">
      <c r="A25" s="425">
        <v>19</v>
      </c>
      <c r="B25" s="80"/>
      <c r="C25" s="147"/>
      <c r="D25" s="68" t="s">
        <v>142</v>
      </c>
      <c r="E25" s="439">
        <v>38</v>
      </c>
      <c r="F25" s="107">
        <v>12</v>
      </c>
      <c r="G25" s="107">
        <v>4</v>
      </c>
      <c r="H25" s="107">
        <v>22</v>
      </c>
      <c r="I25" s="142">
        <f t="shared" si="0"/>
        <v>3</v>
      </c>
      <c r="J25" s="108">
        <f t="shared" si="1"/>
        <v>0</v>
      </c>
      <c r="K25" s="108">
        <f t="shared" si="2"/>
        <v>0</v>
      </c>
    </row>
    <row r="26" spans="1:11" x14ac:dyDescent="0.2">
      <c r="A26" s="425">
        <v>20</v>
      </c>
      <c r="B26" s="80">
        <v>4</v>
      </c>
      <c r="C26" s="147"/>
      <c r="D26" s="111" t="s">
        <v>126</v>
      </c>
      <c r="E26" s="439">
        <v>38</v>
      </c>
      <c r="F26" s="107">
        <v>18</v>
      </c>
      <c r="G26" s="107">
        <v>14</v>
      </c>
      <c r="H26" s="107">
        <v>6</v>
      </c>
      <c r="I26" s="142">
        <f t="shared" si="0"/>
        <v>3</v>
      </c>
      <c r="J26" s="108">
        <f t="shared" si="1"/>
        <v>0</v>
      </c>
      <c r="K26" s="108">
        <f t="shared" si="2"/>
        <v>0</v>
      </c>
    </row>
    <row r="27" spans="1:11" x14ac:dyDescent="0.2">
      <c r="A27" s="425">
        <v>21</v>
      </c>
      <c r="B27" s="80"/>
      <c r="C27" s="147"/>
      <c r="D27" s="68" t="s">
        <v>128</v>
      </c>
      <c r="E27" s="439">
        <v>33</v>
      </c>
      <c r="F27" s="107">
        <v>22</v>
      </c>
      <c r="G27" s="107">
        <v>10</v>
      </c>
      <c r="H27" s="107">
        <v>1</v>
      </c>
      <c r="I27" s="142">
        <f t="shared" si="0"/>
        <v>3</v>
      </c>
      <c r="J27" s="108">
        <f t="shared" si="1"/>
        <v>0</v>
      </c>
      <c r="K27" s="108">
        <f t="shared" si="2"/>
        <v>0</v>
      </c>
    </row>
    <row r="28" spans="1:11" x14ac:dyDescent="0.2">
      <c r="A28" s="425">
        <v>22</v>
      </c>
      <c r="B28" s="80"/>
      <c r="C28" s="147"/>
      <c r="D28" s="68" t="s">
        <v>127</v>
      </c>
      <c r="E28" s="439">
        <v>33</v>
      </c>
      <c r="F28" s="107">
        <v>18</v>
      </c>
      <c r="G28" s="107">
        <v>14</v>
      </c>
      <c r="H28" s="107">
        <v>1</v>
      </c>
      <c r="I28" s="142">
        <f t="shared" si="0"/>
        <v>3</v>
      </c>
      <c r="J28" s="108">
        <f t="shared" si="1"/>
        <v>0</v>
      </c>
      <c r="K28" s="108">
        <f t="shared" si="2"/>
        <v>0</v>
      </c>
    </row>
    <row r="29" spans="1:11" x14ac:dyDescent="0.2">
      <c r="A29" s="425">
        <v>23</v>
      </c>
      <c r="B29" s="80"/>
      <c r="C29" s="147"/>
      <c r="D29" s="68" t="s">
        <v>124</v>
      </c>
      <c r="E29" s="439">
        <v>32</v>
      </c>
      <c r="F29" s="107">
        <v>24</v>
      </c>
      <c r="G29" s="107">
        <v>8</v>
      </c>
      <c r="H29" s="107"/>
      <c r="I29" s="142">
        <f t="shared" si="0"/>
        <v>2</v>
      </c>
      <c r="J29" s="108">
        <f t="shared" si="1"/>
        <v>0</v>
      </c>
      <c r="K29" s="108">
        <f t="shared" si="2"/>
        <v>0</v>
      </c>
    </row>
    <row r="30" spans="1:11" x14ac:dyDescent="0.2">
      <c r="A30" s="425">
        <v>23</v>
      </c>
      <c r="B30" s="80"/>
      <c r="C30" s="147"/>
      <c r="D30" s="68" t="s">
        <v>123</v>
      </c>
      <c r="E30" s="439">
        <v>32</v>
      </c>
      <c r="F30" s="107">
        <v>24</v>
      </c>
      <c r="G30" s="107">
        <v>8</v>
      </c>
      <c r="H30" s="107"/>
      <c r="I30" s="142">
        <f t="shared" si="0"/>
        <v>2</v>
      </c>
      <c r="J30" s="108">
        <f t="shared" si="1"/>
        <v>0</v>
      </c>
      <c r="K30" s="108">
        <f t="shared" si="2"/>
        <v>0</v>
      </c>
    </row>
    <row r="31" spans="1:11" x14ac:dyDescent="0.2">
      <c r="A31" s="425">
        <v>25</v>
      </c>
      <c r="B31" s="80"/>
      <c r="C31" s="147"/>
      <c r="D31" s="68" t="s">
        <v>135</v>
      </c>
      <c r="E31" s="439">
        <v>32</v>
      </c>
      <c r="F31" s="107">
        <v>14</v>
      </c>
      <c r="G31" s="107"/>
      <c r="H31" s="107">
        <v>18</v>
      </c>
      <c r="I31" s="142">
        <f t="shared" si="0"/>
        <v>2</v>
      </c>
      <c r="J31" s="108">
        <f t="shared" si="1"/>
        <v>0</v>
      </c>
      <c r="K31" s="108">
        <f t="shared" si="2"/>
        <v>0</v>
      </c>
    </row>
    <row r="32" spans="1:11" x14ac:dyDescent="0.2">
      <c r="A32" s="425">
        <v>26</v>
      </c>
      <c r="B32" s="80"/>
      <c r="C32" s="149"/>
      <c r="D32" s="68" t="s">
        <v>129</v>
      </c>
      <c r="E32" s="439">
        <v>32</v>
      </c>
      <c r="F32" s="107"/>
      <c r="G32" s="107">
        <v>16</v>
      </c>
      <c r="H32" s="107">
        <v>16</v>
      </c>
      <c r="I32" s="142">
        <f t="shared" si="0"/>
        <v>2</v>
      </c>
      <c r="J32" s="108">
        <f t="shared" si="1"/>
        <v>0</v>
      </c>
      <c r="K32" s="108">
        <f t="shared" si="2"/>
        <v>0</v>
      </c>
    </row>
    <row r="33" spans="1:11" x14ac:dyDescent="0.2">
      <c r="A33" s="425">
        <v>27</v>
      </c>
      <c r="B33" s="80"/>
      <c r="C33" s="147"/>
      <c r="D33" s="68" t="s">
        <v>131</v>
      </c>
      <c r="E33" s="439">
        <v>28</v>
      </c>
      <c r="F33" s="107">
        <v>14</v>
      </c>
      <c r="G33" s="107">
        <v>6</v>
      </c>
      <c r="H33" s="107">
        <v>8</v>
      </c>
      <c r="I33" s="142">
        <f t="shared" si="0"/>
        <v>3</v>
      </c>
      <c r="J33" s="108">
        <f t="shared" si="1"/>
        <v>0</v>
      </c>
      <c r="K33" s="108">
        <f t="shared" si="2"/>
        <v>0</v>
      </c>
    </row>
    <row r="34" spans="1:11" x14ac:dyDescent="0.2">
      <c r="A34" s="425">
        <v>28</v>
      </c>
      <c r="B34" s="80"/>
      <c r="C34" s="147"/>
      <c r="D34" s="68" t="s">
        <v>144</v>
      </c>
      <c r="E34" s="439">
        <v>26</v>
      </c>
      <c r="F34" s="107"/>
      <c r="G34" s="107">
        <v>24</v>
      </c>
      <c r="H34" s="107">
        <v>2</v>
      </c>
      <c r="I34" s="142">
        <f t="shared" si="0"/>
        <v>2</v>
      </c>
      <c r="J34" s="108">
        <f t="shared" si="1"/>
        <v>0</v>
      </c>
      <c r="K34" s="108">
        <f t="shared" si="2"/>
        <v>0</v>
      </c>
    </row>
    <row r="35" spans="1:11" x14ac:dyDescent="0.2">
      <c r="A35" s="425">
        <v>29</v>
      </c>
      <c r="B35" s="80">
        <v>5</v>
      </c>
      <c r="C35" s="147"/>
      <c r="D35" s="111" t="s">
        <v>140</v>
      </c>
      <c r="E35" s="439">
        <v>24</v>
      </c>
      <c r="F35" s="107">
        <v>24</v>
      </c>
      <c r="G35" s="107"/>
      <c r="H35" s="107"/>
      <c r="I35" s="142">
        <f t="shared" si="0"/>
        <v>1</v>
      </c>
      <c r="J35" s="108">
        <f t="shared" si="1"/>
        <v>0</v>
      </c>
      <c r="K35" s="108">
        <f t="shared" si="2"/>
        <v>0</v>
      </c>
    </row>
    <row r="36" spans="1:11" x14ac:dyDescent="0.2">
      <c r="A36" s="425">
        <v>29</v>
      </c>
      <c r="B36" s="80"/>
      <c r="C36" s="147"/>
      <c r="D36" s="68" t="s">
        <v>147</v>
      </c>
      <c r="E36" s="439">
        <v>24</v>
      </c>
      <c r="F36" s="107">
        <v>24</v>
      </c>
      <c r="G36" s="107"/>
      <c r="H36" s="107"/>
      <c r="I36" s="142">
        <f t="shared" si="0"/>
        <v>1</v>
      </c>
      <c r="J36" s="108">
        <f t="shared" si="1"/>
        <v>0</v>
      </c>
      <c r="K36" s="108">
        <f t="shared" si="2"/>
        <v>0</v>
      </c>
    </row>
    <row r="37" spans="1:11" x14ac:dyDescent="0.2">
      <c r="A37" s="425">
        <v>31</v>
      </c>
      <c r="B37" s="80"/>
      <c r="C37" s="147"/>
      <c r="D37" s="68" t="s">
        <v>146</v>
      </c>
      <c r="E37" s="439">
        <v>22</v>
      </c>
      <c r="F37" s="107">
        <v>22</v>
      </c>
      <c r="G37" s="107"/>
      <c r="H37" s="107"/>
      <c r="I37" s="142">
        <f t="shared" si="0"/>
        <v>1</v>
      </c>
      <c r="J37" s="108">
        <f t="shared" si="1"/>
        <v>0</v>
      </c>
      <c r="K37" s="108">
        <f t="shared" si="2"/>
        <v>0</v>
      </c>
    </row>
    <row r="38" spans="1:11" x14ac:dyDescent="0.2">
      <c r="A38" s="425">
        <v>31</v>
      </c>
      <c r="B38" s="80"/>
      <c r="C38" s="147"/>
      <c r="D38" s="68" t="s">
        <v>173</v>
      </c>
      <c r="E38" s="439">
        <v>22</v>
      </c>
      <c r="F38" s="107">
        <v>22</v>
      </c>
      <c r="G38" s="107"/>
      <c r="H38" s="107"/>
      <c r="I38" s="142">
        <f t="shared" si="0"/>
        <v>1</v>
      </c>
      <c r="J38" s="108">
        <f t="shared" si="1"/>
        <v>0</v>
      </c>
      <c r="K38" s="108">
        <f t="shared" si="2"/>
        <v>0</v>
      </c>
    </row>
    <row r="39" spans="1:11" x14ac:dyDescent="0.2">
      <c r="A39" s="425">
        <v>33</v>
      </c>
      <c r="B39" s="80"/>
      <c r="C39" s="147"/>
      <c r="D39" s="68" t="s">
        <v>125</v>
      </c>
      <c r="E39" s="439">
        <v>21</v>
      </c>
      <c r="F39" s="107">
        <v>20</v>
      </c>
      <c r="G39" s="107"/>
      <c r="H39" s="107">
        <v>1</v>
      </c>
      <c r="I39" s="142">
        <f t="shared" si="0"/>
        <v>2</v>
      </c>
      <c r="J39" s="108">
        <f t="shared" si="1"/>
        <v>0</v>
      </c>
      <c r="K39" s="108">
        <f t="shared" si="2"/>
        <v>0</v>
      </c>
    </row>
    <row r="40" spans="1:11" x14ac:dyDescent="0.2">
      <c r="A40" s="425">
        <v>34</v>
      </c>
      <c r="B40" s="80"/>
      <c r="C40" s="147"/>
      <c r="D40" s="68" t="s">
        <v>114</v>
      </c>
      <c r="E40" s="439">
        <v>20</v>
      </c>
      <c r="F40" s="107">
        <v>20</v>
      </c>
      <c r="G40" s="107"/>
      <c r="H40" s="107"/>
      <c r="I40" s="142">
        <f t="shared" si="0"/>
        <v>1</v>
      </c>
      <c r="J40" s="108">
        <f t="shared" si="1"/>
        <v>0</v>
      </c>
      <c r="K40" s="108">
        <f t="shared" si="2"/>
        <v>0</v>
      </c>
    </row>
    <row r="41" spans="1:11" x14ac:dyDescent="0.2">
      <c r="A41" s="425">
        <v>35</v>
      </c>
      <c r="B41" s="80"/>
      <c r="C41" s="147">
        <v>1</v>
      </c>
      <c r="D41" s="112" t="s">
        <v>137</v>
      </c>
      <c r="E41" s="439">
        <v>20</v>
      </c>
      <c r="F41" s="107">
        <v>14</v>
      </c>
      <c r="G41" s="107">
        <v>6</v>
      </c>
      <c r="H41" s="107"/>
      <c r="I41" s="142">
        <f t="shared" si="0"/>
        <v>2</v>
      </c>
      <c r="J41" s="108">
        <f t="shared" si="1"/>
        <v>0</v>
      </c>
      <c r="K41" s="108">
        <f t="shared" si="2"/>
        <v>0</v>
      </c>
    </row>
    <row r="42" spans="1:11" x14ac:dyDescent="0.2">
      <c r="A42" s="425">
        <v>36</v>
      </c>
      <c r="B42" s="80"/>
      <c r="C42" s="147">
        <v>2</v>
      </c>
      <c r="D42" s="112" t="s">
        <v>148</v>
      </c>
      <c r="E42" s="439">
        <v>16</v>
      </c>
      <c r="F42" s="107">
        <v>12</v>
      </c>
      <c r="G42" s="107">
        <v>4</v>
      </c>
      <c r="H42" s="107"/>
      <c r="I42" s="142">
        <f t="shared" si="0"/>
        <v>2</v>
      </c>
      <c r="J42" s="108">
        <f t="shared" si="1"/>
        <v>0</v>
      </c>
      <c r="K42" s="108">
        <f t="shared" si="2"/>
        <v>0</v>
      </c>
    </row>
    <row r="43" spans="1:11" x14ac:dyDescent="0.2">
      <c r="A43" s="425">
        <v>37</v>
      </c>
      <c r="B43" s="80">
        <v>6</v>
      </c>
      <c r="C43" s="147"/>
      <c r="D43" s="111" t="s">
        <v>155</v>
      </c>
      <c r="E43" s="439">
        <v>12</v>
      </c>
      <c r="F43" s="107"/>
      <c r="G43" s="107">
        <v>12</v>
      </c>
      <c r="H43" s="107"/>
      <c r="I43" s="142">
        <f t="shared" si="0"/>
        <v>1</v>
      </c>
      <c r="J43" s="108">
        <f t="shared" si="1"/>
        <v>0</v>
      </c>
      <c r="K43" s="108">
        <f t="shared" si="2"/>
        <v>0</v>
      </c>
    </row>
    <row r="44" spans="1:11" x14ac:dyDescent="0.2">
      <c r="A44" s="425">
        <v>37</v>
      </c>
      <c r="B44" s="80"/>
      <c r="C44" s="147"/>
      <c r="D44" s="68" t="s">
        <v>154</v>
      </c>
      <c r="E44" s="439">
        <v>12</v>
      </c>
      <c r="F44" s="107">
        <v>12</v>
      </c>
      <c r="G44" s="107"/>
      <c r="H44" s="107"/>
      <c r="I44" s="142">
        <f t="shared" si="0"/>
        <v>1</v>
      </c>
      <c r="J44" s="108">
        <f t="shared" si="1"/>
        <v>0</v>
      </c>
      <c r="K44" s="108">
        <f t="shared" si="2"/>
        <v>0</v>
      </c>
    </row>
    <row r="45" spans="1:11" x14ac:dyDescent="0.2">
      <c r="A45" s="425">
        <v>39</v>
      </c>
      <c r="B45" s="80"/>
      <c r="C45" s="147"/>
      <c r="D45" s="68" t="s">
        <v>138</v>
      </c>
      <c r="E45" s="439">
        <v>10</v>
      </c>
      <c r="F45" s="107"/>
      <c r="G45" s="107">
        <v>10</v>
      </c>
      <c r="H45" s="107"/>
      <c r="I45" s="142">
        <f t="shared" si="0"/>
        <v>1</v>
      </c>
      <c r="J45" s="108">
        <f t="shared" si="1"/>
        <v>0</v>
      </c>
      <c r="K45" s="108">
        <f t="shared" si="2"/>
        <v>0</v>
      </c>
    </row>
    <row r="46" spans="1:11" x14ac:dyDescent="0.2">
      <c r="A46" s="425">
        <v>40</v>
      </c>
      <c r="B46" s="80"/>
      <c r="C46" s="147"/>
      <c r="D46" s="68" t="s">
        <v>130</v>
      </c>
      <c r="E46" s="439">
        <v>3</v>
      </c>
      <c r="F46" s="107"/>
      <c r="G46" s="107">
        <v>2</v>
      </c>
      <c r="H46" s="107">
        <v>1</v>
      </c>
      <c r="I46" s="142">
        <f t="shared" si="0"/>
        <v>2</v>
      </c>
      <c r="J46" s="108">
        <f t="shared" si="1"/>
        <v>0</v>
      </c>
      <c r="K46" s="108">
        <f t="shared" si="2"/>
        <v>0</v>
      </c>
    </row>
    <row r="47" spans="1:11" x14ac:dyDescent="0.2">
      <c r="A47" s="425">
        <v>41</v>
      </c>
      <c r="B47" s="80"/>
      <c r="C47" s="147"/>
      <c r="D47" s="68" t="s">
        <v>160</v>
      </c>
      <c r="E47" s="439">
        <v>2</v>
      </c>
      <c r="F47" s="107"/>
      <c r="G47" s="107">
        <v>2</v>
      </c>
      <c r="H47" s="107"/>
      <c r="I47" s="142">
        <f t="shared" si="0"/>
        <v>1</v>
      </c>
      <c r="J47" s="108">
        <f>COUNTIF(F47:H47,"&gt;=30")</f>
        <v>0</v>
      </c>
      <c r="K47" s="108">
        <f>COUNTIF(F47:H47,"=40")</f>
        <v>0</v>
      </c>
    </row>
    <row r="48" spans="1:11" x14ac:dyDescent="0.2">
      <c r="A48" s="113">
        <f>COUNT(A7:A47)</f>
        <v>41</v>
      </c>
      <c r="B48" s="127">
        <f>COUNT(B7:B47)</f>
        <v>6</v>
      </c>
      <c r="C48" s="128">
        <f>COUNT(C7:C47)</f>
        <v>2</v>
      </c>
      <c r="D48" s="93" t="s">
        <v>165</v>
      </c>
      <c r="E48" s="114"/>
      <c r="F48" s="95">
        <f>COUNTIF(F7:F47,"&gt;=0")</f>
        <v>34</v>
      </c>
      <c r="G48" s="95">
        <f>COUNTIF(G7:G47,"&gt;=0")</f>
        <v>32</v>
      </c>
      <c r="H48" s="95">
        <f>COUNTIF(H7:H47,"&gt;=0")</f>
        <v>25</v>
      </c>
      <c r="I48" s="95"/>
      <c r="J48" s="115">
        <f>SUM(J7:J47)</f>
        <v>18</v>
      </c>
      <c r="K48" s="115">
        <f>SUM(K7:K47)</f>
        <v>6</v>
      </c>
    </row>
    <row r="49" spans="1:11" x14ac:dyDescent="0.2">
      <c r="A49" s="114"/>
      <c r="B49" s="114"/>
      <c r="C49" s="114"/>
      <c r="D49" s="93" t="s">
        <v>166</v>
      </c>
      <c r="E49" s="114"/>
      <c r="F49" s="98">
        <v>11</v>
      </c>
      <c r="G49" s="98">
        <v>16</v>
      </c>
      <c r="H49" s="98"/>
      <c r="I49" s="98"/>
      <c r="J49" s="114"/>
      <c r="K49" s="114"/>
    </row>
  </sheetData>
  <sheetProtection selectLockedCells="1" selectUnlockedCells="1"/>
  <autoFilter ref="I6:K6"/>
  <mergeCells count="3">
    <mergeCell ref="I4:I5"/>
    <mergeCell ref="J4:J5"/>
    <mergeCell ref="K4:K5"/>
  </mergeCells>
  <conditionalFormatting sqref="J7:J47">
    <cfRule type="top10" dxfId="36" priority="6" stopIfTrue="1" rank="1"/>
  </conditionalFormatting>
  <conditionalFormatting sqref="K7:K47">
    <cfRule type="top10" dxfId="35" priority="7" stopIfTrue="1" rank="1"/>
  </conditionalFormatting>
  <conditionalFormatting sqref="F7:I47">
    <cfRule type="cellIs" dxfId="34" priority="3" stopIfTrue="1" operator="equal">
      <formula>30</formula>
    </cfRule>
    <cfRule type="cellIs" dxfId="33" priority="4" stopIfTrue="1" operator="equal">
      <formula>34</formula>
    </cfRule>
    <cfRule type="cellIs" dxfId="32" priority="5" stopIfTrue="1" operator="equal">
      <formula>40</formula>
    </cfRule>
  </conditionalFormatting>
  <conditionalFormatting sqref="F48:I48">
    <cfRule type="top10" dxfId="31" priority="2" stopIfTrue="1" rank="1"/>
  </conditionalFormatting>
  <conditionalFormatting sqref="I7:I47">
    <cfRule type="top10" dxfId="30" priority="1" stopIfTrue="1" rank="1"/>
  </conditionalFormatting>
  <pageMargins left="0.78740157480314965" right="0.39370078740157483" top="0.78740157480314965" bottom="0.39370078740157483" header="0.59055118110236227" footer="0"/>
  <pageSetup paperSize="9" firstPageNumber="0" fitToHeight="0" orientation="portrait" verticalDpi="300" r:id="rId1"/>
  <headerFooter alignWithMargins="0">
    <oddHeader>&amp;R&amp;"Arial,Regular"&amp;9Page &amp;P of &amp;N</oddHeader>
  </headerFooter>
  <ignoredErrors>
    <ignoredError sqref="I7:K47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21"/>
  <sheetViews>
    <sheetView showGridLines="0" showRowColHeaders="0" zoomScaleNormal="100" workbookViewId="0">
      <pane ySplit="2" topLeftCell="A3" activePane="bottomLeft" state="frozen"/>
      <selection pane="bottomLeft" activeCell="H1" sqref="H1"/>
    </sheetView>
  </sheetViews>
  <sheetFormatPr defaultRowHeight="12.75" x14ac:dyDescent="0.2"/>
  <cols>
    <col min="1" max="1" width="3.28515625" style="160" customWidth="1"/>
    <col min="2" max="2" width="30.28515625" style="160" bestFit="1" customWidth="1"/>
    <col min="3" max="8" width="6.7109375" style="160" customWidth="1"/>
    <col min="9" max="9" width="5.7109375" style="160" customWidth="1"/>
    <col min="10" max="212" width="9.140625" style="160"/>
    <col min="213" max="213" width="3" style="160" customWidth="1"/>
    <col min="214" max="214" width="18.7109375" style="160" bestFit="1" customWidth="1"/>
    <col min="215" max="215" width="6.28515625" style="160" customWidth="1"/>
    <col min="216" max="216" width="6.5703125" style="160" bestFit="1" customWidth="1"/>
    <col min="217" max="237" width="4.42578125" style="160" customWidth="1"/>
    <col min="238" max="468" width="9.140625" style="160"/>
    <col min="469" max="469" width="3" style="160" customWidth="1"/>
    <col min="470" max="470" width="18.7109375" style="160" bestFit="1" customWidth="1"/>
    <col min="471" max="471" width="6.28515625" style="160" customWidth="1"/>
    <col min="472" max="472" width="6.5703125" style="160" bestFit="1" customWidth="1"/>
    <col min="473" max="493" width="4.42578125" style="160" customWidth="1"/>
    <col min="494" max="724" width="9.140625" style="160"/>
    <col min="725" max="725" width="3" style="160" customWidth="1"/>
    <col min="726" max="726" width="18.7109375" style="160" bestFit="1" customWidth="1"/>
    <col min="727" max="727" width="6.28515625" style="160" customWidth="1"/>
    <col min="728" max="728" width="6.5703125" style="160" bestFit="1" customWidth="1"/>
    <col min="729" max="749" width="4.42578125" style="160" customWidth="1"/>
    <col min="750" max="980" width="9.140625" style="160"/>
    <col min="981" max="981" width="3" style="160" customWidth="1"/>
    <col min="982" max="982" width="18.7109375" style="160" bestFit="1" customWidth="1"/>
    <col min="983" max="983" width="6.28515625" style="160" customWidth="1"/>
    <col min="984" max="984" width="6.5703125" style="160" bestFit="1" customWidth="1"/>
    <col min="985" max="1005" width="4.42578125" style="160" customWidth="1"/>
    <col min="1006" max="1236" width="9.140625" style="160"/>
    <col min="1237" max="1237" width="3" style="160" customWidth="1"/>
    <col min="1238" max="1238" width="18.7109375" style="160" bestFit="1" customWidth="1"/>
    <col min="1239" max="1239" width="6.28515625" style="160" customWidth="1"/>
    <col min="1240" max="1240" width="6.5703125" style="160" bestFit="1" customWidth="1"/>
    <col min="1241" max="1261" width="4.42578125" style="160" customWidth="1"/>
    <col min="1262" max="1492" width="9.140625" style="160"/>
    <col min="1493" max="1493" width="3" style="160" customWidth="1"/>
    <col min="1494" max="1494" width="18.7109375" style="160" bestFit="1" customWidth="1"/>
    <col min="1495" max="1495" width="6.28515625" style="160" customWidth="1"/>
    <col min="1496" max="1496" width="6.5703125" style="160" bestFit="1" customWidth="1"/>
    <col min="1497" max="1517" width="4.42578125" style="160" customWidth="1"/>
    <col min="1518" max="1748" width="9.140625" style="160"/>
    <col min="1749" max="1749" width="3" style="160" customWidth="1"/>
    <col min="1750" max="1750" width="18.7109375" style="160" bestFit="1" customWidth="1"/>
    <col min="1751" max="1751" width="6.28515625" style="160" customWidth="1"/>
    <col min="1752" max="1752" width="6.5703125" style="160" bestFit="1" customWidth="1"/>
    <col min="1753" max="1773" width="4.42578125" style="160" customWidth="1"/>
    <col min="1774" max="2004" width="9.140625" style="160"/>
    <col min="2005" max="2005" width="3" style="160" customWidth="1"/>
    <col min="2006" max="2006" width="18.7109375" style="160" bestFit="1" customWidth="1"/>
    <col min="2007" max="2007" width="6.28515625" style="160" customWidth="1"/>
    <col min="2008" max="2008" width="6.5703125" style="160" bestFit="1" customWidth="1"/>
    <col min="2009" max="2029" width="4.42578125" style="160" customWidth="1"/>
    <col min="2030" max="2260" width="9.140625" style="160"/>
    <col min="2261" max="2261" width="3" style="160" customWidth="1"/>
    <col min="2262" max="2262" width="18.7109375" style="160" bestFit="1" customWidth="1"/>
    <col min="2263" max="2263" width="6.28515625" style="160" customWidth="1"/>
    <col min="2264" max="2264" width="6.5703125" style="160" bestFit="1" customWidth="1"/>
    <col min="2265" max="2285" width="4.42578125" style="160" customWidth="1"/>
    <col min="2286" max="2516" width="9.140625" style="160"/>
    <col min="2517" max="2517" width="3" style="160" customWidth="1"/>
    <col min="2518" max="2518" width="18.7109375" style="160" bestFit="1" customWidth="1"/>
    <col min="2519" max="2519" width="6.28515625" style="160" customWidth="1"/>
    <col min="2520" max="2520" width="6.5703125" style="160" bestFit="1" customWidth="1"/>
    <col min="2521" max="2541" width="4.42578125" style="160" customWidth="1"/>
    <col min="2542" max="2772" width="9.140625" style="160"/>
    <col min="2773" max="2773" width="3" style="160" customWidth="1"/>
    <col min="2774" max="2774" width="18.7109375" style="160" bestFit="1" customWidth="1"/>
    <col min="2775" max="2775" width="6.28515625" style="160" customWidth="1"/>
    <col min="2776" max="2776" width="6.5703125" style="160" bestFit="1" customWidth="1"/>
    <col min="2777" max="2797" width="4.42578125" style="160" customWidth="1"/>
    <col min="2798" max="3028" width="9.140625" style="160"/>
    <col min="3029" max="3029" width="3" style="160" customWidth="1"/>
    <col min="3030" max="3030" width="18.7109375" style="160" bestFit="1" customWidth="1"/>
    <col min="3031" max="3031" width="6.28515625" style="160" customWidth="1"/>
    <col min="3032" max="3032" width="6.5703125" style="160" bestFit="1" customWidth="1"/>
    <col min="3033" max="3053" width="4.42578125" style="160" customWidth="1"/>
    <col min="3054" max="3284" width="9.140625" style="160"/>
    <col min="3285" max="3285" width="3" style="160" customWidth="1"/>
    <col min="3286" max="3286" width="18.7109375" style="160" bestFit="1" customWidth="1"/>
    <col min="3287" max="3287" width="6.28515625" style="160" customWidth="1"/>
    <col min="3288" max="3288" width="6.5703125" style="160" bestFit="1" customWidth="1"/>
    <col min="3289" max="3309" width="4.42578125" style="160" customWidth="1"/>
    <col min="3310" max="3540" width="9.140625" style="160"/>
    <col min="3541" max="3541" width="3" style="160" customWidth="1"/>
    <col min="3542" max="3542" width="18.7109375" style="160" bestFit="1" customWidth="1"/>
    <col min="3543" max="3543" width="6.28515625" style="160" customWidth="1"/>
    <col min="3544" max="3544" width="6.5703125" style="160" bestFit="1" customWidth="1"/>
    <col min="3545" max="3565" width="4.42578125" style="160" customWidth="1"/>
    <col min="3566" max="3796" width="9.140625" style="160"/>
    <col min="3797" max="3797" width="3" style="160" customWidth="1"/>
    <col min="3798" max="3798" width="18.7109375" style="160" bestFit="1" customWidth="1"/>
    <col min="3799" max="3799" width="6.28515625" style="160" customWidth="1"/>
    <col min="3800" max="3800" width="6.5703125" style="160" bestFit="1" customWidth="1"/>
    <col min="3801" max="3821" width="4.42578125" style="160" customWidth="1"/>
    <col min="3822" max="4052" width="9.140625" style="160"/>
    <col min="4053" max="4053" width="3" style="160" customWidth="1"/>
    <col min="4054" max="4054" width="18.7109375" style="160" bestFit="1" customWidth="1"/>
    <col min="4055" max="4055" width="6.28515625" style="160" customWidth="1"/>
    <col min="4056" max="4056" width="6.5703125" style="160" bestFit="1" customWidth="1"/>
    <col min="4057" max="4077" width="4.42578125" style="160" customWidth="1"/>
    <col min="4078" max="4308" width="9.140625" style="160"/>
    <col min="4309" max="4309" width="3" style="160" customWidth="1"/>
    <col min="4310" max="4310" width="18.7109375" style="160" bestFit="1" customWidth="1"/>
    <col min="4311" max="4311" width="6.28515625" style="160" customWidth="1"/>
    <col min="4312" max="4312" width="6.5703125" style="160" bestFit="1" customWidth="1"/>
    <col min="4313" max="4333" width="4.42578125" style="160" customWidth="1"/>
    <col min="4334" max="4564" width="9.140625" style="160"/>
    <col min="4565" max="4565" width="3" style="160" customWidth="1"/>
    <col min="4566" max="4566" width="18.7109375" style="160" bestFit="1" customWidth="1"/>
    <col min="4567" max="4567" width="6.28515625" style="160" customWidth="1"/>
    <col min="4568" max="4568" width="6.5703125" style="160" bestFit="1" customWidth="1"/>
    <col min="4569" max="4589" width="4.42578125" style="160" customWidth="1"/>
    <col min="4590" max="4820" width="9.140625" style="160"/>
    <col min="4821" max="4821" width="3" style="160" customWidth="1"/>
    <col min="4822" max="4822" width="18.7109375" style="160" bestFit="1" customWidth="1"/>
    <col min="4823" max="4823" width="6.28515625" style="160" customWidth="1"/>
    <col min="4824" max="4824" width="6.5703125" style="160" bestFit="1" customWidth="1"/>
    <col min="4825" max="4845" width="4.42578125" style="160" customWidth="1"/>
    <col min="4846" max="5076" width="9.140625" style="160"/>
    <col min="5077" max="5077" width="3" style="160" customWidth="1"/>
    <col min="5078" max="5078" width="18.7109375" style="160" bestFit="1" customWidth="1"/>
    <col min="5079" max="5079" width="6.28515625" style="160" customWidth="1"/>
    <col min="5080" max="5080" width="6.5703125" style="160" bestFit="1" customWidth="1"/>
    <col min="5081" max="5101" width="4.42578125" style="160" customWidth="1"/>
    <col min="5102" max="5332" width="9.140625" style="160"/>
    <col min="5333" max="5333" width="3" style="160" customWidth="1"/>
    <col min="5334" max="5334" width="18.7109375" style="160" bestFit="1" customWidth="1"/>
    <col min="5335" max="5335" width="6.28515625" style="160" customWidth="1"/>
    <col min="5336" max="5336" width="6.5703125" style="160" bestFit="1" customWidth="1"/>
    <col min="5337" max="5357" width="4.42578125" style="160" customWidth="1"/>
    <col min="5358" max="5588" width="9.140625" style="160"/>
    <col min="5589" max="5589" width="3" style="160" customWidth="1"/>
    <col min="5590" max="5590" width="18.7109375" style="160" bestFit="1" customWidth="1"/>
    <col min="5591" max="5591" width="6.28515625" style="160" customWidth="1"/>
    <col min="5592" max="5592" width="6.5703125" style="160" bestFit="1" customWidth="1"/>
    <col min="5593" max="5613" width="4.42578125" style="160" customWidth="1"/>
    <col min="5614" max="5844" width="9.140625" style="160"/>
    <col min="5845" max="5845" width="3" style="160" customWidth="1"/>
    <col min="5846" max="5846" width="18.7109375" style="160" bestFit="1" customWidth="1"/>
    <col min="5847" max="5847" width="6.28515625" style="160" customWidth="1"/>
    <col min="5848" max="5848" width="6.5703125" style="160" bestFit="1" customWidth="1"/>
    <col min="5849" max="5869" width="4.42578125" style="160" customWidth="1"/>
    <col min="5870" max="6100" width="9.140625" style="160"/>
    <col min="6101" max="6101" width="3" style="160" customWidth="1"/>
    <col min="6102" max="6102" width="18.7109375" style="160" bestFit="1" customWidth="1"/>
    <col min="6103" max="6103" width="6.28515625" style="160" customWidth="1"/>
    <col min="6104" max="6104" width="6.5703125" style="160" bestFit="1" customWidth="1"/>
    <col min="6105" max="6125" width="4.42578125" style="160" customWidth="1"/>
    <col min="6126" max="6356" width="9.140625" style="160"/>
    <col min="6357" max="6357" width="3" style="160" customWidth="1"/>
    <col min="6358" max="6358" width="18.7109375" style="160" bestFit="1" customWidth="1"/>
    <col min="6359" max="6359" width="6.28515625" style="160" customWidth="1"/>
    <col min="6360" max="6360" width="6.5703125" style="160" bestFit="1" customWidth="1"/>
    <col min="6361" max="6381" width="4.42578125" style="160" customWidth="1"/>
    <col min="6382" max="6612" width="9.140625" style="160"/>
    <col min="6613" max="6613" width="3" style="160" customWidth="1"/>
    <col min="6614" max="6614" width="18.7109375" style="160" bestFit="1" customWidth="1"/>
    <col min="6615" max="6615" width="6.28515625" style="160" customWidth="1"/>
    <col min="6616" max="6616" width="6.5703125" style="160" bestFit="1" customWidth="1"/>
    <col min="6617" max="6637" width="4.42578125" style="160" customWidth="1"/>
    <col min="6638" max="6868" width="9.140625" style="160"/>
    <col min="6869" max="6869" width="3" style="160" customWidth="1"/>
    <col min="6870" max="6870" width="18.7109375" style="160" bestFit="1" customWidth="1"/>
    <col min="6871" max="6871" width="6.28515625" style="160" customWidth="1"/>
    <col min="6872" max="6872" width="6.5703125" style="160" bestFit="1" customWidth="1"/>
    <col min="6873" max="6893" width="4.42578125" style="160" customWidth="1"/>
    <col min="6894" max="7124" width="9.140625" style="160"/>
    <col min="7125" max="7125" width="3" style="160" customWidth="1"/>
    <col min="7126" max="7126" width="18.7109375" style="160" bestFit="1" customWidth="1"/>
    <col min="7127" max="7127" width="6.28515625" style="160" customWidth="1"/>
    <col min="7128" max="7128" width="6.5703125" style="160" bestFit="1" customWidth="1"/>
    <col min="7129" max="7149" width="4.42578125" style="160" customWidth="1"/>
    <col min="7150" max="7380" width="9.140625" style="160"/>
    <col min="7381" max="7381" width="3" style="160" customWidth="1"/>
    <col min="7382" max="7382" width="18.7109375" style="160" bestFit="1" customWidth="1"/>
    <col min="7383" max="7383" width="6.28515625" style="160" customWidth="1"/>
    <col min="7384" max="7384" width="6.5703125" style="160" bestFit="1" customWidth="1"/>
    <col min="7385" max="7405" width="4.42578125" style="160" customWidth="1"/>
    <col min="7406" max="7636" width="9.140625" style="160"/>
    <col min="7637" max="7637" width="3" style="160" customWidth="1"/>
    <col min="7638" max="7638" width="18.7109375" style="160" bestFit="1" customWidth="1"/>
    <col min="7639" max="7639" width="6.28515625" style="160" customWidth="1"/>
    <col min="7640" max="7640" width="6.5703125" style="160" bestFit="1" customWidth="1"/>
    <col min="7641" max="7661" width="4.42578125" style="160" customWidth="1"/>
    <col min="7662" max="7892" width="9.140625" style="160"/>
    <col min="7893" max="7893" width="3" style="160" customWidth="1"/>
    <col min="7894" max="7894" width="18.7109375" style="160" bestFit="1" customWidth="1"/>
    <col min="7895" max="7895" width="6.28515625" style="160" customWidth="1"/>
    <col min="7896" max="7896" width="6.5703125" style="160" bestFit="1" customWidth="1"/>
    <col min="7897" max="7917" width="4.42578125" style="160" customWidth="1"/>
    <col min="7918" max="8148" width="9.140625" style="160"/>
    <col min="8149" max="8149" width="3" style="160" customWidth="1"/>
    <col min="8150" max="8150" width="18.7109375" style="160" bestFit="1" customWidth="1"/>
    <col min="8151" max="8151" width="6.28515625" style="160" customWidth="1"/>
    <col min="8152" max="8152" width="6.5703125" style="160" bestFit="1" customWidth="1"/>
    <col min="8153" max="8173" width="4.42578125" style="160" customWidth="1"/>
    <col min="8174" max="8404" width="9.140625" style="160"/>
    <col min="8405" max="8405" width="3" style="160" customWidth="1"/>
    <col min="8406" max="8406" width="18.7109375" style="160" bestFit="1" customWidth="1"/>
    <col min="8407" max="8407" width="6.28515625" style="160" customWidth="1"/>
    <col min="8408" max="8408" width="6.5703125" style="160" bestFit="1" customWidth="1"/>
    <col min="8409" max="8429" width="4.42578125" style="160" customWidth="1"/>
    <col min="8430" max="8660" width="9.140625" style="160"/>
    <col min="8661" max="8661" width="3" style="160" customWidth="1"/>
    <col min="8662" max="8662" width="18.7109375" style="160" bestFit="1" customWidth="1"/>
    <col min="8663" max="8663" width="6.28515625" style="160" customWidth="1"/>
    <col min="8664" max="8664" width="6.5703125" style="160" bestFit="1" customWidth="1"/>
    <col min="8665" max="8685" width="4.42578125" style="160" customWidth="1"/>
    <col min="8686" max="8916" width="9.140625" style="160"/>
    <col min="8917" max="8917" width="3" style="160" customWidth="1"/>
    <col min="8918" max="8918" width="18.7109375" style="160" bestFit="1" customWidth="1"/>
    <col min="8919" max="8919" width="6.28515625" style="160" customWidth="1"/>
    <col min="8920" max="8920" width="6.5703125" style="160" bestFit="1" customWidth="1"/>
    <col min="8921" max="8941" width="4.42578125" style="160" customWidth="1"/>
    <col min="8942" max="9172" width="9.140625" style="160"/>
    <col min="9173" max="9173" width="3" style="160" customWidth="1"/>
    <col min="9174" max="9174" width="18.7109375" style="160" bestFit="1" customWidth="1"/>
    <col min="9175" max="9175" width="6.28515625" style="160" customWidth="1"/>
    <col min="9176" max="9176" width="6.5703125" style="160" bestFit="1" customWidth="1"/>
    <col min="9177" max="9197" width="4.42578125" style="160" customWidth="1"/>
    <col min="9198" max="9428" width="9.140625" style="160"/>
    <col min="9429" max="9429" width="3" style="160" customWidth="1"/>
    <col min="9430" max="9430" width="18.7109375" style="160" bestFit="1" customWidth="1"/>
    <col min="9431" max="9431" width="6.28515625" style="160" customWidth="1"/>
    <col min="9432" max="9432" width="6.5703125" style="160" bestFit="1" customWidth="1"/>
    <col min="9433" max="9453" width="4.42578125" style="160" customWidth="1"/>
    <col min="9454" max="9684" width="9.140625" style="160"/>
    <col min="9685" max="9685" width="3" style="160" customWidth="1"/>
    <col min="9686" max="9686" width="18.7109375" style="160" bestFit="1" customWidth="1"/>
    <col min="9687" max="9687" width="6.28515625" style="160" customWidth="1"/>
    <col min="9688" max="9688" width="6.5703125" style="160" bestFit="1" customWidth="1"/>
    <col min="9689" max="9709" width="4.42578125" style="160" customWidth="1"/>
    <col min="9710" max="9940" width="9.140625" style="160"/>
    <col min="9941" max="9941" width="3" style="160" customWidth="1"/>
    <col min="9942" max="9942" width="18.7109375" style="160" bestFit="1" customWidth="1"/>
    <col min="9943" max="9943" width="6.28515625" style="160" customWidth="1"/>
    <col min="9944" max="9944" width="6.5703125" style="160" bestFit="1" customWidth="1"/>
    <col min="9945" max="9965" width="4.42578125" style="160" customWidth="1"/>
    <col min="9966" max="10196" width="9.140625" style="160"/>
    <col min="10197" max="10197" width="3" style="160" customWidth="1"/>
    <col min="10198" max="10198" width="18.7109375" style="160" bestFit="1" customWidth="1"/>
    <col min="10199" max="10199" width="6.28515625" style="160" customWidth="1"/>
    <col min="10200" max="10200" width="6.5703125" style="160" bestFit="1" customWidth="1"/>
    <col min="10201" max="10221" width="4.42578125" style="160" customWidth="1"/>
    <col min="10222" max="10452" width="9.140625" style="160"/>
    <col min="10453" max="10453" width="3" style="160" customWidth="1"/>
    <col min="10454" max="10454" width="18.7109375" style="160" bestFit="1" customWidth="1"/>
    <col min="10455" max="10455" width="6.28515625" style="160" customWidth="1"/>
    <col min="10456" max="10456" width="6.5703125" style="160" bestFit="1" customWidth="1"/>
    <col min="10457" max="10477" width="4.42578125" style="160" customWidth="1"/>
    <col min="10478" max="10708" width="9.140625" style="160"/>
    <col min="10709" max="10709" width="3" style="160" customWidth="1"/>
    <col min="10710" max="10710" width="18.7109375" style="160" bestFit="1" customWidth="1"/>
    <col min="10711" max="10711" width="6.28515625" style="160" customWidth="1"/>
    <col min="10712" max="10712" width="6.5703125" style="160" bestFit="1" customWidth="1"/>
    <col min="10713" max="10733" width="4.42578125" style="160" customWidth="1"/>
    <col min="10734" max="10964" width="9.140625" style="160"/>
    <col min="10965" max="10965" width="3" style="160" customWidth="1"/>
    <col min="10966" max="10966" width="18.7109375" style="160" bestFit="1" customWidth="1"/>
    <col min="10967" max="10967" width="6.28515625" style="160" customWidth="1"/>
    <col min="10968" max="10968" width="6.5703125" style="160" bestFit="1" customWidth="1"/>
    <col min="10969" max="10989" width="4.42578125" style="160" customWidth="1"/>
    <col min="10990" max="11220" width="9.140625" style="160"/>
    <col min="11221" max="11221" width="3" style="160" customWidth="1"/>
    <col min="11222" max="11222" width="18.7109375" style="160" bestFit="1" customWidth="1"/>
    <col min="11223" max="11223" width="6.28515625" style="160" customWidth="1"/>
    <col min="11224" max="11224" width="6.5703125" style="160" bestFit="1" customWidth="1"/>
    <col min="11225" max="11245" width="4.42578125" style="160" customWidth="1"/>
    <col min="11246" max="11476" width="9.140625" style="160"/>
    <col min="11477" max="11477" width="3" style="160" customWidth="1"/>
    <col min="11478" max="11478" width="18.7109375" style="160" bestFit="1" customWidth="1"/>
    <col min="11479" max="11479" width="6.28515625" style="160" customWidth="1"/>
    <col min="11480" max="11480" width="6.5703125" style="160" bestFit="1" customWidth="1"/>
    <col min="11481" max="11501" width="4.42578125" style="160" customWidth="1"/>
    <col min="11502" max="11732" width="9.140625" style="160"/>
    <col min="11733" max="11733" width="3" style="160" customWidth="1"/>
    <col min="11734" max="11734" width="18.7109375" style="160" bestFit="1" customWidth="1"/>
    <col min="11735" max="11735" width="6.28515625" style="160" customWidth="1"/>
    <col min="11736" max="11736" width="6.5703125" style="160" bestFit="1" customWidth="1"/>
    <col min="11737" max="11757" width="4.42578125" style="160" customWidth="1"/>
    <col min="11758" max="11988" width="9.140625" style="160"/>
    <col min="11989" max="11989" width="3" style="160" customWidth="1"/>
    <col min="11990" max="11990" width="18.7109375" style="160" bestFit="1" customWidth="1"/>
    <col min="11991" max="11991" width="6.28515625" style="160" customWidth="1"/>
    <col min="11992" max="11992" width="6.5703125" style="160" bestFit="1" customWidth="1"/>
    <col min="11993" max="12013" width="4.42578125" style="160" customWidth="1"/>
    <col min="12014" max="12244" width="9.140625" style="160"/>
    <col min="12245" max="12245" width="3" style="160" customWidth="1"/>
    <col min="12246" max="12246" width="18.7109375" style="160" bestFit="1" customWidth="1"/>
    <col min="12247" max="12247" width="6.28515625" style="160" customWidth="1"/>
    <col min="12248" max="12248" width="6.5703125" style="160" bestFit="1" customWidth="1"/>
    <col min="12249" max="12269" width="4.42578125" style="160" customWidth="1"/>
    <col min="12270" max="12500" width="9.140625" style="160"/>
    <col min="12501" max="12501" width="3" style="160" customWidth="1"/>
    <col min="12502" max="12502" width="18.7109375" style="160" bestFit="1" customWidth="1"/>
    <col min="12503" max="12503" width="6.28515625" style="160" customWidth="1"/>
    <col min="12504" max="12504" width="6.5703125" style="160" bestFit="1" customWidth="1"/>
    <col min="12505" max="12525" width="4.42578125" style="160" customWidth="1"/>
    <col min="12526" max="12756" width="9.140625" style="160"/>
    <col min="12757" max="12757" width="3" style="160" customWidth="1"/>
    <col min="12758" max="12758" width="18.7109375" style="160" bestFit="1" customWidth="1"/>
    <col min="12759" max="12759" width="6.28515625" style="160" customWidth="1"/>
    <col min="12760" max="12760" width="6.5703125" style="160" bestFit="1" customWidth="1"/>
    <col min="12761" max="12781" width="4.42578125" style="160" customWidth="1"/>
    <col min="12782" max="13012" width="9.140625" style="160"/>
    <col min="13013" max="13013" width="3" style="160" customWidth="1"/>
    <col min="13014" max="13014" width="18.7109375" style="160" bestFit="1" customWidth="1"/>
    <col min="13015" max="13015" width="6.28515625" style="160" customWidth="1"/>
    <col min="13016" max="13016" width="6.5703125" style="160" bestFit="1" customWidth="1"/>
    <col min="13017" max="13037" width="4.42578125" style="160" customWidth="1"/>
    <col min="13038" max="13268" width="9.140625" style="160"/>
    <col min="13269" max="13269" width="3" style="160" customWidth="1"/>
    <col min="13270" max="13270" width="18.7109375" style="160" bestFit="1" customWidth="1"/>
    <col min="13271" max="13271" width="6.28515625" style="160" customWidth="1"/>
    <col min="13272" max="13272" width="6.5703125" style="160" bestFit="1" customWidth="1"/>
    <col min="13273" max="13293" width="4.42578125" style="160" customWidth="1"/>
    <col min="13294" max="13524" width="9.140625" style="160"/>
    <col min="13525" max="13525" width="3" style="160" customWidth="1"/>
    <col min="13526" max="13526" width="18.7109375" style="160" bestFit="1" customWidth="1"/>
    <col min="13527" max="13527" width="6.28515625" style="160" customWidth="1"/>
    <col min="13528" max="13528" width="6.5703125" style="160" bestFit="1" customWidth="1"/>
    <col min="13529" max="13549" width="4.42578125" style="160" customWidth="1"/>
    <col min="13550" max="13780" width="9.140625" style="160"/>
    <col min="13781" max="13781" width="3" style="160" customWidth="1"/>
    <col min="13782" max="13782" width="18.7109375" style="160" bestFit="1" customWidth="1"/>
    <col min="13783" max="13783" width="6.28515625" style="160" customWidth="1"/>
    <col min="13784" max="13784" width="6.5703125" style="160" bestFit="1" customWidth="1"/>
    <col min="13785" max="13805" width="4.42578125" style="160" customWidth="1"/>
    <col min="13806" max="14036" width="9.140625" style="160"/>
    <col min="14037" max="14037" width="3" style="160" customWidth="1"/>
    <col min="14038" max="14038" width="18.7109375" style="160" bestFit="1" customWidth="1"/>
    <col min="14039" max="14039" width="6.28515625" style="160" customWidth="1"/>
    <col min="14040" max="14040" width="6.5703125" style="160" bestFit="1" customWidth="1"/>
    <col min="14041" max="14061" width="4.42578125" style="160" customWidth="1"/>
    <col min="14062" max="14292" width="9.140625" style="160"/>
    <col min="14293" max="14293" width="3" style="160" customWidth="1"/>
    <col min="14294" max="14294" width="18.7109375" style="160" bestFit="1" customWidth="1"/>
    <col min="14295" max="14295" width="6.28515625" style="160" customWidth="1"/>
    <col min="14296" max="14296" width="6.5703125" style="160" bestFit="1" customWidth="1"/>
    <col min="14297" max="14317" width="4.42578125" style="160" customWidth="1"/>
    <col min="14318" max="14548" width="9.140625" style="160"/>
    <col min="14549" max="14549" width="3" style="160" customWidth="1"/>
    <col min="14550" max="14550" width="18.7109375" style="160" bestFit="1" customWidth="1"/>
    <col min="14551" max="14551" width="6.28515625" style="160" customWidth="1"/>
    <col min="14552" max="14552" width="6.5703125" style="160" bestFit="1" customWidth="1"/>
    <col min="14553" max="14573" width="4.42578125" style="160" customWidth="1"/>
    <col min="14574" max="14804" width="9.140625" style="160"/>
    <col min="14805" max="14805" width="3" style="160" customWidth="1"/>
    <col min="14806" max="14806" width="18.7109375" style="160" bestFit="1" customWidth="1"/>
    <col min="14807" max="14807" width="6.28515625" style="160" customWidth="1"/>
    <col min="14808" max="14808" width="6.5703125" style="160" bestFit="1" customWidth="1"/>
    <col min="14809" max="14829" width="4.42578125" style="160" customWidth="1"/>
    <col min="14830" max="15060" width="9.140625" style="160"/>
    <col min="15061" max="15061" width="3" style="160" customWidth="1"/>
    <col min="15062" max="15062" width="18.7109375" style="160" bestFit="1" customWidth="1"/>
    <col min="15063" max="15063" width="6.28515625" style="160" customWidth="1"/>
    <col min="15064" max="15064" width="6.5703125" style="160" bestFit="1" customWidth="1"/>
    <col min="15065" max="15085" width="4.42578125" style="160" customWidth="1"/>
    <col min="15086" max="15316" width="9.140625" style="160"/>
    <col min="15317" max="15317" width="3" style="160" customWidth="1"/>
    <col min="15318" max="15318" width="18.7109375" style="160" bestFit="1" customWidth="1"/>
    <col min="15319" max="15319" width="6.28515625" style="160" customWidth="1"/>
    <col min="15320" max="15320" width="6.5703125" style="160" bestFit="1" customWidth="1"/>
    <col min="15321" max="15341" width="4.42578125" style="160" customWidth="1"/>
    <col min="15342" max="15572" width="9.140625" style="160"/>
    <col min="15573" max="15573" width="3" style="160" customWidth="1"/>
    <col min="15574" max="15574" width="18.7109375" style="160" bestFit="1" customWidth="1"/>
    <col min="15575" max="15575" width="6.28515625" style="160" customWidth="1"/>
    <col min="15576" max="15576" width="6.5703125" style="160" bestFit="1" customWidth="1"/>
    <col min="15577" max="15597" width="4.42578125" style="160" customWidth="1"/>
    <col min="15598" max="15828" width="9.140625" style="160"/>
    <col min="15829" max="15829" width="3" style="160" customWidth="1"/>
    <col min="15830" max="15830" width="18.7109375" style="160" bestFit="1" customWidth="1"/>
    <col min="15831" max="15831" width="6.28515625" style="160" customWidth="1"/>
    <col min="15832" max="15832" width="6.5703125" style="160" bestFit="1" customWidth="1"/>
    <col min="15833" max="15853" width="4.42578125" style="160" customWidth="1"/>
    <col min="15854" max="16084" width="9.140625" style="160"/>
    <col min="16085" max="16085" width="3" style="160" customWidth="1"/>
    <col min="16086" max="16086" width="18.7109375" style="160" bestFit="1" customWidth="1"/>
    <col min="16087" max="16087" width="6.28515625" style="160" customWidth="1"/>
    <col min="16088" max="16088" width="6.5703125" style="160" bestFit="1" customWidth="1"/>
    <col min="16089" max="16109" width="4.42578125" style="160" customWidth="1"/>
    <col min="16110" max="16384" width="9.140625" style="160"/>
  </cols>
  <sheetData>
    <row r="1" spans="1:8" x14ac:dyDescent="0.2">
      <c r="A1" s="20" t="str">
        <f>UPPER((Kalend!D7)&amp;" - "&amp;(Kalend!C7)&amp;" - "&amp;(Kalend!E7))</f>
        <v>2 - K-JÄRVE 11. KV 2. ETAPP - DUO</v>
      </c>
    </row>
    <row r="2" spans="1:8" x14ac:dyDescent="0.2">
      <c r="A2" s="160" t="str">
        <f>"Toimumisaeg: "&amp;(Kalend!A7)&amp;" kell "&amp;(Kalend!B7)</f>
        <v>Toimumisaeg: P, 13.05.2012 kell 12:00</v>
      </c>
    </row>
    <row r="3" spans="1:8" x14ac:dyDescent="0.2">
      <c r="A3" s="160" t="str">
        <f>"Toimumiskoht: "&amp;(Kalend!F7)</f>
        <v>Toimumiskoht: K-Järve, Järve Gümnaasiumi staadion</v>
      </c>
    </row>
    <row r="4" spans="1:8" x14ac:dyDescent="0.2">
      <c r="A4" s="160" t="str">
        <f>"Korraldaja: "&amp;(Kalend!G7)</f>
        <v>Korraldaja: K-Järve SHK</v>
      </c>
    </row>
    <row r="6" spans="1:8" x14ac:dyDescent="0.2">
      <c r="A6" s="232" t="s">
        <v>209</v>
      </c>
      <c r="B6" s="232"/>
      <c r="C6" s="233">
        <v>1</v>
      </c>
      <c r="D6" s="233">
        <v>2</v>
      </c>
      <c r="E6" s="233">
        <v>3</v>
      </c>
      <c r="F6" s="233">
        <v>4</v>
      </c>
      <c r="G6" s="234" t="s">
        <v>309</v>
      </c>
      <c r="H6" s="234" t="s">
        <v>306</v>
      </c>
    </row>
    <row r="7" spans="1:8" x14ac:dyDescent="0.2">
      <c r="A7" s="232">
        <v>1</v>
      </c>
      <c r="B7" s="257" t="s">
        <v>337</v>
      </c>
      <c r="C7" s="235"/>
      <c r="D7" s="238">
        <v>6</v>
      </c>
      <c r="E7" s="238">
        <v>13</v>
      </c>
      <c r="F7" s="238">
        <v>13</v>
      </c>
      <c r="G7" s="236" t="s">
        <v>313</v>
      </c>
      <c r="H7" s="237" t="s">
        <v>314</v>
      </c>
    </row>
    <row r="8" spans="1:8" x14ac:dyDescent="0.2">
      <c r="A8" s="232">
        <v>2</v>
      </c>
      <c r="B8" s="257" t="s">
        <v>340</v>
      </c>
      <c r="C8" s="238">
        <v>13</v>
      </c>
      <c r="D8" s="235"/>
      <c r="E8" s="238">
        <v>13</v>
      </c>
      <c r="F8" s="238">
        <v>13</v>
      </c>
      <c r="G8" s="236" t="s">
        <v>402</v>
      </c>
      <c r="H8" s="237" t="s">
        <v>310</v>
      </c>
    </row>
    <row r="9" spans="1:8" x14ac:dyDescent="0.2">
      <c r="A9" s="232">
        <v>3</v>
      </c>
      <c r="B9" s="259" t="s">
        <v>470</v>
      </c>
      <c r="C9" s="238">
        <v>9</v>
      </c>
      <c r="D9" s="238">
        <v>0</v>
      </c>
      <c r="E9" s="235"/>
      <c r="F9" s="238">
        <v>9</v>
      </c>
      <c r="G9" s="236" t="s">
        <v>311</v>
      </c>
      <c r="H9" s="237" t="s">
        <v>312</v>
      </c>
    </row>
    <row r="10" spans="1:8" x14ac:dyDescent="0.2">
      <c r="A10" s="232">
        <v>4</v>
      </c>
      <c r="B10" s="257" t="s">
        <v>464</v>
      </c>
      <c r="C10" s="238">
        <v>1</v>
      </c>
      <c r="D10" s="238">
        <v>6</v>
      </c>
      <c r="E10" s="238">
        <v>13</v>
      </c>
      <c r="F10" s="235"/>
      <c r="G10" s="236" t="s">
        <v>316</v>
      </c>
      <c r="H10" s="237" t="s">
        <v>317</v>
      </c>
    </row>
    <row r="12" spans="1:8" x14ac:dyDescent="0.2">
      <c r="A12" s="232" t="s">
        <v>211</v>
      </c>
      <c r="B12" s="232"/>
      <c r="C12" s="233">
        <v>1</v>
      </c>
      <c r="D12" s="233">
        <v>2</v>
      </c>
      <c r="E12" s="233">
        <v>3</v>
      </c>
      <c r="F12" s="233">
        <v>4</v>
      </c>
      <c r="G12" s="234" t="s">
        <v>309</v>
      </c>
      <c r="H12" s="234" t="s">
        <v>306</v>
      </c>
    </row>
    <row r="13" spans="1:8" x14ac:dyDescent="0.2">
      <c r="A13" s="232">
        <v>1</v>
      </c>
      <c r="B13" s="257" t="s">
        <v>350</v>
      </c>
      <c r="C13" s="235"/>
      <c r="D13" s="238">
        <v>13</v>
      </c>
      <c r="E13" s="238">
        <v>13</v>
      </c>
      <c r="F13" s="238">
        <v>13</v>
      </c>
      <c r="G13" s="236" t="s">
        <v>402</v>
      </c>
      <c r="H13" s="237" t="s">
        <v>310</v>
      </c>
    </row>
    <row r="14" spans="1:8" x14ac:dyDescent="0.2">
      <c r="A14" s="232">
        <v>2</v>
      </c>
      <c r="B14" s="257" t="s">
        <v>471</v>
      </c>
      <c r="C14" s="238">
        <v>3</v>
      </c>
      <c r="D14" s="235"/>
      <c r="E14" s="238">
        <v>11</v>
      </c>
      <c r="F14" s="238">
        <v>9</v>
      </c>
      <c r="G14" s="236" t="s">
        <v>311</v>
      </c>
      <c r="H14" s="237" t="s">
        <v>312</v>
      </c>
    </row>
    <row r="15" spans="1:8" x14ac:dyDescent="0.2">
      <c r="A15" s="232">
        <v>3</v>
      </c>
      <c r="B15" s="258" t="s">
        <v>472</v>
      </c>
      <c r="C15" s="238">
        <v>10</v>
      </c>
      <c r="D15" s="238">
        <v>13</v>
      </c>
      <c r="E15" s="235"/>
      <c r="F15" s="238">
        <v>8</v>
      </c>
      <c r="G15" s="236" t="s">
        <v>316</v>
      </c>
      <c r="H15" s="237" t="s">
        <v>317</v>
      </c>
    </row>
    <row r="16" spans="1:8" x14ac:dyDescent="0.2">
      <c r="A16" s="232">
        <v>4</v>
      </c>
      <c r="B16" s="257" t="s">
        <v>469</v>
      </c>
      <c r="C16" s="238">
        <v>8</v>
      </c>
      <c r="D16" s="238">
        <v>13</v>
      </c>
      <c r="E16" s="238">
        <v>13</v>
      </c>
      <c r="F16" s="235"/>
      <c r="G16" s="236" t="s">
        <v>313</v>
      </c>
      <c r="H16" s="237" t="s">
        <v>314</v>
      </c>
    </row>
    <row r="18" spans="1:9" x14ac:dyDescent="0.2">
      <c r="A18" s="232" t="s">
        <v>215</v>
      </c>
      <c r="B18" s="232"/>
      <c r="C18" s="233">
        <v>1</v>
      </c>
      <c r="D18" s="233">
        <v>2</v>
      </c>
      <c r="E18" s="233">
        <v>3</v>
      </c>
      <c r="F18" s="233">
        <v>4</v>
      </c>
      <c r="G18" s="234" t="s">
        <v>309</v>
      </c>
      <c r="H18" s="234" t="s">
        <v>306</v>
      </c>
    </row>
    <row r="19" spans="1:9" x14ac:dyDescent="0.2">
      <c r="A19" s="232">
        <v>1</v>
      </c>
      <c r="B19" s="257" t="s">
        <v>342</v>
      </c>
      <c r="C19" s="235"/>
      <c r="D19" s="238">
        <v>7</v>
      </c>
      <c r="E19" s="306">
        <v>10</v>
      </c>
      <c r="F19" s="306">
        <v>13</v>
      </c>
      <c r="G19" s="298" t="s">
        <v>316</v>
      </c>
      <c r="H19" s="237" t="s">
        <v>314</v>
      </c>
      <c r="I19" s="477" t="s">
        <v>473</v>
      </c>
    </row>
    <row r="20" spans="1:9" x14ac:dyDescent="0.2">
      <c r="A20" s="232">
        <v>2</v>
      </c>
      <c r="B20" s="257" t="s">
        <v>465</v>
      </c>
      <c r="C20" s="238">
        <v>13</v>
      </c>
      <c r="D20" s="235"/>
      <c r="E20" s="238">
        <v>13</v>
      </c>
      <c r="F20" s="238">
        <v>13</v>
      </c>
      <c r="G20" s="236" t="s">
        <v>402</v>
      </c>
      <c r="H20" s="237" t="s">
        <v>310</v>
      </c>
    </row>
    <row r="21" spans="1:9" x14ac:dyDescent="0.2">
      <c r="A21" s="232">
        <v>3</v>
      </c>
      <c r="B21" s="258" t="s">
        <v>336</v>
      </c>
      <c r="C21" s="306">
        <v>13</v>
      </c>
      <c r="D21" s="238">
        <v>2</v>
      </c>
      <c r="E21" s="235"/>
      <c r="F21" s="306">
        <v>7</v>
      </c>
      <c r="G21" s="298" t="s">
        <v>316</v>
      </c>
      <c r="H21" s="460" t="s">
        <v>312</v>
      </c>
      <c r="I21" s="477" t="s">
        <v>474</v>
      </c>
    </row>
    <row r="22" spans="1:9" x14ac:dyDescent="0.2">
      <c r="A22" s="232">
        <v>4</v>
      </c>
      <c r="B22" s="257" t="s">
        <v>466</v>
      </c>
      <c r="C22" s="306">
        <v>5</v>
      </c>
      <c r="D22" s="238">
        <v>5</v>
      </c>
      <c r="E22" s="306">
        <v>13</v>
      </c>
      <c r="F22" s="235"/>
      <c r="G22" s="298" t="s">
        <v>316</v>
      </c>
      <c r="H22" s="460" t="s">
        <v>317</v>
      </c>
      <c r="I22" s="477" t="s">
        <v>393</v>
      </c>
    </row>
    <row r="24" spans="1:9" x14ac:dyDescent="0.2">
      <c r="A24" s="232" t="s">
        <v>218</v>
      </c>
      <c r="B24" s="232"/>
      <c r="C24" s="233">
        <v>1</v>
      </c>
      <c r="D24" s="233">
        <v>2</v>
      </c>
      <c r="E24" s="233">
        <v>3</v>
      </c>
      <c r="F24" s="233">
        <v>4</v>
      </c>
      <c r="G24" s="234" t="s">
        <v>309</v>
      </c>
      <c r="H24" s="234" t="s">
        <v>306</v>
      </c>
    </row>
    <row r="25" spans="1:9" x14ac:dyDescent="0.2">
      <c r="A25" s="232">
        <v>1</v>
      </c>
      <c r="B25" s="257" t="s">
        <v>338</v>
      </c>
      <c r="C25" s="235"/>
      <c r="D25" s="238">
        <v>13</v>
      </c>
      <c r="E25" s="238">
        <v>13</v>
      </c>
      <c r="F25" s="238">
        <v>13</v>
      </c>
      <c r="G25" s="236" t="s">
        <v>402</v>
      </c>
      <c r="H25" s="237" t="s">
        <v>310</v>
      </c>
    </row>
    <row r="26" spans="1:9" x14ac:dyDescent="0.2">
      <c r="A26" s="232">
        <v>2</v>
      </c>
      <c r="B26" s="257" t="s">
        <v>467</v>
      </c>
      <c r="C26" s="238">
        <v>12</v>
      </c>
      <c r="D26" s="235"/>
      <c r="E26" s="238">
        <v>13</v>
      </c>
      <c r="F26" s="238">
        <v>13</v>
      </c>
      <c r="G26" s="236" t="s">
        <v>313</v>
      </c>
      <c r="H26" s="237" t="s">
        <v>314</v>
      </c>
    </row>
    <row r="27" spans="1:9" x14ac:dyDescent="0.2">
      <c r="A27" s="232">
        <v>3</v>
      </c>
      <c r="B27" s="258" t="s">
        <v>341</v>
      </c>
      <c r="C27" s="238">
        <v>7</v>
      </c>
      <c r="D27" s="238">
        <v>12</v>
      </c>
      <c r="E27" s="235"/>
      <c r="F27" s="238">
        <v>10</v>
      </c>
      <c r="G27" s="236" t="s">
        <v>311</v>
      </c>
      <c r="H27" s="237" t="s">
        <v>312</v>
      </c>
    </row>
    <row r="28" spans="1:9" x14ac:dyDescent="0.2">
      <c r="A28" s="232">
        <v>4</v>
      </c>
      <c r="B28" s="257" t="s">
        <v>468</v>
      </c>
      <c r="C28" s="238">
        <v>12</v>
      </c>
      <c r="D28" s="238">
        <v>6</v>
      </c>
      <c r="E28" s="238">
        <v>13</v>
      </c>
      <c r="F28" s="235"/>
      <c r="G28" s="236" t="s">
        <v>316</v>
      </c>
      <c r="H28" s="237" t="s">
        <v>317</v>
      </c>
    </row>
    <row r="30" spans="1:9" x14ac:dyDescent="0.2">
      <c r="B30" s="240" t="s">
        <v>318</v>
      </c>
      <c r="C30" s="241" t="s">
        <v>319</v>
      </c>
      <c r="D30" s="241" t="s">
        <v>320</v>
      </c>
    </row>
    <row r="31" spans="1:9" x14ac:dyDescent="0.2">
      <c r="B31" s="240" t="s">
        <v>321</v>
      </c>
      <c r="C31" s="241" t="s">
        <v>322</v>
      </c>
      <c r="D31" s="241" t="s">
        <v>323</v>
      </c>
    </row>
    <row r="32" spans="1:9" x14ac:dyDescent="0.2">
      <c r="B32" s="240" t="s">
        <v>324</v>
      </c>
      <c r="C32" s="241" t="s">
        <v>316</v>
      </c>
      <c r="D32" s="241" t="s">
        <v>325</v>
      </c>
    </row>
    <row r="34" spans="1:11" x14ac:dyDescent="0.2">
      <c r="A34" s="260" t="s">
        <v>354</v>
      </c>
      <c r="B34" s="261"/>
      <c r="C34" s="261"/>
      <c r="D34" s="261"/>
      <c r="E34" s="261"/>
      <c r="F34" s="261"/>
      <c r="G34" s="261"/>
      <c r="H34" s="252"/>
      <c r="I34" s="252"/>
      <c r="J34" s="252"/>
      <c r="K34" s="261"/>
    </row>
    <row r="35" spans="1:11" x14ac:dyDescent="0.2">
      <c r="A35" s="260"/>
      <c r="B35" s="261"/>
      <c r="C35" s="261"/>
      <c r="D35" s="261"/>
      <c r="E35" s="261"/>
      <c r="F35" s="261"/>
      <c r="G35" s="261"/>
      <c r="H35" s="252"/>
      <c r="I35" s="252"/>
      <c r="J35" s="252"/>
      <c r="K35" s="261"/>
    </row>
    <row r="36" spans="1:11" x14ac:dyDescent="0.2">
      <c r="A36" s="262" t="s">
        <v>359</v>
      </c>
      <c r="B36" s="261" t="s">
        <v>340</v>
      </c>
      <c r="C36" s="263">
        <v>13</v>
      </c>
      <c r="D36" s="261"/>
      <c r="E36" s="261"/>
      <c r="F36" s="261"/>
      <c r="G36" s="261"/>
      <c r="H36" s="261"/>
      <c r="I36" s="261"/>
      <c r="J36" s="261"/>
      <c r="K36" s="261"/>
    </row>
    <row r="37" spans="1:11" x14ac:dyDescent="0.2">
      <c r="A37" s="264"/>
      <c r="B37" s="265"/>
      <c r="C37" s="266" t="s">
        <v>340</v>
      </c>
      <c r="D37" s="267"/>
      <c r="E37" s="261"/>
      <c r="F37" s="263">
        <v>13</v>
      </c>
      <c r="G37" s="261"/>
      <c r="H37" s="261"/>
      <c r="I37" s="261"/>
      <c r="J37" s="261"/>
      <c r="K37" s="261"/>
    </row>
    <row r="38" spans="1:11" x14ac:dyDescent="0.2">
      <c r="A38" s="262" t="s">
        <v>358</v>
      </c>
      <c r="B38" s="268" t="s">
        <v>469</v>
      </c>
      <c r="C38" s="269">
        <v>7</v>
      </c>
      <c r="D38" s="261"/>
      <c r="E38" s="270"/>
      <c r="F38" s="261"/>
      <c r="G38" s="261"/>
      <c r="H38" s="261"/>
      <c r="I38" s="261"/>
      <c r="J38" s="261"/>
      <c r="K38" s="261"/>
    </row>
    <row r="39" spans="1:11" x14ac:dyDescent="0.2">
      <c r="A39" s="264"/>
      <c r="B39" s="261"/>
      <c r="C39" s="261"/>
      <c r="D39" s="271"/>
      <c r="E39" s="272"/>
      <c r="F39" s="261" t="s">
        <v>340</v>
      </c>
      <c r="G39" s="261"/>
      <c r="H39" s="261"/>
      <c r="I39" s="263">
        <v>13</v>
      </c>
      <c r="J39" s="261"/>
      <c r="K39" s="261"/>
    </row>
    <row r="40" spans="1:11" x14ac:dyDescent="0.2">
      <c r="A40" s="262" t="s">
        <v>355</v>
      </c>
      <c r="B40" s="273" t="s">
        <v>338</v>
      </c>
      <c r="C40" s="274">
        <v>13</v>
      </c>
      <c r="D40" s="261"/>
      <c r="E40" s="272"/>
      <c r="F40" s="265"/>
      <c r="G40" s="265"/>
      <c r="H40" s="270"/>
      <c r="I40" s="261"/>
      <c r="J40" s="261"/>
      <c r="K40" s="261"/>
    </row>
    <row r="41" spans="1:11" x14ac:dyDescent="0.2">
      <c r="A41" s="264"/>
      <c r="B41" s="265"/>
      <c r="C41" s="275" t="s">
        <v>338</v>
      </c>
      <c r="D41" s="261"/>
      <c r="E41" s="276"/>
      <c r="F41" s="274">
        <v>7</v>
      </c>
      <c r="G41" s="271"/>
      <c r="H41" s="272"/>
      <c r="I41" s="261"/>
      <c r="J41" s="261"/>
      <c r="K41" s="261"/>
    </row>
    <row r="42" spans="1:11" x14ac:dyDescent="0.2">
      <c r="A42" s="262" t="s">
        <v>360</v>
      </c>
      <c r="B42" s="268" t="s">
        <v>342</v>
      </c>
      <c r="C42" s="277">
        <v>9</v>
      </c>
      <c r="D42" s="265"/>
      <c r="E42" s="261"/>
      <c r="F42" s="271"/>
      <c r="G42" s="271"/>
      <c r="H42" s="272"/>
      <c r="I42" s="261"/>
      <c r="J42" s="261"/>
      <c r="K42" s="261"/>
    </row>
    <row r="43" spans="1:11" ht="13.5" thickBot="1" x14ac:dyDescent="0.25">
      <c r="A43" s="264"/>
      <c r="B43" s="261"/>
      <c r="C43" s="261"/>
      <c r="D43" s="261"/>
      <c r="E43" s="261"/>
      <c r="F43" s="271"/>
      <c r="G43" s="271"/>
      <c r="H43" s="272"/>
      <c r="I43" s="261"/>
      <c r="J43" s="291" t="s">
        <v>340</v>
      </c>
      <c r="K43" s="261"/>
    </row>
    <row r="44" spans="1:11" x14ac:dyDescent="0.2">
      <c r="A44" s="262" t="s">
        <v>357</v>
      </c>
      <c r="B44" s="261" t="s">
        <v>465</v>
      </c>
      <c r="C44" s="263">
        <v>13</v>
      </c>
      <c r="D44" s="261"/>
      <c r="E44" s="261"/>
      <c r="F44" s="271"/>
      <c r="G44" s="271"/>
      <c r="H44" s="272"/>
      <c r="I44" s="278"/>
      <c r="J44" s="279" t="s">
        <v>417</v>
      </c>
      <c r="K44" s="280"/>
    </row>
    <row r="45" spans="1:11" x14ac:dyDescent="0.2">
      <c r="A45" s="264"/>
      <c r="B45" s="265"/>
      <c r="C45" s="266" t="s">
        <v>465</v>
      </c>
      <c r="D45" s="267"/>
      <c r="E45" s="261"/>
      <c r="F45" s="274">
        <v>13</v>
      </c>
      <c r="G45" s="271"/>
      <c r="H45" s="272"/>
      <c r="I45" s="261"/>
      <c r="J45" s="261"/>
      <c r="K45" s="261"/>
    </row>
    <row r="46" spans="1:11" ht="13.5" thickBot="1" x14ac:dyDescent="0.25">
      <c r="A46" s="262" t="s">
        <v>362</v>
      </c>
      <c r="B46" s="267" t="s">
        <v>467</v>
      </c>
      <c r="C46" s="269">
        <v>8</v>
      </c>
      <c r="D46" s="261"/>
      <c r="E46" s="270"/>
      <c r="F46" s="271"/>
      <c r="G46" s="271"/>
      <c r="H46" s="272"/>
      <c r="I46" s="261"/>
      <c r="J46" s="281" t="s">
        <v>465</v>
      </c>
      <c r="K46" s="281"/>
    </row>
    <row r="47" spans="1:11" x14ac:dyDescent="0.2">
      <c r="A47" s="264"/>
      <c r="B47" s="261"/>
      <c r="C47" s="261"/>
      <c r="D47" s="271"/>
      <c r="E47" s="272"/>
      <c r="F47" s="267" t="s">
        <v>465</v>
      </c>
      <c r="G47" s="267"/>
      <c r="H47" s="276"/>
      <c r="I47" s="302" t="s">
        <v>228</v>
      </c>
      <c r="J47" s="279" t="s">
        <v>418</v>
      </c>
      <c r="K47" s="261"/>
    </row>
    <row r="48" spans="1:11" x14ac:dyDescent="0.2">
      <c r="A48" s="262" t="s">
        <v>361</v>
      </c>
      <c r="B48" s="261" t="s">
        <v>350</v>
      </c>
      <c r="C48" s="274">
        <v>13</v>
      </c>
      <c r="D48" s="261"/>
      <c r="E48" s="272"/>
      <c r="F48" s="261"/>
      <c r="G48" s="261"/>
      <c r="H48" s="261"/>
      <c r="I48" s="261"/>
      <c r="J48" s="261"/>
      <c r="K48" s="261"/>
    </row>
    <row r="49" spans="1:11" x14ac:dyDescent="0.2">
      <c r="A49" s="264"/>
      <c r="B49" s="265"/>
      <c r="C49" s="275" t="s">
        <v>350</v>
      </c>
      <c r="D49" s="261"/>
      <c r="E49" s="276"/>
      <c r="F49" s="263">
        <v>12</v>
      </c>
      <c r="G49" s="261"/>
      <c r="H49" s="261"/>
      <c r="I49" s="261"/>
      <c r="J49" s="261"/>
      <c r="K49" s="261"/>
    </row>
    <row r="50" spans="1:11" x14ac:dyDescent="0.2">
      <c r="A50" s="262" t="s">
        <v>356</v>
      </c>
      <c r="B50" s="267" t="s">
        <v>337</v>
      </c>
      <c r="C50" s="392" t="s">
        <v>228</v>
      </c>
      <c r="D50" s="265"/>
      <c r="E50" s="261"/>
      <c r="F50" s="261"/>
      <c r="G50" s="261"/>
      <c r="H50" s="261"/>
      <c r="I50" s="261"/>
      <c r="J50" s="261"/>
      <c r="K50" s="261"/>
    </row>
    <row r="51" spans="1:11" x14ac:dyDescent="0.2">
      <c r="A51" s="261"/>
      <c r="B51" s="261"/>
      <c r="C51" s="261"/>
      <c r="D51" s="261"/>
      <c r="E51" s="261"/>
      <c r="F51" s="261" t="s">
        <v>338</v>
      </c>
      <c r="G51" s="261"/>
      <c r="H51" s="261"/>
      <c r="I51" s="274">
        <v>13</v>
      </c>
      <c r="J51" s="271"/>
      <c r="K51" s="271"/>
    </row>
    <row r="52" spans="1:11" ht="13.5" thickBot="1" x14ac:dyDescent="0.25">
      <c r="A52" s="261"/>
      <c r="B52" s="261"/>
      <c r="C52" s="261"/>
      <c r="D52" s="261"/>
      <c r="E52" s="261"/>
      <c r="F52" s="265"/>
      <c r="G52" s="265"/>
      <c r="H52" s="270"/>
      <c r="I52" s="281"/>
      <c r="J52" s="281" t="s">
        <v>338</v>
      </c>
      <c r="K52" s="281"/>
    </row>
    <row r="53" spans="1:11" x14ac:dyDescent="0.2">
      <c r="A53" s="261"/>
      <c r="B53" s="261"/>
      <c r="C53" s="261"/>
      <c r="D53" s="261"/>
      <c r="E53" s="261"/>
      <c r="F53" s="267" t="s">
        <v>350</v>
      </c>
      <c r="G53" s="267"/>
      <c r="H53" s="276"/>
      <c r="I53" s="263">
        <v>6</v>
      </c>
      <c r="J53" s="282" t="s">
        <v>416</v>
      </c>
      <c r="K53" s="271"/>
    </row>
    <row r="54" spans="1:11" x14ac:dyDescent="0.2">
      <c r="A54" s="261"/>
      <c r="B54" s="261"/>
      <c r="C54" s="261"/>
      <c r="D54" s="261"/>
      <c r="E54" s="261"/>
      <c r="F54" s="261"/>
      <c r="G54" s="261"/>
      <c r="H54" s="261"/>
      <c r="I54" s="261"/>
      <c r="J54" s="271"/>
      <c r="K54" s="271"/>
    </row>
    <row r="55" spans="1:11" ht="13.5" thickBot="1" x14ac:dyDescent="0.25">
      <c r="A55" s="261"/>
      <c r="B55" s="261"/>
      <c r="C55" s="261" t="s">
        <v>469</v>
      </c>
      <c r="D55" s="261"/>
      <c r="E55" s="261"/>
      <c r="F55" s="263">
        <v>13</v>
      </c>
      <c r="G55" s="261"/>
      <c r="H55" s="261"/>
      <c r="I55" s="261"/>
      <c r="J55" s="281" t="s">
        <v>350</v>
      </c>
      <c r="K55" s="281"/>
    </row>
    <row r="56" spans="1:11" x14ac:dyDescent="0.2">
      <c r="A56" s="261"/>
      <c r="B56" s="261"/>
      <c r="C56" s="265"/>
      <c r="D56" s="265"/>
      <c r="E56" s="270"/>
      <c r="F56" s="266" t="s">
        <v>469</v>
      </c>
      <c r="G56" s="267"/>
      <c r="H56" s="267"/>
      <c r="I56" s="263">
        <v>13</v>
      </c>
      <c r="J56" s="283" t="s">
        <v>229</v>
      </c>
      <c r="K56" s="261"/>
    </row>
    <row r="57" spans="1:11" x14ac:dyDescent="0.2">
      <c r="A57" s="261"/>
      <c r="B57" s="261"/>
      <c r="C57" s="267" t="s">
        <v>342</v>
      </c>
      <c r="D57" s="267"/>
      <c r="E57" s="276"/>
      <c r="F57" s="269">
        <v>6</v>
      </c>
      <c r="G57" s="261"/>
      <c r="H57" s="272"/>
      <c r="I57" s="261"/>
      <c r="J57" s="261"/>
      <c r="K57" s="261"/>
    </row>
    <row r="58" spans="1:11" ht="13.5" thickBot="1" x14ac:dyDescent="0.25">
      <c r="A58" s="261"/>
      <c r="B58" s="261"/>
      <c r="C58" s="261"/>
      <c r="D58" s="261"/>
      <c r="E58" s="261"/>
      <c r="F58" s="271"/>
      <c r="G58" s="261"/>
      <c r="H58" s="272"/>
      <c r="I58" s="261"/>
      <c r="J58" s="261" t="s">
        <v>469</v>
      </c>
      <c r="K58" s="261"/>
    </row>
    <row r="59" spans="1:11" x14ac:dyDescent="0.2">
      <c r="A59" s="261"/>
      <c r="B59" s="261"/>
      <c r="C59" s="261" t="s">
        <v>467</v>
      </c>
      <c r="D59" s="261"/>
      <c r="E59" s="261"/>
      <c r="F59" s="274">
        <v>13</v>
      </c>
      <c r="G59" s="261"/>
      <c r="H59" s="272"/>
      <c r="I59" s="278"/>
      <c r="J59" s="279" t="s">
        <v>231</v>
      </c>
      <c r="K59" s="280"/>
    </row>
    <row r="60" spans="1:11" x14ac:dyDescent="0.2">
      <c r="A60" s="261"/>
      <c r="B60" s="261"/>
      <c r="C60" s="265"/>
      <c r="D60" s="265"/>
      <c r="E60" s="270"/>
      <c r="F60" s="275" t="s">
        <v>467</v>
      </c>
      <c r="G60" s="261"/>
      <c r="H60" s="276"/>
      <c r="I60" s="303" t="s">
        <v>228</v>
      </c>
      <c r="J60" s="261"/>
      <c r="K60" s="261"/>
    </row>
    <row r="61" spans="1:11" ht="13.5" thickBot="1" x14ac:dyDescent="0.25">
      <c r="A61" s="261"/>
      <c r="B61" s="261"/>
      <c r="C61" s="267" t="s">
        <v>337</v>
      </c>
      <c r="D61" s="267"/>
      <c r="E61" s="276"/>
      <c r="F61" s="392" t="s">
        <v>228</v>
      </c>
      <c r="G61" s="265"/>
      <c r="H61" s="261"/>
      <c r="I61" s="271"/>
      <c r="J61" s="271" t="s">
        <v>467</v>
      </c>
      <c r="K61" s="281"/>
    </row>
    <row r="62" spans="1:11" x14ac:dyDescent="0.2">
      <c r="A62" s="261"/>
      <c r="B62" s="261"/>
      <c r="C62" s="261"/>
      <c r="D62" s="261"/>
      <c r="E62" s="261"/>
      <c r="F62" s="261"/>
      <c r="G62" s="261"/>
      <c r="H62" s="261"/>
      <c r="I62" s="271"/>
      <c r="J62" s="279" t="s">
        <v>232</v>
      </c>
      <c r="K62" s="271"/>
    </row>
    <row r="63" spans="1:11" x14ac:dyDescent="0.2">
      <c r="A63" s="261"/>
      <c r="B63" s="261"/>
      <c r="C63" s="261"/>
      <c r="D63" s="261"/>
      <c r="E63" s="261"/>
      <c r="F63" s="261" t="s">
        <v>342</v>
      </c>
      <c r="G63" s="261"/>
      <c r="H63" s="261"/>
      <c r="I63" s="274">
        <v>3</v>
      </c>
      <c r="J63" s="271"/>
      <c r="K63" s="271"/>
    </row>
    <row r="64" spans="1:11" ht="13.5" thickBot="1" x14ac:dyDescent="0.25">
      <c r="A64" s="261"/>
      <c r="B64" s="261"/>
      <c r="C64" s="261"/>
      <c r="D64" s="261"/>
      <c r="E64" s="261"/>
      <c r="F64" s="265"/>
      <c r="G64" s="265"/>
      <c r="H64" s="270"/>
      <c r="I64" s="281"/>
      <c r="J64" s="281" t="s">
        <v>337</v>
      </c>
      <c r="K64" s="281"/>
    </row>
    <row r="65" spans="1:11" x14ac:dyDescent="0.2">
      <c r="A65" s="261"/>
      <c r="B65" s="261"/>
      <c r="C65" s="261"/>
      <c r="D65" s="261"/>
      <c r="E65" s="261"/>
      <c r="F65" s="267" t="s">
        <v>337</v>
      </c>
      <c r="G65" s="267"/>
      <c r="H65" s="276"/>
      <c r="I65" s="263">
        <v>13</v>
      </c>
      <c r="J65" s="282" t="s">
        <v>234</v>
      </c>
      <c r="K65" s="271"/>
    </row>
    <row r="66" spans="1:11" x14ac:dyDescent="0.2">
      <c r="A66" s="261"/>
      <c r="B66" s="261"/>
      <c r="C66" s="261"/>
      <c r="D66" s="261"/>
      <c r="E66" s="261"/>
      <c r="F66" s="261"/>
      <c r="G66" s="261"/>
      <c r="H66" s="261"/>
      <c r="I66" s="261"/>
      <c r="J66" s="271"/>
      <c r="K66" s="271"/>
    </row>
    <row r="67" spans="1:11" ht="13.5" thickBot="1" x14ac:dyDescent="0.25">
      <c r="A67" s="261"/>
      <c r="B67" s="261"/>
      <c r="J67" s="281" t="s">
        <v>342</v>
      </c>
      <c r="K67" s="281"/>
    </row>
    <row r="68" spans="1:11" x14ac:dyDescent="0.2">
      <c r="A68" s="261"/>
      <c r="B68" s="261"/>
      <c r="C68" s="261"/>
      <c r="D68" s="261"/>
      <c r="E68" s="261"/>
      <c r="F68" s="261"/>
      <c r="G68" s="271"/>
      <c r="H68" s="271"/>
      <c r="I68" s="261"/>
      <c r="J68" s="283" t="s">
        <v>235</v>
      </c>
      <c r="K68" s="261"/>
    </row>
    <row r="70" spans="1:11" x14ac:dyDescent="0.2">
      <c r="A70" s="260" t="s">
        <v>363</v>
      </c>
      <c r="B70" s="261"/>
      <c r="C70" s="261"/>
      <c r="D70" s="261"/>
      <c r="E70" s="261"/>
      <c r="F70" s="261"/>
      <c r="G70" s="261"/>
      <c r="H70" s="252"/>
      <c r="I70" s="252"/>
      <c r="J70" s="252"/>
      <c r="K70" s="261"/>
    </row>
    <row r="71" spans="1:11" x14ac:dyDescent="0.2">
      <c r="A71" s="260"/>
      <c r="B71" s="261"/>
      <c r="C71" s="261"/>
      <c r="D71" s="261"/>
      <c r="E71" s="261"/>
      <c r="F71" s="261"/>
      <c r="G71" s="261"/>
      <c r="H71" s="252"/>
      <c r="I71" s="252"/>
      <c r="J71" s="252"/>
      <c r="K71" s="261"/>
    </row>
    <row r="72" spans="1:11" x14ac:dyDescent="0.2">
      <c r="A72" s="262" t="s">
        <v>364</v>
      </c>
      <c r="B72" s="261" t="s">
        <v>464</v>
      </c>
      <c r="C72" s="263">
        <v>13</v>
      </c>
      <c r="D72" s="261"/>
      <c r="E72" s="261"/>
      <c r="F72" s="261"/>
      <c r="G72" s="261"/>
      <c r="H72" s="261"/>
      <c r="I72" s="261"/>
      <c r="J72" s="261"/>
      <c r="K72" s="261"/>
    </row>
    <row r="73" spans="1:11" x14ac:dyDescent="0.2">
      <c r="A73" s="264"/>
      <c r="B73" s="265"/>
      <c r="C73" s="266" t="s">
        <v>464</v>
      </c>
      <c r="D73" s="267"/>
      <c r="E73" s="261"/>
      <c r="F73" s="263">
        <v>6</v>
      </c>
      <c r="G73" s="261"/>
      <c r="H73" s="261"/>
      <c r="I73" s="261"/>
      <c r="J73" s="261"/>
      <c r="K73" s="261"/>
    </row>
    <row r="74" spans="1:11" x14ac:dyDescent="0.2">
      <c r="A74" s="262" t="s">
        <v>370</v>
      </c>
      <c r="B74" s="268" t="s">
        <v>471</v>
      </c>
      <c r="C74" s="269">
        <v>7</v>
      </c>
      <c r="D74" s="261"/>
      <c r="E74" s="270"/>
      <c r="F74" s="261"/>
      <c r="G74" s="261"/>
      <c r="H74" s="261"/>
      <c r="I74" s="261"/>
      <c r="J74" s="261"/>
      <c r="K74" s="261"/>
    </row>
    <row r="75" spans="1:11" x14ac:dyDescent="0.2">
      <c r="A75" s="264"/>
      <c r="B75" s="261"/>
      <c r="C75" s="261"/>
      <c r="D75" s="271"/>
      <c r="E75" s="272"/>
      <c r="F75" s="261" t="s">
        <v>466</v>
      </c>
      <c r="G75" s="261"/>
      <c r="H75" s="261"/>
      <c r="I75" s="263">
        <v>13</v>
      </c>
      <c r="J75" s="261"/>
      <c r="K75" s="261"/>
    </row>
    <row r="76" spans="1:11" x14ac:dyDescent="0.2">
      <c r="A76" s="262" t="s">
        <v>371</v>
      </c>
      <c r="B76" s="273" t="s">
        <v>468</v>
      </c>
      <c r="C76" s="289">
        <v>8</v>
      </c>
      <c r="D76" s="261"/>
      <c r="E76" s="272"/>
      <c r="F76" s="265"/>
      <c r="G76" s="265"/>
      <c r="H76" s="270"/>
      <c r="I76" s="261"/>
      <c r="J76" s="261"/>
      <c r="K76" s="261"/>
    </row>
    <row r="77" spans="1:11" x14ac:dyDescent="0.2">
      <c r="A77" s="264"/>
      <c r="B77" s="265"/>
      <c r="C77" s="275" t="s">
        <v>466</v>
      </c>
      <c r="D77" s="261"/>
      <c r="E77" s="276"/>
      <c r="F77" s="274">
        <v>13</v>
      </c>
      <c r="G77" s="271"/>
      <c r="H77" s="272"/>
      <c r="I77" s="261"/>
      <c r="J77" s="261"/>
      <c r="K77" s="261"/>
    </row>
    <row r="78" spans="1:11" x14ac:dyDescent="0.2">
      <c r="A78" s="262" t="s">
        <v>368</v>
      </c>
      <c r="B78" s="268" t="s">
        <v>466</v>
      </c>
      <c r="C78" s="290">
        <v>13</v>
      </c>
      <c r="D78" s="265"/>
      <c r="E78" s="261"/>
      <c r="F78" s="271"/>
      <c r="G78" s="271"/>
      <c r="H78" s="272"/>
      <c r="I78" s="261"/>
      <c r="J78" s="261"/>
      <c r="K78" s="261"/>
    </row>
    <row r="79" spans="1:11" ht="13.5" thickBot="1" x14ac:dyDescent="0.25">
      <c r="A79" s="264"/>
      <c r="B79" s="261"/>
      <c r="C79" s="261"/>
      <c r="D79" s="261"/>
      <c r="E79" s="261"/>
      <c r="F79" s="271"/>
      <c r="G79" s="271"/>
      <c r="H79" s="272"/>
      <c r="I79" s="261"/>
      <c r="J79" s="261" t="s">
        <v>466</v>
      </c>
      <c r="K79" s="261"/>
    </row>
    <row r="80" spans="1:11" x14ac:dyDescent="0.2">
      <c r="A80" s="262" t="s">
        <v>369</v>
      </c>
      <c r="B80" s="261" t="s">
        <v>336</v>
      </c>
      <c r="C80" s="263">
        <v>13</v>
      </c>
      <c r="D80" s="261"/>
      <c r="E80" s="261"/>
      <c r="F80" s="271"/>
      <c r="G80" s="271"/>
      <c r="H80" s="272"/>
      <c r="I80" s="278"/>
      <c r="J80" s="279" t="s">
        <v>237</v>
      </c>
      <c r="K80" s="280"/>
    </row>
    <row r="81" spans="1:11" x14ac:dyDescent="0.2">
      <c r="A81" s="264"/>
      <c r="B81" s="265"/>
      <c r="C81" s="266" t="s">
        <v>336</v>
      </c>
      <c r="D81" s="267"/>
      <c r="E81" s="261"/>
      <c r="F81" s="274">
        <v>13</v>
      </c>
      <c r="G81" s="271"/>
      <c r="H81" s="272"/>
      <c r="I81" s="261"/>
      <c r="J81" s="261"/>
      <c r="K81" s="261"/>
    </row>
    <row r="82" spans="1:11" ht="13.5" thickBot="1" x14ac:dyDescent="0.25">
      <c r="A82" s="262" t="s">
        <v>366</v>
      </c>
      <c r="B82" s="267" t="s">
        <v>341</v>
      </c>
      <c r="C82" s="269">
        <v>0</v>
      </c>
      <c r="D82" s="261"/>
      <c r="E82" s="270"/>
      <c r="F82" s="271"/>
      <c r="G82" s="271"/>
      <c r="H82" s="272"/>
      <c r="I82" s="261"/>
      <c r="J82" s="281" t="s">
        <v>336</v>
      </c>
      <c r="K82" s="281"/>
    </row>
    <row r="83" spans="1:11" x14ac:dyDescent="0.2">
      <c r="A83" s="264"/>
      <c r="B83" s="261"/>
      <c r="C83" s="261"/>
      <c r="D83" s="271"/>
      <c r="E83" s="272"/>
      <c r="F83" s="267" t="s">
        <v>336</v>
      </c>
      <c r="G83" s="267"/>
      <c r="H83" s="276"/>
      <c r="I83" s="263">
        <v>8</v>
      </c>
      <c r="J83" s="279" t="s">
        <v>238</v>
      </c>
      <c r="K83" s="261"/>
    </row>
    <row r="84" spans="1:11" x14ac:dyDescent="0.2">
      <c r="A84" s="262" t="s">
        <v>367</v>
      </c>
      <c r="B84" s="261" t="s">
        <v>472</v>
      </c>
      <c r="C84" s="274">
        <v>13</v>
      </c>
      <c r="D84" s="261"/>
      <c r="E84" s="272"/>
      <c r="F84" s="261"/>
      <c r="G84" s="261"/>
      <c r="H84" s="261"/>
      <c r="I84" s="261"/>
      <c r="J84" s="261"/>
      <c r="K84" s="261"/>
    </row>
    <row r="85" spans="1:11" x14ac:dyDescent="0.2">
      <c r="A85" s="264"/>
      <c r="B85" s="265"/>
      <c r="C85" s="275" t="s">
        <v>472</v>
      </c>
      <c r="D85" s="261"/>
      <c r="E85" s="276"/>
      <c r="F85" s="263">
        <v>3</v>
      </c>
      <c r="G85" s="261"/>
      <c r="H85" s="261"/>
      <c r="I85" s="261"/>
      <c r="J85" s="261"/>
      <c r="K85" s="261"/>
    </row>
    <row r="86" spans="1:11" x14ac:dyDescent="0.2">
      <c r="A86" s="262" t="s">
        <v>372</v>
      </c>
      <c r="B86" s="267" t="s">
        <v>470</v>
      </c>
      <c r="C86" s="277">
        <v>6</v>
      </c>
      <c r="D86" s="265"/>
      <c r="E86" s="261"/>
      <c r="F86" s="261"/>
      <c r="G86" s="261"/>
      <c r="H86" s="261"/>
      <c r="I86" s="261"/>
      <c r="J86" s="261"/>
      <c r="K86" s="261"/>
    </row>
    <row r="87" spans="1:11" x14ac:dyDescent="0.2">
      <c r="A87" s="261"/>
      <c r="B87" s="261"/>
      <c r="C87" s="261"/>
      <c r="D87" s="261"/>
      <c r="E87" s="261"/>
      <c r="F87" s="261" t="s">
        <v>464</v>
      </c>
      <c r="G87" s="261"/>
      <c r="H87" s="261"/>
      <c r="I87" s="274">
        <v>4</v>
      </c>
      <c r="J87" s="271"/>
      <c r="K87" s="271"/>
    </row>
    <row r="88" spans="1:11" ht="13.5" thickBot="1" x14ac:dyDescent="0.25">
      <c r="A88" s="261"/>
      <c r="B88" s="261"/>
      <c r="C88" s="261"/>
      <c r="D88" s="261"/>
      <c r="E88" s="261"/>
      <c r="F88" s="265"/>
      <c r="G88" s="265"/>
      <c r="H88" s="270"/>
      <c r="I88" s="281"/>
      <c r="J88" s="281" t="s">
        <v>472</v>
      </c>
      <c r="K88" s="281"/>
    </row>
    <row r="89" spans="1:11" x14ac:dyDescent="0.2">
      <c r="A89" s="261"/>
      <c r="B89" s="261"/>
      <c r="C89" s="261"/>
      <c r="D89" s="261"/>
      <c r="E89" s="261"/>
      <c r="F89" s="267" t="s">
        <v>472</v>
      </c>
      <c r="G89" s="267"/>
      <c r="H89" s="276"/>
      <c r="I89" s="263">
        <v>13</v>
      </c>
      <c r="J89" s="282" t="s">
        <v>239</v>
      </c>
      <c r="K89" s="271"/>
    </row>
    <row r="90" spans="1:11" x14ac:dyDescent="0.2">
      <c r="A90" s="261"/>
      <c r="B90" s="261"/>
      <c r="C90" s="261"/>
      <c r="D90" s="261"/>
      <c r="E90" s="261"/>
      <c r="F90" s="261"/>
      <c r="G90" s="261"/>
      <c r="H90" s="261"/>
      <c r="I90" s="261"/>
      <c r="J90" s="271"/>
      <c r="K90" s="271"/>
    </row>
    <row r="91" spans="1:11" ht="13.5" thickBot="1" x14ac:dyDescent="0.25">
      <c r="A91" s="261"/>
      <c r="B91" s="261"/>
      <c r="C91" s="261" t="s">
        <v>471</v>
      </c>
      <c r="D91" s="261"/>
      <c r="E91" s="261"/>
      <c r="F91" s="287">
        <v>13</v>
      </c>
      <c r="G91" s="261"/>
      <c r="H91" s="261"/>
      <c r="I91" s="261"/>
      <c r="J91" s="281" t="s">
        <v>464</v>
      </c>
      <c r="K91" s="281"/>
    </row>
    <row r="92" spans="1:11" x14ac:dyDescent="0.2">
      <c r="A92" s="261"/>
      <c r="B92" s="261"/>
      <c r="C92" s="265"/>
      <c r="D92" s="265"/>
      <c r="E92" s="270"/>
      <c r="F92" s="266" t="s">
        <v>471</v>
      </c>
      <c r="G92" s="267"/>
      <c r="H92" s="267"/>
      <c r="I92" s="263">
        <v>4</v>
      </c>
      <c r="J92" s="283" t="s">
        <v>240</v>
      </c>
      <c r="K92" s="261"/>
    </row>
    <row r="93" spans="1:11" x14ac:dyDescent="0.2">
      <c r="A93" s="261"/>
      <c r="B93" s="261"/>
      <c r="C93" s="267" t="s">
        <v>468</v>
      </c>
      <c r="D93" s="267"/>
      <c r="E93" s="276"/>
      <c r="F93" s="288">
        <v>11</v>
      </c>
      <c r="G93" s="261"/>
      <c r="H93" s="272"/>
      <c r="I93" s="261"/>
      <c r="J93" s="261"/>
      <c r="K93" s="261"/>
    </row>
    <row r="94" spans="1:11" ht="13.5" thickBot="1" x14ac:dyDescent="0.25">
      <c r="A94" s="261"/>
      <c r="B94" s="261"/>
      <c r="C94" s="261"/>
      <c r="D94" s="261"/>
      <c r="E94" s="261"/>
      <c r="F94" s="271"/>
      <c r="G94" s="261"/>
      <c r="H94" s="272"/>
      <c r="I94" s="261"/>
      <c r="J94" s="261" t="s">
        <v>341</v>
      </c>
      <c r="K94" s="261"/>
    </row>
    <row r="95" spans="1:11" x14ac:dyDescent="0.2">
      <c r="A95" s="261"/>
      <c r="B95" s="261"/>
      <c r="C95" s="291" t="s">
        <v>341</v>
      </c>
      <c r="D95" s="261"/>
      <c r="E95" s="261"/>
      <c r="F95" s="274">
        <v>13</v>
      </c>
      <c r="G95" s="261"/>
      <c r="H95" s="272"/>
      <c r="I95" s="278"/>
      <c r="J95" s="279" t="s">
        <v>242</v>
      </c>
      <c r="K95" s="280"/>
    </row>
    <row r="96" spans="1:11" x14ac:dyDescent="0.2">
      <c r="A96" s="261"/>
      <c r="B96" s="261"/>
      <c r="C96" s="265"/>
      <c r="D96" s="265"/>
      <c r="E96" s="270"/>
      <c r="F96" s="275" t="s">
        <v>341</v>
      </c>
      <c r="G96" s="261"/>
      <c r="H96" s="276"/>
      <c r="I96" s="274">
        <v>13</v>
      </c>
      <c r="J96" s="261"/>
      <c r="K96" s="261"/>
    </row>
    <row r="97" spans="1:11" ht="13.5" thickBot="1" x14ac:dyDescent="0.25">
      <c r="A97" s="261"/>
      <c r="B97" s="261"/>
      <c r="C97" s="267" t="s">
        <v>470</v>
      </c>
      <c r="D97" s="267"/>
      <c r="E97" s="276"/>
      <c r="F97" s="277">
        <v>6</v>
      </c>
      <c r="G97" s="265"/>
      <c r="H97" s="261"/>
      <c r="I97" s="271"/>
      <c r="J97" s="271" t="s">
        <v>471</v>
      </c>
      <c r="K97" s="281"/>
    </row>
    <row r="98" spans="1:11" x14ac:dyDescent="0.2">
      <c r="A98" s="261"/>
      <c r="B98" s="261"/>
      <c r="C98" s="261"/>
      <c r="D98" s="261"/>
      <c r="E98" s="261"/>
      <c r="F98" s="261"/>
      <c r="G98" s="261"/>
      <c r="H98" s="261"/>
      <c r="I98" s="271"/>
      <c r="J98" s="279" t="s">
        <v>243</v>
      </c>
      <c r="K98" s="271"/>
    </row>
    <row r="99" spans="1:11" x14ac:dyDescent="0.2">
      <c r="A99" s="261"/>
      <c r="B99" s="261"/>
      <c r="C99" s="261"/>
      <c r="D99" s="261"/>
      <c r="E99" s="261"/>
      <c r="F99" s="261" t="s">
        <v>468</v>
      </c>
      <c r="G99" s="261"/>
      <c r="H99" s="261"/>
      <c r="I99" s="289">
        <v>13</v>
      </c>
      <c r="J99" s="271"/>
      <c r="K99" s="271"/>
    </row>
    <row r="100" spans="1:11" ht="13.5" thickBot="1" x14ac:dyDescent="0.25">
      <c r="A100" s="261"/>
      <c r="B100" s="261"/>
      <c r="C100" s="261"/>
      <c r="D100" s="261"/>
      <c r="E100" s="261"/>
      <c r="F100" s="265"/>
      <c r="G100" s="265"/>
      <c r="H100" s="270"/>
      <c r="I100" s="281"/>
      <c r="J100" s="281" t="s">
        <v>468</v>
      </c>
      <c r="K100" s="281"/>
    </row>
    <row r="101" spans="1:11" x14ac:dyDescent="0.2">
      <c r="A101" s="261"/>
      <c r="B101" s="261"/>
      <c r="C101" s="261"/>
      <c r="D101" s="261"/>
      <c r="E101" s="261"/>
      <c r="F101" s="267" t="s">
        <v>470</v>
      </c>
      <c r="G101" s="267"/>
      <c r="H101" s="276"/>
      <c r="I101" s="287" t="s">
        <v>228</v>
      </c>
      <c r="J101" s="282" t="s">
        <v>244</v>
      </c>
      <c r="K101" s="271"/>
    </row>
    <row r="102" spans="1:11" x14ac:dyDescent="0.2">
      <c r="A102" s="261"/>
      <c r="B102" s="261"/>
      <c r="C102" s="261"/>
      <c r="D102" s="261"/>
      <c r="E102" s="261"/>
      <c r="F102" s="261"/>
      <c r="G102" s="261"/>
      <c r="H102" s="261"/>
      <c r="I102" s="261"/>
      <c r="J102" s="271"/>
      <c r="K102" s="271"/>
    </row>
    <row r="103" spans="1:11" ht="13.5" thickBot="1" x14ac:dyDescent="0.25">
      <c r="A103" s="261"/>
      <c r="B103" s="261"/>
      <c r="J103" s="281" t="s">
        <v>470</v>
      </c>
      <c r="K103" s="281"/>
    </row>
    <row r="104" spans="1:11" x14ac:dyDescent="0.2">
      <c r="A104" s="261"/>
      <c r="B104" s="261"/>
      <c r="C104" s="261"/>
      <c r="D104" s="261"/>
      <c r="E104" s="261"/>
      <c r="F104" s="261"/>
      <c r="G104" s="271"/>
      <c r="H104" s="271"/>
      <c r="I104" s="261"/>
      <c r="J104" s="283" t="s">
        <v>245</v>
      </c>
      <c r="K104" s="261"/>
    </row>
    <row r="106" spans="1:11" x14ac:dyDescent="0.2">
      <c r="A106" s="232">
        <v>1</v>
      </c>
      <c r="B106" s="284" t="s">
        <v>340</v>
      </c>
    </row>
    <row r="107" spans="1:11" x14ac:dyDescent="0.2">
      <c r="A107" s="232">
        <v>2</v>
      </c>
      <c r="B107" s="285" t="s">
        <v>465</v>
      </c>
    </row>
    <row r="108" spans="1:11" x14ac:dyDescent="0.2">
      <c r="A108" s="232">
        <v>3</v>
      </c>
      <c r="B108" s="286" t="s">
        <v>338</v>
      </c>
    </row>
    <row r="109" spans="1:11" x14ac:dyDescent="0.2">
      <c r="A109" s="232">
        <v>4</v>
      </c>
      <c r="B109" s="239" t="s">
        <v>350</v>
      </c>
    </row>
    <row r="110" spans="1:11" x14ac:dyDescent="0.2">
      <c r="A110" s="232">
        <v>5</v>
      </c>
      <c r="B110" s="239" t="s">
        <v>469</v>
      </c>
    </row>
    <row r="111" spans="1:11" x14ac:dyDescent="0.2">
      <c r="A111" s="232">
        <v>6</v>
      </c>
      <c r="B111" s="239" t="s">
        <v>467</v>
      </c>
    </row>
    <row r="112" spans="1:11" x14ac:dyDescent="0.2">
      <c r="A112" s="232">
        <v>7</v>
      </c>
      <c r="B112" s="239" t="s">
        <v>337</v>
      </c>
    </row>
    <row r="113" spans="1:2" x14ac:dyDescent="0.2">
      <c r="A113" s="232">
        <v>8</v>
      </c>
      <c r="B113" s="239" t="s">
        <v>342</v>
      </c>
    </row>
    <row r="114" spans="1:2" x14ac:dyDescent="0.2">
      <c r="A114" s="232">
        <v>9</v>
      </c>
      <c r="B114" s="239" t="s">
        <v>466</v>
      </c>
    </row>
    <row r="115" spans="1:2" x14ac:dyDescent="0.2">
      <c r="A115" s="232">
        <v>10</v>
      </c>
      <c r="B115" s="239" t="s">
        <v>336</v>
      </c>
    </row>
    <row r="116" spans="1:2" x14ac:dyDescent="0.2">
      <c r="A116" s="232">
        <v>11</v>
      </c>
      <c r="B116" s="239" t="s">
        <v>472</v>
      </c>
    </row>
    <row r="117" spans="1:2" x14ac:dyDescent="0.2">
      <c r="A117" s="232">
        <v>12</v>
      </c>
      <c r="B117" s="258" t="s">
        <v>464</v>
      </c>
    </row>
    <row r="118" spans="1:2" x14ac:dyDescent="0.2">
      <c r="A118" s="232">
        <v>13</v>
      </c>
      <c r="B118" s="239" t="s">
        <v>341</v>
      </c>
    </row>
    <row r="119" spans="1:2" x14ac:dyDescent="0.2">
      <c r="A119" s="232">
        <v>14</v>
      </c>
      <c r="B119" s="239" t="s">
        <v>471</v>
      </c>
    </row>
    <row r="120" spans="1:2" x14ac:dyDescent="0.2">
      <c r="A120" s="232">
        <v>15</v>
      </c>
      <c r="B120" s="239" t="s">
        <v>468</v>
      </c>
    </row>
    <row r="121" spans="1:2" x14ac:dyDescent="0.2">
      <c r="A121" s="232">
        <v>16</v>
      </c>
      <c r="B121" s="239" t="s">
        <v>470</v>
      </c>
    </row>
  </sheetData>
  <conditionalFormatting sqref="C7:I101">
    <cfRule type="cellIs" dxfId="29" priority="1" operator="equal">
      <formula>13</formula>
    </cfRule>
  </conditionalFormatting>
  <pageMargins left="0.78740157480314965" right="0.39370078740157483" top="0.78740157480314965" bottom="0.27559055118110237" header="0.59055118110236227" footer="0"/>
  <pageSetup paperSize="9" fitToHeight="0" orientation="landscape" r:id="rId1"/>
  <headerFooter>
    <oddHeader>&amp;R&amp;"Arial,Regular"&amp;9Page &amp;P of &amp;N</oddHeader>
  </headerFooter>
  <rowBreaks count="3" manualBreakCount="3">
    <brk id="32" max="16383" man="1"/>
    <brk id="68" max="16383" man="1"/>
    <brk id="104" max="16383" man="1"/>
  </rowBreaks>
  <ignoredErrors>
    <ignoredError sqref="I19:I22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03"/>
  <sheetViews>
    <sheetView showGridLines="0" showRowColHeaders="0" zoomScaleNormal="100" workbookViewId="0">
      <pane ySplit="2" topLeftCell="A3" activePane="bottomLeft" state="frozen"/>
      <selection pane="bottomLeft" activeCell="I1" sqref="I1"/>
    </sheetView>
  </sheetViews>
  <sheetFormatPr defaultRowHeight="12.75" x14ac:dyDescent="0.2"/>
  <cols>
    <col min="1" max="1" width="3.28515625" style="160" customWidth="1"/>
    <col min="2" max="2" width="18.7109375" style="160" bestFit="1" customWidth="1"/>
    <col min="3" max="8" width="8.7109375" style="160" customWidth="1"/>
    <col min="9" max="9" width="3.7109375" style="160" customWidth="1"/>
    <col min="10" max="10" width="18.85546875" style="160" customWidth="1"/>
    <col min="11" max="11" width="9.7109375" style="160" customWidth="1"/>
    <col min="12" max="239" width="9.140625" style="160"/>
    <col min="240" max="240" width="3.7109375" style="160" customWidth="1"/>
    <col min="241" max="241" width="18.7109375" style="160" bestFit="1" customWidth="1"/>
    <col min="242" max="242" width="19.42578125" style="160" bestFit="1" customWidth="1"/>
    <col min="243" max="247" width="9.7109375" style="160" customWidth="1"/>
    <col min="248" max="248" width="12.28515625" style="160" bestFit="1" customWidth="1"/>
    <col min="249" max="250" width="9.7109375" style="160" customWidth="1"/>
    <col min="251" max="264" width="4.42578125" style="160" customWidth="1"/>
    <col min="265" max="495" width="9.140625" style="160"/>
    <col min="496" max="496" width="3.7109375" style="160" customWidth="1"/>
    <col min="497" max="497" width="18.7109375" style="160" bestFit="1" customWidth="1"/>
    <col min="498" max="498" width="19.42578125" style="160" bestFit="1" customWidth="1"/>
    <col min="499" max="503" width="9.7109375" style="160" customWidth="1"/>
    <col min="504" max="504" width="12.28515625" style="160" bestFit="1" customWidth="1"/>
    <col min="505" max="506" width="9.7109375" style="160" customWidth="1"/>
    <col min="507" max="520" width="4.42578125" style="160" customWidth="1"/>
    <col min="521" max="751" width="9.140625" style="160"/>
    <col min="752" max="752" width="3.7109375" style="160" customWidth="1"/>
    <col min="753" max="753" width="18.7109375" style="160" bestFit="1" customWidth="1"/>
    <col min="754" max="754" width="19.42578125" style="160" bestFit="1" customWidth="1"/>
    <col min="755" max="759" width="9.7109375" style="160" customWidth="1"/>
    <col min="760" max="760" width="12.28515625" style="160" bestFit="1" customWidth="1"/>
    <col min="761" max="762" width="9.7109375" style="160" customWidth="1"/>
    <col min="763" max="776" width="4.42578125" style="160" customWidth="1"/>
    <col min="777" max="1007" width="9.140625" style="160"/>
    <col min="1008" max="1008" width="3.7109375" style="160" customWidth="1"/>
    <col min="1009" max="1009" width="18.7109375" style="160" bestFit="1" customWidth="1"/>
    <col min="1010" max="1010" width="19.42578125" style="160" bestFit="1" customWidth="1"/>
    <col min="1011" max="1015" width="9.7109375" style="160" customWidth="1"/>
    <col min="1016" max="1016" width="12.28515625" style="160" bestFit="1" customWidth="1"/>
    <col min="1017" max="1018" width="9.7109375" style="160" customWidth="1"/>
    <col min="1019" max="1032" width="4.42578125" style="160" customWidth="1"/>
    <col min="1033" max="1263" width="9.140625" style="160"/>
    <col min="1264" max="1264" width="3.7109375" style="160" customWidth="1"/>
    <col min="1265" max="1265" width="18.7109375" style="160" bestFit="1" customWidth="1"/>
    <col min="1266" max="1266" width="19.42578125" style="160" bestFit="1" customWidth="1"/>
    <col min="1267" max="1271" width="9.7109375" style="160" customWidth="1"/>
    <col min="1272" max="1272" width="12.28515625" style="160" bestFit="1" customWidth="1"/>
    <col min="1273" max="1274" width="9.7109375" style="160" customWidth="1"/>
    <col min="1275" max="1288" width="4.42578125" style="160" customWidth="1"/>
    <col min="1289" max="1519" width="9.140625" style="160"/>
    <col min="1520" max="1520" width="3.7109375" style="160" customWidth="1"/>
    <col min="1521" max="1521" width="18.7109375" style="160" bestFit="1" customWidth="1"/>
    <col min="1522" max="1522" width="19.42578125" style="160" bestFit="1" customWidth="1"/>
    <col min="1523" max="1527" width="9.7109375" style="160" customWidth="1"/>
    <col min="1528" max="1528" width="12.28515625" style="160" bestFit="1" customWidth="1"/>
    <col min="1529" max="1530" width="9.7109375" style="160" customWidth="1"/>
    <col min="1531" max="1544" width="4.42578125" style="160" customWidth="1"/>
    <col min="1545" max="1775" width="9.140625" style="160"/>
    <col min="1776" max="1776" width="3.7109375" style="160" customWidth="1"/>
    <col min="1777" max="1777" width="18.7109375" style="160" bestFit="1" customWidth="1"/>
    <col min="1778" max="1778" width="19.42578125" style="160" bestFit="1" customWidth="1"/>
    <col min="1779" max="1783" width="9.7109375" style="160" customWidth="1"/>
    <col min="1784" max="1784" width="12.28515625" style="160" bestFit="1" customWidth="1"/>
    <col min="1785" max="1786" width="9.7109375" style="160" customWidth="1"/>
    <col min="1787" max="1800" width="4.42578125" style="160" customWidth="1"/>
    <col min="1801" max="2031" width="9.140625" style="160"/>
    <col min="2032" max="2032" width="3.7109375" style="160" customWidth="1"/>
    <col min="2033" max="2033" width="18.7109375" style="160" bestFit="1" customWidth="1"/>
    <col min="2034" max="2034" width="19.42578125" style="160" bestFit="1" customWidth="1"/>
    <col min="2035" max="2039" width="9.7109375" style="160" customWidth="1"/>
    <col min="2040" max="2040" width="12.28515625" style="160" bestFit="1" customWidth="1"/>
    <col min="2041" max="2042" width="9.7109375" style="160" customWidth="1"/>
    <col min="2043" max="2056" width="4.42578125" style="160" customWidth="1"/>
    <col min="2057" max="2287" width="9.140625" style="160"/>
    <col min="2288" max="2288" width="3.7109375" style="160" customWidth="1"/>
    <col min="2289" max="2289" width="18.7109375" style="160" bestFit="1" customWidth="1"/>
    <col min="2290" max="2290" width="19.42578125" style="160" bestFit="1" customWidth="1"/>
    <col min="2291" max="2295" width="9.7109375" style="160" customWidth="1"/>
    <col min="2296" max="2296" width="12.28515625" style="160" bestFit="1" customWidth="1"/>
    <col min="2297" max="2298" width="9.7109375" style="160" customWidth="1"/>
    <col min="2299" max="2312" width="4.42578125" style="160" customWidth="1"/>
    <col min="2313" max="2543" width="9.140625" style="160"/>
    <col min="2544" max="2544" width="3.7109375" style="160" customWidth="1"/>
    <col min="2545" max="2545" width="18.7109375" style="160" bestFit="1" customWidth="1"/>
    <col min="2546" max="2546" width="19.42578125" style="160" bestFit="1" customWidth="1"/>
    <col min="2547" max="2551" width="9.7109375" style="160" customWidth="1"/>
    <col min="2552" max="2552" width="12.28515625" style="160" bestFit="1" customWidth="1"/>
    <col min="2553" max="2554" width="9.7109375" style="160" customWidth="1"/>
    <col min="2555" max="2568" width="4.42578125" style="160" customWidth="1"/>
    <col min="2569" max="2799" width="9.140625" style="160"/>
    <col min="2800" max="2800" width="3.7109375" style="160" customWidth="1"/>
    <col min="2801" max="2801" width="18.7109375" style="160" bestFit="1" customWidth="1"/>
    <col min="2802" max="2802" width="19.42578125" style="160" bestFit="1" customWidth="1"/>
    <col min="2803" max="2807" width="9.7109375" style="160" customWidth="1"/>
    <col min="2808" max="2808" width="12.28515625" style="160" bestFit="1" customWidth="1"/>
    <col min="2809" max="2810" width="9.7109375" style="160" customWidth="1"/>
    <col min="2811" max="2824" width="4.42578125" style="160" customWidth="1"/>
    <col min="2825" max="3055" width="9.140625" style="160"/>
    <col min="3056" max="3056" width="3.7109375" style="160" customWidth="1"/>
    <col min="3057" max="3057" width="18.7109375" style="160" bestFit="1" customWidth="1"/>
    <col min="3058" max="3058" width="19.42578125" style="160" bestFit="1" customWidth="1"/>
    <col min="3059" max="3063" width="9.7109375" style="160" customWidth="1"/>
    <col min="3064" max="3064" width="12.28515625" style="160" bestFit="1" customWidth="1"/>
    <col min="3065" max="3066" width="9.7109375" style="160" customWidth="1"/>
    <col min="3067" max="3080" width="4.42578125" style="160" customWidth="1"/>
    <col min="3081" max="3311" width="9.140625" style="160"/>
    <col min="3312" max="3312" width="3.7109375" style="160" customWidth="1"/>
    <col min="3313" max="3313" width="18.7109375" style="160" bestFit="1" customWidth="1"/>
    <col min="3314" max="3314" width="19.42578125" style="160" bestFit="1" customWidth="1"/>
    <col min="3315" max="3319" width="9.7109375" style="160" customWidth="1"/>
    <col min="3320" max="3320" width="12.28515625" style="160" bestFit="1" customWidth="1"/>
    <col min="3321" max="3322" width="9.7109375" style="160" customWidth="1"/>
    <col min="3323" max="3336" width="4.42578125" style="160" customWidth="1"/>
    <col min="3337" max="3567" width="9.140625" style="160"/>
    <col min="3568" max="3568" width="3.7109375" style="160" customWidth="1"/>
    <col min="3569" max="3569" width="18.7109375" style="160" bestFit="1" customWidth="1"/>
    <col min="3570" max="3570" width="19.42578125" style="160" bestFit="1" customWidth="1"/>
    <col min="3571" max="3575" width="9.7109375" style="160" customWidth="1"/>
    <col min="3576" max="3576" width="12.28515625" style="160" bestFit="1" customWidth="1"/>
    <col min="3577" max="3578" width="9.7109375" style="160" customWidth="1"/>
    <col min="3579" max="3592" width="4.42578125" style="160" customWidth="1"/>
    <col min="3593" max="3823" width="9.140625" style="160"/>
    <col min="3824" max="3824" width="3.7109375" style="160" customWidth="1"/>
    <col min="3825" max="3825" width="18.7109375" style="160" bestFit="1" customWidth="1"/>
    <col min="3826" max="3826" width="19.42578125" style="160" bestFit="1" customWidth="1"/>
    <col min="3827" max="3831" width="9.7109375" style="160" customWidth="1"/>
    <col min="3832" max="3832" width="12.28515625" style="160" bestFit="1" customWidth="1"/>
    <col min="3833" max="3834" width="9.7109375" style="160" customWidth="1"/>
    <col min="3835" max="3848" width="4.42578125" style="160" customWidth="1"/>
    <col min="3849" max="4079" width="9.140625" style="160"/>
    <col min="4080" max="4080" width="3.7109375" style="160" customWidth="1"/>
    <col min="4081" max="4081" width="18.7109375" style="160" bestFit="1" customWidth="1"/>
    <col min="4082" max="4082" width="19.42578125" style="160" bestFit="1" customWidth="1"/>
    <col min="4083" max="4087" width="9.7109375" style="160" customWidth="1"/>
    <col min="4088" max="4088" width="12.28515625" style="160" bestFit="1" customWidth="1"/>
    <col min="4089" max="4090" width="9.7109375" style="160" customWidth="1"/>
    <col min="4091" max="4104" width="4.42578125" style="160" customWidth="1"/>
    <col min="4105" max="4335" width="9.140625" style="160"/>
    <col min="4336" max="4336" width="3.7109375" style="160" customWidth="1"/>
    <col min="4337" max="4337" width="18.7109375" style="160" bestFit="1" customWidth="1"/>
    <col min="4338" max="4338" width="19.42578125" style="160" bestFit="1" customWidth="1"/>
    <col min="4339" max="4343" width="9.7109375" style="160" customWidth="1"/>
    <col min="4344" max="4344" width="12.28515625" style="160" bestFit="1" customWidth="1"/>
    <col min="4345" max="4346" width="9.7109375" style="160" customWidth="1"/>
    <col min="4347" max="4360" width="4.42578125" style="160" customWidth="1"/>
    <col min="4361" max="4591" width="9.140625" style="160"/>
    <col min="4592" max="4592" width="3.7109375" style="160" customWidth="1"/>
    <col min="4593" max="4593" width="18.7109375" style="160" bestFit="1" customWidth="1"/>
    <col min="4594" max="4594" width="19.42578125" style="160" bestFit="1" customWidth="1"/>
    <col min="4595" max="4599" width="9.7109375" style="160" customWidth="1"/>
    <col min="4600" max="4600" width="12.28515625" style="160" bestFit="1" customWidth="1"/>
    <col min="4601" max="4602" width="9.7109375" style="160" customWidth="1"/>
    <col min="4603" max="4616" width="4.42578125" style="160" customWidth="1"/>
    <col min="4617" max="4847" width="9.140625" style="160"/>
    <col min="4848" max="4848" width="3.7109375" style="160" customWidth="1"/>
    <col min="4849" max="4849" width="18.7109375" style="160" bestFit="1" customWidth="1"/>
    <col min="4850" max="4850" width="19.42578125" style="160" bestFit="1" customWidth="1"/>
    <col min="4851" max="4855" width="9.7109375" style="160" customWidth="1"/>
    <col min="4856" max="4856" width="12.28515625" style="160" bestFit="1" customWidth="1"/>
    <col min="4857" max="4858" width="9.7109375" style="160" customWidth="1"/>
    <col min="4859" max="4872" width="4.42578125" style="160" customWidth="1"/>
    <col min="4873" max="5103" width="9.140625" style="160"/>
    <col min="5104" max="5104" width="3.7109375" style="160" customWidth="1"/>
    <col min="5105" max="5105" width="18.7109375" style="160" bestFit="1" customWidth="1"/>
    <col min="5106" max="5106" width="19.42578125" style="160" bestFit="1" customWidth="1"/>
    <col min="5107" max="5111" width="9.7109375" style="160" customWidth="1"/>
    <col min="5112" max="5112" width="12.28515625" style="160" bestFit="1" customWidth="1"/>
    <col min="5113" max="5114" width="9.7109375" style="160" customWidth="1"/>
    <col min="5115" max="5128" width="4.42578125" style="160" customWidth="1"/>
    <col min="5129" max="5359" width="9.140625" style="160"/>
    <col min="5360" max="5360" width="3.7109375" style="160" customWidth="1"/>
    <col min="5361" max="5361" width="18.7109375" style="160" bestFit="1" customWidth="1"/>
    <col min="5362" max="5362" width="19.42578125" style="160" bestFit="1" customWidth="1"/>
    <col min="5363" max="5367" width="9.7109375" style="160" customWidth="1"/>
    <col min="5368" max="5368" width="12.28515625" style="160" bestFit="1" customWidth="1"/>
    <col min="5369" max="5370" width="9.7109375" style="160" customWidth="1"/>
    <col min="5371" max="5384" width="4.42578125" style="160" customWidth="1"/>
    <col min="5385" max="5615" width="9.140625" style="160"/>
    <col min="5616" max="5616" width="3.7109375" style="160" customWidth="1"/>
    <col min="5617" max="5617" width="18.7109375" style="160" bestFit="1" customWidth="1"/>
    <col min="5618" max="5618" width="19.42578125" style="160" bestFit="1" customWidth="1"/>
    <col min="5619" max="5623" width="9.7109375" style="160" customWidth="1"/>
    <col min="5624" max="5624" width="12.28515625" style="160" bestFit="1" customWidth="1"/>
    <col min="5625" max="5626" width="9.7109375" style="160" customWidth="1"/>
    <col min="5627" max="5640" width="4.42578125" style="160" customWidth="1"/>
    <col min="5641" max="5871" width="9.140625" style="160"/>
    <col min="5872" max="5872" width="3.7109375" style="160" customWidth="1"/>
    <col min="5873" max="5873" width="18.7109375" style="160" bestFit="1" customWidth="1"/>
    <col min="5874" max="5874" width="19.42578125" style="160" bestFit="1" customWidth="1"/>
    <col min="5875" max="5879" width="9.7109375" style="160" customWidth="1"/>
    <col min="5880" max="5880" width="12.28515625" style="160" bestFit="1" customWidth="1"/>
    <col min="5881" max="5882" width="9.7109375" style="160" customWidth="1"/>
    <col min="5883" max="5896" width="4.42578125" style="160" customWidth="1"/>
    <col min="5897" max="6127" width="9.140625" style="160"/>
    <col min="6128" max="6128" width="3.7109375" style="160" customWidth="1"/>
    <col min="6129" max="6129" width="18.7109375" style="160" bestFit="1" customWidth="1"/>
    <col min="6130" max="6130" width="19.42578125" style="160" bestFit="1" customWidth="1"/>
    <col min="6131" max="6135" width="9.7109375" style="160" customWidth="1"/>
    <col min="6136" max="6136" width="12.28515625" style="160" bestFit="1" customWidth="1"/>
    <col min="6137" max="6138" width="9.7109375" style="160" customWidth="1"/>
    <col min="6139" max="6152" width="4.42578125" style="160" customWidth="1"/>
    <col min="6153" max="6383" width="9.140625" style="160"/>
    <col min="6384" max="6384" width="3.7109375" style="160" customWidth="1"/>
    <col min="6385" max="6385" width="18.7109375" style="160" bestFit="1" customWidth="1"/>
    <col min="6386" max="6386" width="19.42578125" style="160" bestFit="1" customWidth="1"/>
    <col min="6387" max="6391" width="9.7109375" style="160" customWidth="1"/>
    <col min="6392" max="6392" width="12.28515625" style="160" bestFit="1" customWidth="1"/>
    <col min="6393" max="6394" width="9.7109375" style="160" customWidth="1"/>
    <col min="6395" max="6408" width="4.42578125" style="160" customWidth="1"/>
    <col min="6409" max="6639" width="9.140625" style="160"/>
    <col min="6640" max="6640" width="3.7109375" style="160" customWidth="1"/>
    <col min="6641" max="6641" width="18.7109375" style="160" bestFit="1" customWidth="1"/>
    <col min="6642" max="6642" width="19.42578125" style="160" bestFit="1" customWidth="1"/>
    <col min="6643" max="6647" width="9.7109375" style="160" customWidth="1"/>
    <col min="6648" max="6648" width="12.28515625" style="160" bestFit="1" customWidth="1"/>
    <col min="6649" max="6650" width="9.7109375" style="160" customWidth="1"/>
    <col min="6651" max="6664" width="4.42578125" style="160" customWidth="1"/>
    <col min="6665" max="6895" width="9.140625" style="160"/>
    <col min="6896" max="6896" width="3.7109375" style="160" customWidth="1"/>
    <col min="6897" max="6897" width="18.7109375" style="160" bestFit="1" customWidth="1"/>
    <col min="6898" max="6898" width="19.42578125" style="160" bestFit="1" customWidth="1"/>
    <col min="6899" max="6903" width="9.7109375" style="160" customWidth="1"/>
    <col min="6904" max="6904" width="12.28515625" style="160" bestFit="1" customWidth="1"/>
    <col min="6905" max="6906" width="9.7109375" style="160" customWidth="1"/>
    <col min="6907" max="6920" width="4.42578125" style="160" customWidth="1"/>
    <col min="6921" max="7151" width="9.140625" style="160"/>
    <col min="7152" max="7152" width="3.7109375" style="160" customWidth="1"/>
    <col min="7153" max="7153" width="18.7109375" style="160" bestFit="1" customWidth="1"/>
    <col min="7154" max="7154" width="19.42578125" style="160" bestFit="1" customWidth="1"/>
    <col min="7155" max="7159" width="9.7109375" style="160" customWidth="1"/>
    <col min="7160" max="7160" width="12.28515625" style="160" bestFit="1" customWidth="1"/>
    <col min="7161" max="7162" width="9.7109375" style="160" customWidth="1"/>
    <col min="7163" max="7176" width="4.42578125" style="160" customWidth="1"/>
    <col min="7177" max="7407" width="9.140625" style="160"/>
    <col min="7408" max="7408" width="3.7109375" style="160" customWidth="1"/>
    <col min="7409" max="7409" width="18.7109375" style="160" bestFit="1" customWidth="1"/>
    <col min="7410" max="7410" width="19.42578125" style="160" bestFit="1" customWidth="1"/>
    <col min="7411" max="7415" width="9.7109375" style="160" customWidth="1"/>
    <col min="7416" max="7416" width="12.28515625" style="160" bestFit="1" customWidth="1"/>
    <col min="7417" max="7418" width="9.7109375" style="160" customWidth="1"/>
    <col min="7419" max="7432" width="4.42578125" style="160" customWidth="1"/>
    <col min="7433" max="7663" width="9.140625" style="160"/>
    <col min="7664" max="7664" width="3.7109375" style="160" customWidth="1"/>
    <col min="7665" max="7665" width="18.7109375" style="160" bestFit="1" customWidth="1"/>
    <col min="7666" max="7666" width="19.42578125" style="160" bestFit="1" customWidth="1"/>
    <col min="7667" max="7671" width="9.7109375" style="160" customWidth="1"/>
    <col min="7672" max="7672" width="12.28515625" style="160" bestFit="1" customWidth="1"/>
    <col min="7673" max="7674" width="9.7109375" style="160" customWidth="1"/>
    <col min="7675" max="7688" width="4.42578125" style="160" customWidth="1"/>
    <col min="7689" max="7919" width="9.140625" style="160"/>
    <col min="7920" max="7920" width="3.7109375" style="160" customWidth="1"/>
    <col min="7921" max="7921" width="18.7109375" style="160" bestFit="1" customWidth="1"/>
    <col min="7922" max="7922" width="19.42578125" style="160" bestFit="1" customWidth="1"/>
    <col min="7923" max="7927" width="9.7109375" style="160" customWidth="1"/>
    <col min="7928" max="7928" width="12.28515625" style="160" bestFit="1" customWidth="1"/>
    <col min="7929" max="7930" width="9.7109375" style="160" customWidth="1"/>
    <col min="7931" max="7944" width="4.42578125" style="160" customWidth="1"/>
    <col min="7945" max="8175" width="9.140625" style="160"/>
    <col min="8176" max="8176" width="3.7109375" style="160" customWidth="1"/>
    <col min="8177" max="8177" width="18.7109375" style="160" bestFit="1" customWidth="1"/>
    <col min="8178" max="8178" width="19.42578125" style="160" bestFit="1" customWidth="1"/>
    <col min="8179" max="8183" width="9.7109375" style="160" customWidth="1"/>
    <col min="8184" max="8184" width="12.28515625" style="160" bestFit="1" customWidth="1"/>
    <col min="8185" max="8186" width="9.7109375" style="160" customWidth="1"/>
    <col min="8187" max="8200" width="4.42578125" style="160" customWidth="1"/>
    <col min="8201" max="8431" width="9.140625" style="160"/>
    <col min="8432" max="8432" width="3.7109375" style="160" customWidth="1"/>
    <col min="8433" max="8433" width="18.7109375" style="160" bestFit="1" customWidth="1"/>
    <col min="8434" max="8434" width="19.42578125" style="160" bestFit="1" customWidth="1"/>
    <col min="8435" max="8439" width="9.7109375" style="160" customWidth="1"/>
    <col min="8440" max="8440" width="12.28515625" style="160" bestFit="1" customWidth="1"/>
    <col min="8441" max="8442" width="9.7109375" style="160" customWidth="1"/>
    <col min="8443" max="8456" width="4.42578125" style="160" customWidth="1"/>
    <col min="8457" max="8687" width="9.140625" style="160"/>
    <col min="8688" max="8688" width="3.7109375" style="160" customWidth="1"/>
    <col min="8689" max="8689" width="18.7109375" style="160" bestFit="1" customWidth="1"/>
    <col min="8690" max="8690" width="19.42578125" style="160" bestFit="1" customWidth="1"/>
    <col min="8691" max="8695" width="9.7109375" style="160" customWidth="1"/>
    <col min="8696" max="8696" width="12.28515625" style="160" bestFit="1" customWidth="1"/>
    <col min="8697" max="8698" width="9.7109375" style="160" customWidth="1"/>
    <col min="8699" max="8712" width="4.42578125" style="160" customWidth="1"/>
    <col min="8713" max="8943" width="9.140625" style="160"/>
    <col min="8944" max="8944" width="3.7109375" style="160" customWidth="1"/>
    <col min="8945" max="8945" width="18.7109375" style="160" bestFit="1" customWidth="1"/>
    <col min="8946" max="8946" width="19.42578125" style="160" bestFit="1" customWidth="1"/>
    <col min="8947" max="8951" width="9.7109375" style="160" customWidth="1"/>
    <col min="8952" max="8952" width="12.28515625" style="160" bestFit="1" customWidth="1"/>
    <col min="8953" max="8954" width="9.7109375" style="160" customWidth="1"/>
    <col min="8955" max="8968" width="4.42578125" style="160" customWidth="1"/>
    <col min="8969" max="9199" width="9.140625" style="160"/>
    <col min="9200" max="9200" width="3.7109375" style="160" customWidth="1"/>
    <col min="9201" max="9201" width="18.7109375" style="160" bestFit="1" customWidth="1"/>
    <col min="9202" max="9202" width="19.42578125" style="160" bestFit="1" customWidth="1"/>
    <col min="9203" max="9207" width="9.7109375" style="160" customWidth="1"/>
    <col min="9208" max="9208" width="12.28515625" style="160" bestFit="1" customWidth="1"/>
    <col min="9209" max="9210" width="9.7109375" style="160" customWidth="1"/>
    <col min="9211" max="9224" width="4.42578125" style="160" customWidth="1"/>
    <col min="9225" max="9455" width="9.140625" style="160"/>
    <col min="9456" max="9456" width="3.7109375" style="160" customWidth="1"/>
    <col min="9457" max="9457" width="18.7109375" style="160" bestFit="1" customWidth="1"/>
    <col min="9458" max="9458" width="19.42578125" style="160" bestFit="1" customWidth="1"/>
    <col min="9459" max="9463" width="9.7109375" style="160" customWidth="1"/>
    <col min="9464" max="9464" width="12.28515625" style="160" bestFit="1" customWidth="1"/>
    <col min="9465" max="9466" width="9.7109375" style="160" customWidth="1"/>
    <col min="9467" max="9480" width="4.42578125" style="160" customWidth="1"/>
    <col min="9481" max="9711" width="9.140625" style="160"/>
    <col min="9712" max="9712" width="3.7109375" style="160" customWidth="1"/>
    <col min="9713" max="9713" width="18.7109375" style="160" bestFit="1" customWidth="1"/>
    <col min="9714" max="9714" width="19.42578125" style="160" bestFit="1" customWidth="1"/>
    <col min="9715" max="9719" width="9.7109375" style="160" customWidth="1"/>
    <col min="9720" max="9720" width="12.28515625" style="160" bestFit="1" customWidth="1"/>
    <col min="9721" max="9722" width="9.7109375" style="160" customWidth="1"/>
    <col min="9723" max="9736" width="4.42578125" style="160" customWidth="1"/>
    <col min="9737" max="9967" width="9.140625" style="160"/>
    <col min="9968" max="9968" width="3.7109375" style="160" customWidth="1"/>
    <col min="9969" max="9969" width="18.7109375" style="160" bestFit="1" customWidth="1"/>
    <col min="9970" max="9970" width="19.42578125" style="160" bestFit="1" customWidth="1"/>
    <col min="9971" max="9975" width="9.7109375" style="160" customWidth="1"/>
    <col min="9976" max="9976" width="12.28515625" style="160" bestFit="1" customWidth="1"/>
    <col min="9977" max="9978" width="9.7109375" style="160" customWidth="1"/>
    <col min="9979" max="9992" width="4.42578125" style="160" customWidth="1"/>
    <col min="9993" max="10223" width="9.140625" style="160"/>
    <col min="10224" max="10224" width="3.7109375" style="160" customWidth="1"/>
    <col min="10225" max="10225" width="18.7109375" style="160" bestFit="1" customWidth="1"/>
    <col min="10226" max="10226" width="19.42578125" style="160" bestFit="1" customWidth="1"/>
    <col min="10227" max="10231" width="9.7109375" style="160" customWidth="1"/>
    <col min="10232" max="10232" width="12.28515625" style="160" bestFit="1" customWidth="1"/>
    <col min="10233" max="10234" width="9.7109375" style="160" customWidth="1"/>
    <col min="10235" max="10248" width="4.42578125" style="160" customWidth="1"/>
    <col min="10249" max="10479" width="9.140625" style="160"/>
    <col min="10480" max="10480" width="3.7109375" style="160" customWidth="1"/>
    <col min="10481" max="10481" width="18.7109375" style="160" bestFit="1" customWidth="1"/>
    <col min="10482" max="10482" width="19.42578125" style="160" bestFit="1" customWidth="1"/>
    <col min="10483" max="10487" width="9.7109375" style="160" customWidth="1"/>
    <col min="10488" max="10488" width="12.28515625" style="160" bestFit="1" customWidth="1"/>
    <col min="10489" max="10490" width="9.7109375" style="160" customWidth="1"/>
    <col min="10491" max="10504" width="4.42578125" style="160" customWidth="1"/>
    <col min="10505" max="10735" width="9.140625" style="160"/>
    <col min="10736" max="10736" width="3.7109375" style="160" customWidth="1"/>
    <col min="10737" max="10737" width="18.7109375" style="160" bestFit="1" customWidth="1"/>
    <col min="10738" max="10738" width="19.42578125" style="160" bestFit="1" customWidth="1"/>
    <col min="10739" max="10743" width="9.7109375" style="160" customWidth="1"/>
    <col min="10744" max="10744" width="12.28515625" style="160" bestFit="1" customWidth="1"/>
    <col min="10745" max="10746" width="9.7109375" style="160" customWidth="1"/>
    <col min="10747" max="10760" width="4.42578125" style="160" customWidth="1"/>
    <col min="10761" max="10991" width="9.140625" style="160"/>
    <col min="10992" max="10992" width="3.7109375" style="160" customWidth="1"/>
    <col min="10993" max="10993" width="18.7109375" style="160" bestFit="1" customWidth="1"/>
    <col min="10994" max="10994" width="19.42578125" style="160" bestFit="1" customWidth="1"/>
    <col min="10995" max="10999" width="9.7109375" style="160" customWidth="1"/>
    <col min="11000" max="11000" width="12.28515625" style="160" bestFit="1" customWidth="1"/>
    <col min="11001" max="11002" width="9.7109375" style="160" customWidth="1"/>
    <col min="11003" max="11016" width="4.42578125" style="160" customWidth="1"/>
    <col min="11017" max="11247" width="9.140625" style="160"/>
    <col min="11248" max="11248" width="3.7109375" style="160" customWidth="1"/>
    <col min="11249" max="11249" width="18.7109375" style="160" bestFit="1" customWidth="1"/>
    <col min="11250" max="11250" width="19.42578125" style="160" bestFit="1" customWidth="1"/>
    <col min="11251" max="11255" width="9.7109375" style="160" customWidth="1"/>
    <col min="11256" max="11256" width="12.28515625" style="160" bestFit="1" customWidth="1"/>
    <col min="11257" max="11258" width="9.7109375" style="160" customWidth="1"/>
    <col min="11259" max="11272" width="4.42578125" style="160" customWidth="1"/>
    <col min="11273" max="11503" width="9.140625" style="160"/>
    <col min="11504" max="11504" width="3.7109375" style="160" customWidth="1"/>
    <col min="11505" max="11505" width="18.7109375" style="160" bestFit="1" customWidth="1"/>
    <col min="11506" max="11506" width="19.42578125" style="160" bestFit="1" customWidth="1"/>
    <col min="11507" max="11511" width="9.7109375" style="160" customWidth="1"/>
    <col min="11512" max="11512" width="12.28515625" style="160" bestFit="1" customWidth="1"/>
    <col min="11513" max="11514" width="9.7109375" style="160" customWidth="1"/>
    <col min="11515" max="11528" width="4.42578125" style="160" customWidth="1"/>
    <col min="11529" max="11759" width="9.140625" style="160"/>
    <col min="11760" max="11760" width="3.7109375" style="160" customWidth="1"/>
    <col min="11761" max="11761" width="18.7109375" style="160" bestFit="1" customWidth="1"/>
    <col min="11762" max="11762" width="19.42578125" style="160" bestFit="1" customWidth="1"/>
    <col min="11763" max="11767" width="9.7109375" style="160" customWidth="1"/>
    <col min="11768" max="11768" width="12.28515625" style="160" bestFit="1" customWidth="1"/>
    <col min="11769" max="11770" width="9.7109375" style="160" customWidth="1"/>
    <col min="11771" max="11784" width="4.42578125" style="160" customWidth="1"/>
    <col min="11785" max="12015" width="9.140625" style="160"/>
    <col min="12016" max="12016" width="3.7109375" style="160" customWidth="1"/>
    <col min="12017" max="12017" width="18.7109375" style="160" bestFit="1" customWidth="1"/>
    <col min="12018" max="12018" width="19.42578125" style="160" bestFit="1" customWidth="1"/>
    <col min="12019" max="12023" width="9.7109375" style="160" customWidth="1"/>
    <col min="12024" max="12024" width="12.28515625" style="160" bestFit="1" customWidth="1"/>
    <col min="12025" max="12026" width="9.7109375" style="160" customWidth="1"/>
    <col min="12027" max="12040" width="4.42578125" style="160" customWidth="1"/>
    <col min="12041" max="12271" width="9.140625" style="160"/>
    <col min="12272" max="12272" width="3.7109375" style="160" customWidth="1"/>
    <col min="12273" max="12273" width="18.7109375" style="160" bestFit="1" customWidth="1"/>
    <col min="12274" max="12274" width="19.42578125" style="160" bestFit="1" customWidth="1"/>
    <col min="12275" max="12279" width="9.7109375" style="160" customWidth="1"/>
    <col min="12280" max="12280" width="12.28515625" style="160" bestFit="1" customWidth="1"/>
    <col min="12281" max="12282" width="9.7109375" style="160" customWidth="1"/>
    <col min="12283" max="12296" width="4.42578125" style="160" customWidth="1"/>
    <col min="12297" max="12527" width="9.140625" style="160"/>
    <col min="12528" max="12528" width="3.7109375" style="160" customWidth="1"/>
    <col min="12529" max="12529" width="18.7109375" style="160" bestFit="1" customWidth="1"/>
    <col min="12530" max="12530" width="19.42578125" style="160" bestFit="1" customWidth="1"/>
    <col min="12531" max="12535" width="9.7109375" style="160" customWidth="1"/>
    <col min="12536" max="12536" width="12.28515625" style="160" bestFit="1" customWidth="1"/>
    <col min="12537" max="12538" width="9.7109375" style="160" customWidth="1"/>
    <col min="12539" max="12552" width="4.42578125" style="160" customWidth="1"/>
    <col min="12553" max="12783" width="9.140625" style="160"/>
    <col min="12784" max="12784" width="3.7109375" style="160" customWidth="1"/>
    <col min="12785" max="12785" width="18.7109375" style="160" bestFit="1" customWidth="1"/>
    <col min="12786" max="12786" width="19.42578125" style="160" bestFit="1" customWidth="1"/>
    <col min="12787" max="12791" width="9.7109375" style="160" customWidth="1"/>
    <col min="12792" max="12792" width="12.28515625" style="160" bestFit="1" customWidth="1"/>
    <col min="12793" max="12794" width="9.7109375" style="160" customWidth="1"/>
    <col min="12795" max="12808" width="4.42578125" style="160" customWidth="1"/>
    <col min="12809" max="13039" width="9.140625" style="160"/>
    <col min="13040" max="13040" width="3.7109375" style="160" customWidth="1"/>
    <col min="13041" max="13041" width="18.7109375" style="160" bestFit="1" customWidth="1"/>
    <col min="13042" max="13042" width="19.42578125" style="160" bestFit="1" customWidth="1"/>
    <col min="13043" max="13047" width="9.7109375" style="160" customWidth="1"/>
    <col min="13048" max="13048" width="12.28515625" style="160" bestFit="1" customWidth="1"/>
    <col min="13049" max="13050" width="9.7109375" style="160" customWidth="1"/>
    <col min="13051" max="13064" width="4.42578125" style="160" customWidth="1"/>
    <col min="13065" max="13295" width="9.140625" style="160"/>
    <col min="13296" max="13296" width="3.7109375" style="160" customWidth="1"/>
    <col min="13297" max="13297" width="18.7109375" style="160" bestFit="1" customWidth="1"/>
    <col min="13298" max="13298" width="19.42578125" style="160" bestFit="1" customWidth="1"/>
    <col min="13299" max="13303" width="9.7109375" style="160" customWidth="1"/>
    <col min="13304" max="13304" width="12.28515625" style="160" bestFit="1" customWidth="1"/>
    <col min="13305" max="13306" width="9.7109375" style="160" customWidth="1"/>
    <col min="13307" max="13320" width="4.42578125" style="160" customWidth="1"/>
    <col min="13321" max="13551" width="9.140625" style="160"/>
    <col min="13552" max="13552" width="3.7109375" style="160" customWidth="1"/>
    <col min="13553" max="13553" width="18.7109375" style="160" bestFit="1" customWidth="1"/>
    <col min="13554" max="13554" width="19.42578125" style="160" bestFit="1" customWidth="1"/>
    <col min="13555" max="13559" width="9.7109375" style="160" customWidth="1"/>
    <col min="13560" max="13560" width="12.28515625" style="160" bestFit="1" customWidth="1"/>
    <col min="13561" max="13562" width="9.7109375" style="160" customWidth="1"/>
    <col min="13563" max="13576" width="4.42578125" style="160" customWidth="1"/>
    <col min="13577" max="13807" width="9.140625" style="160"/>
    <col min="13808" max="13808" width="3.7109375" style="160" customWidth="1"/>
    <col min="13809" max="13809" width="18.7109375" style="160" bestFit="1" customWidth="1"/>
    <col min="13810" max="13810" width="19.42578125" style="160" bestFit="1" customWidth="1"/>
    <col min="13811" max="13815" width="9.7109375" style="160" customWidth="1"/>
    <col min="13816" max="13816" width="12.28515625" style="160" bestFit="1" customWidth="1"/>
    <col min="13817" max="13818" width="9.7109375" style="160" customWidth="1"/>
    <col min="13819" max="13832" width="4.42578125" style="160" customWidth="1"/>
    <col min="13833" max="14063" width="9.140625" style="160"/>
    <col min="14064" max="14064" width="3.7109375" style="160" customWidth="1"/>
    <col min="14065" max="14065" width="18.7109375" style="160" bestFit="1" customWidth="1"/>
    <col min="14066" max="14066" width="19.42578125" style="160" bestFit="1" customWidth="1"/>
    <col min="14067" max="14071" width="9.7109375" style="160" customWidth="1"/>
    <col min="14072" max="14072" width="12.28515625" style="160" bestFit="1" customWidth="1"/>
    <col min="14073" max="14074" width="9.7109375" style="160" customWidth="1"/>
    <col min="14075" max="14088" width="4.42578125" style="160" customWidth="1"/>
    <col min="14089" max="14319" width="9.140625" style="160"/>
    <col min="14320" max="14320" width="3.7109375" style="160" customWidth="1"/>
    <col min="14321" max="14321" width="18.7109375" style="160" bestFit="1" customWidth="1"/>
    <col min="14322" max="14322" width="19.42578125" style="160" bestFit="1" customWidth="1"/>
    <col min="14323" max="14327" width="9.7109375" style="160" customWidth="1"/>
    <col min="14328" max="14328" width="12.28515625" style="160" bestFit="1" customWidth="1"/>
    <col min="14329" max="14330" width="9.7109375" style="160" customWidth="1"/>
    <col min="14331" max="14344" width="4.42578125" style="160" customWidth="1"/>
    <col min="14345" max="14575" width="9.140625" style="160"/>
    <col min="14576" max="14576" width="3.7109375" style="160" customWidth="1"/>
    <col min="14577" max="14577" width="18.7109375" style="160" bestFit="1" customWidth="1"/>
    <col min="14578" max="14578" width="19.42578125" style="160" bestFit="1" customWidth="1"/>
    <col min="14579" max="14583" width="9.7109375" style="160" customWidth="1"/>
    <col min="14584" max="14584" width="12.28515625" style="160" bestFit="1" customWidth="1"/>
    <col min="14585" max="14586" width="9.7109375" style="160" customWidth="1"/>
    <col min="14587" max="14600" width="4.42578125" style="160" customWidth="1"/>
    <col min="14601" max="14831" width="9.140625" style="160"/>
    <col min="14832" max="14832" width="3.7109375" style="160" customWidth="1"/>
    <col min="14833" max="14833" width="18.7109375" style="160" bestFit="1" customWidth="1"/>
    <col min="14834" max="14834" width="19.42578125" style="160" bestFit="1" customWidth="1"/>
    <col min="14835" max="14839" width="9.7109375" style="160" customWidth="1"/>
    <col min="14840" max="14840" width="12.28515625" style="160" bestFit="1" customWidth="1"/>
    <col min="14841" max="14842" width="9.7109375" style="160" customWidth="1"/>
    <col min="14843" max="14856" width="4.42578125" style="160" customWidth="1"/>
    <col min="14857" max="15087" width="9.140625" style="160"/>
    <col min="15088" max="15088" width="3.7109375" style="160" customWidth="1"/>
    <col min="15089" max="15089" width="18.7109375" style="160" bestFit="1" customWidth="1"/>
    <col min="15090" max="15090" width="19.42578125" style="160" bestFit="1" customWidth="1"/>
    <col min="15091" max="15095" width="9.7109375" style="160" customWidth="1"/>
    <col min="15096" max="15096" width="12.28515625" style="160" bestFit="1" customWidth="1"/>
    <col min="15097" max="15098" width="9.7109375" style="160" customWidth="1"/>
    <col min="15099" max="15112" width="4.42578125" style="160" customWidth="1"/>
    <col min="15113" max="15343" width="9.140625" style="160"/>
    <col min="15344" max="15344" width="3.7109375" style="160" customWidth="1"/>
    <col min="15345" max="15345" width="18.7109375" style="160" bestFit="1" customWidth="1"/>
    <col min="15346" max="15346" width="19.42578125" style="160" bestFit="1" customWidth="1"/>
    <col min="15347" max="15351" width="9.7109375" style="160" customWidth="1"/>
    <col min="15352" max="15352" width="12.28515625" style="160" bestFit="1" customWidth="1"/>
    <col min="15353" max="15354" width="9.7109375" style="160" customWidth="1"/>
    <col min="15355" max="15368" width="4.42578125" style="160" customWidth="1"/>
    <col min="15369" max="15599" width="9.140625" style="160"/>
    <col min="15600" max="15600" width="3.7109375" style="160" customWidth="1"/>
    <col min="15601" max="15601" width="18.7109375" style="160" bestFit="1" customWidth="1"/>
    <col min="15602" max="15602" width="19.42578125" style="160" bestFit="1" customWidth="1"/>
    <col min="15603" max="15607" width="9.7109375" style="160" customWidth="1"/>
    <col min="15608" max="15608" width="12.28515625" style="160" bestFit="1" customWidth="1"/>
    <col min="15609" max="15610" width="9.7109375" style="160" customWidth="1"/>
    <col min="15611" max="15624" width="4.42578125" style="160" customWidth="1"/>
    <col min="15625" max="15855" width="9.140625" style="160"/>
    <col min="15856" max="15856" width="3.7109375" style="160" customWidth="1"/>
    <col min="15857" max="15857" width="18.7109375" style="160" bestFit="1" customWidth="1"/>
    <col min="15858" max="15858" width="19.42578125" style="160" bestFit="1" customWidth="1"/>
    <col min="15859" max="15863" width="9.7109375" style="160" customWidth="1"/>
    <col min="15864" max="15864" width="12.28515625" style="160" bestFit="1" customWidth="1"/>
    <col min="15865" max="15866" width="9.7109375" style="160" customWidth="1"/>
    <col min="15867" max="15880" width="4.42578125" style="160" customWidth="1"/>
    <col min="15881" max="16111" width="9.140625" style="160"/>
    <col min="16112" max="16112" width="3.7109375" style="160" customWidth="1"/>
    <col min="16113" max="16113" width="18.7109375" style="160" bestFit="1" customWidth="1"/>
    <col min="16114" max="16114" width="19.42578125" style="160" bestFit="1" customWidth="1"/>
    <col min="16115" max="16119" width="9.7109375" style="160" customWidth="1"/>
    <col min="16120" max="16120" width="12.28515625" style="160" bestFit="1" customWidth="1"/>
    <col min="16121" max="16122" width="9.7109375" style="160" customWidth="1"/>
    <col min="16123" max="16136" width="4.42578125" style="160" customWidth="1"/>
    <col min="16137" max="16384" width="9.140625" style="160"/>
  </cols>
  <sheetData>
    <row r="1" spans="1:6" x14ac:dyDescent="0.2">
      <c r="A1" s="20" t="str">
        <f>UPPER((Kalend!D26)&amp;" - "&amp;(Kalend!C26)&amp;" - "&amp;(Kalend!E26))</f>
        <v>MU - VOKA 11. MV (11. MURUTURNIIR) - ÜKSIK</v>
      </c>
    </row>
    <row r="2" spans="1:6" x14ac:dyDescent="0.2">
      <c r="A2" s="160" t="str">
        <f>"Toimumisaeg: "&amp;(Kalend!A26)&amp;" kell "&amp;(Kalend!B26)</f>
        <v>Toimumisaeg: L, 28.07.2012 kell 11:00</v>
      </c>
    </row>
    <row r="3" spans="1:6" x14ac:dyDescent="0.2">
      <c r="A3" s="160" t="str">
        <f>"Toimumiskoht: "&amp;(Kalend!F26)</f>
        <v>Toimumiskoht: Voka staadion</v>
      </c>
    </row>
    <row r="4" spans="1:6" x14ac:dyDescent="0.2">
      <c r="A4" s="160" t="str">
        <f>"Korraldaja: "&amp;(Kalend!G26)</f>
        <v>Korraldaja: Toila VV</v>
      </c>
      <c r="F4" s="161" t="s">
        <v>207</v>
      </c>
    </row>
    <row r="6" spans="1:6" s="162" customFormat="1" x14ac:dyDescent="0.2">
      <c r="A6" s="163" t="s">
        <v>208</v>
      </c>
    </row>
    <row r="7" spans="1:6" s="162" customFormat="1" x14ac:dyDescent="0.2">
      <c r="C7" s="164"/>
      <c r="D7" s="165"/>
      <c r="E7" s="166"/>
    </row>
    <row r="8" spans="1:6" s="162" customFormat="1" x14ac:dyDescent="0.2">
      <c r="A8" s="167"/>
      <c r="B8" s="168">
        <v>19</v>
      </c>
      <c r="C8" s="169" t="s">
        <v>143</v>
      </c>
      <c r="D8" s="166">
        <v>4</v>
      </c>
    </row>
    <row r="9" spans="1:6" s="162" customFormat="1" x14ac:dyDescent="0.2">
      <c r="A9" s="167"/>
      <c r="B9" s="165"/>
      <c r="C9" s="295">
        <v>-9</v>
      </c>
      <c r="D9" s="165" t="s">
        <v>119</v>
      </c>
      <c r="E9" s="166">
        <v>9</v>
      </c>
    </row>
    <row r="10" spans="1:6" s="162" customFormat="1" x14ac:dyDescent="0.2">
      <c r="A10" s="167">
        <v>1</v>
      </c>
      <c r="B10" s="162" t="s">
        <v>129</v>
      </c>
      <c r="C10" s="172">
        <v>10</v>
      </c>
      <c r="D10" s="173"/>
    </row>
    <row r="11" spans="1:6" s="162" customFormat="1" x14ac:dyDescent="0.2">
      <c r="A11" s="167"/>
      <c r="B11" s="294">
        <v>-1</v>
      </c>
      <c r="C11" s="175" t="s">
        <v>119</v>
      </c>
      <c r="D11" s="176">
        <v>13</v>
      </c>
    </row>
    <row r="12" spans="1:6" s="162" customFormat="1" x14ac:dyDescent="0.2">
      <c r="A12" s="167">
        <v>2</v>
      </c>
      <c r="B12" s="169" t="s">
        <v>119</v>
      </c>
      <c r="C12" s="177">
        <v>13</v>
      </c>
      <c r="D12" s="178"/>
    </row>
    <row r="13" spans="1:6" s="162" customFormat="1" x14ac:dyDescent="0.2">
      <c r="A13" s="179"/>
      <c r="D13" s="296" t="s">
        <v>209</v>
      </c>
      <c r="E13" s="165" t="s">
        <v>144</v>
      </c>
      <c r="F13" s="166">
        <v>13</v>
      </c>
    </row>
    <row r="14" spans="1:6" s="162" customFormat="1" x14ac:dyDescent="0.2">
      <c r="A14" s="164"/>
      <c r="B14" s="165"/>
      <c r="C14" s="166"/>
      <c r="D14" s="178"/>
      <c r="E14" s="173"/>
    </row>
    <row r="15" spans="1:6" s="162" customFormat="1" x14ac:dyDescent="0.2">
      <c r="A15" s="167"/>
      <c r="B15" s="168">
        <v>20</v>
      </c>
      <c r="C15" s="169" t="s">
        <v>139</v>
      </c>
      <c r="D15" s="176">
        <v>5</v>
      </c>
      <c r="E15" s="178"/>
    </row>
    <row r="16" spans="1:6" s="162" customFormat="1" x14ac:dyDescent="0.2">
      <c r="A16" s="167"/>
      <c r="B16" s="165"/>
      <c r="C16" s="295">
        <v>-10</v>
      </c>
      <c r="D16" s="181" t="s">
        <v>144</v>
      </c>
      <c r="E16" s="176">
        <v>13</v>
      </c>
    </row>
    <row r="17" spans="1:7" s="162" customFormat="1" x14ac:dyDescent="0.2">
      <c r="A17" s="167">
        <v>3</v>
      </c>
      <c r="B17" s="162" t="s">
        <v>130</v>
      </c>
      <c r="C17" s="176">
        <v>5</v>
      </c>
      <c r="D17" s="165"/>
      <c r="E17" s="178"/>
    </row>
    <row r="18" spans="1:7" s="162" customFormat="1" x14ac:dyDescent="0.2">
      <c r="A18" s="167"/>
      <c r="B18" s="294">
        <v>-2</v>
      </c>
      <c r="C18" s="175" t="s">
        <v>144</v>
      </c>
      <c r="D18" s="182">
        <v>13</v>
      </c>
      <c r="E18" s="178"/>
    </row>
    <row r="19" spans="1:7" s="162" customFormat="1" x14ac:dyDescent="0.2">
      <c r="A19" s="167">
        <v>4</v>
      </c>
      <c r="B19" s="169" t="s">
        <v>144</v>
      </c>
      <c r="C19" s="177">
        <v>13</v>
      </c>
      <c r="D19" s="165"/>
      <c r="E19" s="178"/>
    </row>
    <row r="20" spans="1:7" s="162" customFormat="1" x14ac:dyDescent="0.2">
      <c r="A20" s="179"/>
      <c r="E20" s="296" t="s">
        <v>210</v>
      </c>
      <c r="F20" s="162" t="s">
        <v>144</v>
      </c>
      <c r="G20" s="166">
        <v>13</v>
      </c>
    </row>
    <row r="21" spans="1:7" s="162" customFormat="1" x14ac:dyDescent="0.2">
      <c r="A21" s="164"/>
      <c r="B21" s="165"/>
      <c r="C21" s="166"/>
      <c r="E21" s="178"/>
      <c r="F21" s="173"/>
    </row>
    <row r="22" spans="1:7" s="162" customFormat="1" x14ac:dyDescent="0.2">
      <c r="A22" s="167"/>
      <c r="B22" s="168">
        <v>22</v>
      </c>
      <c r="C22" s="169" t="s">
        <v>106</v>
      </c>
      <c r="D22" s="166">
        <v>7</v>
      </c>
      <c r="E22" s="178"/>
      <c r="F22" s="178"/>
    </row>
    <row r="23" spans="1:7" s="162" customFormat="1" x14ac:dyDescent="0.2">
      <c r="A23" s="167"/>
      <c r="B23" s="165"/>
      <c r="C23" s="295">
        <v>-11</v>
      </c>
      <c r="D23" s="162" t="s">
        <v>110</v>
      </c>
      <c r="E23" s="176">
        <v>13</v>
      </c>
      <c r="F23" s="178"/>
    </row>
    <row r="24" spans="1:7" s="162" customFormat="1" x14ac:dyDescent="0.2">
      <c r="A24" s="167">
        <v>5</v>
      </c>
      <c r="B24" s="162" t="s">
        <v>110</v>
      </c>
      <c r="C24" s="176">
        <v>13</v>
      </c>
      <c r="D24" s="173"/>
      <c r="E24" s="178"/>
      <c r="F24" s="178"/>
    </row>
    <row r="25" spans="1:7" s="162" customFormat="1" x14ac:dyDescent="0.2">
      <c r="A25" s="167"/>
      <c r="B25" s="294">
        <v>-3</v>
      </c>
      <c r="C25" s="175" t="s">
        <v>110</v>
      </c>
      <c r="D25" s="176">
        <v>13</v>
      </c>
      <c r="E25" s="178"/>
      <c r="F25" s="178"/>
    </row>
    <row r="26" spans="1:7" s="162" customFormat="1" x14ac:dyDescent="0.2">
      <c r="A26" s="167">
        <v>6</v>
      </c>
      <c r="B26" s="169" t="s">
        <v>113</v>
      </c>
      <c r="C26" s="177"/>
      <c r="D26" s="178"/>
      <c r="E26" s="178"/>
      <c r="F26" s="178"/>
    </row>
    <row r="27" spans="1:7" s="162" customFormat="1" x14ac:dyDescent="0.2">
      <c r="A27" s="179"/>
      <c r="D27" s="296" t="s">
        <v>211</v>
      </c>
      <c r="E27" s="181" t="s">
        <v>110</v>
      </c>
      <c r="F27" s="176">
        <v>6</v>
      </c>
    </row>
    <row r="28" spans="1:7" s="162" customFormat="1" x14ac:dyDescent="0.2">
      <c r="A28" s="164"/>
      <c r="B28" s="165"/>
      <c r="C28" s="166"/>
      <c r="D28" s="178"/>
      <c r="F28" s="178"/>
    </row>
    <row r="29" spans="1:7" s="162" customFormat="1" x14ac:dyDescent="0.2">
      <c r="A29" s="167"/>
      <c r="B29" s="168">
        <v>24</v>
      </c>
      <c r="C29" s="169" t="s">
        <v>212</v>
      </c>
      <c r="D29" s="176"/>
      <c r="F29" s="178"/>
    </row>
    <row r="30" spans="1:7" s="162" customFormat="1" x14ac:dyDescent="0.2">
      <c r="A30" s="167"/>
      <c r="B30" s="165"/>
      <c r="C30" s="295">
        <v>-12</v>
      </c>
      <c r="D30" s="181" t="s">
        <v>112</v>
      </c>
      <c r="E30" s="166">
        <v>10</v>
      </c>
      <c r="F30" s="178"/>
    </row>
    <row r="31" spans="1:7" s="162" customFormat="1" x14ac:dyDescent="0.2">
      <c r="A31" s="167">
        <v>7</v>
      </c>
      <c r="B31" s="162" t="s">
        <v>112</v>
      </c>
      <c r="C31" s="176">
        <v>13</v>
      </c>
      <c r="D31" s="165"/>
      <c r="F31" s="178"/>
    </row>
    <row r="32" spans="1:7" s="162" customFormat="1" x14ac:dyDescent="0.2">
      <c r="A32" s="167"/>
      <c r="B32" s="294">
        <v>-4</v>
      </c>
      <c r="C32" s="175" t="s">
        <v>112</v>
      </c>
      <c r="D32" s="468" t="s">
        <v>228</v>
      </c>
      <c r="E32" s="165"/>
      <c r="F32" s="178"/>
    </row>
    <row r="33" spans="1:10" s="162" customFormat="1" x14ac:dyDescent="0.2">
      <c r="A33" s="167">
        <v>8</v>
      </c>
      <c r="B33" s="169" t="s">
        <v>105</v>
      </c>
      <c r="C33" s="177">
        <v>2</v>
      </c>
      <c r="D33" s="165"/>
      <c r="E33" s="165"/>
      <c r="F33" s="178"/>
    </row>
    <row r="34" spans="1:10" s="162" customFormat="1" x14ac:dyDescent="0.2">
      <c r="B34" s="167"/>
      <c r="C34" s="165"/>
      <c r="D34" s="182"/>
      <c r="E34" s="165"/>
      <c r="F34" s="296" t="s">
        <v>213</v>
      </c>
      <c r="G34" s="162" t="s">
        <v>144</v>
      </c>
      <c r="H34" s="166" t="s">
        <v>214</v>
      </c>
    </row>
    <row r="35" spans="1:10" s="162" customFormat="1" x14ac:dyDescent="0.2">
      <c r="B35" s="167"/>
      <c r="C35" s="165"/>
      <c r="D35" s="182"/>
      <c r="E35" s="165"/>
      <c r="F35" s="171"/>
      <c r="G35" s="183"/>
      <c r="H35" s="166"/>
    </row>
    <row r="36" spans="1:10" s="162" customFormat="1" x14ac:dyDescent="0.2">
      <c r="A36" s="167"/>
      <c r="B36" s="168">
        <v>23</v>
      </c>
      <c r="C36" s="169" t="s">
        <v>212</v>
      </c>
      <c r="D36" s="166"/>
      <c r="F36" s="178"/>
      <c r="G36" s="178"/>
    </row>
    <row r="37" spans="1:10" s="162" customFormat="1" x14ac:dyDescent="0.2">
      <c r="A37" s="167"/>
      <c r="B37" s="165"/>
      <c r="C37" s="295">
        <v>-13</v>
      </c>
      <c r="D37" s="165" t="s">
        <v>118</v>
      </c>
      <c r="E37" s="166">
        <v>13</v>
      </c>
      <c r="F37" s="178"/>
      <c r="G37" s="178"/>
    </row>
    <row r="38" spans="1:10" s="162" customFormat="1" x14ac:dyDescent="0.2">
      <c r="A38" s="167">
        <v>9</v>
      </c>
      <c r="B38" s="162" t="s">
        <v>118</v>
      </c>
      <c r="C38" s="176">
        <v>13</v>
      </c>
      <c r="D38" s="173"/>
      <c r="F38" s="178"/>
      <c r="G38" s="178"/>
    </row>
    <row r="39" spans="1:10" s="162" customFormat="1" x14ac:dyDescent="0.2">
      <c r="A39" s="167"/>
      <c r="B39" s="294">
        <v>-5</v>
      </c>
      <c r="C39" s="175" t="s">
        <v>118</v>
      </c>
      <c r="D39" s="479" t="s">
        <v>228</v>
      </c>
      <c r="F39" s="178"/>
      <c r="G39" s="178"/>
    </row>
    <row r="40" spans="1:10" s="162" customFormat="1" x14ac:dyDescent="0.2">
      <c r="A40" s="167">
        <v>10</v>
      </c>
      <c r="B40" s="169" t="s">
        <v>117</v>
      </c>
      <c r="C40" s="177">
        <v>10</v>
      </c>
      <c r="D40" s="178"/>
      <c r="F40" s="178"/>
      <c r="G40" s="178"/>
    </row>
    <row r="41" spans="1:10" s="162" customFormat="1" x14ac:dyDescent="0.2">
      <c r="A41" s="179"/>
      <c r="D41" s="296" t="s">
        <v>215</v>
      </c>
      <c r="E41" s="165" t="s">
        <v>118</v>
      </c>
      <c r="F41" s="176">
        <v>13</v>
      </c>
      <c r="G41" s="178"/>
    </row>
    <row r="42" spans="1:10" s="162" customFormat="1" x14ac:dyDescent="0.2">
      <c r="A42" s="164"/>
      <c r="B42" s="165"/>
      <c r="C42" s="166"/>
      <c r="D42" s="178"/>
      <c r="E42" s="173"/>
      <c r="F42" s="178"/>
      <c r="G42" s="178"/>
    </row>
    <row r="43" spans="1:10" s="162" customFormat="1" x14ac:dyDescent="0.2">
      <c r="A43" s="167"/>
      <c r="B43" s="168">
        <v>21</v>
      </c>
      <c r="C43" s="169" t="s">
        <v>137</v>
      </c>
      <c r="D43" s="176">
        <v>3</v>
      </c>
      <c r="E43" s="178"/>
      <c r="F43" s="178"/>
      <c r="G43" s="178"/>
    </row>
    <row r="44" spans="1:10" s="162" customFormat="1" x14ac:dyDescent="0.2">
      <c r="A44" s="167"/>
      <c r="B44" s="165"/>
      <c r="C44" s="295">
        <v>-14</v>
      </c>
      <c r="D44" s="181" t="s">
        <v>141</v>
      </c>
      <c r="E44" s="176">
        <v>11</v>
      </c>
      <c r="F44" s="178"/>
      <c r="G44" s="178"/>
    </row>
    <row r="45" spans="1:10" s="162" customFormat="1" x14ac:dyDescent="0.2">
      <c r="A45" s="167">
        <v>11</v>
      </c>
      <c r="B45" s="162" t="s">
        <v>120</v>
      </c>
      <c r="C45" s="176">
        <v>11</v>
      </c>
      <c r="D45" s="165"/>
      <c r="E45" s="178"/>
      <c r="F45" s="178"/>
      <c r="G45" s="178"/>
    </row>
    <row r="46" spans="1:10" s="162" customFormat="1" x14ac:dyDescent="0.2">
      <c r="A46" s="167"/>
      <c r="B46" s="294">
        <v>-6</v>
      </c>
      <c r="C46" s="175" t="s">
        <v>141</v>
      </c>
      <c r="D46" s="182">
        <v>13</v>
      </c>
      <c r="E46" s="178"/>
      <c r="F46" s="178"/>
      <c r="G46" s="178"/>
    </row>
    <row r="47" spans="1:10" s="162" customFormat="1" ht="13.5" thickBot="1" x14ac:dyDescent="0.25">
      <c r="A47" s="167">
        <v>12</v>
      </c>
      <c r="B47" s="169" t="s">
        <v>141</v>
      </c>
      <c r="C47" s="177">
        <v>13</v>
      </c>
      <c r="D47" s="165"/>
      <c r="E47" s="178"/>
      <c r="F47" s="178"/>
      <c r="G47" s="171"/>
      <c r="H47" s="185"/>
      <c r="I47" s="186"/>
      <c r="J47" s="186" t="s">
        <v>144</v>
      </c>
    </row>
    <row r="48" spans="1:10" s="162" customFormat="1" x14ac:dyDescent="0.2">
      <c r="E48" s="296" t="s">
        <v>216</v>
      </c>
      <c r="F48" s="181" t="s">
        <v>118</v>
      </c>
      <c r="G48" s="176">
        <v>9</v>
      </c>
      <c r="H48" s="201"/>
      <c r="I48" s="488"/>
      <c r="J48" s="188" t="s">
        <v>417</v>
      </c>
    </row>
    <row r="49" spans="1:10" s="162" customFormat="1" x14ac:dyDescent="0.2">
      <c r="A49" s="164"/>
      <c r="B49" s="165"/>
      <c r="C49" s="166"/>
      <c r="E49" s="178"/>
      <c r="G49" s="178"/>
      <c r="J49" s="165"/>
    </row>
    <row r="50" spans="1:10" s="162" customFormat="1" ht="13.5" thickBot="1" x14ac:dyDescent="0.25">
      <c r="A50" s="167"/>
      <c r="B50" s="168">
        <v>18</v>
      </c>
      <c r="C50" s="169" t="s">
        <v>123</v>
      </c>
      <c r="D50" s="166">
        <v>13</v>
      </c>
      <c r="E50" s="178"/>
      <c r="G50" s="178"/>
      <c r="J50" s="186" t="s">
        <v>110</v>
      </c>
    </row>
    <row r="51" spans="1:10" s="162" customFormat="1" x14ac:dyDescent="0.2">
      <c r="A51" s="167"/>
      <c r="B51" s="165"/>
      <c r="C51" s="295">
        <v>-15</v>
      </c>
      <c r="D51" s="162" t="s">
        <v>123</v>
      </c>
      <c r="E51" s="176">
        <v>13</v>
      </c>
      <c r="G51" s="178"/>
      <c r="J51" s="188" t="s">
        <v>418</v>
      </c>
    </row>
    <row r="52" spans="1:10" s="162" customFormat="1" x14ac:dyDescent="0.2">
      <c r="A52" s="167">
        <v>13</v>
      </c>
      <c r="B52" s="162" t="s">
        <v>217</v>
      </c>
      <c r="C52" s="176">
        <v>3</v>
      </c>
      <c r="D52" s="173"/>
      <c r="E52" s="178"/>
      <c r="G52" s="178"/>
    </row>
    <row r="53" spans="1:10" s="162" customFormat="1" x14ac:dyDescent="0.2">
      <c r="A53" s="167"/>
      <c r="B53" s="294">
        <v>-7</v>
      </c>
      <c r="C53" s="175" t="s">
        <v>131</v>
      </c>
      <c r="D53" s="176"/>
      <c r="E53" s="178"/>
      <c r="G53" s="178"/>
    </row>
    <row r="54" spans="1:10" s="162" customFormat="1" x14ac:dyDescent="0.2">
      <c r="A54" s="167">
        <v>14</v>
      </c>
      <c r="B54" s="169" t="s">
        <v>131</v>
      </c>
      <c r="C54" s="177">
        <v>13</v>
      </c>
      <c r="D54" s="178"/>
      <c r="E54" s="178"/>
      <c r="G54" s="178"/>
    </row>
    <row r="55" spans="1:10" s="162" customFormat="1" x14ac:dyDescent="0.2">
      <c r="D55" s="296" t="s">
        <v>218</v>
      </c>
      <c r="E55" s="181" t="s">
        <v>123</v>
      </c>
      <c r="F55" s="166">
        <v>10</v>
      </c>
      <c r="G55" s="178"/>
    </row>
    <row r="56" spans="1:10" s="162" customFormat="1" x14ac:dyDescent="0.2">
      <c r="A56" s="164"/>
      <c r="B56" s="165"/>
      <c r="C56" s="166"/>
      <c r="D56" s="178"/>
      <c r="G56" s="178"/>
    </row>
    <row r="57" spans="1:10" s="162" customFormat="1" x14ac:dyDescent="0.2">
      <c r="A57" s="167"/>
      <c r="B57" s="168">
        <v>17</v>
      </c>
      <c r="C57" s="169" t="s">
        <v>176</v>
      </c>
      <c r="D57" s="176">
        <v>4</v>
      </c>
      <c r="G57" s="178"/>
    </row>
    <row r="58" spans="1:10" s="162" customFormat="1" x14ac:dyDescent="0.2">
      <c r="A58" s="167"/>
      <c r="B58" s="165"/>
      <c r="C58" s="295">
        <v>-16</v>
      </c>
      <c r="D58" s="181" t="s">
        <v>122</v>
      </c>
      <c r="E58" s="166">
        <v>12</v>
      </c>
      <c r="G58" s="178"/>
    </row>
    <row r="59" spans="1:10" s="162" customFormat="1" x14ac:dyDescent="0.2">
      <c r="A59" s="167">
        <v>15</v>
      </c>
      <c r="B59" s="162" t="s">
        <v>219</v>
      </c>
      <c r="C59" s="176">
        <v>10</v>
      </c>
      <c r="D59" s="165"/>
      <c r="G59" s="178"/>
    </row>
    <row r="60" spans="1:10" s="162" customFormat="1" x14ac:dyDescent="0.2">
      <c r="A60" s="167"/>
      <c r="B60" s="294">
        <v>-8</v>
      </c>
      <c r="C60" s="175" t="s">
        <v>122</v>
      </c>
      <c r="D60" s="182">
        <v>13</v>
      </c>
      <c r="E60" s="165"/>
      <c r="F60" s="189" t="s">
        <v>220</v>
      </c>
      <c r="G60" s="178" t="s">
        <v>110</v>
      </c>
      <c r="H60" s="190" t="s">
        <v>221</v>
      </c>
    </row>
    <row r="61" spans="1:10" s="162" customFormat="1" x14ac:dyDescent="0.2">
      <c r="A61" s="167">
        <v>16</v>
      </c>
      <c r="B61" s="169" t="s">
        <v>122</v>
      </c>
      <c r="C61" s="177">
        <v>13</v>
      </c>
      <c r="D61" s="165"/>
      <c r="E61" s="165"/>
      <c r="G61" s="191"/>
    </row>
    <row r="62" spans="1:10" s="162" customFormat="1" x14ac:dyDescent="0.2">
      <c r="B62" s="165"/>
      <c r="C62" s="182"/>
      <c r="D62" s="165"/>
      <c r="E62" s="165"/>
      <c r="G62" s="165"/>
    </row>
    <row r="63" spans="1:10" s="162" customFormat="1" x14ac:dyDescent="0.2">
      <c r="A63" s="192" t="s">
        <v>222</v>
      </c>
      <c r="F63" s="165"/>
      <c r="G63" s="167" t="s">
        <v>213</v>
      </c>
      <c r="H63" s="169" t="s">
        <v>118</v>
      </c>
      <c r="I63" s="468">
        <v>9</v>
      </c>
    </row>
    <row r="64" spans="1:10" s="162" customFormat="1" x14ac:dyDescent="0.2">
      <c r="E64" s="164" t="s">
        <v>210</v>
      </c>
      <c r="F64" s="169" t="s">
        <v>110</v>
      </c>
      <c r="G64" s="182">
        <v>13</v>
      </c>
      <c r="H64" s="173"/>
    </row>
    <row r="65" spans="1:9" s="162" customFormat="1" x14ac:dyDescent="0.2">
      <c r="C65" s="167" t="s">
        <v>218</v>
      </c>
      <c r="D65" s="169" t="s">
        <v>122</v>
      </c>
      <c r="E65" s="166">
        <v>13</v>
      </c>
      <c r="F65" s="173"/>
      <c r="H65" s="178"/>
    </row>
    <row r="66" spans="1:9" s="162" customFormat="1" x14ac:dyDescent="0.2">
      <c r="A66" s="167">
        <v>-1</v>
      </c>
      <c r="B66" s="162" t="s">
        <v>129</v>
      </c>
      <c r="C66" s="166">
        <v>1</v>
      </c>
      <c r="D66" s="178"/>
      <c r="F66" s="178"/>
      <c r="H66" s="178"/>
    </row>
    <row r="67" spans="1:9" s="162" customFormat="1" x14ac:dyDescent="0.2">
      <c r="A67" s="167"/>
      <c r="B67" s="203"/>
      <c r="C67" s="166" t="s">
        <v>176</v>
      </c>
      <c r="D67" s="176">
        <v>13</v>
      </c>
      <c r="E67" s="169" t="s">
        <v>122</v>
      </c>
      <c r="F67" s="176">
        <v>13</v>
      </c>
      <c r="H67" s="178"/>
    </row>
    <row r="68" spans="1:9" s="162" customFormat="1" x14ac:dyDescent="0.2">
      <c r="A68" s="167">
        <v>-16</v>
      </c>
      <c r="B68" s="181" t="s">
        <v>176</v>
      </c>
      <c r="C68" s="202">
        <v>13</v>
      </c>
      <c r="D68" s="178"/>
      <c r="E68" s="173"/>
      <c r="F68" s="180" t="s">
        <v>223</v>
      </c>
      <c r="G68" s="169" t="s">
        <v>110</v>
      </c>
      <c r="H68" s="176">
        <v>13</v>
      </c>
    </row>
    <row r="69" spans="1:9" s="162" customFormat="1" x14ac:dyDescent="0.2">
      <c r="D69" s="175" t="s">
        <v>176</v>
      </c>
      <c r="E69" s="176">
        <v>6</v>
      </c>
      <c r="F69" s="178"/>
      <c r="G69" s="173"/>
      <c r="H69" s="178"/>
    </row>
    <row r="70" spans="1:9" s="162" customFormat="1" x14ac:dyDescent="0.2">
      <c r="A70" s="167">
        <v>-2</v>
      </c>
      <c r="B70" s="478" t="s">
        <v>130</v>
      </c>
      <c r="C70" s="176">
        <v>5</v>
      </c>
      <c r="E70" s="171"/>
      <c r="F70" s="178"/>
      <c r="G70" s="178"/>
      <c r="H70" s="180" t="s">
        <v>225</v>
      </c>
      <c r="I70" s="169" t="s">
        <v>110</v>
      </c>
    </row>
    <row r="71" spans="1:9" s="162" customFormat="1" x14ac:dyDescent="0.2">
      <c r="B71" s="197"/>
      <c r="C71" s="175" t="s">
        <v>131</v>
      </c>
      <c r="D71" s="166">
        <v>7</v>
      </c>
      <c r="E71" s="178"/>
      <c r="F71" s="181" t="s">
        <v>122</v>
      </c>
      <c r="G71" s="176">
        <v>12</v>
      </c>
      <c r="H71" s="178"/>
    </row>
    <row r="72" spans="1:9" s="162" customFormat="1" x14ac:dyDescent="0.2">
      <c r="A72" s="167">
        <v>-15</v>
      </c>
      <c r="B72" s="181" t="s">
        <v>131</v>
      </c>
      <c r="C72" s="166">
        <v>13</v>
      </c>
      <c r="E72" s="178"/>
      <c r="F72" s="196"/>
      <c r="G72" s="178"/>
      <c r="H72" s="178"/>
      <c r="I72" s="470" t="s">
        <v>226</v>
      </c>
    </row>
    <row r="73" spans="1:9" s="162" customFormat="1" x14ac:dyDescent="0.2">
      <c r="A73" s="167"/>
      <c r="B73" s="194"/>
      <c r="C73" s="164" t="s">
        <v>215</v>
      </c>
      <c r="D73" s="166" t="s">
        <v>141</v>
      </c>
      <c r="E73" s="176">
        <v>8</v>
      </c>
      <c r="F73" s="165"/>
      <c r="G73" s="178"/>
      <c r="H73" s="178"/>
    </row>
    <row r="74" spans="1:9" s="162" customFormat="1" x14ac:dyDescent="0.2">
      <c r="A74" s="167">
        <v>-3</v>
      </c>
      <c r="B74" s="478" t="s">
        <v>113</v>
      </c>
      <c r="C74" s="166">
        <v>10</v>
      </c>
      <c r="D74" s="173"/>
      <c r="E74" s="178"/>
      <c r="F74" s="165"/>
      <c r="G74" s="178"/>
      <c r="H74" s="178"/>
    </row>
    <row r="75" spans="1:9" s="162" customFormat="1" x14ac:dyDescent="0.2">
      <c r="A75" s="167"/>
      <c r="B75" s="197"/>
      <c r="C75" s="193" t="s">
        <v>137</v>
      </c>
      <c r="D75" s="176">
        <v>7</v>
      </c>
      <c r="E75" s="175" t="s">
        <v>105</v>
      </c>
      <c r="F75" s="469">
        <v>1</v>
      </c>
      <c r="G75" s="178"/>
      <c r="H75" s="178"/>
    </row>
    <row r="76" spans="1:9" s="162" customFormat="1" x14ac:dyDescent="0.2">
      <c r="A76" s="167">
        <v>-14</v>
      </c>
      <c r="B76" s="181" t="s">
        <v>137</v>
      </c>
      <c r="C76" s="170">
        <v>13</v>
      </c>
      <c r="D76" s="178"/>
      <c r="E76" s="196"/>
      <c r="F76" s="165"/>
      <c r="G76" s="180" t="s">
        <v>224</v>
      </c>
      <c r="H76" s="181" t="s">
        <v>110</v>
      </c>
      <c r="I76" s="166">
        <v>13</v>
      </c>
    </row>
    <row r="77" spans="1:9" s="162" customFormat="1" x14ac:dyDescent="0.2">
      <c r="A77" s="167"/>
      <c r="B77" s="194"/>
      <c r="C77" s="176"/>
      <c r="D77" s="181" t="s">
        <v>105</v>
      </c>
      <c r="E77" s="182">
        <v>13</v>
      </c>
      <c r="F77" s="165"/>
      <c r="G77" s="178"/>
      <c r="H77" s="191"/>
      <c r="I77" s="165"/>
    </row>
    <row r="78" spans="1:9" s="162" customFormat="1" x14ac:dyDescent="0.2">
      <c r="A78" s="167">
        <v>-4</v>
      </c>
      <c r="B78" s="162" t="s">
        <v>105</v>
      </c>
      <c r="C78" s="178"/>
      <c r="F78" s="165"/>
      <c r="G78" s="178"/>
      <c r="H78" s="165"/>
      <c r="I78" s="165"/>
    </row>
    <row r="79" spans="1:9" s="162" customFormat="1" x14ac:dyDescent="0.2">
      <c r="A79" s="167"/>
      <c r="B79" s="195"/>
      <c r="C79" s="181" t="s">
        <v>105</v>
      </c>
      <c r="D79" s="166">
        <v>13</v>
      </c>
      <c r="G79" s="178"/>
      <c r="H79" s="165"/>
      <c r="I79" s="165"/>
    </row>
    <row r="80" spans="1:9" s="162" customFormat="1" x14ac:dyDescent="0.2">
      <c r="A80" s="167">
        <v>-13</v>
      </c>
      <c r="B80" s="181" t="s">
        <v>212</v>
      </c>
      <c r="E80" s="164" t="s">
        <v>216</v>
      </c>
      <c r="F80" s="169" t="s">
        <v>123</v>
      </c>
      <c r="G80" s="176">
        <v>13</v>
      </c>
      <c r="H80" s="165"/>
      <c r="I80" s="165"/>
    </row>
    <row r="81" spans="1:10" s="162" customFormat="1" x14ac:dyDescent="0.2">
      <c r="C81" s="164" t="s">
        <v>211</v>
      </c>
      <c r="D81" s="182" t="s">
        <v>112</v>
      </c>
      <c r="E81" s="166">
        <v>13</v>
      </c>
      <c r="F81" s="170"/>
      <c r="G81" s="178"/>
      <c r="H81" s="165"/>
      <c r="I81" s="165"/>
    </row>
    <row r="82" spans="1:10" s="162" customFormat="1" x14ac:dyDescent="0.2">
      <c r="A82" s="179">
        <v>-5</v>
      </c>
      <c r="B82" s="162" t="s">
        <v>117</v>
      </c>
      <c r="C82" s="166">
        <v>13</v>
      </c>
      <c r="D82" s="203"/>
      <c r="F82" s="178"/>
      <c r="G82" s="178"/>
      <c r="H82" s="165"/>
      <c r="I82" s="165"/>
    </row>
    <row r="83" spans="1:10" s="162" customFormat="1" x14ac:dyDescent="0.2">
      <c r="A83" s="167"/>
      <c r="B83" s="203"/>
      <c r="C83" s="162" t="s">
        <v>117</v>
      </c>
      <c r="D83" s="182">
        <v>5</v>
      </c>
      <c r="E83" s="193" t="s">
        <v>112</v>
      </c>
      <c r="F83" s="176">
        <v>13</v>
      </c>
      <c r="G83" s="178"/>
      <c r="H83" s="165"/>
      <c r="I83" s="165"/>
    </row>
    <row r="84" spans="1:10" s="162" customFormat="1" x14ac:dyDescent="0.2">
      <c r="A84" s="167">
        <v>-12</v>
      </c>
      <c r="B84" s="181" t="s">
        <v>212</v>
      </c>
      <c r="C84" s="170"/>
      <c r="E84" s="184"/>
      <c r="F84" s="180" t="s">
        <v>227</v>
      </c>
      <c r="G84" s="181" t="s">
        <v>123</v>
      </c>
      <c r="H84" s="182" t="s">
        <v>228</v>
      </c>
      <c r="I84" s="165"/>
    </row>
    <row r="85" spans="1:10" s="162" customFormat="1" x14ac:dyDescent="0.2">
      <c r="A85" s="167"/>
      <c r="B85" s="194"/>
      <c r="C85" s="178"/>
      <c r="D85" s="181" t="s">
        <v>106</v>
      </c>
      <c r="E85" s="176">
        <v>3</v>
      </c>
      <c r="F85" s="178"/>
      <c r="G85" s="165"/>
      <c r="H85" s="165"/>
      <c r="I85" s="165"/>
    </row>
    <row r="86" spans="1:10" s="162" customFormat="1" x14ac:dyDescent="0.2">
      <c r="A86" s="167">
        <v>-6</v>
      </c>
      <c r="B86" s="478" t="s">
        <v>120</v>
      </c>
      <c r="C86" s="176">
        <v>11</v>
      </c>
      <c r="D86" s="187"/>
      <c r="E86" s="178"/>
      <c r="F86" s="178"/>
      <c r="G86" s="165"/>
      <c r="H86" s="165"/>
      <c r="I86" s="165"/>
    </row>
    <row r="87" spans="1:10" s="162" customFormat="1" x14ac:dyDescent="0.2">
      <c r="B87" s="203"/>
      <c r="C87" s="181" t="s">
        <v>106</v>
      </c>
      <c r="D87" s="166">
        <v>13</v>
      </c>
      <c r="E87" s="178"/>
      <c r="F87" s="181" t="s">
        <v>112</v>
      </c>
      <c r="G87" s="182">
        <v>9</v>
      </c>
      <c r="H87" s="165"/>
      <c r="I87" s="165"/>
    </row>
    <row r="88" spans="1:10" s="162" customFormat="1" x14ac:dyDescent="0.2">
      <c r="A88" s="167">
        <v>-11</v>
      </c>
      <c r="B88" s="181" t="s">
        <v>106</v>
      </c>
      <c r="C88" s="166">
        <v>13</v>
      </c>
      <c r="E88" s="178"/>
      <c r="F88" s="191"/>
      <c r="G88" s="165"/>
      <c r="H88" s="165"/>
      <c r="I88" s="165"/>
    </row>
    <row r="89" spans="1:10" s="162" customFormat="1" x14ac:dyDescent="0.2">
      <c r="C89" s="164" t="s">
        <v>209</v>
      </c>
      <c r="D89" s="166" t="s">
        <v>119</v>
      </c>
      <c r="E89" s="176">
        <v>13</v>
      </c>
      <c r="F89" s="165"/>
      <c r="G89" s="165"/>
      <c r="H89" s="165"/>
      <c r="I89" s="165"/>
    </row>
    <row r="90" spans="1:10" s="162" customFormat="1" ht="13.5" thickBot="1" x14ac:dyDescent="0.25">
      <c r="A90" s="167">
        <v>-7</v>
      </c>
      <c r="B90" s="478" t="s">
        <v>217</v>
      </c>
      <c r="C90" s="166">
        <v>6</v>
      </c>
      <c r="D90" s="173"/>
      <c r="E90" s="178"/>
      <c r="F90" s="165"/>
      <c r="G90" s="165"/>
      <c r="H90" s="165"/>
      <c r="I90" s="165"/>
      <c r="J90" s="162" t="s">
        <v>118</v>
      </c>
    </row>
    <row r="91" spans="1:10" s="162" customFormat="1" x14ac:dyDescent="0.2">
      <c r="A91" s="167"/>
      <c r="B91" s="203"/>
      <c r="C91" s="162" t="s">
        <v>139</v>
      </c>
      <c r="D91" s="176">
        <v>13</v>
      </c>
      <c r="E91" s="181" t="s">
        <v>119</v>
      </c>
      <c r="F91" s="182">
        <v>4</v>
      </c>
      <c r="G91" s="165"/>
      <c r="H91" s="165"/>
      <c r="I91" s="165"/>
      <c r="J91" s="188" t="s">
        <v>416</v>
      </c>
    </row>
    <row r="92" spans="1:10" s="162" customFormat="1" x14ac:dyDescent="0.2">
      <c r="A92" s="167">
        <v>-10</v>
      </c>
      <c r="B92" s="181" t="s">
        <v>139</v>
      </c>
      <c r="C92" s="202">
        <v>13</v>
      </c>
      <c r="D92" s="178"/>
      <c r="F92" s="165"/>
      <c r="G92" s="165"/>
      <c r="H92" s="165"/>
      <c r="I92" s="165"/>
    </row>
    <row r="93" spans="1:10" s="162" customFormat="1" ht="13.5" thickBot="1" x14ac:dyDescent="0.25">
      <c r="A93" s="167"/>
      <c r="B93" s="194"/>
      <c r="D93" s="175" t="s">
        <v>139</v>
      </c>
      <c r="E93" s="166">
        <v>11</v>
      </c>
      <c r="F93" s="165"/>
      <c r="G93" s="165"/>
      <c r="H93" s="165"/>
      <c r="I93" s="165"/>
      <c r="J93" s="165" t="s">
        <v>123</v>
      </c>
    </row>
    <row r="94" spans="1:10" s="162" customFormat="1" x14ac:dyDescent="0.2">
      <c r="A94" s="167">
        <v>-8</v>
      </c>
      <c r="B94" s="162" t="s">
        <v>219</v>
      </c>
      <c r="C94" s="176">
        <v>13</v>
      </c>
      <c r="F94" s="165"/>
      <c r="G94" s="165"/>
      <c r="H94" s="165"/>
      <c r="I94" s="165"/>
      <c r="J94" s="188" t="s">
        <v>229</v>
      </c>
    </row>
    <row r="95" spans="1:10" s="162" customFormat="1" x14ac:dyDescent="0.2">
      <c r="A95" s="167"/>
      <c r="B95" s="203"/>
      <c r="C95" s="181" t="s">
        <v>219</v>
      </c>
      <c r="D95" s="182">
        <v>11</v>
      </c>
      <c r="E95" s="165"/>
      <c r="F95" s="165"/>
      <c r="G95" s="165"/>
      <c r="H95" s="165"/>
      <c r="I95" s="165"/>
    </row>
    <row r="96" spans="1:10" s="162" customFormat="1" x14ac:dyDescent="0.2">
      <c r="A96" s="167">
        <v>-9</v>
      </c>
      <c r="B96" s="482" t="s">
        <v>143</v>
      </c>
      <c r="C96" s="166">
        <v>12</v>
      </c>
      <c r="D96" s="182"/>
      <c r="E96" s="165"/>
      <c r="F96" s="165"/>
    </row>
    <row r="97" spans="1:10" s="162" customFormat="1" x14ac:dyDescent="0.2">
      <c r="D97" s="165"/>
      <c r="E97" s="199"/>
      <c r="F97" s="165"/>
    </row>
    <row r="98" spans="1:10" s="162" customFormat="1" x14ac:dyDescent="0.2">
      <c r="A98" s="163" t="s">
        <v>230</v>
      </c>
    </row>
    <row r="99" spans="1:10" s="162" customFormat="1" x14ac:dyDescent="0.2">
      <c r="A99" s="163"/>
      <c r="G99" s="167"/>
      <c r="H99" s="165"/>
      <c r="I99" s="467"/>
      <c r="J99" s="199"/>
    </row>
    <row r="100" spans="1:10" s="162" customFormat="1" x14ac:dyDescent="0.2">
      <c r="A100" s="163"/>
      <c r="G100" s="167" t="s">
        <v>223</v>
      </c>
      <c r="H100" s="162" t="s">
        <v>122</v>
      </c>
      <c r="I100" s="468">
        <v>13</v>
      </c>
      <c r="J100" s="165"/>
    </row>
    <row r="101" spans="1:10" s="162" customFormat="1" ht="13.5" thickBot="1" x14ac:dyDescent="0.25">
      <c r="A101" s="163"/>
      <c r="H101" s="173"/>
      <c r="I101" s="186"/>
      <c r="J101" s="186" t="s">
        <v>112</v>
      </c>
    </row>
    <row r="102" spans="1:10" s="162" customFormat="1" x14ac:dyDescent="0.2">
      <c r="A102" s="163"/>
      <c r="G102" s="167" t="s">
        <v>227</v>
      </c>
      <c r="H102" s="181" t="s">
        <v>112</v>
      </c>
      <c r="I102" s="467">
        <v>2</v>
      </c>
      <c r="J102" s="199" t="s">
        <v>231</v>
      </c>
    </row>
    <row r="103" spans="1:10" s="162" customFormat="1" x14ac:dyDescent="0.2">
      <c r="J103" s="165"/>
    </row>
    <row r="104" spans="1:10" s="162" customFormat="1" ht="13.5" thickBot="1" x14ac:dyDescent="0.25">
      <c r="H104" s="165"/>
      <c r="J104" s="186" t="s">
        <v>122</v>
      </c>
    </row>
    <row r="105" spans="1:10" s="162" customFormat="1" x14ac:dyDescent="0.2">
      <c r="I105" s="165"/>
      <c r="J105" s="199" t="s">
        <v>232</v>
      </c>
    </row>
    <row r="106" spans="1:10" s="162" customFormat="1" x14ac:dyDescent="0.2">
      <c r="I106" s="165"/>
      <c r="J106" s="199"/>
    </row>
    <row r="107" spans="1:10" s="162" customFormat="1" x14ac:dyDescent="0.2">
      <c r="A107" s="163" t="s">
        <v>233</v>
      </c>
      <c r="G107" s="179"/>
      <c r="H107" s="162" t="s">
        <v>105</v>
      </c>
      <c r="I107" s="182">
        <v>13</v>
      </c>
      <c r="J107" s="165"/>
    </row>
    <row r="108" spans="1:10" s="162" customFormat="1" ht="13.5" thickBot="1" x14ac:dyDescent="0.25">
      <c r="H108" s="173"/>
      <c r="I108" s="186"/>
      <c r="J108" s="186" t="s">
        <v>105</v>
      </c>
    </row>
    <row r="109" spans="1:10" s="162" customFormat="1" x14ac:dyDescent="0.2">
      <c r="G109" s="179"/>
      <c r="H109" s="181" t="s">
        <v>119</v>
      </c>
      <c r="I109" s="166">
        <v>12</v>
      </c>
      <c r="J109" s="199" t="s">
        <v>234</v>
      </c>
    </row>
    <row r="110" spans="1:10" s="162" customFormat="1" x14ac:dyDescent="0.2">
      <c r="J110" s="165"/>
    </row>
    <row r="111" spans="1:10" s="162" customFormat="1" ht="13.5" thickBot="1" x14ac:dyDescent="0.25">
      <c r="H111" s="165"/>
      <c r="J111" s="186" t="s">
        <v>119</v>
      </c>
    </row>
    <row r="112" spans="1:10" s="162" customFormat="1" x14ac:dyDescent="0.2">
      <c r="I112" s="165"/>
      <c r="J112" s="199" t="s">
        <v>235</v>
      </c>
    </row>
    <row r="113" spans="1:10" s="162" customFormat="1" x14ac:dyDescent="0.2">
      <c r="I113" s="165"/>
      <c r="J113" s="199"/>
    </row>
    <row r="114" spans="1:10" s="162" customFormat="1" x14ac:dyDescent="0.2">
      <c r="A114" s="192" t="s">
        <v>236</v>
      </c>
      <c r="C114" s="165"/>
      <c r="D114" s="165"/>
      <c r="E114" s="165"/>
      <c r="F114" s="164"/>
      <c r="G114" s="162" t="s">
        <v>176</v>
      </c>
      <c r="H114" s="166" t="s">
        <v>228</v>
      </c>
    </row>
    <row r="115" spans="1:10" s="162" customFormat="1" x14ac:dyDescent="0.2">
      <c r="F115" s="167"/>
      <c r="G115" s="200"/>
      <c r="H115" s="169" t="s">
        <v>141</v>
      </c>
      <c r="I115" s="182">
        <v>13</v>
      </c>
    </row>
    <row r="116" spans="1:10" s="162" customFormat="1" x14ac:dyDescent="0.2">
      <c r="F116" s="167"/>
      <c r="G116" s="181" t="s">
        <v>141</v>
      </c>
      <c r="H116" s="170">
        <v>13</v>
      </c>
    </row>
    <row r="117" spans="1:10" s="162" customFormat="1" ht="13.5" thickBot="1" x14ac:dyDescent="0.25">
      <c r="F117" s="167"/>
      <c r="H117" s="178"/>
      <c r="J117" s="162" t="s">
        <v>141</v>
      </c>
    </row>
    <row r="118" spans="1:10" s="162" customFormat="1" x14ac:dyDescent="0.2">
      <c r="F118" s="167"/>
      <c r="G118" s="162" t="s">
        <v>106</v>
      </c>
      <c r="H118" s="176">
        <v>13</v>
      </c>
      <c r="I118" s="201"/>
      <c r="J118" s="188" t="s">
        <v>237</v>
      </c>
    </row>
    <row r="119" spans="1:10" s="162" customFormat="1" x14ac:dyDescent="0.2">
      <c r="F119" s="167"/>
      <c r="G119" s="200"/>
      <c r="H119" s="181" t="s">
        <v>106</v>
      </c>
      <c r="I119" s="182">
        <v>12</v>
      </c>
    </row>
    <row r="120" spans="1:10" s="162" customFormat="1" ht="13.5" thickBot="1" x14ac:dyDescent="0.25">
      <c r="F120" s="167"/>
      <c r="G120" s="181" t="s">
        <v>139</v>
      </c>
      <c r="H120" s="166" t="s">
        <v>228</v>
      </c>
      <c r="I120" s="165"/>
      <c r="J120" s="165" t="s">
        <v>106</v>
      </c>
    </row>
    <row r="121" spans="1:10" s="162" customFormat="1" x14ac:dyDescent="0.2">
      <c r="F121" s="179"/>
      <c r="I121" s="165"/>
      <c r="J121" s="188" t="s">
        <v>238</v>
      </c>
    </row>
    <row r="122" spans="1:10" s="162" customFormat="1" x14ac:dyDescent="0.2">
      <c r="F122" s="179"/>
      <c r="G122" s="167"/>
      <c r="H122" s="162" t="s">
        <v>176</v>
      </c>
      <c r="I122" s="182">
        <v>13</v>
      </c>
      <c r="J122" s="165"/>
    </row>
    <row r="123" spans="1:10" s="162" customFormat="1" ht="13.5" thickBot="1" x14ac:dyDescent="0.25">
      <c r="F123" s="179"/>
      <c r="H123" s="173"/>
      <c r="I123" s="186"/>
      <c r="J123" s="186" t="s">
        <v>176</v>
      </c>
    </row>
    <row r="124" spans="1:10" s="162" customFormat="1" x14ac:dyDescent="0.2">
      <c r="F124" s="179"/>
      <c r="G124" s="167"/>
      <c r="H124" s="181" t="s">
        <v>139</v>
      </c>
      <c r="I124" s="166">
        <v>11</v>
      </c>
      <c r="J124" s="199" t="s">
        <v>239</v>
      </c>
    </row>
    <row r="125" spans="1:10" s="162" customFormat="1" x14ac:dyDescent="0.2">
      <c r="F125" s="179"/>
      <c r="J125" s="165"/>
    </row>
    <row r="126" spans="1:10" s="162" customFormat="1" ht="13.5" thickBot="1" x14ac:dyDescent="0.25">
      <c r="F126" s="179"/>
      <c r="H126" s="165"/>
      <c r="J126" s="186" t="s">
        <v>139</v>
      </c>
    </row>
    <row r="127" spans="1:10" s="162" customFormat="1" x14ac:dyDescent="0.2">
      <c r="F127" s="179"/>
      <c r="I127" s="165"/>
      <c r="J127" s="199" t="s">
        <v>240</v>
      </c>
    </row>
    <row r="128" spans="1:10" s="162" customFormat="1" x14ac:dyDescent="0.2">
      <c r="C128" s="165"/>
      <c r="D128" s="165"/>
      <c r="E128" s="165"/>
      <c r="F128" s="165"/>
    </row>
    <row r="129" spans="1:10" s="162" customFormat="1" x14ac:dyDescent="0.2">
      <c r="A129" s="192" t="s">
        <v>241</v>
      </c>
      <c r="F129" s="164"/>
      <c r="G129" s="162" t="s">
        <v>131</v>
      </c>
      <c r="H129" s="166">
        <v>13</v>
      </c>
    </row>
    <row r="130" spans="1:10" s="162" customFormat="1" x14ac:dyDescent="0.2">
      <c r="F130" s="167"/>
      <c r="G130" s="200"/>
      <c r="H130" s="169" t="s">
        <v>131</v>
      </c>
      <c r="I130" s="182">
        <v>9</v>
      </c>
    </row>
    <row r="131" spans="1:10" s="162" customFormat="1" x14ac:dyDescent="0.2">
      <c r="F131" s="167"/>
      <c r="G131" s="181" t="s">
        <v>137</v>
      </c>
      <c r="H131" s="170">
        <v>9</v>
      </c>
    </row>
    <row r="132" spans="1:10" s="162" customFormat="1" ht="13.5" thickBot="1" x14ac:dyDescent="0.25">
      <c r="F132" s="167"/>
      <c r="H132" s="178"/>
      <c r="J132" s="162" t="s">
        <v>117</v>
      </c>
    </row>
    <row r="133" spans="1:10" s="162" customFormat="1" x14ac:dyDescent="0.2">
      <c r="F133" s="167"/>
      <c r="G133" s="162" t="s">
        <v>117</v>
      </c>
      <c r="H133" s="176">
        <v>13</v>
      </c>
      <c r="I133" s="201"/>
      <c r="J133" s="188" t="s">
        <v>242</v>
      </c>
    </row>
    <row r="134" spans="1:10" s="162" customFormat="1" x14ac:dyDescent="0.2">
      <c r="F134" s="167"/>
      <c r="G134" s="200"/>
      <c r="H134" s="181" t="s">
        <v>117</v>
      </c>
      <c r="I134" s="182">
        <v>13</v>
      </c>
    </row>
    <row r="135" spans="1:10" s="162" customFormat="1" ht="13.5" thickBot="1" x14ac:dyDescent="0.25">
      <c r="F135" s="167"/>
      <c r="G135" s="181" t="s">
        <v>219</v>
      </c>
      <c r="H135" s="166">
        <v>10</v>
      </c>
      <c r="I135" s="165"/>
      <c r="J135" s="165" t="s">
        <v>131</v>
      </c>
    </row>
    <row r="136" spans="1:10" s="162" customFormat="1" x14ac:dyDescent="0.2">
      <c r="F136" s="179"/>
      <c r="I136" s="165"/>
      <c r="J136" s="188" t="s">
        <v>243</v>
      </c>
    </row>
    <row r="137" spans="1:10" s="162" customFormat="1" x14ac:dyDescent="0.2">
      <c r="F137" s="179"/>
      <c r="G137" s="167"/>
      <c r="H137" s="162" t="s">
        <v>137</v>
      </c>
      <c r="I137" s="182">
        <v>8</v>
      </c>
      <c r="J137" s="165"/>
    </row>
    <row r="138" spans="1:10" s="162" customFormat="1" ht="13.5" thickBot="1" x14ac:dyDescent="0.25">
      <c r="F138" s="179"/>
      <c r="H138" s="173"/>
      <c r="I138" s="186"/>
      <c r="J138" s="186" t="s">
        <v>219</v>
      </c>
    </row>
    <row r="139" spans="1:10" s="162" customFormat="1" x14ac:dyDescent="0.2">
      <c r="F139" s="179"/>
      <c r="G139" s="167"/>
      <c r="H139" s="181" t="s">
        <v>219</v>
      </c>
      <c r="I139" s="166">
        <v>13</v>
      </c>
      <c r="J139" s="199" t="s">
        <v>244</v>
      </c>
    </row>
    <row r="140" spans="1:10" s="162" customFormat="1" x14ac:dyDescent="0.2">
      <c r="F140" s="179"/>
      <c r="J140" s="165"/>
    </row>
    <row r="141" spans="1:10" s="162" customFormat="1" ht="13.5" thickBot="1" x14ac:dyDescent="0.25">
      <c r="F141" s="179"/>
      <c r="H141" s="165"/>
      <c r="J141" s="186" t="s">
        <v>137</v>
      </c>
    </row>
    <row r="142" spans="1:10" s="162" customFormat="1" x14ac:dyDescent="0.2">
      <c r="F142" s="179"/>
      <c r="I142" s="165"/>
      <c r="J142" s="199" t="s">
        <v>245</v>
      </c>
    </row>
    <row r="143" spans="1:10" s="162" customFormat="1" x14ac:dyDescent="0.2">
      <c r="F143" s="179"/>
      <c r="I143" s="165"/>
      <c r="J143" s="199"/>
    </row>
    <row r="144" spans="1:10" s="162" customFormat="1" x14ac:dyDescent="0.2">
      <c r="A144" s="163" t="s">
        <v>246</v>
      </c>
      <c r="B144" s="182"/>
      <c r="C144" s="182"/>
      <c r="D144" s="166"/>
      <c r="E144" s="164"/>
      <c r="F144" s="162" t="s">
        <v>129</v>
      </c>
      <c r="G144" s="467" t="s">
        <v>228</v>
      </c>
      <c r="J144" s="165"/>
    </row>
    <row r="145" spans="1:10" s="162" customFormat="1" x14ac:dyDescent="0.2">
      <c r="A145" s="163"/>
      <c r="E145" s="167"/>
      <c r="F145" s="174"/>
      <c r="G145" s="484" t="s">
        <v>129</v>
      </c>
      <c r="H145" s="166">
        <v>13</v>
      </c>
      <c r="J145" s="165"/>
    </row>
    <row r="146" spans="1:10" s="162" customFormat="1" x14ac:dyDescent="0.2">
      <c r="E146" s="167"/>
      <c r="F146" s="480" t="s">
        <v>130</v>
      </c>
      <c r="G146" s="202"/>
      <c r="J146" s="165"/>
    </row>
    <row r="147" spans="1:10" s="162" customFormat="1" x14ac:dyDescent="0.2">
      <c r="E147" s="167"/>
      <c r="G147" s="171"/>
      <c r="H147" s="165" t="s">
        <v>129</v>
      </c>
      <c r="I147" s="166">
        <v>13</v>
      </c>
      <c r="J147" s="165"/>
    </row>
    <row r="148" spans="1:10" s="162" customFormat="1" x14ac:dyDescent="0.2">
      <c r="E148" s="167"/>
      <c r="F148" s="162" t="s">
        <v>113</v>
      </c>
      <c r="G148" s="479" t="s">
        <v>228</v>
      </c>
      <c r="H148" s="173"/>
      <c r="J148" s="165"/>
    </row>
    <row r="149" spans="1:10" s="162" customFormat="1" x14ac:dyDescent="0.2">
      <c r="E149" s="167"/>
      <c r="F149" s="174"/>
      <c r="G149" s="175" t="s">
        <v>113</v>
      </c>
      <c r="H149" s="479" t="s">
        <v>228</v>
      </c>
      <c r="J149" s="165"/>
    </row>
    <row r="150" spans="1:10" s="162" customFormat="1" x14ac:dyDescent="0.2">
      <c r="E150" s="167"/>
      <c r="F150" s="480" t="s">
        <v>212</v>
      </c>
      <c r="G150" s="177"/>
      <c r="H150" s="178"/>
      <c r="J150" s="165"/>
    </row>
    <row r="151" spans="1:10" s="162" customFormat="1" ht="13.5" thickBot="1" x14ac:dyDescent="0.25">
      <c r="E151" s="179"/>
      <c r="H151" s="171"/>
      <c r="I151" s="185"/>
      <c r="J151" s="471" t="s">
        <v>217</v>
      </c>
    </row>
    <row r="152" spans="1:10" s="162" customFormat="1" x14ac:dyDescent="0.2">
      <c r="E152" s="164"/>
      <c r="F152" s="478" t="s">
        <v>212</v>
      </c>
      <c r="G152" s="166"/>
      <c r="H152" s="178"/>
      <c r="I152" s="165"/>
      <c r="J152" s="188" t="s">
        <v>247</v>
      </c>
    </row>
    <row r="153" spans="1:10" s="162" customFormat="1" x14ac:dyDescent="0.2">
      <c r="E153" s="167"/>
      <c r="F153" s="174"/>
      <c r="G153" s="193" t="s">
        <v>174</v>
      </c>
      <c r="H153" s="479" t="s">
        <v>228</v>
      </c>
      <c r="I153" s="165"/>
      <c r="J153" s="165"/>
    </row>
    <row r="154" spans="1:10" s="162" customFormat="1" ht="13.5" thickBot="1" x14ac:dyDescent="0.25">
      <c r="E154" s="167"/>
      <c r="F154" s="169" t="s">
        <v>120</v>
      </c>
      <c r="G154" s="481" t="s">
        <v>228</v>
      </c>
      <c r="H154" s="178"/>
      <c r="I154" s="199"/>
      <c r="J154" s="486" t="s">
        <v>129</v>
      </c>
    </row>
    <row r="155" spans="1:10" s="162" customFormat="1" x14ac:dyDescent="0.2">
      <c r="E155" s="167"/>
      <c r="G155" s="171"/>
      <c r="H155" s="181" t="s">
        <v>217</v>
      </c>
      <c r="I155" s="182">
        <v>5</v>
      </c>
      <c r="J155" s="199" t="s">
        <v>248</v>
      </c>
    </row>
    <row r="156" spans="1:10" s="162" customFormat="1" x14ac:dyDescent="0.2">
      <c r="A156" s="232">
        <v>1</v>
      </c>
      <c r="B156" s="284" t="s">
        <v>144</v>
      </c>
      <c r="E156" s="167"/>
      <c r="F156" s="478" t="s">
        <v>217</v>
      </c>
      <c r="G156" s="479" t="s">
        <v>228</v>
      </c>
      <c r="H156" s="165"/>
      <c r="I156" s="165"/>
      <c r="J156" s="165"/>
    </row>
    <row r="157" spans="1:10" s="162" customFormat="1" x14ac:dyDescent="0.2">
      <c r="A157" s="232">
        <v>2</v>
      </c>
      <c r="B157" s="285" t="s">
        <v>110</v>
      </c>
      <c r="E157" s="167"/>
      <c r="F157" s="174"/>
      <c r="G157" s="485" t="s">
        <v>217</v>
      </c>
      <c r="H157" s="182">
        <v>13</v>
      </c>
      <c r="I157" s="165"/>
      <c r="J157" s="165"/>
    </row>
    <row r="158" spans="1:10" s="162" customFormat="1" x14ac:dyDescent="0.2">
      <c r="A158" s="232">
        <v>3</v>
      </c>
      <c r="B158" s="286" t="s">
        <v>118</v>
      </c>
      <c r="E158" s="167"/>
      <c r="F158" s="480" t="s">
        <v>143</v>
      </c>
      <c r="G158" s="483" t="s">
        <v>228</v>
      </c>
      <c r="H158" s="165"/>
      <c r="I158" s="165"/>
      <c r="J158" s="165"/>
    </row>
    <row r="159" spans="1:10" s="162" customFormat="1" x14ac:dyDescent="0.2">
      <c r="A159" s="232">
        <v>4</v>
      </c>
      <c r="B159" s="239" t="s">
        <v>123</v>
      </c>
      <c r="F159" s="165"/>
      <c r="G159" s="179"/>
      <c r="H159" s="162" t="s">
        <v>113</v>
      </c>
      <c r="I159" s="182">
        <v>13</v>
      </c>
      <c r="J159" s="165"/>
    </row>
    <row r="160" spans="1:10" s="162" customFormat="1" ht="13.5" thickBot="1" x14ac:dyDescent="0.25">
      <c r="A160" s="232">
        <v>5</v>
      </c>
      <c r="B160" s="239" t="s">
        <v>112</v>
      </c>
      <c r="F160" s="165"/>
      <c r="H160" s="203"/>
      <c r="I160" s="186"/>
      <c r="J160" s="486" t="s">
        <v>113</v>
      </c>
    </row>
    <row r="161" spans="1:11" s="162" customFormat="1" x14ac:dyDescent="0.2">
      <c r="A161" s="232">
        <v>6</v>
      </c>
      <c r="B161" s="239" t="s">
        <v>122</v>
      </c>
      <c r="F161" s="165"/>
      <c r="G161" s="179"/>
      <c r="H161" s="181" t="s">
        <v>174</v>
      </c>
      <c r="I161" s="166">
        <v>9</v>
      </c>
      <c r="J161" s="199" t="s">
        <v>249</v>
      </c>
    </row>
    <row r="162" spans="1:11" s="162" customFormat="1" x14ac:dyDescent="0.2">
      <c r="A162" s="232">
        <v>7</v>
      </c>
      <c r="B162" s="239" t="s">
        <v>105</v>
      </c>
      <c r="F162" s="165"/>
      <c r="J162" s="165"/>
    </row>
    <row r="163" spans="1:11" s="162" customFormat="1" ht="13.5" thickBot="1" x14ac:dyDescent="0.25">
      <c r="A163" s="232">
        <v>8</v>
      </c>
      <c r="B163" s="239" t="s">
        <v>119</v>
      </c>
      <c r="F163" s="165"/>
      <c r="H163" s="165"/>
      <c r="I163" s="179"/>
      <c r="J163" s="486" t="s">
        <v>174</v>
      </c>
    </row>
    <row r="164" spans="1:11" s="162" customFormat="1" x14ac:dyDescent="0.2">
      <c r="A164" s="232">
        <v>9</v>
      </c>
      <c r="B164" s="239" t="s">
        <v>141</v>
      </c>
      <c r="F164" s="165"/>
      <c r="I164" s="165"/>
      <c r="J164" s="199" t="s">
        <v>250</v>
      </c>
    </row>
    <row r="165" spans="1:11" s="162" customFormat="1" x14ac:dyDescent="0.2">
      <c r="A165" s="232">
        <v>10</v>
      </c>
      <c r="B165" s="239" t="s">
        <v>106</v>
      </c>
      <c r="G165" s="164"/>
      <c r="I165" s="166"/>
    </row>
    <row r="166" spans="1:11" s="162" customFormat="1" x14ac:dyDescent="0.2">
      <c r="A166" s="232">
        <v>11</v>
      </c>
      <c r="B166" s="239" t="s">
        <v>176</v>
      </c>
      <c r="G166" s="205"/>
      <c r="H166" s="162" t="s">
        <v>130</v>
      </c>
      <c r="I166" s="182">
        <v>13</v>
      </c>
      <c r="J166" s="165"/>
      <c r="K166" s="206"/>
    </row>
    <row r="167" spans="1:11" s="162" customFormat="1" ht="13.5" thickBot="1" x14ac:dyDescent="0.25">
      <c r="A167" s="232">
        <v>12</v>
      </c>
      <c r="B167" s="258" t="s">
        <v>139</v>
      </c>
      <c r="D167" s="489" t="s">
        <v>486</v>
      </c>
      <c r="G167" s="205"/>
      <c r="H167" s="203"/>
      <c r="I167" s="186"/>
      <c r="J167" s="486" t="s">
        <v>130</v>
      </c>
      <c r="K167" s="206"/>
    </row>
    <row r="168" spans="1:11" s="162" customFormat="1" x14ac:dyDescent="0.2">
      <c r="A168" s="232">
        <v>13</v>
      </c>
      <c r="B168" s="239" t="s">
        <v>117</v>
      </c>
      <c r="D168" s="162" t="s">
        <v>251</v>
      </c>
      <c r="G168" s="205"/>
      <c r="H168" s="181" t="s">
        <v>143</v>
      </c>
      <c r="I168" s="166">
        <v>2</v>
      </c>
      <c r="J168" s="199" t="s">
        <v>433</v>
      </c>
      <c r="K168" s="207"/>
    </row>
    <row r="169" spans="1:11" s="162" customFormat="1" x14ac:dyDescent="0.2">
      <c r="A169" s="232">
        <v>14</v>
      </c>
      <c r="B169" s="239" t="s">
        <v>131</v>
      </c>
      <c r="D169" s="162" t="s">
        <v>252</v>
      </c>
      <c r="G169" s="205"/>
      <c r="J169" s="165"/>
      <c r="K169" s="206"/>
    </row>
    <row r="170" spans="1:11" s="162" customFormat="1" ht="13.5" thickBot="1" x14ac:dyDescent="0.25">
      <c r="A170" s="232">
        <v>15</v>
      </c>
      <c r="B170" s="239" t="s">
        <v>219</v>
      </c>
      <c r="D170" s="162" t="s">
        <v>253</v>
      </c>
      <c r="G170" s="205"/>
      <c r="H170" s="165"/>
      <c r="I170" s="179"/>
      <c r="J170" s="486" t="s">
        <v>143</v>
      </c>
      <c r="K170" s="206"/>
    </row>
    <row r="171" spans="1:11" s="162" customFormat="1" x14ac:dyDescent="0.2">
      <c r="A171" s="232">
        <v>16</v>
      </c>
      <c r="B171" s="239" t="s">
        <v>137</v>
      </c>
      <c r="D171" s="198"/>
      <c r="G171" s="205"/>
      <c r="I171" s="165"/>
      <c r="J171" s="199" t="s">
        <v>434</v>
      </c>
      <c r="K171" s="207"/>
    </row>
    <row r="172" spans="1:11" s="162" customFormat="1" x14ac:dyDescent="0.2">
      <c r="A172" s="487">
        <v>17</v>
      </c>
      <c r="B172" s="204" t="s">
        <v>217</v>
      </c>
      <c r="D172" s="163" t="s">
        <v>254</v>
      </c>
      <c r="I172" s="165"/>
      <c r="J172" s="165"/>
      <c r="K172" s="165"/>
    </row>
    <row r="173" spans="1:11" s="162" customFormat="1" x14ac:dyDescent="0.2">
      <c r="A173" s="487">
        <v>18</v>
      </c>
      <c r="B173" s="204" t="s">
        <v>129</v>
      </c>
      <c r="D173" s="490" t="s">
        <v>255</v>
      </c>
    </row>
    <row r="174" spans="1:11" s="162" customFormat="1" x14ac:dyDescent="0.2">
      <c r="A174" s="487">
        <v>19</v>
      </c>
      <c r="B174" s="204" t="s">
        <v>113</v>
      </c>
      <c r="D174" s="490" t="s">
        <v>256</v>
      </c>
    </row>
    <row r="175" spans="1:11" s="162" customFormat="1" x14ac:dyDescent="0.2">
      <c r="A175" s="487">
        <v>20</v>
      </c>
      <c r="B175" s="204" t="s">
        <v>174</v>
      </c>
      <c r="D175" s="490" t="s">
        <v>257</v>
      </c>
    </row>
    <row r="176" spans="1:11" s="162" customFormat="1" x14ac:dyDescent="0.2">
      <c r="A176" s="487">
        <v>21</v>
      </c>
      <c r="B176" s="204" t="s">
        <v>130</v>
      </c>
      <c r="D176" s="490" t="s">
        <v>258</v>
      </c>
    </row>
    <row r="177" spans="1:4" s="162" customFormat="1" x14ac:dyDescent="0.2">
      <c r="A177" s="487">
        <v>22</v>
      </c>
      <c r="B177" s="204" t="s">
        <v>143</v>
      </c>
      <c r="D177" s="490" t="s">
        <v>259</v>
      </c>
    </row>
    <row r="178" spans="1:4" s="162" customFormat="1" x14ac:dyDescent="0.2"/>
    <row r="179" spans="1:4" s="162" customFormat="1" x14ac:dyDescent="0.2">
      <c r="A179" s="208" t="s">
        <v>260</v>
      </c>
      <c r="B179" s="160"/>
      <c r="C179" s="160"/>
    </row>
    <row r="180" spans="1:4" s="162" customFormat="1" x14ac:dyDescent="0.2">
      <c r="A180" s="209" t="s">
        <v>261</v>
      </c>
      <c r="B180" s="160"/>
      <c r="C180" s="160"/>
    </row>
    <row r="181" spans="1:4" s="162" customFormat="1" x14ac:dyDescent="0.2">
      <c r="A181" s="209" t="s">
        <v>262</v>
      </c>
      <c r="B181" s="160"/>
      <c r="C181" s="160"/>
      <c r="D181" s="160"/>
    </row>
    <row r="182" spans="1:4" x14ac:dyDescent="0.2">
      <c r="A182" s="209" t="s">
        <v>263</v>
      </c>
    </row>
    <row r="183" spans="1:4" x14ac:dyDescent="0.2">
      <c r="A183" s="209" t="s">
        <v>264</v>
      </c>
    </row>
    <row r="184" spans="1:4" x14ac:dyDescent="0.2">
      <c r="A184" s="209" t="s">
        <v>265</v>
      </c>
    </row>
    <row r="185" spans="1:4" x14ac:dyDescent="0.2">
      <c r="A185" s="209" t="s">
        <v>266</v>
      </c>
    </row>
    <row r="186" spans="1:4" x14ac:dyDescent="0.2">
      <c r="A186" s="209" t="s">
        <v>267</v>
      </c>
    </row>
    <row r="187" spans="1:4" x14ac:dyDescent="0.2">
      <c r="A187" s="209" t="s">
        <v>268</v>
      </c>
    </row>
    <row r="188" spans="1:4" x14ac:dyDescent="0.2">
      <c r="A188" s="209" t="s">
        <v>269</v>
      </c>
    </row>
    <row r="189" spans="1:4" x14ac:dyDescent="0.2">
      <c r="A189" s="209" t="s">
        <v>270</v>
      </c>
    </row>
    <row r="190" spans="1:4" x14ac:dyDescent="0.2">
      <c r="A190" s="209" t="s">
        <v>271</v>
      </c>
    </row>
    <row r="191" spans="1:4" x14ac:dyDescent="0.2">
      <c r="A191" s="209" t="s">
        <v>272</v>
      </c>
    </row>
    <row r="192" spans="1:4" x14ac:dyDescent="0.2">
      <c r="A192" s="209" t="s">
        <v>273</v>
      </c>
    </row>
    <row r="193" spans="1:1" x14ac:dyDescent="0.2">
      <c r="A193" s="209" t="s">
        <v>274</v>
      </c>
    </row>
    <row r="194" spans="1:1" x14ac:dyDescent="0.2">
      <c r="A194" s="209" t="s">
        <v>275</v>
      </c>
    </row>
    <row r="195" spans="1:1" x14ac:dyDescent="0.2">
      <c r="A195" s="209" t="s">
        <v>276</v>
      </c>
    </row>
    <row r="196" spans="1:1" x14ac:dyDescent="0.2">
      <c r="A196" s="209" t="s">
        <v>277</v>
      </c>
    </row>
    <row r="197" spans="1:1" x14ac:dyDescent="0.2">
      <c r="A197" s="209" t="s">
        <v>278</v>
      </c>
    </row>
    <row r="198" spans="1:1" x14ac:dyDescent="0.2">
      <c r="A198" s="209" t="s">
        <v>279</v>
      </c>
    </row>
    <row r="199" spans="1:1" x14ac:dyDescent="0.2">
      <c r="A199" s="209" t="s">
        <v>280</v>
      </c>
    </row>
    <row r="200" spans="1:1" x14ac:dyDescent="0.2">
      <c r="A200" s="209" t="s">
        <v>281</v>
      </c>
    </row>
    <row r="201" spans="1:1" x14ac:dyDescent="0.2">
      <c r="A201" s="209" t="s">
        <v>282</v>
      </c>
    </row>
    <row r="202" spans="1:1" x14ac:dyDescent="0.2">
      <c r="A202" s="209"/>
    </row>
    <row r="203" spans="1:1" x14ac:dyDescent="0.2">
      <c r="A203" s="209" t="s">
        <v>283</v>
      </c>
    </row>
  </sheetData>
  <pageMargins left="0.39370078740157483" right="0.27559055118110237" top="0.27559055118110237" bottom="0.27559055118110237" header="0.27559055118110237" footer="0"/>
  <pageSetup paperSize="9" fitToHeight="0" orientation="portrait" r:id="rId1"/>
  <headerFooter>
    <oddHeader>&amp;R&amp;"Arial,Regular"&amp;9Page &amp;P of &amp;N</oddHeader>
  </headerFooter>
  <rowBreaks count="3" manualBreakCount="3">
    <brk id="61" max="16383" man="1"/>
    <brk id="96" max="16383" man="1"/>
    <brk id="142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42"/>
  <sheetViews>
    <sheetView showGridLines="0" showRowColHeaders="0" zoomScaleNormal="100" workbookViewId="0">
      <pane ySplit="2" topLeftCell="A3" activePane="bottomLeft" state="frozen"/>
      <selection pane="bottomLeft" activeCell="I1" sqref="I1"/>
    </sheetView>
  </sheetViews>
  <sheetFormatPr defaultRowHeight="12.75" x14ac:dyDescent="0.2"/>
  <cols>
    <col min="1" max="1" width="3.28515625" style="160" customWidth="1"/>
    <col min="2" max="2" width="15.85546875" style="160" bestFit="1" customWidth="1"/>
    <col min="3" max="8" width="8.140625" style="160" customWidth="1"/>
    <col min="9" max="9" width="4.7109375" style="160" customWidth="1"/>
    <col min="10" max="10" width="15.85546875" style="160" bestFit="1" customWidth="1"/>
    <col min="11" max="202" width="9.140625" style="160"/>
    <col min="203" max="203" width="3" style="160" customWidth="1"/>
    <col min="204" max="204" width="18.7109375" style="160" bestFit="1" customWidth="1"/>
    <col min="205" max="205" width="6.28515625" style="160" customWidth="1"/>
    <col min="206" max="206" width="6.5703125" style="160" bestFit="1" customWidth="1"/>
    <col min="207" max="227" width="4.42578125" style="160" customWidth="1"/>
    <col min="228" max="458" width="9.140625" style="160"/>
    <col min="459" max="459" width="3" style="160" customWidth="1"/>
    <col min="460" max="460" width="18.7109375" style="160" bestFit="1" customWidth="1"/>
    <col min="461" max="461" width="6.28515625" style="160" customWidth="1"/>
    <col min="462" max="462" width="6.5703125" style="160" bestFit="1" customWidth="1"/>
    <col min="463" max="483" width="4.42578125" style="160" customWidth="1"/>
    <col min="484" max="714" width="9.140625" style="160"/>
    <col min="715" max="715" width="3" style="160" customWidth="1"/>
    <col min="716" max="716" width="18.7109375" style="160" bestFit="1" customWidth="1"/>
    <col min="717" max="717" width="6.28515625" style="160" customWidth="1"/>
    <col min="718" max="718" width="6.5703125" style="160" bestFit="1" customWidth="1"/>
    <col min="719" max="739" width="4.42578125" style="160" customWidth="1"/>
    <col min="740" max="970" width="9.140625" style="160"/>
    <col min="971" max="971" width="3" style="160" customWidth="1"/>
    <col min="972" max="972" width="18.7109375" style="160" bestFit="1" customWidth="1"/>
    <col min="973" max="973" width="6.28515625" style="160" customWidth="1"/>
    <col min="974" max="974" width="6.5703125" style="160" bestFit="1" customWidth="1"/>
    <col min="975" max="995" width="4.42578125" style="160" customWidth="1"/>
    <col min="996" max="1226" width="9.140625" style="160"/>
    <col min="1227" max="1227" width="3" style="160" customWidth="1"/>
    <col min="1228" max="1228" width="18.7109375" style="160" bestFit="1" customWidth="1"/>
    <col min="1229" max="1229" width="6.28515625" style="160" customWidth="1"/>
    <col min="1230" max="1230" width="6.5703125" style="160" bestFit="1" customWidth="1"/>
    <col min="1231" max="1251" width="4.42578125" style="160" customWidth="1"/>
    <col min="1252" max="1482" width="9.140625" style="160"/>
    <col min="1483" max="1483" width="3" style="160" customWidth="1"/>
    <col min="1484" max="1484" width="18.7109375" style="160" bestFit="1" customWidth="1"/>
    <col min="1485" max="1485" width="6.28515625" style="160" customWidth="1"/>
    <col min="1486" max="1486" width="6.5703125" style="160" bestFit="1" customWidth="1"/>
    <col min="1487" max="1507" width="4.42578125" style="160" customWidth="1"/>
    <col min="1508" max="1738" width="9.140625" style="160"/>
    <col min="1739" max="1739" width="3" style="160" customWidth="1"/>
    <col min="1740" max="1740" width="18.7109375" style="160" bestFit="1" customWidth="1"/>
    <col min="1741" max="1741" width="6.28515625" style="160" customWidth="1"/>
    <col min="1742" max="1742" width="6.5703125" style="160" bestFit="1" customWidth="1"/>
    <col min="1743" max="1763" width="4.42578125" style="160" customWidth="1"/>
    <col min="1764" max="1994" width="9.140625" style="160"/>
    <col min="1995" max="1995" width="3" style="160" customWidth="1"/>
    <col min="1996" max="1996" width="18.7109375" style="160" bestFit="1" customWidth="1"/>
    <col min="1997" max="1997" width="6.28515625" style="160" customWidth="1"/>
    <col min="1998" max="1998" width="6.5703125" style="160" bestFit="1" customWidth="1"/>
    <col min="1999" max="2019" width="4.42578125" style="160" customWidth="1"/>
    <col min="2020" max="2250" width="9.140625" style="160"/>
    <col min="2251" max="2251" width="3" style="160" customWidth="1"/>
    <col min="2252" max="2252" width="18.7109375" style="160" bestFit="1" customWidth="1"/>
    <col min="2253" max="2253" width="6.28515625" style="160" customWidth="1"/>
    <col min="2254" max="2254" width="6.5703125" style="160" bestFit="1" customWidth="1"/>
    <col min="2255" max="2275" width="4.42578125" style="160" customWidth="1"/>
    <col min="2276" max="2506" width="9.140625" style="160"/>
    <col min="2507" max="2507" width="3" style="160" customWidth="1"/>
    <col min="2508" max="2508" width="18.7109375" style="160" bestFit="1" customWidth="1"/>
    <col min="2509" max="2509" width="6.28515625" style="160" customWidth="1"/>
    <col min="2510" max="2510" width="6.5703125" style="160" bestFit="1" customWidth="1"/>
    <col min="2511" max="2531" width="4.42578125" style="160" customWidth="1"/>
    <col min="2532" max="2762" width="9.140625" style="160"/>
    <col min="2763" max="2763" width="3" style="160" customWidth="1"/>
    <col min="2764" max="2764" width="18.7109375" style="160" bestFit="1" customWidth="1"/>
    <col min="2765" max="2765" width="6.28515625" style="160" customWidth="1"/>
    <col min="2766" max="2766" width="6.5703125" style="160" bestFit="1" customWidth="1"/>
    <col min="2767" max="2787" width="4.42578125" style="160" customWidth="1"/>
    <col min="2788" max="3018" width="9.140625" style="160"/>
    <col min="3019" max="3019" width="3" style="160" customWidth="1"/>
    <col min="3020" max="3020" width="18.7109375" style="160" bestFit="1" customWidth="1"/>
    <col min="3021" max="3021" width="6.28515625" style="160" customWidth="1"/>
    <col min="3022" max="3022" width="6.5703125" style="160" bestFit="1" customWidth="1"/>
    <col min="3023" max="3043" width="4.42578125" style="160" customWidth="1"/>
    <col min="3044" max="3274" width="9.140625" style="160"/>
    <col min="3275" max="3275" width="3" style="160" customWidth="1"/>
    <col min="3276" max="3276" width="18.7109375" style="160" bestFit="1" customWidth="1"/>
    <col min="3277" max="3277" width="6.28515625" style="160" customWidth="1"/>
    <col min="3278" max="3278" width="6.5703125" style="160" bestFit="1" customWidth="1"/>
    <col min="3279" max="3299" width="4.42578125" style="160" customWidth="1"/>
    <col min="3300" max="3530" width="9.140625" style="160"/>
    <col min="3531" max="3531" width="3" style="160" customWidth="1"/>
    <col min="3532" max="3532" width="18.7109375" style="160" bestFit="1" customWidth="1"/>
    <col min="3533" max="3533" width="6.28515625" style="160" customWidth="1"/>
    <col min="3534" max="3534" width="6.5703125" style="160" bestFit="1" customWidth="1"/>
    <col min="3535" max="3555" width="4.42578125" style="160" customWidth="1"/>
    <col min="3556" max="3786" width="9.140625" style="160"/>
    <col min="3787" max="3787" width="3" style="160" customWidth="1"/>
    <col min="3788" max="3788" width="18.7109375" style="160" bestFit="1" customWidth="1"/>
    <col min="3789" max="3789" width="6.28515625" style="160" customWidth="1"/>
    <col min="3790" max="3790" width="6.5703125" style="160" bestFit="1" customWidth="1"/>
    <col min="3791" max="3811" width="4.42578125" style="160" customWidth="1"/>
    <col min="3812" max="4042" width="9.140625" style="160"/>
    <col min="4043" max="4043" width="3" style="160" customWidth="1"/>
    <col min="4044" max="4044" width="18.7109375" style="160" bestFit="1" customWidth="1"/>
    <col min="4045" max="4045" width="6.28515625" style="160" customWidth="1"/>
    <col min="4046" max="4046" width="6.5703125" style="160" bestFit="1" customWidth="1"/>
    <col min="4047" max="4067" width="4.42578125" style="160" customWidth="1"/>
    <col min="4068" max="4298" width="9.140625" style="160"/>
    <col min="4299" max="4299" width="3" style="160" customWidth="1"/>
    <col min="4300" max="4300" width="18.7109375" style="160" bestFit="1" customWidth="1"/>
    <col min="4301" max="4301" width="6.28515625" style="160" customWidth="1"/>
    <col min="4302" max="4302" width="6.5703125" style="160" bestFit="1" customWidth="1"/>
    <col min="4303" max="4323" width="4.42578125" style="160" customWidth="1"/>
    <col min="4324" max="4554" width="9.140625" style="160"/>
    <col min="4555" max="4555" width="3" style="160" customWidth="1"/>
    <col min="4556" max="4556" width="18.7109375" style="160" bestFit="1" customWidth="1"/>
    <col min="4557" max="4557" width="6.28515625" style="160" customWidth="1"/>
    <col min="4558" max="4558" width="6.5703125" style="160" bestFit="1" customWidth="1"/>
    <col min="4559" max="4579" width="4.42578125" style="160" customWidth="1"/>
    <col min="4580" max="4810" width="9.140625" style="160"/>
    <col min="4811" max="4811" width="3" style="160" customWidth="1"/>
    <col min="4812" max="4812" width="18.7109375" style="160" bestFit="1" customWidth="1"/>
    <col min="4813" max="4813" width="6.28515625" style="160" customWidth="1"/>
    <col min="4814" max="4814" width="6.5703125" style="160" bestFit="1" customWidth="1"/>
    <col min="4815" max="4835" width="4.42578125" style="160" customWidth="1"/>
    <col min="4836" max="5066" width="9.140625" style="160"/>
    <col min="5067" max="5067" width="3" style="160" customWidth="1"/>
    <col min="5068" max="5068" width="18.7109375" style="160" bestFit="1" customWidth="1"/>
    <col min="5069" max="5069" width="6.28515625" style="160" customWidth="1"/>
    <col min="5070" max="5070" width="6.5703125" style="160" bestFit="1" customWidth="1"/>
    <col min="5071" max="5091" width="4.42578125" style="160" customWidth="1"/>
    <col min="5092" max="5322" width="9.140625" style="160"/>
    <col min="5323" max="5323" width="3" style="160" customWidth="1"/>
    <col min="5324" max="5324" width="18.7109375" style="160" bestFit="1" customWidth="1"/>
    <col min="5325" max="5325" width="6.28515625" style="160" customWidth="1"/>
    <col min="5326" max="5326" width="6.5703125" style="160" bestFit="1" customWidth="1"/>
    <col min="5327" max="5347" width="4.42578125" style="160" customWidth="1"/>
    <col min="5348" max="5578" width="9.140625" style="160"/>
    <col min="5579" max="5579" width="3" style="160" customWidth="1"/>
    <col min="5580" max="5580" width="18.7109375" style="160" bestFit="1" customWidth="1"/>
    <col min="5581" max="5581" width="6.28515625" style="160" customWidth="1"/>
    <col min="5582" max="5582" width="6.5703125" style="160" bestFit="1" customWidth="1"/>
    <col min="5583" max="5603" width="4.42578125" style="160" customWidth="1"/>
    <col min="5604" max="5834" width="9.140625" style="160"/>
    <col min="5835" max="5835" width="3" style="160" customWidth="1"/>
    <col min="5836" max="5836" width="18.7109375" style="160" bestFit="1" customWidth="1"/>
    <col min="5837" max="5837" width="6.28515625" style="160" customWidth="1"/>
    <col min="5838" max="5838" width="6.5703125" style="160" bestFit="1" customWidth="1"/>
    <col min="5839" max="5859" width="4.42578125" style="160" customWidth="1"/>
    <col min="5860" max="6090" width="9.140625" style="160"/>
    <col min="6091" max="6091" width="3" style="160" customWidth="1"/>
    <col min="6092" max="6092" width="18.7109375" style="160" bestFit="1" customWidth="1"/>
    <col min="6093" max="6093" width="6.28515625" style="160" customWidth="1"/>
    <col min="6094" max="6094" width="6.5703125" style="160" bestFit="1" customWidth="1"/>
    <col min="6095" max="6115" width="4.42578125" style="160" customWidth="1"/>
    <col min="6116" max="6346" width="9.140625" style="160"/>
    <col min="6347" max="6347" width="3" style="160" customWidth="1"/>
    <col min="6348" max="6348" width="18.7109375" style="160" bestFit="1" customWidth="1"/>
    <col min="6349" max="6349" width="6.28515625" style="160" customWidth="1"/>
    <col min="6350" max="6350" width="6.5703125" style="160" bestFit="1" customWidth="1"/>
    <col min="6351" max="6371" width="4.42578125" style="160" customWidth="1"/>
    <col min="6372" max="6602" width="9.140625" style="160"/>
    <col min="6603" max="6603" width="3" style="160" customWidth="1"/>
    <col min="6604" max="6604" width="18.7109375" style="160" bestFit="1" customWidth="1"/>
    <col min="6605" max="6605" width="6.28515625" style="160" customWidth="1"/>
    <col min="6606" max="6606" width="6.5703125" style="160" bestFit="1" customWidth="1"/>
    <col min="6607" max="6627" width="4.42578125" style="160" customWidth="1"/>
    <col min="6628" max="6858" width="9.140625" style="160"/>
    <col min="6859" max="6859" width="3" style="160" customWidth="1"/>
    <col min="6860" max="6860" width="18.7109375" style="160" bestFit="1" customWidth="1"/>
    <col min="6861" max="6861" width="6.28515625" style="160" customWidth="1"/>
    <col min="6862" max="6862" width="6.5703125" style="160" bestFit="1" customWidth="1"/>
    <col min="6863" max="6883" width="4.42578125" style="160" customWidth="1"/>
    <col min="6884" max="7114" width="9.140625" style="160"/>
    <col min="7115" max="7115" width="3" style="160" customWidth="1"/>
    <col min="7116" max="7116" width="18.7109375" style="160" bestFit="1" customWidth="1"/>
    <col min="7117" max="7117" width="6.28515625" style="160" customWidth="1"/>
    <col min="7118" max="7118" width="6.5703125" style="160" bestFit="1" customWidth="1"/>
    <col min="7119" max="7139" width="4.42578125" style="160" customWidth="1"/>
    <col min="7140" max="7370" width="9.140625" style="160"/>
    <col min="7371" max="7371" width="3" style="160" customWidth="1"/>
    <col min="7372" max="7372" width="18.7109375" style="160" bestFit="1" customWidth="1"/>
    <col min="7373" max="7373" width="6.28515625" style="160" customWidth="1"/>
    <col min="7374" max="7374" width="6.5703125" style="160" bestFit="1" customWidth="1"/>
    <col min="7375" max="7395" width="4.42578125" style="160" customWidth="1"/>
    <col min="7396" max="7626" width="9.140625" style="160"/>
    <col min="7627" max="7627" width="3" style="160" customWidth="1"/>
    <col min="7628" max="7628" width="18.7109375" style="160" bestFit="1" customWidth="1"/>
    <col min="7629" max="7629" width="6.28515625" style="160" customWidth="1"/>
    <col min="7630" max="7630" width="6.5703125" style="160" bestFit="1" customWidth="1"/>
    <col min="7631" max="7651" width="4.42578125" style="160" customWidth="1"/>
    <col min="7652" max="7882" width="9.140625" style="160"/>
    <col min="7883" max="7883" width="3" style="160" customWidth="1"/>
    <col min="7884" max="7884" width="18.7109375" style="160" bestFit="1" customWidth="1"/>
    <col min="7885" max="7885" width="6.28515625" style="160" customWidth="1"/>
    <col min="7886" max="7886" width="6.5703125" style="160" bestFit="1" customWidth="1"/>
    <col min="7887" max="7907" width="4.42578125" style="160" customWidth="1"/>
    <col min="7908" max="8138" width="9.140625" style="160"/>
    <col min="8139" max="8139" width="3" style="160" customWidth="1"/>
    <col min="8140" max="8140" width="18.7109375" style="160" bestFit="1" customWidth="1"/>
    <col min="8141" max="8141" width="6.28515625" style="160" customWidth="1"/>
    <col min="8142" max="8142" width="6.5703125" style="160" bestFit="1" customWidth="1"/>
    <col min="8143" max="8163" width="4.42578125" style="160" customWidth="1"/>
    <col min="8164" max="8394" width="9.140625" style="160"/>
    <col min="8395" max="8395" width="3" style="160" customWidth="1"/>
    <col min="8396" max="8396" width="18.7109375" style="160" bestFit="1" customWidth="1"/>
    <col min="8397" max="8397" width="6.28515625" style="160" customWidth="1"/>
    <col min="8398" max="8398" width="6.5703125" style="160" bestFit="1" customWidth="1"/>
    <col min="8399" max="8419" width="4.42578125" style="160" customWidth="1"/>
    <col min="8420" max="8650" width="9.140625" style="160"/>
    <col min="8651" max="8651" width="3" style="160" customWidth="1"/>
    <col min="8652" max="8652" width="18.7109375" style="160" bestFit="1" customWidth="1"/>
    <col min="8653" max="8653" width="6.28515625" style="160" customWidth="1"/>
    <col min="8654" max="8654" width="6.5703125" style="160" bestFit="1" customWidth="1"/>
    <col min="8655" max="8675" width="4.42578125" style="160" customWidth="1"/>
    <col min="8676" max="8906" width="9.140625" style="160"/>
    <col min="8907" max="8907" width="3" style="160" customWidth="1"/>
    <col min="8908" max="8908" width="18.7109375" style="160" bestFit="1" customWidth="1"/>
    <col min="8909" max="8909" width="6.28515625" style="160" customWidth="1"/>
    <col min="8910" max="8910" width="6.5703125" style="160" bestFit="1" customWidth="1"/>
    <col min="8911" max="8931" width="4.42578125" style="160" customWidth="1"/>
    <col min="8932" max="9162" width="9.140625" style="160"/>
    <col min="9163" max="9163" width="3" style="160" customWidth="1"/>
    <col min="9164" max="9164" width="18.7109375" style="160" bestFit="1" customWidth="1"/>
    <col min="9165" max="9165" width="6.28515625" style="160" customWidth="1"/>
    <col min="9166" max="9166" width="6.5703125" style="160" bestFit="1" customWidth="1"/>
    <col min="9167" max="9187" width="4.42578125" style="160" customWidth="1"/>
    <col min="9188" max="9418" width="9.140625" style="160"/>
    <col min="9419" max="9419" width="3" style="160" customWidth="1"/>
    <col min="9420" max="9420" width="18.7109375" style="160" bestFit="1" customWidth="1"/>
    <col min="9421" max="9421" width="6.28515625" style="160" customWidth="1"/>
    <col min="9422" max="9422" width="6.5703125" style="160" bestFit="1" customWidth="1"/>
    <col min="9423" max="9443" width="4.42578125" style="160" customWidth="1"/>
    <col min="9444" max="9674" width="9.140625" style="160"/>
    <col min="9675" max="9675" width="3" style="160" customWidth="1"/>
    <col min="9676" max="9676" width="18.7109375" style="160" bestFit="1" customWidth="1"/>
    <col min="9677" max="9677" width="6.28515625" style="160" customWidth="1"/>
    <col min="9678" max="9678" width="6.5703125" style="160" bestFit="1" customWidth="1"/>
    <col min="9679" max="9699" width="4.42578125" style="160" customWidth="1"/>
    <col min="9700" max="9930" width="9.140625" style="160"/>
    <col min="9931" max="9931" width="3" style="160" customWidth="1"/>
    <col min="9932" max="9932" width="18.7109375" style="160" bestFit="1" customWidth="1"/>
    <col min="9933" max="9933" width="6.28515625" style="160" customWidth="1"/>
    <col min="9934" max="9934" width="6.5703125" style="160" bestFit="1" customWidth="1"/>
    <col min="9935" max="9955" width="4.42578125" style="160" customWidth="1"/>
    <col min="9956" max="10186" width="9.140625" style="160"/>
    <col min="10187" max="10187" width="3" style="160" customWidth="1"/>
    <col min="10188" max="10188" width="18.7109375" style="160" bestFit="1" customWidth="1"/>
    <col min="10189" max="10189" width="6.28515625" style="160" customWidth="1"/>
    <col min="10190" max="10190" width="6.5703125" style="160" bestFit="1" customWidth="1"/>
    <col min="10191" max="10211" width="4.42578125" style="160" customWidth="1"/>
    <col min="10212" max="10442" width="9.140625" style="160"/>
    <col min="10443" max="10443" width="3" style="160" customWidth="1"/>
    <col min="10444" max="10444" width="18.7109375" style="160" bestFit="1" customWidth="1"/>
    <col min="10445" max="10445" width="6.28515625" style="160" customWidth="1"/>
    <col min="10446" max="10446" width="6.5703125" style="160" bestFit="1" customWidth="1"/>
    <col min="10447" max="10467" width="4.42578125" style="160" customWidth="1"/>
    <col min="10468" max="10698" width="9.140625" style="160"/>
    <col min="10699" max="10699" width="3" style="160" customWidth="1"/>
    <col min="10700" max="10700" width="18.7109375" style="160" bestFit="1" customWidth="1"/>
    <col min="10701" max="10701" width="6.28515625" style="160" customWidth="1"/>
    <col min="10702" max="10702" width="6.5703125" style="160" bestFit="1" customWidth="1"/>
    <col min="10703" max="10723" width="4.42578125" style="160" customWidth="1"/>
    <col min="10724" max="10954" width="9.140625" style="160"/>
    <col min="10955" max="10955" width="3" style="160" customWidth="1"/>
    <col min="10956" max="10956" width="18.7109375" style="160" bestFit="1" customWidth="1"/>
    <col min="10957" max="10957" width="6.28515625" style="160" customWidth="1"/>
    <col min="10958" max="10958" width="6.5703125" style="160" bestFit="1" customWidth="1"/>
    <col min="10959" max="10979" width="4.42578125" style="160" customWidth="1"/>
    <col min="10980" max="11210" width="9.140625" style="160"/>
    <col min="11211" max="11211" width="3" style="160" customWidth="1"/>
    <col min="11212" max="11212" width="18.7109375" style="160" bestFit="1" customWidth="1"/>
    <col min="11213" max="11213" width="6.28515625" style="160" customWidth="1"/>
    <col min="11214" max="11214" width="6.5703125" style="160" bestFit="1" customWidth="1"/>
    <col min="11215" max="11235" width="4.42578125" style="160" customWidth="1"/>
    <col min="11236" max="11466" width="9.140625" style="160"/>
    <col min="11467" max="11467" width="3" style="160" customWidth="1"/>
    <col min="11468" max="11468" width="18.7109375" style="160" bestFit="1" customWidth="1"/>
    <col min="11469" max="11469" width="6.28515625" style="160" customWidth="1"/>
    <col min="11470" max="11470" width="6.5703125" style="160" bestFit="1" customWidth="1"/>
    <col min="11471" max="11491" width="4.42578125" style="160" customWidth="1"/>
    <col min="11492" max="11722" width="9.140625" style="160"/>
    <col min="11723" max="11723" width="3" style="160" customWidth="1"/>
    <col min="11724" max="11724" width="18.7109375" style="160" bestFit="1" customWidth="1"/>
    <col min="11725" max="11725" width="6.28515625" style="160" customWidth="1"/>
    <col min="11726" max="11726" width="6.5703125" style="160" bestFit="1" customWidth="1"/>
    <col min="11727" max="11747" width="4.42578125" style="160" customWidth="1"/>
    <col min="11748" max="11978" width="9.140625" style="160"/>
    <col min="11979" max="11979" width="3" style="160" customWidth="1"/>
    <col min="11980" max="11980" width="18.7109375" style="160" bestFit="1" customWidth="1"/>
    <col min="11981" max="11981" width="6.28515625" style="160" customWidth="1"/>
    <col min="11982" max="11982" width="6.5703125" style="160" bestFit="1" customWidth="1"/>
    <col min="11983" max="12003" width="4.42578125" style="160" customWidth="1"/>
    <col min="12004" max="12234" width="9.140625" style="160"/>
    <col min="12235" max="12235" width="3" style="160" customWidth="1"/>
    <col min="12236" max="12236" width="18.7109375" style="160" bestFit="1" customWidth="1"/>
    <col min="12237" max="12237" width="6.28515625" style="160" customWidth="1"/>
    <col min="12238" max="12238" width="6.5703125" style="160" bestFit="1" customWidth="1"/>
    <col min="12239" max="12259" width="4.42578125" style="160" customWidth="1"/>
    <col min="12260" max="12490" width="9.140625" style="160"/>
    <col min="12491" max="12491" width="3" style="160" customWidth="1"/>
    <col min="12492" max="12492" width="18.7109375" style="160" bestFit="1" customWidth="1"/>
    <col min="12493" max="12493" width="6.28515625" style="160" customWidth="1"/>
    <col min="12494" max="12494" width="6.5703125" style="160" bestFit="1" customWidth="1"/>
    <col min="12495" max="12515" width="4.42578125" style="160" customWidth="1"/>
    <col min="12516" max="12746" width="9.140625" style="160"/>
    <col min="12747" max="12747" width="3" style="160" customWidth="1"/>
    <col min="12748" max="12748" width="18.7109375" style="160" bestFit="1" customWidth="1"/>
    <col min="12749" max="12749" width="6.28515625" style="160" customWidth="1"/>
    <col min="12750" max="12750" width="6.5703125" style="160" bestFit="1" customWidth="1"/>
    <col min="12751" max="12771" width="4.42578125" style="160" customWidth="1"/>
    <col min="12772" max="13002" width="9.140625" style="160"/>
    <col min="13003" max="13003" width="3" style="160" customWidth="1"/>
    <col min="13004" max="13004" width="18.7109375" style="160" bestFit="1" customWidth="1"/>
    <col min="13005" max="13005" width="6.28515625" style="160" customWidth="1"/>
    <col min="13006" max="13006" width="6.5703125" style="160" bestFit="1" customWidth="1"/>
    <col min="13007" max="13027" width="4.42578125" style="160" customWidth="1"/>
    <col min="13028" max="13258" width="9.140625" style="160"/>
    <col min="13259" max="13259" width="3" style="160" customWidth="1"/>
    <col min="13260" max="13260" width="18.7109375" style="160" bestFit="1" customWidth="1"/>
    <col min="13261" max="13261" width="6.28515625" style="160" customWidth="1"/>
    <col min="13262" max="13262" width="6.5703125" style="160" bestFit="1" customWidth="1"/>
    <col min="13263" max="13283" width="4.42578125" style="160" customWidth="1"/>
    <col min="13284" max="13514" width="9.140625" style="160"/>
    <col min="13515" max="13515" width="3" style="160" customWidth="1"/>
    <col min="13516" max="13516" width="18.7109375" style="160" bestFit="1" customWidth="1"/>
    <col min="13517" max="13517" width="6.28515625" style="160" customWidth="1"/>
    <col min="13518" max="13518" width="6.5703125" style="160" bestFit="1" customWidth="1"/>
    <col min="13519" max="13539" width="4.42578125" style="160" customWidth="1"/>
    <col min="13540" max="13770" width="9.140625" style="160"/>
    <col min="13771" max="13771" width="3" style="160" customWidth="1"/>
    <col min="13772" max="13772" width="18.7109375" style="160" bestFit="1" customWidth="1"/>
    <col min="13773" max="13773" width="6.28515625" style="160" customWidth="1"/>
    <col min="13774" max="13774" width="6.5703125" style="160" bestFit="1" customWidth="1"/>
    <col min="13775" max="13795" width="4.42578125" style="160" customWidth="1"/>
    <col min="13796" max="14026" width="9.140625" style="160"/>
    <col min="14027" max="14027" width="3" style="160" customWidth="1"/>
    <col min="14028" max="14028" width="18.7109375" style="160" bestFit="1" customWidth="1"/>
    <col min="14029" max="14029" width="6.28515625" style="160" customWidth="1"/>
    <col min="14030" max="14030" width="6.5703125" style="160" bestFit="1" customWidth="1"/>
    <col min="14031" max="14051" width="4.42578125" style="160" customWidth="1"/>
    <col min="14052" max="14282" width="9.140625" style="160"/>
    <col min="14283" max="14283" width="3" style="160" customWidth="1"/>
    <col min="14284" max="14284" width="18.7109375" style="160" bestFit="1" customWidth="1"/>
    <col min="14285" max="14285" width="6.28515625" style="160" customWidth="1"/>
    <col min="14286" max="14286" width="6.5703125" style="160" bestFit="1" customWidth="1"/>
    <col min="14287" max="14307" width="4.42578125" style="160" customWidth="1"/>
    <col min="14308" max="14538" width="9.140625" style="160"/>
    <col min="14539" max="14539" width="3" style="160" customWidth="1"/>
    <col min="14540" max="14540" width="18.7109375" style="160" bestFit="1" customWidth="1"/>
    <col min="14541" max="14541" width="6.28515625" style="160" customWidth="1"/>
    <col min="14542" max="14542" width="6.5703125" style="160" bestFit="1" customWidth="1"/>
    <col min="14543" max="14563" width="4.42578125" style="160" customWidth="1"/>
    <col min="14564" max="14794" width="9.140625" style="160"/>
    <col min="14795" max="14795" width="3" style="160" customWidth="1"/>
    <col min="14796" max="14796" width="18.7109375" style="160" bestFit="1" customWidth="1"/>
    <col min="14797" max="14797" width="6.28515625" style="160" customWidth="1"/>
    <col min="14798" max="14798" width="6.5703125" style="160" bestFit="1" customWidth="1"/>
    <col min="14799" max="14819" width="4.42578125" style="160" customWidth="1"/>
    <col min="14820" max="15050" width="9.140625" style="160"/>
    <col min="15051" max="15051" width="3" style="160" customWidth="1"/>
    <col min="15052" max="15052" width="18.7109375" style="160" bestFit="1" customWidth="1"/>
    <col min="15053" max="15053" width="6.28515625" style="160" customWidth="1"/>
    <col min="15054" max="15054" width="6.5703125" style="160" bestFit="1" customWidth="1"/>
    <col min="15055" max="15075" width="4.42578125" style="160" customWidth="1"/>
    <col min="15076" max="15306" width="9.140625" style="160"/>
    <col min="15307" max="15307" width="3" style="160" customWidth="1"/>
    <col min="15308" max="15308" width="18.7109375" style="160" bestFit="1" customWidth="1"/>
    <col min="15309" max="15309" width="6.28515625" style="160" customWidth="1"/>
    <col min="15310" max="15310" width="6.5703125" style="160" bestFit="1" customWidth="1"/>
    <col min="15311" max="15331" width="4.42578125" style="160" customWidth="1"/>
    <col min="15332" max="15562" width="9.140625" style="160"/>
    <col min="15563" max="15563" width="3" style="160" customWidth="1"/>
    <col min="15564" max="15564" width="18.7109375" style="160" bestFit="1" customWidth="1"/>
    <col min="15565" max="15565" width="6.28515625" style="160" customWidth="1"/>
    <col min="15566" max="15566" width="6.5703125" style="160" bestFit="1" customWidth="1"/>
    <col min="15567" max="15587" width="4.42578125" style="160" customWidth="1"/>
    <col min="15588" max="15818" width="9.140625" style="160"/>
    <col min="15819" max="15819" width="3" style="160" customWidth="1"/>
    <col min="15820" max="15820" width="18.7109375" style="160" bestFit="1" customWidth="1"/>
    <col min="15821" max="15821" width="6.28515625" style="160" customWidth="1"/>
    <col min="15822" max="15822" width="6.5703125" style="160" bestFit="1" customWidth="1"/>
    <col min="15823" max="15843" width="4.42578125" style="160" customWidth="1"/>
    <col min="15844" max="16074" width="9.140625" style="160"/>
    <col min="16075" max="16075" width="3" style="160" customWidth="1"/>
    <col min="16076" max="16076" width="18.7109375" style="160" bestFit="1" customWidth="1"/>
    <col min="16077" max="16077" width="6.28515625" style="160" customWidth="1"/>
    <col min="16078" max="16078" width="6.5703125" style="160" bestFit="1" customWidth="1"/>
    <col min="16079" max="16099" width="4.42578125" style="160" customWidth="1"/>
    <col min="16100" max="16384" width="9.140625" style="160"/>
  </cols>
  <sheetData>
    <row r="1" spans="1:8" x14ac:dyDescent="0.2">
      <c r="A1" s="20" t="str">
        <f>UPPER((Kalend!D30)&amp;" - "&amp;LEFT((Kalend!C30),14)&amp;" - "&amp;(Kalend!E30))</f>
        <v>8 - K-JÄRVE 13. MV - ÜKSIK</v>
      </c>
    </row>
    <row r="2" spans="1:8" x14ac:dyDescent="0.2">
      <c r="A2" s="160" t="str">
        <f>"Toimumisaeg: "&amp;(Kalend!A30)&amp;" kell "&amp;(Kalend!B30)</f>
        <v>Toimumisaeg: T, 07.08.2012 kell 18:00</v>
      </c>
    </row>
    <row r="3" spans="1:8" x14ac:dyDescent="0.2">
      <c r="A3" s="160" t="str">
        <f>"Toimumiskoht: "&amp;(Kalend!F30)</f>
        <v>Toimumiskoht: K-Järve, Järve Gümnaasiumi staadion</v>
      </c>
    </row>
    <row r="4" spans="1:8" x14ac:dyDescent="0.2">
      <c r="A4" s="160" t="str">
        <f>"Korraldaja: "&amp;(Kalend!G30)</f>
        <v>Korraldaja: K-Järve SHK</v>
      </c>
    </row>
    <row r="6" spans="1:8" x14ac:dyDescent="0.2">
      <c r="A6" s="232" t="s">
        <v>209</v>
      </c>
      <c r="B6" s="232"/>
      <c r="C6" s="233">
        <v>1</v>
      </c>
      <c r="D6" s="233">
        <v>2</v>
      </c>
      <c r="E6" s="233">
        <v>3</v>
      </c>
      <c r="F6" s="233">
        <v>4</v>
      </c>
      <c r="G6" s="234" t="s">
        <v>309</v>
      </c>
      <c r="H6" s="234" t="s">
        <v>306</v>
      </c>
    </row>
    <row r="7" spans="1:8" x14ac:dyDescent="0.2">
      <c r="A7" s="232">
        <v>1</v>
      </c>
      <c r="B7" s="257" t="s">
        <v>106</v>
      </c>
      <c r="C7" s="235"/>
      <c r="D7" s="238">
        <v>13</v>
      </c>
      <c r="E7" s="238">
        <v>9</v>
      </c>
      <c r="F7" s="238">
        <v>13</v>
      </c>
      <c r="G7" s="236" t="s">
        <v>313</v>
      </c>
      <c r="H7" s="237" t="s">
        <v>314</v>
      </c>
    </row>
    <row r="8" spans="1:8" x14ac:dyDescent="0.2">
      <c r="A8" s="232">
        <v>2</v>
      </c>
      <c r="B8" s="257" t="s">
        <v>109</v>
      </c>
      <c r="C8" s="238">
        <v>12</v>
      </c>
      <c r="D8" s="235"/>
      <c r="E8" s="238">
        <v>11</v>
      </c>
      <c r="F8" s="238">
        <v>13</v>
      </c>
      <c r="G8" s="236" t="s">
        <v>316</v>
      </c>
      <c r="H8" s="237" t="s">
        <v>317</v>
      </c>
    </row>
    <row r="9" spans="1:8" x14ac:dyDescent="0.2">
      <c r="A9" s="232">
        <v>3</v>
      </c>
      <c r="B9" s="259" t="s">
        <v>122</v>
      </c>
      <c r="C9" s="238">
        <v>13</v>
      </c>
      <c r="D9" s="238">
        <v>13</v>
      </c>
      <c r="E9" s="235"/>
      <c r="F9" s="238">
        <v>13</v>
      </c>
      <c r="G9" s="236" t="s">
        <v>402</v>
      </c>
      <c r="H9" s="237" t="s">
        <v>310</v>
      </c>
    </row>
    <row r="10" spans="1:8" x14ac:dyDescent="0.2">
      <c r="A10" s="232">
        <v>4</v>
      </c>
      <c r="B10" s="257" t="s">
        <v>130</v>
      </c>
      <c r="C10" s="238">
        <v>8</v>
      </c>
      <c r="D10" s="238">
        <v>7</v>
      </c>
      <c r="E10" s="238">
        <v>12</v>
      </c>
      <c r="F10" s="235"/>
      <c r="G10" s="236" t="s">
        <v>311</v>
      </c>
      <c r="H10" s="237" t="s">
        <v>312</v>
      </c>
    </row>
    <row r="12" spans="1:8" x14ac:dyDescent="0.2">
      <c r="A12" s="232" t="s">
        <v>211</v>
      </c>
      <c r="B12" s="232"/>
      <c r="C12" s="233">
        <v>1</v>
      </c>
      <c r="D12" s="233">
        <v>2</v>
      </c>
      <c r="E12" s="233">
        <v>3</v>
      </c>
      <c r="F12" s="233">
        <v>4</v>
      </c>
      <c r="G12" s="234" t="s">
        <v>309</v>
      </c>
      <c r="H12" s="234" t="s">
        <v>306</v>
      </c>
    </row>
    <row r="13" spans="1:8" x14ac:dyDescent="0.2">
      <c r="A13" s="232">
        <v>1</v>
      </c>
      <c r="B13" s="257" t="s">
        <v>112</v>
      </c>
      <c r="C13" s="235"/>
      <c r="D13" s="238">
        <v>13</v>
      </c>
      <c r="E13" s="238">
        <v>13</v>
      </c>
      <c r="F13" s="238">
        <v>13</v>
      </c>
      <c r="G13" s="236" t="s">
        <v>402</v>
      </c>
      <c r="H13" s="237" t="s">
        <v>310</v>
      </c>
    </row>
    <row r="14" spans="1:8" x14ac:dyDescent="0.2">
      <c r="A14" s="232">
        <v>2</v>
      </c>
      <c r="B14" s="257" t="s">
        <v>127</v>
      </c>
      <c r="C14" s="238">
        <v>7</v>
      </c>
      <c r="D14" s="235"/>
      <c r="E14" s="238">
        <v>13</v>
      </c>
      <c r="F14" s="238">
        <v>11</v>
      </c>
      <c r="G14" s="236" t="s">
        <v>316</v>
      </c>
      <c r="H14" s="237" t="s">
        <v>317</v>
      </c>
    </row>
    <row r="15" spans="1:8" x14ac:dyDescent="0.2">
      <c r="A15" s="232">
        <v>3</v>
      </c>
      <c r="B15" s="257" t="s">
        <v>141</v>
      </c>
      <c r="C15" s="238">
        <v>8</v>
      </c>
      <c r="D15" s="238">
        <v>5</v>
      </c>
      <c r="E15" s="235"/>
      <c r="F15" s="238">
        <v>5</v>
      </c>
      <c r="G15" s="236" t="s">
        <v>311</v>
      </c>
      <c r="H15" s="237" t="s">
        <v>312</v>
      </c>
    </row>
    <row r="16" spans="1:8" x14ac:dyDescent="0.2">
      <c r="A16" s="232">
        <v>4</v>
      </c>
      <c r="B16" s="257" t="s">
        <v>135</v>
      </c>
      <c r="C16" s="238">
        <v>6</v>
      </c>
      <c r="D16" s="238">
        <v>13</v>
      </c>
      <c r="E16" s="238">
        <v>13</v>
      </c>
      <c r="F16" s="235"/>
      <c r="G16" s="236" t="s">
        <v>313</v>
      </c>
      <c r="H16" s="237" t="s">
        <v>314</v>
      </c>
    </row>
    <row r="18" spans="1:8" x14ac:dyDescent="0.2">
      <c r="A18" s="232" t="s">
        <v>215</v>
      </c>
      <c r="B18" s="232"/>
      <c r="C18" s="233">
        <v>1</v>
      </c>
      <c r="D18" s="233">
        <v>2</v>
      </c>
      <c r="E18" s="233">
        <v>3</v>
      </c>
      <c r="F18" s="233">
        <v>4</v>
      </c>
      <c r="G18" s="234" t="s">
        <v>309</v>
      </c>
      <c r="H18" s="234" t="s">
        <v>306</v>
      </c>
    </row>
    <row r="19" spans="1:8" x14ac:dyDescent="0.2">
      <c r="A19" s="232">
        <v>1</v>
      </c>
      <c r="B19" s="257" t="s">
        <v>108</v>
      </c>
      <c r="C19" s="235"/>
      <c r="D19" s="238">
        <v>13</v>
      </c>
      <c r="E19" s="238">
        <v>13</v>
      </c>
      <c r="F19" s="238">
        <v>13</v>
      </c>
      <c r="G19" s="236" t="s">
        <v>402</v>
      </c>
      <c r="H19" s="237" t="s">
        <v>310</v>
      </c>
    </row>
    <row r="20" spans="1:8" x14ac:dyDescent="0.2">
      <c r="A20" s="232">
        <v>2</v>
      </c>
      <c r="B20" s="257" t="s">
        <v>173</v>
      </c>
      <c r="C20" s="238">
        <v>3</v>
      </c>
      <c r="D20" s="235"/>
      <c r="E20" s="238">
        <v>3</v>
      </c>
      <c r="F20" s="238">
        <v>11</v>
      </c>
      <c r="G20" s="236" t="s">
        <v>311</v>
      </c>
      <c r="H20" s="237" t="s">
        <v>312</v>
      </c>
    </row>
    <row r="21" spans="1:8" x14ac:dyDescent="0.2">
      <c r="A21" s="232">
        <v>3</v>
      </c>
      <c r="B21" s="257" t="s">
        <v>144</v>
      </c>
      <c r="C21" s="238">
        <v>10</v>
      </c>
      <c r="D21" s="238">
        <v>13</v>
      </c>
      <c r="E21" s="235"/>
      <c r="F21" s="238">
        <v>13</v>
      </c>
      <c r="G21" s="236" t="s">
        <v>313</v>
      </c>
      <c r="H21" s="237" t="s">
        <v>314</v>
      </c>
    </row>
    <row r="22" spans="1:8" x14ac:dyDescent="0.2">
      <c r="A22" s="232">
        <v>4</v>
      </c>
      <c r="B22" s="257" t="s">
        <v>137</v>
      </c>
      <c r="C22" s="238">
        <v>9</v>
      </c>
      <c r="D22" s="238">
        <v>13</v>
      </c>
      <c r="E22" s="238">
        <v>8</v>
      </c>
      <c r="F22" s="235"/>
      <c r="G22" s="236" t="s">
        <v>316</v>
      </c>
      <c r="H22" s="237" t="s">
        <v>317</v>
      </c>
    </row>
    <row r="24" spans="1:8" x14ac:dyDescent="0.2">
      <c r="B24" s="240" t="s">
        <v>318</v>
      </c>
      <c r="C24" s="241" t="s">
        <v>319</v>
      </c>
      <c r="D24" s="241" t="s">
        <v>320</v>
      </c>
    </row>
    <row r="25" spans="1:8" x14ac:dyDescent="0.2">
      <c r="B25" s="240" t="s">
        <v>321</v>
      </c>
      <c r="C25" s="241" t="s">
        <v>322</v>
      </c>
      <c r="D25" s="241" t="s">
        <v>323</v>
      </c>
    </row>
    <row r="26" spans="1:8" x14ac:dyDescent="0.2">
      <c r="B26" s="240" t="s">
        <v>324</v>
      </c>
      <c r="C26" s="241" t="s">
        <v>316</v>
      </c>
      <c r="D26" s="241" t="s">
        <v>325</v>
      </c>
    </row>
    <row r="28" spans="1:8" x14ac:dyDescent="0.2">
      <c r="A28" s="232" t="s">
        <v>216</v>
      </c>
      <c r="B28" s="232"/>
      <c r="C28" s="233">
        <v>1</v>
      </c>
      <c r="D28" s="233">
        <v>2</v>
      </c>
      <c r="E28" s="233">
        <v>3</v>
      </c>
      <c r="F28" s="234" t="s">
        <v>309</v>
      </c>
      <c r="G28" s="234" t="s">
        <v>306</v>
      </c>
    </row>
    <row r="29" spans="1:8" x14ac:dyDescent="0.2">
      <c r="A29" s="232">
        <v>1</v>
      </c>
      <c r="B29" s="257" t="s">
        <v>110</v>
      </c>
      <c r="C29" s="235"/>
      <c r="D29" s="238">
        <v>13</v>
      </c>
      <c r="E29" s="238">
        <v>13</v>
      </c>
      <c r="F29" s="236" t="s">
        <v>408</v>
      </c>
      <c r="G29" s="237" t="s">
        <v>310</v>
      </c>
    </row>
    <row r="30" spans="1:8" x14ac:dyDescent="0.2">
      <c r="A30" s="232">
        <v>2</v>
      </c>
      <c r="B30" s="257" t="s">
        <v>130</v>
      </c>
      <c r="C30" s="238">
        <v>9</v>
      </c>
      <c r="D30" s="235"/>
      <c r="E30" s="238">
        <v>13</v>
      </c>
      <c r="F30" s="236" t="s">
        <v>409</v>
      </c>
      <c r="G30" s="237" t="s">
        <v>314</v>
      </c>
    </row>
    <row r="31" spans="1:8" x14ac:dyDescent="0.2">
      <c r="A31" s="232">
        <v>3</v>
      </c>
      <c r="B31" s="258" t="s">
        <v>176</v>
      </c>
      <c r="C31" s="238">
        <v>6</v>
      </c>
      <c r="D31" s="238">
        <v>8</v>
      </c>
      <c r="E31" s="235"/>
      <c r="F31" s="236" t="s">
        <v>410</v>
      </c>
      <c r="G31" s="237" t="s">
        <v>317</v>
      </c>
    </row>
    <row r="33" spans="1:7" x14ac:dyDescent="0.2">
      <c r="A33" s="232" t="s">
        <v>210</v>
      </c>
      <c r="B33" s="232"/>
      <c r="C33" s="233">
        <v>1</v>
      </c>
      <c r="D33" s="233">
        <v>2</v>
      </c>
      <c r="E33" s="233">
        <v>3</v>
      </c>
      <c r="F33" s="234" t="s">
        <v>309</v>
      </c>
      <c r="G33" s="234" t="s">
        <v>306</v>
      </c>
    </row>
    <row r="34" spans="1:7" x14ac:dyDescent="0.2">
      <c r="A34" s="232">
        <v>1</v>
      </c>
      <c r="B34" s="257" t="s">
        <v>113</v>
      </c>
      <c r="C34" s="235"/>
      <c r="D34" s="238">
        <v>13</v>
      </c>
      <c r="E34" s="238">
        <v>13</v>
      </c>
      <c r="F34" s="236" t="s">
        <v>313</v>
      </c>
      <c r="G34" s="237" t="s">
        <v>310</v>
      </c>
    </row>
    <row r="35" spans="1:7" x14ac:dyDescent="0.2">
      <c r="A35" s="232">
        <v>2</v>
      </c>
      <c r="B35" s="257" t="s">
        <v>149</v>
      </c>
      <c r="C35" s="238">
        <v>8</v>
      </c>
      <c r="D35" s="235"/>
      <c r="E35" s="238">
        <v>8</v>
      </c>
      <c r="F35" s="236" t="s">
        <v>414</v>
      </c>
      <c r="G35" s="237" t="s">
        <v>317</v>
      </c>
    </row>
    <row r="36" spans="1:7" x14ac:dyDescent="0.2">
      <c r="A36" s="232">
        <v>3</v>
      </c>
      <c r="B36" s="258" t="s">
        <v>121</v>
      </c>
      <c r="C36" s="238">
        <v>9</v>
      </c>
      <c r="D36" s="238">
        <v>13</v>
      </c>
      <c r="E36" s="235"/>
      <c r="F36" s="236" t="s">
        <v>409</v>
      </c>
      <c r="G36" s="237" t="s">
        <v>314</v>
      </c>
    </row>
    <row r="38" spans="1:7" x14ac:dyDescent="0.2">
      <c r="A38" s="232" t="s">
        <v>213</v>
      </c>
      <c r="B38" s="232"/>
      <c r="C38" s="233">
        <v>1</v>
      </c>
      <c r="D38" s="233">
        <v>2</v>
      </c>
      <c r="E38" s="233">
        <v>3</v>
      </c>
      <c r="F38" s="234" t="s">
        <v>309</v>
      </c>
      <c r="G38" s="234" t="s">
        <v>306</v>
      </c>
    </row>
    <row r="39" spans="1:7" x14ac:dyDescent="0.2">
      <c r="A39" s="232">
        <v>1</v>
      </c>
      <c r="B39" s="257" t="s">
        <v>132</v>
      </c>
      <c r="C39" s="235"/>
      <c r="D39" s="238">
        <v>13</v>
      </c>
      <c r="E39" s="238">
        <v>13</v>
      </c>
      <c r="F39" s="236" t="s">
        <v>408</v>
      </c>
      <c r="G39" s="237" t="s">
        <v>310</v>
      </c>
    </row>
    <row r="40" spans="1:7" x14ac:dyDescent="0.2">
      <c r="A40" s="232">
        <v>2</v>
      </c>
      <c r="B40" s="257" t="s">
        <v>118</v>
      </c>
      <c r="C40" s="238">
        <v>6</v>
      </c>
      <c r="D40" s="235"/>
      <c r="E40" s="238">
        <v>13</v>
      </c>
      <c r="F40" s="236" t="s">
        <v>409</v>
      </c>
      <c r="G40" s="237" t="s">
        <v>314</v>
      </c>
    </row>
    <row r="41" spans="1:7" x14ac:dyDescent="0.2">
      <c r="A41" s="232">
        <v>3</v>
      </c>
      <c r="B41" s="258" t="s">
        <v>139</v>
      </c>
      <c r="C41" s="238">
        <v>1</v>
      </c>
      <c r="D41" s="238">
        <v>3</v>
      </c>
      <c r="E41" s="235"/>
      <c r="F41" s="236" t="s">
        <v>408</v>
      </c>
      <c r="G41" s="237" t="s">
        <v>317</v>
      </c>
    </row>
    <row r="43" spans="1:7" x14ac:dyDescent="0.2">
      <c r="A43" s="232" t="s">
        <v>440</v>
      </c>
      <c r="B43" s="232"/>
      <c r="C43" s="233">
        <v>1</v>
      </c>
      <c r="D43" s="233">
        <v>2</v>
      </c>
      <c r="E43" s="233">
        <v>3</v>
      </c>
      <c r="F43" s="234" t="s">
        <v>309</v>
      </c>
      <c r="G43" s="234" t="s">
        <v>306</v>
      </c>
    </row>
    <row r="44" spans="1:7" x14ac:dyDescent="0.2">
      <c r="A44" s="232">
        <v>1</v>
      </c>
      <c r="B44" s="257" t="s">
        <v>105</v>
      </c>
      <c r="C44" s="235"/>
      <c r="D44" s="238">
        <v>10</v>
      </c>
      <c r="E44" s="238">
        <v>8</v>
      </c>
      <c r="F44" s="236" t="s">
        <v>414</v>
      </c>
      <c r="G44" s="237" t="s">
        <v>317</v>
      </c>
    </row>
    <row r="45" spans="1:7" x14ac:dyDescent="0.2">
      <c r="A45" s="232">
        <v>2</v>
      </c>
      <c r="B45" s="257" t="s">
        <v>119</v>
      </c>
      <c r="C45" s="238">
        <v>13</v>
      </c>
      <c r="D45" s="235"/>
      <c r="E45" s="238">
        <v>3</v>
      </c>
      <c r="F45" s="236" t="s">
        <v>409</v>
      </c>
      <c r="G45" s="237" t="s">
        <v>314</v>
      </c>
    </row>
    <row r="46" spans="1:7" x14ac:dyDescent="0.2">
      <c r="A46" s="232">
        <v>3</v>
      </c>
      <c r="B46" s="258" t="s">
        <v>131</v>
      </c>
      <c r="C46" s="238">
        <v>13</v>
      </c>
      <c r="D46" s="238">
        <v>13</v>
      </c>
      <c r="E46" s="235"/>
      <c r="F46" s="236" t="s">
        <v>408</v>
      </c>
      <c r="G46" s="237" t="s">
        <v>310</v>
      </c>
    </row>
    <row r="48" spans="1:7" x14ac:dyDescent="0.2">
      <c r="A48" s="232" t="s">
        <v>310</v>
      </c>
      <c r="B48" s="232"/>
      <c r="C48" s="233">
        <v>1</v>
      </c>
      <c r="D48" s="233">
        <v>2</v>
      </c>
      <c r="E48" s="233">
        <v>3</v>
      </c>
      <c r="F48" s="234" t="s">
        <v>309</v>
      </c>
      <c r="G48" s="234" t="s">
        <v>306</v>
      </c>
    </row>
    <row r="49" spans="1:10" x14ac:dyDescent="0.2">
      <c r="A49" s="232">
        <v>1</v>
      </c>
      <c r="B49" s="257" t="s">
        <v>103</v>
      </c>
      <c r="C49" s="235"/>
      <c r="D49" s="238">
        <v>13</v>
      </c>
      <c r="E49" s="238">
        <v>13</v>
      </c>
      <c r="F49" s="236" t="s">
        <v>408</v>
      </c>
      <c r="G49" s="237" t="s">
        <v>310</v>
      </c>
    </row>
    <row r="50" spans="1:10" x14ac:dyDescent="0.2">
      <c r="A50" s="232">
        <v>2</v>
      </c>
      <c r="B50" s="257" t="s">
        <v>126</v>
      </c>
      <c r="C50" s="238">
        <v>12</v>
      </c>
      <c r="D50" s="235"/>
      <c r="E50" s="238">
        <v>13</v>
      </c>
      <c r="F50" s="236" t="s">
        <v>409</v>
      </c>
      <c r="G50" s="237" t="s">
        <v>314</v>
      </c>
    </row>
    <row r="51" spans="1:10" x14ac:dyDescent="0.2">
      <c r="A51" s="232">
        <v>3</v>
      </c>
      <c r="B51" s="258" t="s">
        <v>128</v>
      </c>
      <c r="C51" s="238">
        <v>5</v>
      </c>
      <c r="D51" s="238">
        <v>0</v>
      </c>
      <c r="E51" s="235"/>
      <c r="F51" s="236" t="s">
        <v>414</v>
      </c>
      <c r="G51" s="237" t="s">
        <v>317</v>
      </c>
    </row>
    <row r="53" spans="1:10" x14ac:dyDescent="0.2">
      <c r="B53" s="240" t="s">
        <v>318</v>
      </c>
      <c r="C53" s="241" t="s">
        <v>320</v>
      </c>
      <c r="D53" s="252"/>
    </row>
    <row r="54" spans="1:10" x14ac:dyDescent="0.2">
      <c r="B54" s="240" t="s">
        <v>321</v>
      </c>
      <c r="C54" s="241" t="s">
        <v>322</v>
      </c>
    </row>
    <row r="55" spans="1:10" x14ac:dyDescent="0.2">
      <c r="B55" s="240" t="s">
        <v>324</v>
      </c>
      <c r="C55" s="241" t="s">
        <v>316</v>
      </c>
      <c r="D55" s="252"/>
    </row>
    <row r="56" spans="1:10" x14ac:dyDescent="0.2">
      <c r="B56" s="240"/>
      <c r="C56" s="241"/>
      <c r="D56" s="252"/>
    </row>
    <row r="57" spans="1:10" x14ac:dyDescent="0.2">
      <c r="A57" s="313" t="s">
        <v>419</v>
      </c>
      <c r="B57" s="314"/>
      <c r="C57" s="253"/>
      <c r="D57" s="253"/>
      <c r="E57" s="253"/>
      <c r="F57" s="315"/>
      <c r="G57" s="251"/>
      <c r="H57" s="316"/>
      <c r="I57" s="316"/>
      <c r="J57" s="316"/>
    </row>
    <row r="58" spans="1:10" x14ac:dyDescent="0.2">
      <c r="A58" s="316"/>
      <c r="B58" s="316"/>
      <c r="C58" s="316"/>
      <c r="D58" s="316"/>
      <c r="E58" s="316"/>
      <c r="F58" s="316"/>
      <c r="G58" s="316"/>
      <c r="H58" s="316"/>
      <c r="I58" s="316"/>
      <c r="J58" s="316"/>
    </row>
    <row r="59" spans="1:10" x14ac:dyDescent="0.2">
      <c r="A59" s="317" t="s">
        <v>359</v>
      </c>
      <c r="B59" s="316" t="s">
        <v>122</v>
      </c>
      <c r="C59" s="318">
        <v>6</v>
      </c>
      <c r="D59" s="316"/>
      <c r="E59" s="316"/>
      <c r="F59" s="316"/>
      <c r="G59" s="316"/>
      <c r="H59" s="316"/>
      <c r="I59" s="316"/>
      <c r="J59" s="316"/>
    </row>
    <row r="60" spans="1:10" x14ac:dyDescent="0.2">
      <c r="A60" s="319"/>
      <c r="B60" s="320"/>
      <c r="C60" s="366" t="s">
        <v>126</v>
      </c>
      <c r="D60" s="316"/>
      <c r="E60" s="318">
        <v>6</v>
      </c>
      <c r="F60" s="316"/>
      <c r="G60" s="316"/>
      <c r="H60" s="316"/>
      <c r="I60" s="316"/>
      <c r="J60" s="316"/>
    </row>
    <row r="61" spans="1:10" x14ac:dyDescent="0.2">
      <c r="A61" s="319" t="s">
        <v>441</v>
      </c>
      <c r="B61" s="322" t="s">
        <v>126</v>
      </c>
      <c r="C61" s="323">
        <v>13</v>
      </c>
      <c r="D61" s="324"/>
      <c r="E61" s="316"/>
      <c r="F61" s="316"/>
      <c r="G61" s="316"/>
      <c r="H61" s="316"/>
      <c r="I61" s="316"/>
      <c r="J61" s="316"/>
    </row>
    <row r="62" spans="1:10" x14ac:dyDescent="0.2">
      <c r="A62" s="319"/>
      <c r="B62" s="316"/>
      <c r="C62" s="316"/>
      <c r="D62" s="325"/>
      <c r="E62" s="326" t="s">
        <v>131</v>
      </c>
      <c r="F62" s="316"/>
      <c r="G62" s="318">
        <v>13</v>
      </c>
      <c r="H62" s="316"/>
      <c r="I62" s="316"/>
      <c r="J62" s="316"/>
    </row>
    <row r="63" spans="1:10" x14ac:dyDescent="0.2">
      <c r="A63" s="319" t="s">
        <v>358</v>
      </c>
      <c r="B63" s="365" t="s">
        <v>135</v>
      </c>
      <c r="C63" s="327">
        <v>5</v>
      </c>
      <c r="D63" s="325"/>
      <c r="E63" s="328"/>
      <c r="F63" s="324"/>
      <c r="G63" s="316"/>
      <c r="H63" s="316"/>
      <c r="I63" s="316"/>
      <c r="J63" s="316"/>
    </row>
    <row r="64" spans="1:10" x14ac:dyDescent="0.2">
      <c r="A64" s="319"/>
      <c r="B64" s="320"/>
      <c r="C64" s="326" t="s">
        <v>131</v>
      </c>
      <c r="D64" s="329"/>
      <c r="E64" s="327">
        <v>13</v>
      </c>
      <c r="F64" s="325"/>
      <c r="G64" s="316"/>
      <c r="H64" s="316"/>
      <c r="I64" s="316"/>
      <c r="J64" s="316"/>
    </row>
    <row r="65" spans="1:10" x14ac:dyDescent="0.2">
      <c r="A65" s="319" t="s">
        <v>424</v>
      </c>
      <c r="B65" s="322" t="s">
        <v>131</v>
      </c>
      <c r="C65" s="330">
        <v>13</v>
      </c>
      <c r="D65" s="316"/>
      <c r="E65" s="314"/>
      <c r="F65" s="325"/>
      <c r="G65" s="316"/>
      <c r="H65" s="316"/>
      <c r="I65" s="316"/>
      <c r="J65" s="316"/>
    </row>
    <row r="66" spans="1:10" x14ac:dyDescent="0.2">
      <c r="A66" s="331"/>
      <c r="B66" s="316"/>
      <c r="C66" s="316"/>
      <c r="D66" s="316"/>
      <c r="E66" s="314"/>
      <c r="F66" s="325"/>
      <c r="G66" s="326" t="s">
        <v>131</v>
      </c>
      <c r="H66" s="316"/>
      <c r="I66" s="318">
        <v>13</v>
      </c>
      <c r="J66" s="316"/>
    </row>
    <row r="67" spans="1:10" x14ac:dyDescent="0.2">
      <c r="A67" s="317" t="s">
        <v>423</v>
      </c>
      <c r="B67" s="316" t="s">
        <v>121</v>
      </c>
      <c r="C67" s="318">
        <v>13</v>
      </c>
      <c r="D67" s="316"/>
      <c r="E67" s="314"/>
      <c r="F67" s="325"/>
      <c r="G67" s="320"/>
      <c r="H67" s="324"/>
      <c r="I67" s="316"/>
      <c r="J67" s="316"/>
    </row>
    <row r="68" spans="1:10" x14ac:dyDescent="0.2">
      <c r="A68" s="319"/>
      <c r="B68" s="320"/>
      <c r="C68" s="321" t="s">
        <v>121</v>
      </c>
      <c r="D68" s="316"/>
      <c r="E68" s="327">
        <v>3</v>
      </c>
      <c r="F68" s="325"/>
      <c r="G68" s="314"/>
      <c r="H68" s="325"/>
      <c r="I68" s="316"/>
      <c r="J68" s="316"/>
    </row>
    <row r="69" spans="1:10" x14ac:dyDescent="0.2">
      <c r="A69" s="319" t="s">
        <v>426</v>
      </c>
      <c r="B69" s="322" t="s">
        <v>132</v>
      </c>
      <c r="C69" s="323">
        <v>9</v>
      </c>
      <c r="D69" s="324"/>
      <c r="E69" s="314"/>
      <c r="F69" s="325"/>
      <c r="G69" s="314"/>
      <c r="H69" s="325"/>
      <c r="I69" s="316"/>
      <c r="J69" s="316"/>
    </row>
    <row r="70" spans="1:10" x14ac:dyDescent="0.2">
      <c r="A70" s="319"/>
      <c r="B70" s="316"/>
      <c r="C70" s="316"/>
      <c r="D70" s="325"/>
      <c r="E70" s="322" t="s">
        <v>110</v>
      </c>
      <c r="F70" s="329"/>
      <c r="G70" s="327">
        <v>10</v>
      </c>
      <c r="H70" s="325"/>
      <c r="I70" s="316"/>
      <c r="J70" s="316"/>
    </row>
    <row r="71" spans="1:10" x14ac:dyDescent="0.2">
      <c r="A71" s="319" t="s">
        <v>360</v>
      </c>
      <c r="B71" s="316" t="s">
        <v>144</v>
      </c>
      <c r="C71" s="369" t="s">
        <v>228</v>
      </c>
      <c r="D71" s="325"/>
      <c r="E71" s="326"/>
      <c r="F71" s="314"/>
      <c r="G71" s="314"/>
      <c r="H71" s="325"/>
      <c r="I71" s="316"/>
      <c r="J71" s="316"/>
    </row>
    <row r="72" spans="1:10" x14ac:dyDescent="0.2">
      <c r="A72" s="319"/>
      <c r="B72" s="320"/>
      <c r="C72" s="326" t="s">
        <v>110</v>
      </c>
      <c r="D72" s="329"/>
      <c r="E72" s="327">
        <v>13</v>
      </c>
      <c r="F72" s="316"/>
      <c r="G72" s="314"/>
      <c r="H72" s="325"/>
      <c r="I72" s="316"/>
      <c r="J72" s="316"/>
    </row>
    <row r="73" spans="1:10" x14ac:dyDescent="0.2">
      <c r="A73" s="370" t="s">
        <v>420</v>
      </c>
      <c r="B73" s="322" t="s">
        <v>110</v>
      </c>
      <c r="C73" s="330">
        <v>13</v>
      </c>
      <c r="D73" s="316"/>
      <c r="E73" s="314"/>
      <c r="F73" s="314"/>
      <c r="G73" s="314"/>
      <c r="H73" s="325"/>
      <c r="I73" s="316"/>
      <c r="J73" s="316"/>
    </row>
    <row r="74" spans="1:10" ht="13.5" thickBot="1" x14ac:dyDescent="0.25">
      <c r="A74" s="371"/>
      <c r="B74" s="316"/>
      <c r="C74" s="316"/>
      <c r="D74" s="316"/>
      <c r="E74" s="316"/>
      <c r="F74" s="316"/>
      <c r="G74" s="314"/>
      <c r="H74" s="325"/>
      <c r="I74" s="316"/>
      <c r="J74" s="316" t="s">
        <v>131</v>
      </c>
    </row>
    <row r="75" spans="1:10" x14ac:dyDescent="0.2">
      <c r="A75" s="317" t="s">
        <v>422</v>
      </c>
      <c r="B75" s="316" t="s">
        <v>118</v>
      </c>
      <c r="C75" s="318">
        <v>13</v>
      </c>
      <c r="D75" s="316"/>
      <c r="E75" s="316"/>
      <c r="F75" s="316"/>
      <c r="G75" s="314"/>
      <c r="H75" s="325"/>
      <c r="I75" s="332"/>
      <c r="J75" s="333" t="s">
        <v>417</v>
      </c>
    </row>
    <row r="76" spans="1:10" x14ac:dyDescent="0.2">
      <c r="A76" s="319"/>
      <c r="B76" s="320"/>
      <c r="C76" s="321" t="s">
        <v>118</v>
      </c>
      <c r="D76" s="316"/>
      <c r="E76" s="318">
        <v>13</v>
      </c>
      <c r="F76" s="316"/>
      <c r="G76" s="314"/>
      <c r="H76" s="325"/>
      <c r="I76" s="316"/>
      <c r="J76" s="316"/>
    </row>
    <row r="77" spans="1:10" x14ac:dyDescent="0.2">
      <c r="A77" s="319" t="s">
        <v>425</v>
      </c>
      <c r="B77" s="322" t="s">
        <v>113</v>
      </c>
      <c r="C77" s="323">
        <v>8</v>
      </c>
      <c r="D77" s="324"/>
      <c r="E77" s="316"/>
      <c r="F77" s="316"/>
      <c r="G77" s="314"/>
      <c r="H77" s="325"/>
      <c r="I77" s="316"/>
      <c r="J77" s="316"/>
    </row>
    <row r="78" spans="1:10" x14ac:dyDescent="0.2">
      <c r="A78" s="319"/>
      <c r="B78" s="316"/>
      <c r="C78" s="316"/>
      <c r="D78" s="325"/>
      <c r="E78" s="316" t="s">
        <v>118</v>
      </c>
      <c r="F78" s="316"/>
      <c r="G78" s="327">
        <v>1</v>
      </c>
      <c r="H78" s="325"/>
      <c r="I78" s="316"/>
      <c r="J78" s="316"/>
    </row>
    <row r="79" spans="1:10" x14ac:dyDescent="0.2">
      <c r="A79" s="319" t="s">
        <v>357</v>
      </c>
      <c r="B79" s="316" t="s">
        <v>108</v>
      </c>
      <c r="C79" s="327">
        <v>10</v>
      </c>
      <c r="D79" s="325"/>
      <c r="E79" s="328"/>
      <c r="F79" s="324"/>
      <c r="G79" s="314"/>
      <c r="H79" s="325"/>
      <c r="I79" s="316"/>
      <c r="J79" s="316"/>
    </row>
    <row r="80" spans="1:10" x14ac:dyDescent="0.2">
      <c r="A80" s="319"/>
      <c r="B80" s="320"/>
      <c r="C80" s="326" t="s">
        <v>130</v>
      </c>
      <c r="D80" s="329"/>
      <c r="E80" s="327">
        <v>8</v>
      </c>
      <c r="F80" s="325"/>
      <c r="G80" s="314"/>
      <c r="H80" s="325"/>
      <c r="I80" s="316"/>
      <c r="J80" s="316"/>
    </row>
    <row r="81" spans="1:10" x14ac:dyDescent="0.2">
      <c r="A81" s="319" t="s">
        <v>427</v>
      </c>
      <c r="B81" s="322" t="s">
        <v>130</v>
      </c>
      <c r="C81" s="330">
        <v>13</v>
      </c>
      <c r="D81" s="316"/>
      <c r="E81" s="314"/>
      <c r="F81" s="325"/>
      <c r="G81" s="314"/>
      <c r="H81" s="325"/>
      <c r="I81" s="316"/>
      <c r="J81" s="316"/>
    </row>
    <row r="82" spans="1:10" x14ac:dyDescent="0.2">
      <c r="A82" s="316"/>
      <c r="B82" s="316"/>
      <c r="C82" s="316"/>
      <c r="D82" s="316"/>
      <c r="E82" s="314"/>
      <c r="F82" s="325"/>
      <c r="G82" s="322" t="s">
        <v>112</v>
      </c>
      <c r="H82" s="329"/>
      <c r="I82" s="318">
        <v>10</v>
      </c>
      <c r="J82" s="316"/>
    </row>
    <row r="83" spans="1:10" ht="13.5" thickBot="1" x14ac:dyDescent="0.25">
      <c r="A83" s="317" t="s">
        <v>361</v>
      </c>
      <c r="B83" s="316" t="s">
        <v>112</v>
      </c>
      <c r="C83" s="318">
        <v>13</v>
      </c>
      <c r="D83" s="316"/>
      <c r="E83" s="314"/>
      <c r="F83" s="325"/>
      <c r="G83" s="316"/>
      <c r="H83" s="316"/>
      <c r="I83" s="316"/>
      <c r="J83" s="314" t="s">
        <v>112</v>
      </c>
    </row>
    <row r="84" spans="1:10" x14ac:dyDescent="0.2">
      <c r="A84" s="319"/>
      <c r="B84" s="320"/>
      <c r="C84" s="321" t="s">
        <v>112</v>
      </c>
      <c r="D84" s="316"/>
      <c r="E84" s="327">
        <v>13</v>
      </c>
      <c r="F84" s="325"/>
      <c r="G84" s="316"/>
      <c r="H84" s="316"/>
      <c r="I84" s="316"/>
      <c r="J84" s="333" t="s">
        <v>418</v>
      </c>
    </row>
    <row r="85" spans="1:10" x14ac:dyDescent="0.2">
      <c r="A85" s="319" t="s">
        <v>421</v>
      </c>
      <c r="B85" s="322" t="s">
        <v>119</v>
      </c>
      <c r="C85" s="323">
        <v>12</v>
      </c>
      <c r="D85" s="324"/>
      <c r="E85" s="314"/>
      <c r="F85" s="325"/>
      <c r="G85" s="316"/>
      <c r="H85" s="316"/>
      <c r="I85" s="316"/>
      <c r="J85" s="316"/>
    </row>
    <row r="86" spans="1:10" x14ac:dyDescent="0.2">
      <c r="A86" s="319"/>
      <c r="B86" s="316"/>
      <c r="C86" s="316"/>
      <c r="D86" s="325"/>
      <c r="E86" s="322" t="s">
        <v>112</v>
      </c>
      <c r="F86" s="329"/>
      <c r="G86" s="318">
        <v>13</v>
      </c>
      <c r="H86" s="316"/>
      <c r="I86" s="316"/>
      <c r="J86" s="316"/>
    </row>
    <row r="87" spans="1:10" x14ac:dyDescent="0.2">
      <c r="A87" s="319" t="s">
        <v>356</v>
      </c>
      <c r="B87" s="316" t="s">
        <v>106</v>
      </c>
      <c r="C87" s="327">
        <v>11</v>
      </c>
      <c r="D87" s="325"/>
      <c r="E87" s="326"/>
      <c r="F87" s="314"/>
      <c r="G87" s="316"/>
      <c r="H87" s="316"/>
      <c r="I87" s="316"/>
      <c r="J87" s="316"/>
    </row>
    <row r="88" spans="1:10" x14ac:dyDescent="0.2">
      <c r="A88" s="319"/>
      <c r="B88" s="320"/>
      <c r="C88" s="326" t="s">
        <v>103</v>
      </c>
      <c r="D88" s="329"/>
      <c r="E88" s="327">
        <v>6</v>
      </c>
      <c r="F88" s="316"/>
      <c r="G88" s="316" t="s">
        <v>110</v>
      </c>
      <c r="H88" s="316"/>
      <c r="I88" s="327">
        <v>5</v>
      </c>
      <c r="J88" s="316"/>
    </row>
    <row r="89" spans="1:10" ht="13.5" thickBot="1" x14ac:dyDescent="0.25">
      <c r="A89" s="319" t="s">
        <v>442</v>
      </c>
      <c r="B89" s="322" t="s">
        <v>103</v>
      </c>
      <c r="C89" s="330">
        <v>13</v>
      </c>
      <c r="D89" s="316"/>
      <c r="E89" s="314"/>
      <c r="F89" s="314"/>
      <c r="G89" s="320"/>
      <c r="H89" s="324"/>
      <c r="I89" s="335"/>
      <c r="J89" s="335" t="s">
        <v>118</v>
      </c>
    </row>
    <row r="90" spans="1:10" x14ac:dyDescent="0.2">
      <c r="A90" s="316"/>
      <c r="B90" s="316"/>
      <c r="C90" s="316"/>
      <c r="D90" s="316"/>
      <c r="E90" s="316"/>
      <c r="F90" s="314"/>
      <c r="G90" s="322" t="s">
        <v>118</v>
      </c>
      <c r="H90" s="329"/>
      <c r="I90" s="318">
        <v>13</v>
      </c>
      <c r="J90" s="336" t="s">
        <v>416</v>
      </c>
    </row>
    <row r="91" spans="1:10" x14ac:dyDescent="0.2">
      <c r="A91" s="316"/>
      <c r="B91" s="316"/>
      <c r="C91" s="316"/>
      <c r="D91" s="316"/>
      <c r="E91" s="316"/>
      <c r="F91" s="314"/>
      <c r="G91" s="316"/>
      <c r="H91" s="316"/>
      <c r="I91" s="316"/>
      <c r="J91" s="314"/>
    </row>
    <row r="92" spans="1:10" ht="13.5" thickBot="1" x14ac:dyDescent="0.25">
      <c r="A92" s="316"/>
      <c r="B92" s="316"/>
      <c r="C92" s="316"/>
      <c r="D92" s="316"/>
      <c r="E92" s="316"/>
      <c r="F92" s="314"/>
      <c r="G92" s="314"/>
      <c r="H92" s="314"/>
      <c r="I92" s="316"/>
      <c r="J92" s="335" t="s">
        <v>110</v>
      </c>
    </row>
    <row r="93" spans="1:10" x14ac:dyDescent="0.2">
      <c r="A93" s="316"/>
      <c r="B93" s="316"/>
      <c r="C93" s="316"/>
      <c r="D93" s="316"/>
      <c r="E93" s="316"/>
      <c r="F93" s="316"/>
      <c r="G93" s="314"/>
      <c r="H93" s="314"/>
      <c r="I93" s="316"/>
      <c r="J93" s="331" t="s">
        <v>229</v>
      </c>
    </row>
    <row r="94" spans="1:10" x14ac:dyDescent="0.2">
      <c r="A94" s="316"/>
      <c r="B94" s="316"/>
      <c r="C94" s="316"/>
      <c r="D94" s="316"/>
      <c r="E94" s="316"/>
      <c r="F94" s="316"/>
      <c r="G94" s="314"/>
      <c r="H94" s="314"/>
      <c r="I94" s="316"/>
      <c r="J94" s="331"/>
    </row>
    <row r="95" spans="1:10" x14ac:dyDescent="0.2">
      <c r="A95" s="337" t="s">
        <v>428</v>
      </c>
      <c r="B95" s="316"/>
      <c r="C95" s="316"/>
      <c r="D95" s="316"/>
      <c r="E95" s="316"/>
      <c r="F95" s="316"/>
      <c r="G95" s="314"/>
      <c r="H95" s="314"/>
      <c r="I95" s="316"/>
      <c r="J95" s="331"/>
    </row>
    <row r="96" spans="1:10" x14ac:dyDescent="0.2">
      <c r="A96" s="337"/>
      <c r="B96" s="316"/>
      <c r="C96" s="316"/>
      <c r="D96" s="316"/>
      <c r="E96" s="316"/>
      <c r="F96" s="316"/>
      <c r="G96" s="314"/>
      <c r="H96" s="314"/>
      <c r="I96" s="316"/>
      <c r="J96" s="331"/>
    </row>
    <row r="97" spans="1:10" x14ac:dyDescent="0.2">
      <c r="A97" s="316"/>
      <c r="B97" s="316"/>
      <c r="C97" s="316"/>
      <c r="D97" s="316"/>
      <c r="E97" s="367" t="s">
        <v>126</v>
      </c>
      <c r="F97" s="318"/>
      <c r="G97" s="318">
        <v>9</v>
      </c>
      <c r="H97" s="318"/>
      <c r="I97" s="318"/>
      <c r="J97" s="316"/>
    </row>
    <row r="98" spans="1:10" x14ac:dyDescent="0.2">
      <c r="A98" s="316"/>
      <c r="B98" s="316"/>
      <c r="C98" s="316"/>
      <c r="D98" s="316"/>
      <c r="E98" s="338"/>
      <c r="F98" s="339"/>
      <c r="G98" s="340" t="s">
        <v>121</v>
      </c>
      <c r="H98" s="318"/>
      <c r="I98" s="318">
        <v>8</v>
      </c>
      <c r="J98" s="316"/>
    </row>
    <row r="99" spans="1:10" x14ac:dyDescent="0.2">
      <c r="A99" s="316"/>
      <c r="B99" s="316"/>
      <c r="C99" s="316"/>
      <c r="D99" s="316"/>
      <c r="E99" s="340" t="s">
        <v>121</v>
      </c>
      <c r="F99" s="341"/>
      <c r="G99" s="318">
        <v>13</v>
      </c>
      <c r="H99" s="339"/>
      <c r="I99" s="318"/>
      <c r="J99" s="316"/>
    </row>
    <row r="100" spans="1:10" ht="13.5" thickBot="1" x14ac:dyDescent="0.25">
      <c r="A100" s="316"/>
      <c r="B100" s="316"/>
      <c r="C100" s="316"/>
      <c r="D100" s="316"/>
      <c r="E100" s="318"/>
      <c r="F100" s="318"/>
      <c r="G100" s="327"/>
      <c r="H100" s="342"/>
      <c r="I100" s="318"/>
      <c r="J100" s="316" t="s">
        <v>103</v>
      </c>
    </row>
    <row r="101" spans="1:10" x14ac:dyDescent="0.2">
      <c r="A101" s="316"/>
      <c r="B101" s="316"/>
      <c r="C101" s="316"/>
      <c r="D101" s="316"/>
      <c r="E101" s="318" t="s">
        <v>130</v>
      </c>
      <c r="F101" s="318"/>
      <c r="G101" s="318">
        <v>0</v>
      </c>
      <c r="H101" s="342"/>
      <c r="I101" s="343"/>
      <c r="J101" s="333" t="s">
        <v>231</v>
      </c>
    </row>
    <row r="102" spans="1:10" x14ac:dyDescent="0.2">
      <c r="A102" s="316"/>
      <c r="B102" s="316"/>
      <c r="C102" s="316"/>
      <c r="D102" s="316"/>
      <c r="E102" s="338"/>
      <c r="F102" s="339"/>
      <c r="G102" s="318" t="s">
        <v>103</v>
      </c>
      <c r="H102" s="341"/>
      <c r="I102" s="327">
        <v>13</v>
      </c>
      <c r="J102" s="316"/>
    </row>
    <row r="103" spans="1:10" ht="13.5" thickBot="1" x14ac:dyDescent="0.25">
      <c r="A103" s="316"/>
      <c r="B103" s="316"/>
      <c r="C103" s="316"/>
      <c r="D103" s="316"/>
      <c r="E103" s="340" t="s">
        <v>103</v>
      </c>
      <c r="F103" s="341"/>
      <c r="G103" s="338">
        <v>13</v>
      </c>
      <c r="H103" s="318"/>
      <c r="I103" s="327"/>
      <c r="J103" s="314" t="s">
        <v>121</v>
      </c>
    </row>
    <row r="104" spans="1:10" x14ac:dyDescent="0.2">
      <c r="A104" s="316"/>
      <c r="B104" s="316"/>
      <c r="C104" s="316"/>
      <c r="D104" s="316"/>
      <c r="E104" s="318"/>
      <c r="F104" s="318"/>
      <c r="G104" s="318"/>
      <c r="H104" s="318"/>
      <c r="I104" s="327"/>
      <c r="J104" s="333" t="s">
        <v>232</v>
      </c>
    </row>
    <row r="105" spans="1:10" x14ac:dyDescent="0.2">
      <c r="A105" s="316"/>
      <c r="B105" s="316"/>
      <c r="C105" s="316"/>
      <c r="D105" s="316"/>
      <c r="E105" s="318"/>
      <c r="F105" s="327"/>
      <c r="G105" s="318" t="s">
        <v>126</v>
      </c>
      <c r="H105" s="318"/>
      <c r="I105" s="327">
        <v>13</v>
      </c>
      <c r="J105" s="314"/>
    </row>
    <row r="106" spans="1:10" ht="13.5" thickBot="1" x14ac:dyDescent="0.25">
      <c r="A106" s="316"/>
      <c r="B106" s="316"/>
      <c r="C106" s="316"/>
      <c r="D106" s="316"/>
      <c r="E106" s="318"/>
      <c r="F106" s="327"/>
      <c r="G106" s="338"/>
      <c r="H106" s="339"/>
      <c r="I106" s="344"/>
      <c r="J106" s="335" t="s">
        <v>126</v>
      </c>
    </row>
    <row r="107" spans="1:10" x14ac:dyDescent="0.2">
      <c r="A107" s="316"/>
      <c r="B107" s="316"/>
      <c r="C107" s="316"/>
      <c r="D107" s="316"/>
      <c r="E107" s="318"/>
      <c r="F107" s="327"/>
      <c r="G107" s="340" t="s">
        <v>130</v>
      </c>
      <c r="H107" s="341"/>
      <c r="I107" s="318">
        <v>10</v>
      </c>
      <c r="J107" s="336" t="s">
        <v>234</v>
      </c>
    </row>
    <row r="108" spans="1:10" x14ac:dyDescent="0.2">
      <c r="A108" s="316"/>
      <c r="B108" s="316"/>
      <c r="C108" s="316"/>
      <c r="D108" s="316"/>
      <c r="E108" s="316"/>
      <c r="F108" s="314"/>
      <c r="G108" s="316"/>
      <c r="H108" s="316"/>
      <c r="I108" s="316"/>
      <c r="J108" s="314"/>
    </row>
    <row r="109" spans="1:10" ht="13.5" thickBot="1" x14ac:dyDescent="0.25">
      <c r="A109" s="316"/>
      <c r="B109" s="316"/>
      <c r="C109" s="316"/>
      <c r="D109" s="316"/>
      <c r="E109" s="331"/>
      <c r="F109" s="316"/>
      <c r="G109" s="314"/>
      <c r="H109" s="314"/>
      <c r="I109" s="316"/>
      <c r="J109" s="335" t="s">
        <v>130</v>
      </c>
    </row>
    <row r="110" spans="1:10" x14ac:dyDescent="0.2">
      <c r="A110" s="316"/>
      <c r="B110" s="316"/>
      <c r="C110" s="316"/>
      <c r="D110" s="316"/>
      <c r="E110" s="331"/>
      <c r="F110" s="316"/>
      <c r="G110" s="314"/>
      <c r="H110" s="314"/>
      <c r="I110" s="316"/>
      <c r="J110" s="336" t="s">
        <v>235</v>
      </c>
    </row>
    <row r="111" spans="1:10" x14ac:dyDescent="0.2">
      <c r="A111" s="316"/>
      <c r="B111" s="316"/>
      <c r="C111" s="316"/>
      <c r="D111" s="316"/>
      <c r="E111" s="331"/>
      <c r="F111" s="316"/>
      <c r="G111" s="314"/>
      <c r="H111" s="314"/>
      <c r="I111" s="316"/>
      <c r="J111" s="336"/>
    </row>
    <row r="112" spans="1:10" x14ac:dyDescent="0.2">
      <c r="A112" s="345" t="s">
        <v>363</v>
      </c>
      <c r="B112" s="316"/>
      <c r="C112" s="316"/>
      <c r="D112" s="316"/>
      <c r="E112" s="316"/>
      <c r="F112" s="316"/>
      <c r="G112" s="316"/>
      <c r="H112" s="316"/>
      <c r="I112" s="316"/>
      <c r="J112" s="316"/>
    </row>
    <row r="113" spans="1:10" x14ac:dyDescent="0.2">
      <c r="A113" s="346"/>
      <c r="B113" s="316"/>
      <c r="C113" s="316"/>
      <c r="D113" s="316"/>
      <c r="E113" s="316"/>
      <c r="F113" s="316"/>
      <c r="G113" s="316"/>
      <c r="H113" s="316"/>
      <c r="I113" s="316"/>
      <c r="J113" s="316"/>
    </row>
    <row r="114" spans="1:10" x14ac:dyDescent="0.2">
      <c r="A114" s="316"/>
      <c r="B114" s="314"/>
      <c r="C114" s="322" t="s">
        <v>122</v>
      </c>
      <c r="D114" s="316"/>
      <c r="E114" s="318">
        <v>13</v>
      </c>
      <c r="F114" s="316"/>
      <c r="G114" s="316"/>
      <c r="H114" s="316"/>
      <c r="I114" s="316"/>
      <c r="J114" s="316"/>
    </row>
    <row r="115" spans="1:10" x14ac:dyDescent="0.2">
      <c r="A115" s="316"/>
      <c r="B115" s="314"/>
      <c r="C115" s="320"/>
      <c r="D115" s="324"/>
      <c r="E115" s="326" t="s">
        <v>122</v>
      </c>
      <c r="F115" s="316"/>
      <c r="G115" s="318">
        <v>13</v>
      </c>
      <c r="H115" s="316"/>
      <c r="I115" s="316"/>
      <c r="J115" s="316"/>
    </row>
    <row r="116" spans="1:10" x14ac:dyDescent="0.2">
      <c r="A116" s="316"/>
      <c r="B116" s="314"/>
      <c r="C116" s="322" t="s">
        <v>135</v>
      </c>
      <c r="D116" s="329"/>
      <c r="E116" s="338">
        <v>5</v>
      </c>
      <c r="F116" s="324"/>
      <c r="G116" s="316"/>
      <c r="H116" s="316"/>
      <c r="I116" s="316"/>
      <c r="J116" s="316"/>
    </row>
    <row r="117" spans="1:10" x14ac:dyDescent="0.2">
      <c r="A117" s="316"/>
      <c r="B117" s="314"/>
      <c r="C117" s="316"/>
      <c r="D117" s="316"/>
      <c r="E117" s="314"/>
      <c r="F117" s="325"/>
      <c r="G117" s="326" t="s">
        <v>122</v>
      </c>
      <c r="H117" s="316"/>
      <c r="I117" s="318">
        <v>13</v>
      </c>
      <c r="J117" s="316"/>
    </row>
    <row r="118" spans="1:10" x14ac:dyDescent="0.2">
      <c r="A118" s="316"/>
      <c r="B118" s="314"/>
      <c r="C118" s="322" t="s">
        <v>132</v>
      </c>
      <c r="D118" s="316"/>
      <c r="E118" s="369" t="s">
        <v>228</v>
      </c>
      <c r="F118" s="325"/>
      <c r="G118" s="328"/>
      <c r="H118" s="324"/>
      <c r="I118" s="316"/>
      <c r="J118" s="316"/>
    </row>
    <row r="119" spans="1:10" x14ac:dyDescent="0.2">
      <c r="A119" s="316"/>
      <c r="B119" s="314"/>
      <c r="C119" s="316"/>
      <c r="D119" s="324"/>
      <c r="E119" s="322" t="s">
        <v>144</v>
      </c>
      <c r="F119" s="329"/>
      <c r="G119" s="327">
        <v>12</v>
      </c>
      <c r="H119" s="325"/>
      <c r="I119" s="316"/>
      <c r="J119" s="316"/>
    </row>
    <row r="120" spans="1:10" x14ac:dyDescent="0.2">
      <c r="A120" s="316"/>
      <c r="B120" s="314"/>
      <c r="C120" s="314" t="s">
        <v>144</v>
      </c>
      <c r="D120" s="329"/>
      <c r="E120" s="327">
        <v>13</v>
      </c>
      <c r="F120" s="316"/>
      <c r="G120" s="314"/>
      <c r="H120" s="325"/>
      <c r="I120" s="316"/>
      <c r="J120" s="316"/>
    </row>
    <row r="121" spans="1:10" ht="13.5" thickBot="1" x14ac:dyDescent="0.25">
      <c r="A121" s="316"/>
      <c r="B121" s="314"/>
      <c r="C121" s="338"/>
      <c r="D121" s="316"/>
      <c r="E121" s="314"/>
      <c r="F121" s="314"/>
      <c r="G121" s="314"/>
      <c r="H121" s="325"/>
      <c r="I121" s="316"/>
      <c r="J121" s="365" t="s">
        <v>122</v>
      </c>
    </row>
    <row r="122" spans="1:10" x14ac:dyDescent="0.2">
      <c r="A122" s="316"/>
      <c r="B122" s="314"/>
      <c r="C122" s="372" t="s">
        <v>113</v>
      </c>
      <c r="D122" s="316"/>
      <c r="E122" s="368" t="s">
        <v>228</v>
      </c>
      <c r="F122" s="316"/>
      <c r="G122" s="316"/>
      <c r="H122" s="325"/>
      <c r="I122" s="334"/>
      <c r="J122" s="333" t="s">
        <v>237</v>
      </c>
    </row>
    <row r="123" spans="1:10" x14ac:dyDescent="0.2">
      <c r="A123" s="316"/>
      <c r="B123" s="314"/>
      <c r="C123" s="320"/>
      <c r="D123" s="324"/>
      <c r="E123" s="326" t="s">
        <v>108</v>
      </c>
      <c r="F123" s="316"/>
      <c r="G123" s="318">
        <v>8</v>
      </c>
      <c r="H123" s="325"/>
    </row>
    <row r="124" spans="1:10" x14ac:dyDescent="0.2">
      <c r="A124" s="316"/>
      <c r="B124" s="314"/>
      <c r="C124" s="322" t="s">
        <v>108</v>
      </c>
      <c r="D124" s="329"/>
      <c r="E124" s="338">
        <v>13</v>
      </c>
      <c r="F124" s="324"/>
      <c r="G124" s="316"/>
      <c r="H124" s="325"/>
      <c r="I124" s="316"/>
      <c r="J124" s="316"/>
    </row>
    <row r="125" spans="1:10" ht="13.5" thickBot="1" x14ac:dyDescent="0.25">
      <c r="A125" s="316"/>
      <c r="B125" s="314"/>
      <c r="C125" s="316"/>
      <c r="D125" s="316"/>
      <c r="E125" s="314"/>
      <c r="F125" s="325"/>
      <c r="G125" s="326" t="s">
        <v>106</v>
      </c>
      <c r="H125" s="329"/>
      <c r="I125" s="318">
        <v>4</v>
      </c>
      <c r="J125" s="314" t="s">
        <v>106</v>
      </c>
    </row>
    <row r="126" spans="1:10" x14ac:dyDescent="0.2">
      <c r="A126" s="316"/>
      <c r="B126" s="314"/>
      <c r="C126" s="322" t="s">
        <v>119</v>
      </c>
      <c r="D126" s="316"/>
      <c r="E126" s="327">
        <v>7</v>
      </c>
      <c r="F126" s="325"/>
      <c r="G126" s="328"/>
      <c r="H126" s="320"/>
      <c r="I126" s="316"/>
      <c r="J126" s="333" t="s">
        <v>238</v>
      </c>
    </row>
    <row r="127" spans="1:10" x14ac:dyDescent="0.2">
      <c r="A127" s="316"/>
      <c r="B127" s="314"/>
      <c r="C127" s="316"/>
      <c r="D127" s="324"/>
      <c r="E127" s="322" t="s">
        <v>106</v>
      </c>
      <c r="F127" s="329"/>
      <c r="G127" s="327">
        <v>13</v>
      </c>
      <c r="H127" s="314"/>
      <c r="I127" s="316"/>
      <c r="J127" s="316"/>
    </row>
    <row r="128" spans="1:10" x14ac:dyDescent="0.2">
      <c r="A128" s="316"/>
      <c r="B128" s="314"/>
      <c r="C128" s="314" t="s">
        <v>106</v>
      </c>
      <c r="D128" s="329"/>
      <c r="E128" s="327">
        <v>13</v>
      </c>
      <c r="F128" s="316"/>
      <c r="G128" s="314"/>
      <c r="H128" s="314"/>
      <c r="I128" s="316"/>
      <c r="J128" s="316"/>
    </row>
    <row r="129" spans="1:10" x14ac:dyDescent="0.2">
      <c r="A129" s="316"/>
      <c r="B129" s="314"/>
      <c r="C129" s="338"/>
      <c r="D129" s="316"/>
      <c r="E129" s="314"/>
      <c r="F129" s="314"/>
      <c r="G129" s="316" t="s">
        <v>144</v>
      </c>
      <c r="H129" s="316"/>
      <c r="I129" s="369" t="s">
        <v>228</v>
      </c>
      <c r="J129" s="316"/>
    </row>
    <row r="130" spans="1:10" ht="13.5" thickBot="1" x14ac:dyDescent="0.25">
      <c r="A130" s="316"/>
      <c r="B130" s="314"/>
      <c r="C130" s="316"/>
      <c r="D130" s="316"/>
      <c r="E130" s="314"/>
      <c r="F130" s="314"/>
      <c r="G130" s="320"/>
      <c r="H130" s="324"/>
      <c r="I130" s="335"/>
      <c r="J130" s="335" t="s">
        <v>108</v>
      </c>
    </row>
    <row r="131" spans="1:10" x14ac:dyDescent="0.2">
      <c r="A131" s="316"/>
      <c r="B131" s="314"/>
      <c r="C131" s="318"/>
      <c r="D131" s="316"/>
      <c r="E131" s="314"/>
      <c r="F131" s="314"/>
      <c r="G131" s="322" t="s">
        <v>108</v>
      </c>
      <c r="H131" s="329"/>
      <c r="I131" s="318">
        <v>13</v>
      </c>
      <c r="J131" s="336" t="s">
        <v>239</v>
      </c>
    </row>
    <row r="132" spans="1:10" x14ac:dyDescent="0.2">
      <c r="A132" s="316"/>
      <c r="B132" s="314"/>
      <c r="C132" s="314"/>
      <c r="D132" s="314"/>
      <c r="E132" s="327"/>
      <c r="F132" s="314"/>
      <c r="G132" s="316"/>
      <c r="H132" s="316"/>
      <c r="I132" s="316"/>
      <c r="J132" s="314"/>
    </row>
    <row r="133" spans="1:10" ht="13.5" thickBot="1" x14ac:dyDescent="0.25">
      <c r="A133" s="316"/>
      <c r="B133" s="314"/>
      <c r="C133" s="314"/>
      <c r="D133" s="314"/>
      <c r="E133" s="314" t="s">
        <v>135</v>
      </c>
      <c r="F133" s="314"/>
      <c r="G133" s="327">
        <v>12</v>
      </c>
      <c r="H133" s="314"/>
      <c r="I133" s="316"/>
      <c r="J133" s="160" t="s">
        <v>144</v>
      </c>
    </row>
    <row r="134" spans="1:10" x14ac:dyDescent="0.2">
      <c r="A134" s="316"/>
      <c r="B134" s="314"/>
      <c r="C134" s="314"/>
      <c r="D134" s="314"/>
      <c r="E134" s="320"/>
      <c r="F134" s="324"/>
      <c r="G134" s="326" t="s">
        <v>132</v>
      </c>
      <c r="H134" s="316"/>
      <c r="I134" s="318">
        <v>6</v>
      </c>
      <c r="J134" s="333" t="s">
        <v>240</v>
      </c>
    </row>
    <row r="135" spans="1:10" x14ac:dyDescent="0.2">
      <c r="A135" s="316"/>
      <c r="B135" s="314"/>
      <c r="C135" s="316"/>
      <c r="D135" s="314"/>
      <c r="E135" s="322" t="s">
        <v>132</v>
      </c>
      <c r="F135" s="329"/>
      <c r="G135" s="330">
        <v>13</v>
      </c>
      <c r="H135" s="324"/>
      <c r="I135" s="316"/>
      <c r="J135" s="316"/>
    </row>
    <row r="136" spans="1:10" ht="13.5" thickBot="1" x14ac:dyDescent="0.25">
      <c r="A136" s="316"/>
      <c r="B136" s="316"/>
      <c r="C136" s="316"/>
      <c r="D136" s="314"/>
      <c r="E136" s="318"/>
      <c r="F136" s="316"/>
      <c r="G136" s="316"/>
      <c r="H136" s="325"/>
      <c r="I136" s="316"/>
      <c r="J136" s="316" t="s">
        <v>113</v>
      </c>
    </row>
    <row r="137" spans="1:10" x14ac:dyDescent="0.2">
      <c r="A137" s="316"/>
      <c r="B137" s="316"/>
      <c r="C137" s="316"/>
      <c r="D137" s="314"/>
      <c r="E137" s="372" t="s">
        <v>113</v>
      </c>
      <c r="F137" s="316"/>
      <c r="G137" s="318">
        <v>13</v>
      </c>
      <c r="H137" s="325"/>
      <c r="I137" s="334"/>
      <c r="J137" s="333" t="s">
        <v>242</v>
      </c>
    </row>
    <row r="138" spans="1:10" x14ac:dyDescent="0.2">
      <c r="A138" s="316"/>
      <c r="B138" s="316"/>
      <c r="C138" s="316"/>
      <c r="D138" s="314"/>
      <c r="E138" s="320"/>
      <c r="F138" s="324"/>
      <c r="G138" s="326" t="s">
        <v>113</v>
      </c>
      <c r="H138" s="329"/>
      <c r="I138" s="318">
        <v>13</v>
      </c>
      <c r="J138" s="316"/>
    </row>
    <row r="139" spans="1:10" ht="13.5" thickBot="1" x14ac:dyDescent="0.25">
      <c r="A139" s="316"/>
      <c r="B139" s="316"/>
      <c r="C139" s="316"/>
      <c r="D139" s="314"/>
      <c r="E139" s="322" t="s">
        <v>119</v>
      </c>
      <c r="F139" s="329"/>
      <c r="G139" s="373" t="s">
        <v>228</v>
      </c>
      <c r="H139" s="314"/>
      <c r="I139" s="316"/>
      <c r="J139" s="314" t="s">
        <v>132</v>
      </c>
    </row>
    <row r="140" spans="1:10" x14ac:dyDescent="0.2">
      <c r="A140" s="316"/>
      <c r="B140" s="316"/>
      <c r="C140" s="316"/>
      <c r="D140" s="314"/>
      <c r="E140" s="327"/>
      <c r="F140" s="316"/>
      <c r="G140" s="314"/>
      <c r="H140" s="314"/>
      <c r="I140" s="316"/>
      <c r="J140" s="333" t="s">
        <v>243</v>
      </c>
    </row>
    <row r="141" spans="1:10" x14ac:dyDescent="0.2">
      <c r="A141" s="316"/>
      <c r="B141" s="316"/>
      <c r="C141" s="316"/>
      <c r="D141" s="314"/>
      <c r="E141" s="314"/>
      <c r="F141" s="314"/>
      <c r="G141" s="316" t="s">
        <v>135</v>
      </c>
      <c r="H141" s="316"/>
      <c r="I141" s="327">
        <v>12</v>
      </c>
      <c r="J141" s="316"/>
    </row>
    <row r="142" spans="1:10" ht="13.5" thickBot="1" x14ac:dyDescent="0.25">
      <c r="A142" s="316"/>
      <c r="B142" s="316"/>
      <c r="C142" s="316"/>
      <c r="D142" s="316"/>
      <c r="E142" s="314"/>
      <c r="F142" s="314"/>
      <c r="G142" s="320"/>
      <c r="H142" s="324"/>
      <c r="I142" s="335"/>
      <c r="J142" s="335" t="s">
        <v>119</v>
      </c>
    </row>
    <row r="143" spans="1:10" x14ac:dyDescent="0.2">
      <c r="A143" s="316"/>
      <c r="B143" s="316"/>
      <c r="C143" s="316"/>
      <c r="D143" s="316"/>
      <c r="E143" s="314"/>
      <c r="F143" s="314"/>
      <c r="G143" s="322" t="s">
        <v>119</v>
      </c>
      <c r="H143" s="329"/>
      <c r="I143" s="318">
        <v>13</v>
      </c>
      <c r="J143" s="336" t="s">
        <v>244</v>
      </c>
    </row>
    <row r="144" spans="1:10" x14ac:dyDescent="0.2">
      <c r="A144" s="316"/>
      <c r="B144" s="316"/>
      <c r="C144" s="316"/>
      <c r="D144" s="316"/>
      <c r="E144" s="327"/>
      <c r="F144" s="314"/>
      <c r="G144" s="316"/>
      <c r="H144" s="316"/>
      <c r="I144" s="316"/>
      <c r="J144" s="314"/>
    </row>
    <row r="145" spans="1:10" ht="13.5" thickBot="1" x14ac:dyDescent="0.25">
      <c r="A145" s="316"/>
      <c r="B145" s="316"/>
      <c r="C145" s="316"/>
      <c r="D145" s="316"/>
      <c r="E145" s="314"/>
      <c r="F145" s="314"/>
      <c r="G145" s="314"/>
      <c r="H145" s="314"/>
      <c r="I145" s="316"/>
      <c r="J145" s="335" t="s">
        <v>135</v>
      </c>
    </row>
    <row r="146" spans="1:10" x14ac:dyDescent="0.2">
      <c r="A146" s="316"/>
      <c r="B146" s="316"/>
      <c r="C146" s="316"/>
      <c r="D146" s="316"/>
      <c r="E146" s="314"/>
      <c r="F146" s="314"/>
      <c r="G146" s="314"/>
      <c r="H146" s="314"/>
      <c r="I146" s="316"/>
      <c r="J146" s="331" t="s">
        <v>245</v>
      </c>
    </row>
    <row r="147" spans="1:10" x14ac:dyDescent="0.2">
      <c r="B147" s="240"/>
      <c r="C147" s="241"/>
    </row>
    <row r="148" spans="1:10" x14ac:dyDescent="0.2">
      <c r="A148" s="337" t="s">
        <v>374</v>
      </c>
      <c r="B148" s="316"/>
      <c r="C148" s="316"/>
      <c r="D148" s="316"/>
      <c r="E148" s="316"/>
      <c r="F148" s="316"/>
      <c r="G148" s="316"/>
      <c r="H148" s="316"/>
      <c r="I148" s="316"/>
      <c r="J148" s="316"/>
    </row>
    <row r="149" spans="1:10" x14ac:dyDescent="0.2">
      <c r="A149" s="337"/>
      <c r="B149" s="316"/>
      <c r="C149" s="316"/>
      <c r="D149" s="316"/>
      <c r="E149" s="316"/>
      <c r="F149" s="316"/>
      <c r="G149" s="316"/>
      <c r="H149" s="316"/>
      <c r="I149" s="316"/>
      <c r="J149" s="316"/>
    </row>
    <row r="150" spans="1:10" x14ac:dyDescent="0.2">
      <c r="A150" s="317" t="s">
        <v>364</v>
      </c>
      <c r="B150" s="365" t="s">
        <v>109</v>
      </c>
      <c r="C150" s="318">
        <v>13</v>
      </c>
      <c r="D150" s="316"/>
      <c r="E150" s="316"/>
      <c r="F150" s="316"/>
      <c r="G150" s="316"/>
      <c r="H150" s="316"/>
      <c r="I150" s="316"/>
      <c r="J150" s="316"/>
    </row>
    <row r="151" spans="1:10" x14ac:dyDescent="0.2">
      <c r="A151" s="319"/>
      <c r="B151" s="320"/>
      <c r="C151" s="366" t="s">
        <v>109</v>
      </c>
      <c r="D151" s="316"/>
      <c r="E151" s="368" t="s">
        <v>228</v>
      </c>
      <c r="F151" s="316"/>
      <c r="G151" s="316"/>
      <c r="H151" s="316"/>
      <c r="I151" s="316"/>
      <c r="J151" s="316"/>
    </row>
    <row r="152" spans="1:10" x14ac:dyDescent="0.2">
      <c r="A152" s="319" t="s">
        <v>444</v>
      </c>
      <c r="B152" s="374" t="s">
        <v>212</v>
      </c>
      <c r="C152" s="323">
        <v>0</v>
      </c>
      <c r="D152" s="324"/>
      <c r="E152" s="316"/>
      <c r="F152" s="316"/>
      <c r="G152" s="316"/>
      <c r="H152" s="316"/>
      <c r="I152" s="316"/>
      <c r="J152" s="316"/>
    </row>
    <row r="153" spans="1:10" x14ac:dyDescent="0.2">
      <c r="A153" s="319"/>
      <c r="B153" s="316"/>
      <c r="C153" s="316"/>
      <c r="D153" s="325"/>
      <c r="E153" s="326" t="s">
        <v>127</v>
      </c>
      <c r="F153" s="316"/>
      <c r="G153" s="318">
        <v>11</v>
      </c>
      <c r="H153" s="316"/>
      <c r="I153" s="316"/>
      <c r="J153" s="316"/>
    </row>
    <row r="154" spans="1:10" x14ac:dyDescent="0.2">
      <c r="A154" s="319" t="s">
        <v>445</v>
      </c>
      <c r="B154" s="365" t="s">
        <v>212</v>
      </c>
      <c r="C154" s="327">
        <v>0</v>
      </c>
      <c r="D154" s="325"/>
      <c r="E154" s="328"/>
      <c r="F154" s="324"/>
      <c r="G154" s="316"/>
      <c r="H154" s="316"/>
      <c r="I154" s="316"/>
      <c r="J154" s="316"/>
    </row>
    <row r="155" spans="1:10" x14ac:dyDescent="0.2">
      <c r="A155" s="319"/>
      <c r="B155" s="320"/>
      <c r="C155" s="326" t="s">
        <v>127</v>
      </c>
      <c r="D155" s="329"/>
      <c r="E155" s="327">
        <v>13</v>
      </c>
      <c r="F155" s="325"/>
      <c r="G155" s="316"/>
      <c r="H155" s="316"/>
      <c r="I155" s="316"/>
      <c r="J155" s="316"/>
    </row>
    <row r="156" spans="1:10" x14ac:dyDescent="0.2">
      <c r="A156" s="319" t="s">
        <v>367</v>
      </c>
      <c r="B156" s="322" t="s">
        <v>127</v>
      </c>
      <c r="C156" s="330">
        <v>13</v>
      </c>
      <c r="D156" s="316"/>
      <c r="E156" s="314"/>
      <c r="F156" s="325"/>
      <c r="G156" s="316"/>
      <c r="H156" s="316"/>
      <c r="I156" s="316"/>
      <c r="J156" s="316"/>
    </row>
    <row r="157" spans="1:10" x14ac:dyDescent="0.2">
      <c r="A157" s="331"/>
      <c r="B157" s="316"/>
      <c r="C157" s="316"/>
      <c r="D157" s="316"/>
      <c r="E157" s="314"/>
      <c r="F157" s="325"/>
      <c r="G157" s="326" t="s">
        <v>176</v>
      </c>
      <c r="H157" s="316"/>
      <c r="I157" s="375" t="s">
        <v>212</v>
      </c>
      <c r="J157" s="316"/>
    </row>
    <row r="158" spans="1:10" x14ac:dyDescent="0.2">
      <c r="A158" s="317" t="s">
        <v>432</v>
      </c>
      <c r="B158" s="316" t="s">
        <v>176</v>
      </c>
      <c r="C158" s="375" t="s">
        <v>365</v>
      </c>
      <c r="D158" s="316"/>
      <c r="E158" s="314"/>
      <c r="F158" s="325"/>
      <c r="G158" s="320"/>
      <c r="H158" s="324"/>
      <c r="I158" s="316"/>
      <c r="J158" s="316"/>
    </row>
    <row r="159" spans="1:10" x14ac:dyDescent="0.2">
      <c r="A159" s="319"/>
      <c r="B159" s="320"/>
      <c r="C159" s="321" t="s">
        <v>176</v>
      </c>
      <c r="D159" s="316"/>
      <c r="E159" s="327">
        <v>13</v>
      </c>
      <c r="F159" s="325"/>
      <c r="G159" s="314"/>
      <c r="H159" s="325"/>
      <c r="I159" s="316"/>
      <c r="J159" s="316"/>
    </row>
    <row r="160" spans="1:10" x14ac:dyDescent="0.2">
      <c r="A160" s="319" t="s">
        <v>368</v>
      </c>
      <c r="B160" s="322" t="s">
        <v>173</v>
      </c>
      <c r="C160" s="376" t="s">
        <v>212</v>
      </c>
      <c r="D160" s="324"/>
      <c r="E160" s="314"/>
      <c r="F160" s="325"/>
      <c r="G160" s="314"/>
      <c r="H160" s="325"/>
      <c r="I160" s="316"/>
      <c r="J160" s="316"/>
    </row>
    <row r="161" spans="1:10" x14ac:dyDescent="0.2">
      <c r="A161" s="319"/>
      <c r="B161" s="316"/>
      <c r="C161" s="316"/>
      <c r="D161" s="325"/>
      <c r="E161" s="322" t="s">
        <v>176</v>
      </c>
      <c r="F161" s="329"/>
      <c r="G161" s="327">
        <v>13</v>
      </c>
      <c r="H161" s="325"/>
      <c r="I161" s="316"/>
      <c r="J161" s="316"/>
    </row>
    <row r="162" spans="1:10" x14ac:dyDescent="0.2">
      <c r="A162" s="319" t="s">
        <v>429</v>
      </c>
      <c r="B162" s="316" t="s">
        <v>139</v>
      </c>
      <c r="C162" s="369">
        <v>13</v>
      </c>
      <c r="D162" s="325"/>
      <c r="E162" s="326"/>
      <c r="F162" s="314"/>
      <c r="G162" s="314"/>
      <c r="H162" s="325"/>
      <c r="I162" s="316"/>
      <c r="J162" s="316"/>
    </row>
    <row r="163" spans="1:10" x14ac:dyDescent="0.2">
      <c r="A163" s="319"/>
      <c r="B163" s="320"/>
      <c r="C163" s="326" t="s">
        <v>139</v>
      </c>
      <c r="D163" s="329"/>
      <c r="E163" s="327">
        <v>3</v>
      </c>
      <c r="F163" s="316"/>
      <c r="G163" s="314"/>
      <c r="H163" s="325"/>
      <c r="I163" s="316"/>
      <c r="J163" s="316"/>
    </row>
    <row r="164" spans="1:10" x14ac:dyDescent="0.2">
      <c r="A164" s="370" t="s">
        <v>446</v>
      </c>
      <c r="B164" s="374" t="s">
        <v>212</v>
      </c>
      <c r="C164" s="330">
        <v>0</v>
      </c>
      <c r="D164" s="316"/>
      <c r="E164" s="314"/>
      <c r="F164" s="314"/>
      <c r="G164" s="314"/>
      <c r="H164" s="325"/>
      <c r="I164" s="316"/>
      <c r="J164" s="316"/>
    </row>
    <row r="165" spans="1:10" ht="13.5" thickBot="1" x14ac:dyDescent="0.25">
      <c r="A165" s="371"/>
      <c r="B165" s="316"/>
      <c r="C165" s="316"/>
      <c r="D165" s="316"/>
      <c r="E165" s="316"/>
      <c r="F165" s="316"/>
      <c r="G165" s="314"/>
      <c r="H165" s="325"/>
      <c r="I165" s="316"/>
      <c r="J165" s="316" t="s">
        <v>128</v>
      </c>
    </row>
    <row r="166" spans="1:10" x14ac:dyDescent="0.2">
      <c r="A166" s="317" t="s">
        <v>447</v>
      </c>
      <c r="B166" s="365" t="s">
        <v>212</v>
      </c>
      <c r="C166" s="318">
        <v>0</v>
      </c>
      <c r="D166" s="316"/>
      <c r="E166" s="316"/>
      <c r="F166" s="316"/>
      <c r="G166" s="314"/>
      <c r="H166" s="325"/>
      <c r="I166" s="332"/>
      <c r="J166" s="333" t="s">
        <v>247</v>
      </c>
    </row>
    <row r="167" spans="1:10" x14ac:dyDescent="0.2">
      <c r="A167" s="319"/>
      <c r="B167" s="320"/>
      <c r="C167" s="321" t="s">
        <v>149</v>
      </c>
      <c r="D167" s="316"/>
      <c r="E167" s="318">
        <v>13</v>
      </c>
      <c r="F167" s="316"/>
      <c r="G167" s="314"/>
      <c r="H167" s="325"/>
      <c r="I167" s="316"/>
      <c r="J167" s="316"/>
    </row>
    <row r="168" spans="1:10" x14ac:dyDescent="0.2">
      <c r="A168" s="319" t="s">
        <v>430</v>
      </c>
      <c r="B168" s="322" t="s">
        <v>149</v>
      </c>
      <c r="C168" s="323">
        <v>13</v>
      </c>
      <c r="D168" s="324"/>
      <c r="E168" s="316"/>
      <c r="F168" s="316"/>
      <c r="G168" s="314"/>
      <c r="H168" s="325"/>
      <c r="I168" s="316"/>
      <c r="J168" s="316"/>
    </row>
    <row r="169" spans="1:10" x14ac:dyDescent="0.2">
      <c r="A169" s="319"/>
      <c r="B169" s="316"/>
      <c r="C169" s="316"/>
      <c r="D169" s="325"/>
      <c r="E169" s="316" t="s">
        <v>149</v>
      </c>
      <c r="F169" s="316"/>
      <c r="G169" s="327">
        <v>3</v>
      </c>
      <c r="H169" s="325"/>
      <c r="I169" s="316"/>
      <c r="J169" s="316"/>
    </row>
    <row r="170" spans="1:10" x14ac:dyDescent="0.2">
      <c r="A170" s="319" t="s">
        <v>369</v>
      </c>
      <c r="B170" s="316" t="s">
        <v>137</v>
      </c>
      <c r="C170" s="327">
        <v>13</v>
      </c>
      <c r="D170" s="325"/>
      <c r="E170" s="328"/>
      <c r="F170" s="324"/>
      <c r="G170" s="314"/>
      <c r="H170" s="325"/>
      <c r="I170" s="316"/>
      <c r="J170" s="316"/>
    </row>
    <row r="171" spans="1:10" x14ac:dyDescent="0.2">
      <c r="A171" s="319"/>
      <c r="B171" s="320"/>
      <c r="C171" s="326" t="s">
        <v>137</v>
      </c>
      <c r="D171" s="329"/>
      <c r="E171" s="327">
        <v>7</v>
      </c>
      <c r="F171" s="325"/>
      <c r="G171" s="314"/>
      <c r="H171" s="325"/>
      <c r="I171" s="316"/>
      <c r="J171" s="316"/>
    </row>
    <row r="172" spans="1:10" x14ac:dyDescent="0.2">
      <c r="A172" s="319" t="s">
        <v>370</v>
      </c>
      <c r="B172" s="322" t="s">
        <v>141</v>
      </c>
      <c r="C172" s="373" t="s">
        <v>228</v>
      </c>
      <c r="D172" s="316"/>
      <c r="E172" s="314"/>
      <c r="F172" s="325"/>
      <c r="G172" s="314"/>
      <c r="H172" s="325"/>
      <c r="I172" s="316"/>
      <c r="J172" s="316"/>
    </row>
    <row r="173" spans="1:10" x14ac:dyDescent="0.2">
      <c r="A173" s="316"/>
      <c r="B173" s="316"/>
      <c r="C173" s="316"/>
      <c r="D173" s="316"/>
      <c r="E173" s="314"/>
      <c r="F173" s="325"/>
      <c r="G173" s="322" t="s">
        <v>128</v>
      </c>
      <c r="H173" s="329"/>
      <c r="I173" s="375" t="s">
        <v>365</v>
      </c>
      <c r="J173" s="316"/>
    </row>
    <row r="174" spans="1:10" ht="13.5" thickBot="1" x14ac:dyDescent="0.25">
      <c r="A174" s="317" t="s">
        <v>447</v>
      </c>
      <c r="B174" s="365" t="s">
        <v>212</v>
      </c>
      <c r="C174" s="318">
        <v>0</v>
      </c>
      <c r="D174" s="316"/>
      <c r="E174" s="314"/>
      <c r="F174" s="325"/>
      <c r="G174" s="316"/>
      <c r="H174" s="316"/>
      <c r="I174" s="316"/>
      <c r="J174" s="314" t="s">
        <v>176</v>
      </c>
    </row>
    <row r="175" spans="1:10" x14ac:dyDescent="0.2">
      <c r="A175" s="319"/>
      <c r="B175" s="320"/>
      <c r="C175" s="321" t="s">
        <v>105</v>
      </c>
      <c r="D175" s="316"/>
      <c r="E175" s="327">
        <v>1</v>
      </c>
      <c r="F175" s="325"/>
      <c r="G175" s="316"/>
      <c r="H175" s="316"/>
      <c r="I175" s="316"/>
      <c r="J175" s="333" t="s">
        <v>248</v>
      </c>
    </row>
    <row r="176" spans="1:10" x14ac:dyDescent="0.2">
      <c r="A176" s="319" t="s">
        <v>431</v>
      </c>
      <c r="B176" s="322" t="s">
        <v>105</v>
      </c>
      <c r="C176" s="323">
        <v>13</v>
      </c>
      <c r="D176" s="324"/>
      <c r="E176" s="314"/>
      <c r="F176" s="325"/>
      <c r="G176" s="316"/>
      <c r="H176" s="316"/>
      <c r="I176" s="316"/>
      <c r="J176" s="316"/>
    </row>
    <row r="177" spans="1:10" x14ac:dyDescent="0.2">
      <c r="A177" s="319"/>
      <c r="B177" s="316"/>
      <c r="C177" s="316"/>
      <c r="D177" s="325"/>
      <c r="E177" s="322" t="s">
        <v>128</v>
      </c>
      <c r="F177" s="329"/>
      <c r="G177" s="318">
        <v>13</v>
      </c>
      <c r="H177" s="316"/>
      <c r="I177" s="316"/>
      <c r="J177" s="316"/>
    </row>
    <row r="178" spans="1:10" x14ac:dyDescent="0.2">
      <c r="A178" s="319" t="s">
        <v>372</v>
      </c>
      <c r="B178" s="316" t="s">
        <v>130</v>
      </c>
      <c r="C178" s="327">
        <v>2</v>
      </c>
      <c r="D178" s="325"/>
      <c r="E178" s="326"/>
      <c r="F178" s="314"/>
      <c r="G178" s="316"/>
      <c r="H178" s="316"/>
      <c r="I178" s="316"/>
      <c r="J178" s="316"/>
    </row>
    <row r="179" spans="1:10" x14ac:dyDescent="0.2">
      <c r="A179" s="319"/>
      <c r="B179" s="320"/>
      <c r="C179" s="326" t="s">
        <v>128</v>
      </c>
      <c r="D179" s="329"/>
      <c r="E179" s="327">
        <v>13</v>
      </c>
      <c r="F179" s="316"/>
      <c r="G179" s="316" t="s">
        <v>127</v>
      </c>
      <c r="H179" s="316"/>
      <c r="I179" s="327">
        <v>13</v>
      </c>
      <c r="J179" s="316"/>
    </row>
    <row r="180" spans="1:10" ht="13.5" thickBot="1" x14ac:dyDescent="0.25">
      <c r="A180" s="319" t="s">
        <v>448</v>
      </c>
      <c r="B180" s="322" t="s">
        <v>128</v>
      </c>
      <c r="C180" s="330">
        <v>13</v>
      </c>
      <c r="D180" s="316"/>
      <c r="E180" s="314"/>
      <c r="F180" s="314"/>
      <c r="G180" s="320"/>
      <c r="H180" s="324"/>
      <c r="I180" s="335"/>
      <c r="J180" s="335" t="s">
        <v>127</v>
      </c>
    </row>
    <row r="181" spans="1:10" x14ac:dyDescent="0.2">
      <c r="A181" s="316"/>
      <c r="B181" s="316"/>
      <c r="C181" s="316"/>
      <c r="D181" s="316"/>
      <c r="E181" s="316"/>
      <c r="F181" s="314"/>
      <c r="G181" s="322" t="s">
        <v>149</v>
      </c>
      <c r="H181" s="329"/>
      <c r="I181" s="318">
        <v>2</v>
      </c>
      <c r="J181" s="336" t="s">
        <v>249</v>
      </c>
    </row>
    <row r="182" spans="1:10" x14ac:dyDescent="0.2">
      <c r="A182" s="316"/>
      <c r="B182" s="316"/>
      <c r="C182" s="316"/>
      <c r="D182" s="316"/>
      <c r="E182" s="316"/>
      <c r="F182" s="314"/>
      <c r="G182" s="316"/>
      <c r="H182" s="316"/>
      <c r="I182" s="316"/>
      <c r="J182" s="314"/>
    </row>
    <row r="183" spans="1:10" ht="13.5" thickBot="1" x14ac:dyDescent="0.25">
      <c r="A183" s="316"/>
      <c r="B183" s="316"/>
      <c r="C183" s="316"/>
      <c r="D183" s="316"/>
      <c r="E183" s="316"/>
      <c r="F183" s="314"/>
      <c r="G183" s="314"/>
      <c r="H183" s="314"/>
      <c r="I183" s="316"/>
      <c r="J183" s="335" t="s">
        <v>149</v>
      </c>
    </row>
    <row r="184" spans="1:10" x14ac:dyDescent="0.2">
      <c r="A184" s="316"/>
      <c r="B184" s="316"/>
      <c r="C184" s="316"/>
      <c r="D184" s="316"/>
      <c r="E184" s="316"/>
      <c r="F184" s="316"/>
      <c r="G184" s="314"/>
      <c r="H184" s="314"/>
      <c r="I184" s="316"/>
      <c r="J184" s="331" t="s">
        <v>250</v>
      </c>
    </row>
    <row r="185" spans="1:10" x14ac:dyDescent="0.2">
      <c r="A185" s="316"/>
      <c r="B185" s="316"/>
      <c r="C185" s="316"/>
      <c r="D185" s="316"/>
      <c r="E185" s="316"/>
      <c r="F185" s="316"/>
      <c r="G185" s="314"/>
      <c r="H185" s="314"/>
      <c r="I185" s="316"/>
      <c r="J185" s="331"/>
    </row>
    <row r="186" spans="1:10" x14ac:dyDescent="0.2">
      <c r="A186" s="208" t="s">
        <v>449</v>
      </c>
      <c r="B186" s="316"/>
      <c r="C186" s="316"/>
      <c r="D186" s="316"/>
      <c r="E186" s="316"/>
      <c r="F186" s="316"/>
      <c r="G186" s="314"/>
      <c r="H186" s="314"/>
      <c r="I186" s="316"/>
      <c r="J186" s="331"/>
    </row>
    <row r="187" spans="1:10" x14ac:dyDescent="0.2">
      <c r="A187" s="316"/>
      <c r="B187" s="316"/>
      <c r="C187" s="316"/>
      <c r="D187" s="316"/>
      <c r="E187" s="316"/>
      <c r="F187" s="316"/>
      <c r="G187" s="314"/>
      <c r="H187" s="314"/>
      <c r="I187" s="316"/>
      <c r="J187" s="331"/>
    </row>
    <row r="188" spans="1:10" x14ac:dyDescent="0.2">
      <c r="A188" s="337"/>
      <c r="B188" s="316"/>
      <c r="C188" s="316"/>
      <c r="D188" s="316"/>
      <c r="E188" s="365" t="s">
        <v>109</v>
      </c>
      <c r="F188" s="316"/>
      <c r="G188" s="377">
        <v>11</v>
      </c>
      <c r="H188" s="316"/>
      <c r="I188" s="316"/>
      <c r="J188" s="316"/>
    </row>
    <row r="189" spans="1:10" x14ac:dyDescent="0.2">
      <c r="A189" s="347"/>
      <c r="B189" s="347"/>
      <c r="C189" s="347"/>
      <c r="D189" s="347"/>
      <c r="E189" s="349"/>
      <c r="F189" s="350"/>
      <c r="G189" s="351" t="s">
        <v>139</v>
      </c>
      <c r="H189" s="352"/>
      <c r="I189" s="348">
        <v>12</v>
      </c>
      <c r="J189" s="316"/>
    </row>
    <row r="190" spans="1:10" x14ac:dyDescent="0.2">
      <c r="A190" s="347"/>
      <c r="B190" s="347"/>
      <c r="C190" s="347"/>
      <c r="D190" s="347"/>
      <c r="E190" s="352" t="s">
        <v>139</v>
      </c>
      <c r="F190" s="358"/>
      <c r="G190" s="353">
        <v>13</v>
      </c>
      <c r="H190" s="355"/>
      <c r="I190" s="347"/>
      <c r="J190" s="347"/>
    </row>
    <row r="191" spans="1:10" ht="13.5" thickBot="1" x14ac:dyDescent="0.25">
      <c r="A191" s="347"/>
      <c r="B191" s="347"/>
      <c r="C191" s="347"/>
      <c r="D191" s="347"/>
      <c r="E191" s="347"/>
      <c r="F191" s="347"/>
      <c r="G191" s="354"/>
      <c r="H191" s="355"/>
      <c r="I191" s="347"/>
      <c r="J191" s="347" t="s">
        <v>105</v>
      </c>
    </row>
    <row r="192" spans="1:10" x14ac:dyDescent="0.2">
      <c r="A192" s="347"/>
      <c r="B192" s="347"/>
      <c r="C192" s="347"/>
      <c r="D192" s="347"/>
      <c r="E192" s="347" t="s">
        <v>137</v>
      </c>
      <c r="F192" s="347"/>
      <c r="G192" s="356">
        <v>8</v>
      </c>
      <c r="H192" s="355"/>
      <c r="I192" s="360"/>
      <c r="J192" s="361" t="s">
        <v>433</v>
      </c>
    </row>
    <row r="193" spans="1:10" x14ac:dyDescent="0.2">
      <c r="A193" s="347"/>
      <c r="B193" s="347"/>
      <c r="C193" s="347"/>
      <c r="D193" s="347"/>
      <c r="E193" s="349"/>
      <c r="F193" s="350"/>
      <c r="G193" s="357" t="s">
        <v>105</v>
      </c>
      <c r="H193" s="358"/>
      <c r="I193" s="356">
        <v>13</v>
      </c>
      <c r="J193" s="347"/>
    </row>
    <row r="194" spans="1:10" ht="13.5" thickBot="1" x14ac:dyDescent="0.25">
      <c r="A194" s="347"/>
      <c r="B194" s="347"/>
      <c r="C194" s="347"/>
      <c r="D194" s="347"/>
      <c r="E194" s="352" t="s">
        <v>105</v>
      </c>
      <c r="F194" s="358"/>
      <c r="G194" s="359">
        <v>13</v>
      </c>
      <c r="H194" s="347"/>
      <c r="I194" s="354"/>
      <c r="J194" s="354" t="s">
        <v>139</v>
      </c>
    </row>
    <row r="195" spans="1:10" x14ac:dyDescent="0.2">
      <c r="A195" s="347"/>
      <c r="B195" s="347"/>
      <c r="C195" s="347"/>
      <c r="D195" s="347"/>
      <c r="E195" s="347"/>
      <c r="F195" s="347"/>
      <c r="G195" s="347"/>
      <c r="H195" s="347"/>
      <c r="I195" s="354"/>
      <c r="J195" s="361" t="s">
        <v>434</v>
      </c>
    </row>
    <row r="196" spans="1:10" x14ac:dyDescent="0.2">
      <c r="A196" s="347"/>
      <c r="B196" s="347"/>
      <c r="C196" s="347"/>
      <c r="D196" s="347"/>
      <c r="E196" s="347"/>
      <c r="F196" s="347"/>
      <c r="G196" s="347" t="s">
        <v>109</v>
      </c>
      <c r="H196" s="347"/>
      <c r="I196" s="356" t="s">
        <v>228</v>
      </c>
      <c r="J196" s="354"/>
    </row>
    <row r="197" spans="1:10" ht="13.5" thickBot="1" x14ac:dyDescent="0.25">
      <c r="A197" s="347"/>
      <c r="B197" s="347"/>
      <c r="C197" s="347"/>
      <c r="D197" s="347"/>
      <c r="E197" s="347"/>
      <c r="F197" s="347"/>
      <c r="G197" s="349"/>
      <c r="H197" s="350"/>
      <c r="I197" s="362"/>
      <c r="J197" s="362" t="s">
        <v>137</v>
      </c>
    </row>
    <row r="198" spans="1:10" x14ac:dyDescent="0.2">
      <c r="A198" s="347"/>
      <c r="B198" s="347"/>
      <c r="C198" s="347"/>
      <c r="D198" s="347"/>
      <c r="E198" s="347"/>
      <c r="F198" s="347"/>
      <c r="G198" s="352" t="s">
        <v>137</v>
      </c>
      <c r="H198" s="358"/>
      <c r="I198" s="348">
        <v>13</v>
      </c>
      <c r="J198" s="363" t="s">
        <v>435</v>
      </c>
    </row>
    <row r="199" spans="1:10" x14ac:dyDescent="0.2">
      <c r="A199" s="347"/>
      <c r="B199" s="347"/>
      <c r="C199" s="347"/>
      <c r="D199" s="347"/>
      <c r="E199" s="347"/>
      <c r="F199" s="347"/>
      <c r="G199" s="347"/>
      <c r="H199" s="347"/>
      <c r="I199" s="347"/>
      <c r="J199" s="354"/>
    </row>
    <row r="200" spans="1:10" ht="13.5" thickBot="1" x14ac:dyDescent="0.25">
      <c r="A200" s="347"/>
      <c r="B200" s="347"/>
      <c r="C200" s="347"/>
      <c r="D200" s="347"/>
      <c r="I200" s="347"/>
      <c r="J200" s="362" t="s">
        <v>109</v>
      </c>
    </row>
    <row r="201" spans="1:10" x14ac:dyDescent="0.2">
      <c r="A201" s="316"/>
      <c r="B201" s="316"/>
      <c r="C201" s="316"/>
      <c r="D201" s="316"/>
      <c r="I201" s="348"/>
      <c r="J201" s="364" t="s">
        <v>436</v>
      </c>
    </row>
    <row r="202" spans="1:10" x14ac:dyDescent="0.2">
      <c r="B202" s="240"/>
      <c r="C202" s="241"/>
      <c r="I202" s="347"/>
      <c r="J202" s="347"/>
    </row>
    <row r="203" spans="1:10" x14ac:dyDescent="0.2">
      <c r="A203" s="208" t="s">
        <v>443</v>
      </c>
      <c r="B203" s="240"/>
      <c r="C203" s="241"/>
    </row>
    <row r="204" spans="1:10" x14ac:dyDescent="0.2">
      <c r="B204" s="240"/>
      <c r="C204" s="241"/>
      <c r="E204" s="347" t="s">
        <v>212</v>
      </c>
      <c r="F204" s="347"/>
      <c r="G204" s="348">
        <v>0</v>
      </c>
      <c r="H204" s="347"/>
    </row>
    <row r="205" spans="1:10" x14ac:dyDescent="0.2">
      <c r="B205" s="240"/>
      <c r="C205" s="241"/>
      <c r="E205" s="349"/>
      <c r="F205" s="350"/>
      <c r="G205" s="351" t="s">
        <v>173</v>
      </c>
      <c r="H205" s="352"/>
    </row>
    <row r="206" spans="1:10" x14ac:dyDescent="0.2">
      <c r="B206" s="240"/>
      <c r="C206" s="241"/>
      <c r="E206" s="352" t="s">
        <v>173</v>
      </c>
      <c r="F206" s="358"/>
      <c r="G206" s="353">
        <v>13</v>
      </c>
      <c r="H206" s="355"/>
    </row>
    <row r="207" spans="1:10" ht="13.5" thickBot="1" x14ac:dyDescent="0.25">
      <c r="B207" s="240"/>
      <c r="C207" s="241"/>
      <c r="E207" s="347"/>
      <c r="F207" s="347"/>
      <c r="G207" s="354"/>
      <c r="H207" s="355"/>
      <c r="I207" s="347"/>
      <c r="J207" s="347" t="s">
        <v>130</v>
      </c>
    </row>
    <row r="208" spans="1:10" x14ac:dyDescent="0.2">
      <c r="B208" s="240"/>
      <c r="C208" s="241"/>
      <c r="E208" s="347" t="s">
        <v>141</v>
      </c>
      <c r="F208" s="347"/>
      <c r="G208" s="356" t="s">
        <v>228</v>
      </c>
      <c r="H208" s="355"/>
      <c r="I208" s="360"/>
      <c r="J208" s="361" t="s">
        <v>437</v>
      </c>
    </row>
    <row r="209" spans="1:10" x14ac:dyDescent="0.2">
      <c r="B209" s="240"/>
      <c r="C209" s="241"/>
      <c r="E209" s="349"/>
      <c r="F209" s="350"/>
      <c r="G209" s="357" t="s">
        <v>130</v>
      </c>
      <c r="H209" s="358"/>
      <c r="I209" s="356">
        <v>13</v>
      </c>
      <c r="J209" s="347"/>
    </row>
    <row r="210" spans="1:10" ht="13.5" thickBot="1" x14ac:dyDescent="0.25">
      <c r="B210" s="240"/>
      <c r="C210" s="241"/>
      <c r="E210" s="352" t="s">
        <v>130</v>
      </c>
      <c r="F210" s="358"/>
      <c r="G210" s="359">
        <v>13</v>
      </c>
      <c r="H210" s="347"/>
      <c r="I210" s="354"/>
      <c r="J210" s="354" t="s">
        <v>173</v>
      </c>
    </row>
    <row r="211" spans="1:10" x14ac:dyDescent="0.2">
      <c r="B211" s="240"/>
      <c r="C211" s="241"/>
      <c r="E211" s="347"/>
      <c r="F211" s="347"/>
      <c r="G211" s="347"/>
      <c r="H211" s="347"/>
      <c r="I211" s="354"/>
      <c r="J211" s="361" t="s">
        <v>438</v>
      </c>
    </row>
    <row r="212" spans="1:10" x14ac:dyDescent="0.2">
      <c r="B212" s="240"/>
      <c r="C212" s="241"/>
      <c r="E212" s="347"/>
      <c r="F212" s="347"/>
      <c r="G212" s="347" t="s">
        <v>212</v>
      </c>
      <c r="H212" s="347"/>
      <c r="I212" s="356">
        <v>0</v>
      </c>
      <c r="J212" s="354"/>
    </row>
    <row r="213" spans="1:10" ht="13.5" thickBot="1" x14ac:dyDescent="0.25">
      <c r="B213" s="240"/>
      <c r="C213" s="241"/>
      <c r="E213" s="347"/>
      <c r="F213" s="347"/>
      <c r="G213" s="349"/>
      <c r="H213" s="350"/>
      <c r="I213" s="362"/>
      <c r="J213" s="362" t="s">
        <v>141</v>
      </c>
    </row>
    <row r="214" spans="1:10" x14ac:dyDescent="0.2">
      <c r="C214" s="241"/>
      <c r="E214" s="347"/>
      <c r="F214" s="347"/>
      <c r="G214" s="352" t="s">
        <v>141</v>
      </c>
      <c r="H214" s="358"/>
      <c r="I214" s="348">
        <v>13</v>
      </c>
      <c r="J214" s="363" t="s">
        <v>439</v>
      </c>
    </row>
    <row r="215" spans="1:10" x14ac:dyDescent="0.2">
      <c r="C215" s="241"/>
      <c r="J215" s="354"/>
    </row>
    <row r="216" spans="1:10" x14ac:dyDescent="0.2">
      <c r="A216" s="232">
        <v>1</v>
      </c>
      <c r="B216" s="284" t="s">
        <v>131</v>
      </c>
      <c r="I216" s="347"/>
    </row>
    <row r="217" spans="1:10" x14ac:dyDescent="0.2">
      <c r="A217" s="232">
        <v>2</v>
      </c>
      <c r="B217" s="285" t="s">
        <v>112</v>
      </c>
      <c r="I217" s="347"/>
    </row>
    <row r="218" spans="1:10" x14ac:dyDescent="0.2">
      <c r="A218" s="232">
        <v>3</v>
      </c>
      <c r="B218" s="286" t="s">
        <v>118</v>
      </c>
    </row>
    <row r="219" spans="1:10" x14ac:dyDescent="0.2">
      <c r="A219" s="232">
        <v>4</v>
      </c>
      <c r="B219" s="257" t="s">
        <v>110</v>
      </c>
    </row>
    <row r="220" spans="1:10" x14ac:dyDescent="0.2">
      <c r="A220" s="232">
        <v>5</v>
      </c>
      <c r="B220" s="257" t="s">
        <v>103</v>
      </c>
    </row>
    <row r="221" spans="1:10" x14ac:dyDescent="0.2">
      <c r="A221" s="232">
        <v>6</v>
      </c>
      <c r="B221" s="257" t="s">
        <v>121</v>
      </c>
    </row>
    <row r="222" spans="1:10" x14ac:dyDescent="0.2">
      <c r="A222" s="232">
        <v>7</v>
      </c>
      <c r="B222" s="257" t="s">
        <v>126</v>
      </c>
    </row>
    <row r="223" spans="1:10" x14ac:dyDescent="0.2">
      <c r="A223" s="232">
        <v>8</v>
      </c>
      <c r="B223" s="258" t="s">
        <v>130</v>
      </c>
    </row>
    <row r="224" spans="1:10" x14ac:dyDescent="0.2">
      <c r="A224" s="232">
        <v>9</v>
      </c>
      <c r="B224" s="257" t="s">
        <v>122</v>
      </c>
    </row>
    <row r="225" spans="1:2" x14ac:dyDescent="0.2">
      <c r="A225" s="232">
        <v>10</v>
      </c>
      <c r="B225" s="257" t="s">
        <v>106</v>
      </c>
    </row>
    <row r="226" spans="1:2" x14ac:dyDescent="0.2">
      <c r="A226" s="232">
        <v>11</v>
      </c>
      <c r="B226" s="257" t="s">
        <v>108</v>
      </c>
    </row>
    <row r="227" spans="1:2" x14ac:dyDescent="0.2">
      <c r="A227" s="232">
        <v>12</v>
      </c>
      <c r="B227" s="257" t="s">
        <v>144</v>
      </c>
    </row>
    <row r="228" spans="1:2" x14ac:dyDescent="0.2">
      <c r="A228" s="232">
        <v>13</v>
      </c>
      <c r="B228" s="257" t="s">
        <v>113</v>
      </c>
    </row>
    <row r="229" spans="1:2" x14ac:dyDescent="0.2">
      <c r="A229" s="232">
        <v>14</v>
      </c>
      <c r="B229" s="258" t="s">
        <v>132</v>
      </c>
    </row>
    <row r="230" spans="1:2" x14ac:dyDescent="0.2">
      <c r="A230" s="232">
        <v>15</v>
      </c>
      <c r="B230" s="257" t="s">
        <v>119</v>
      </c>
    </row>
    <row r="231" spans="1:2" x14ac:dyDescent="0.2">
      <c r="A231" s="232">
        <v>16</v>
      </c>
      <c r="B231" s="257" t="s">
        <v>135</v>
      </c>
    </row>
    <row r="232" spans="1:2" x14ac:dyDescent="0.2">
      <c r="A232" s="232">
        <v>17</v>
      </c>
      <c r="B232" s="257" t="s">
        <v>128</v>
      </c>
    </row>
    <row r="233" spans="1:2" x14ac:dyDescent="0.2">
      <c r="A233" s="232">
        <v>18</v>
      </c>
      <c r="B233" s="257" t="s">
        <v>176</v>
      </c>
    </row>
    <row r="234" spans="1:2" x14ac:dyDescent="0.2">
      <c r="A234" s="232">
        <v>19</v>
      </c>
      <c r="B234" s="257" t="s">
        <v>127</v>
      </c>
    </row>
    <row r="235" spans="1:2" x14ac:dyDescent="0.2">
      <c r="A235" s="232">
        <v>20</v>
      </c>
      <c r="B235" s="258" t="s">
        <v>149</v>
      </c>
    </row>
    <row r="236" spans="1:2" x14ac:dyDescent="0.2">
      <c r="A236" s="232">
        <v>21</v>
      </c>
      <c r="B236" s="257" t="s">
        <v>105</v>
      </c>
    </row>
    <row r="237" spans="1:2" x14ac:dyDescent="0.2">
      <c r="A237" s="232">
        <v>22</v>
      </c>
      <c r="B237" s="257" t="s">
        <v>139</v>
      </c>
    </row>
    <row r="238" spans="1:2" x14ac:dyDescent="0.2">
      <c r="A238" s="232">
        <v>23</v>
      </c>
      <c r="B238" s="257" t="s">
        <v>137</v>
      </c>
    </row>
    <row r="239" spans="1:2" x14ac:dyDescent="0.2">
      <c r="A239" s="232">
        <v>24</v>
      </c>
      <c r="B239" s="257" t="s">
        <v>109</v>
      </c>
    </row>
    <row r="240" spans="1:2" x14ac:dyDescent="0.2">
      <c r="A240" s="232">
        <v>25</v>
      </c>
      <c r="B240" s="257" t="s">
        <v>130</v>
      </c>
    </row>
    <row r="241" spans="1:2" x14ac:dyDescent="0.2">
      <c r="A241" s="232">
        <v>26</v>
      </c>
      <c r="B241" s="258" t="s">
        <v>173</v>
      </c>
    </row>
    <row r="242" spans="1:2" x14ac:dyDescent="0.2">
      <c r="A242" s="232">
        <v>27</v>
      </c>
      <c r="B242" s="257" t="s">
        <v>141</v>
      </c>
    </row>
  </sheetData>
  <conditionalFormatting sqref="C56:J58 I121:I122 C7:I27 H28:I55 I200:I202 I207:I214 C188:C210 C55:G55 D200:D210 C59:C149 D59:J59 D60:E149 F60:I120 F121:H123 F124:I149 D188:I199 E204:H214">
    <cfRule type="cellIs" dxfId="28" priority="5" operator="equal">
      <formula>13</formula>
    </cfRule>
  </conditionalFormatting>
  <conditionalFormatting sqref="D53:G53 E54:G54 C53:C54 C52:G52 C28:G46">
    <cfRule type="cellIs" dxfId="27" priority="3" operator="equal">
      <formula>13</formula>
    </cfRule>
  </conditionalFormatting>
  <conditionalFormatting sqref="C47:G51">
    <cfRule type="cellIs" dxfId="26" priority="2" operator="equal">
      <formula>13</formula>
    </cfRule>
  </conditionalFormatting>
  <conditionalFormatting sqref="C150:I187">
    <cfRule type="cellIs" dxfId="25" priority="1" operator="equal">
      <formula>13</formula>
    </cfRule>
  </conditionalFormatting>
  <pageMargins left="0.78740157480314965" right="0.39370078740157483" top="0.78740157480314965" bottom="0.27559055118110237" header="0.59055118110236227" footer="0"/>
  <pageSetup paperSize="9" fitToHeight="0" orientation="portrait" r:id="rId1"/>
  <headerFooter>
    <oddHeader>&amp;R&amp;"Arial,Regular"&amp;9Page &amp;P of &amp;N</oddHeader>
  </headerFooter>
  <rowBreaks count="4" manualBreakCount="4">
    <brk id="55" max="16383" man="1"/>
    <brk id="110" max="16383" man="1"/>
    <brk id="146" max="16383" man="1"/>
    <brk id="20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8"/>
  <sheetViews>
    <sheetView showGridLines="0" showRowColHeaders="0" workbookViewId="0">
      <pane ySplit="2" topLeftCell="A3" activePane="bottomLeft" state="frozen"/>
      <selection pane="bottomLeft" activeCell="L1" sqref="L1"/>
    </sheetView>
  </sheetViews>
  <sheetFormatPr defaultRowHeight="12.75" x14ac:dyDescent="0.2"/>
  <cols>
    <col min="1" max="1" width="3" style="160" customWidth="1"/>
    <col min="2" max="2" width="18.7109375" style="160" bestFit="1" customWidth="1"/>
    <col min="3" max="3" width="6.28515625" style="160" customWidth="1"/>
    <col min="4" max="4" width="6.5703125" style="160" bestFit="1" customWidth="1"/>
    <col min="5" max="25" width="4.42578125" style="160" customWidth="1"/>
    <col min="26" max="256" width="9.140625" style="160"/>
    <col min="257" max="257" width="3" style="160" customWidth="1"/>
    <col min="258" max="258" width="18.7109375" style="160" bestFit="1" customWidth="1"/>
    <col min="259" max="259" width="6.28515625" style="160" customWidth="1"/>
    <col min="260" max="260" width="6.5703125" style="160" bestFit="1" customWidth="1"/>
    <col min="261" max="281" width="4.42578125" style="160" customWidth="1"/>
    <col min="282" max="512" width="9.140625" style="160"/>
    <col min="513" max="513" width="3" style="160" customWidth="1"/>
    <col min="514" max="514" width="18.7109375" style="160" bestFit="1" customWidth="1"/>
    <col min="515" max="515" width="6.28515625" style="160" customWidth="1"/>
    <col min="516" max="516" width="6.5703125" style="160" bestFit="1" customWidth="1"/>
    <col min="517" max="537" width="4.42578125" style="160" customWidth="1"/>
    <col min="538" max="768" width="9.140625" style="160"/>
    <col min="769" max="769" width="3" style="160" customWidth="1"/>
    <col min="770" max="770" width="18.7109375" style="160" bestFit="1" customWidth="1"/>
    <col min="771" max="771" width="6.28515625" style="160" customWidth="1"/>
    <col min="772" max="772" width="6.5703125" style="160" bestFit="1" customWidth="1"/>
    <col min="773" max="793" width="4.42578125" style="160" customWidth="1"/>
    <col min="794" max="1024" width="9.140625" style="160"/>
    <col min="1025" max="1025" width="3" style="160" customWidth="1"/>
    <col min="1026" max="1026" width="18.7109375" style="160" bestFit="1" customWidth="1"/>
    <col min="1027" max="1027" width="6.28515625" style="160" customWidth="1"/>
    <col min="1028" max="1028" width="6.5703125" style="160" bestFit="1" customWidth="1"/>
    <col min="1029" max="1049" width="4.42578125" style="160" customWidth="1"/>
    <col min="1050" max="1280" width="9.140625" style="160"/>
    <col min="1281" max="1281" width="3" style="160" customWidth="1"/>
    <col min="1282" max="1282" width="18.7109375" style="160" bestFit="1" customWidth="1"/>
    <col min="1283" max="1283" width="6.28515625" style="160" customWidth="1"/>
    <col min="1284" max="1284" width="6.5703125" style="160" bestFit="1" customWidth="1"/>
    <col min="1285" max="1305" width="4.42578125" style="160" customWidth="1"/>
    <col min="1306" max="1536" width="9.140625" style="160"/>
    <col min="1537" max="1537" width="3" style="160" customWidth="1"/>
    <col min="1538" max="1538" width="18.7109375" style="160" bestFit="1" customWidth="1"/>
    <col min="1539" max="1539" width="6.28515625" style="160" customWidth="1"/>
    <col min="1540" max="1540" width="6.5703125" style="160" bestFit="1" customWidth="1"/>
    <col min="1541" max="1561" width="4.42578125" style="160" customWidth="1"/>
    <col min="1562" max="1792" width="9.140625" style="160"/>
    <col min="1793" max="1793" width="3" style="160" customWidth="1"/>
    <col min="1794" max="1794" width="18.7109375" style="160" bestFit="1" customWidth="1"/>
    <col min="1795" max="1795" width="6.28515625" style="160" customWidth="1"/>
    <col min="1796" max="1796" width="6.5703125" style="160" bestFit="1" customWidth="1"/>
    <col min="1797" max="1817" width="4.42578125" style="160" customWidth="1"/>
    <col min="1818" max="2048" width="9.140625" style="160"/>
    <col min="2049" max="2049" width="3" style="160" customWidth="1"/>
    <col min="2050" max="2050" width="18.7109375" style="160" bestFit="1" customWidth="1"/>
    <col min="2051" max="2051" width="6.28515625" style="160" customWidth="1"/>
    <col min="2052" max="2052" width="6.5703125" style="160" bestFit="1" customWidth="1"/>
    <col min="2053" max="2073" width="4.42578125" style="160" customWidth="1"/>
    <col min="2074" max="2304" width="9.140625" style="160"/>
    <col min="2305" max="2305" width="3" style="160" customWidth="1"/>
    <col min="2306" max="2306" width="18.7109375" style="160" bestFit="1" customWidth="1"/>
    <col min="2307" max="2307" width="6.28515625" style="160" customWidth="1"/>
    <col min="2308" max="2308" width="6.5703125" style="160" bestFit="1" customWidth="1"/>
    <col min="2309" max="2329" width="4.42578125" style="160" customWidth="1"/>
    <col min="2330" max="2560" width="9.140625" style="160"/>
    <col min="2561" max="2561" width="3" style="160" customWidth="1"/>
    <col min="2562" max="2562" width="18.7109375" style="160" bestFit="1" customWidth="1"/>
    <col min="2563" max="2563" width="6.28515625" style="160" customWidth="1"/>
    <col min="2564" max="2564" width="6.5703125" style="160" bestFit="1" customWidth="1"/>
    <col min="2565" max="2585" width="4.42578125" style="160" customWidth="1"/>
    <col min="2586" max="2816" width="9.140625" style="160"/>
    <col min="2817" max="2817" width="3" style="160" customWidth="1"/>
    <col min="2818" max="2818" width="18.7109375" style="160" bestFit="1" customWidth="1"/>
    <col min="2819" max="2819" width="6.28515625" style="160" customWidth="1"/>
    <col min="2820" max="2820" width="6.5703125" style="160" bestFit="1" customWidth="1"/>
    <col min="2821" max="2841" width="4.42578125" style="160" customWidth="1"/>
    <col min="2842" max="3072" width="9.140625" style="160"/>
    <col min="3073" max="3073" width="3" style="160" customWidth="1"/>
    <col min="3074" max="3074" width="18.7109375" style="160" bestFit="1" customWidth="1"/>
    <col min="3075" max="3075" width="6.28515625" style="160" customWidth="1"/>
    <col min="3076" max="3076" width="6.5703125" style="160" bestFit="1" customWidth="1"/>
    <col min="3077" max="3097" width="4.42578125" style="160" customWidth="1"/>
    <col min="3098" max="3328" width="9.140625" style="160"/>
    <col min="3329" max="3329" width="3" style="160" customWidth="1"/>
    <col min="3330" max="3330" width="18.7109375" style="160" bestFit="1" customWidth="1"/>
    <col min="3331" max="3331" width="6.28515625" style="160" customWidth="1"/>
    <col min="3332" max="3332" width="6.5703125" style="160" bestFit="1" customWidth="1"/>
    <col min="3333" max="3353" width="4.42578125" style="160" customWidth="1"/>
    <col min="3354" max="3584" width="9.140625" style="160"/>
    <col min="3585" max="3585" width="3" style="160" customWidth="1"/>
    <col min="3586" max="3586" width="18.7109375" style="160" bestFit="1" customWidth="1"/>
    <col min="3587" max="3587" width="6.28515625" style="160" customWidth="1"/>
    <col min="3588" max="3588" width="6.5703125" style="160" bestFit="1" customWidth="1"/>
    <col min="3589" max="3609" width="4.42578125" style="160" customWidth="1"/>
    <col min="3610" max="3840" width="9.140625" style="160"/>
    <col min="3841" max="3841" width="3" style="160" customWidth="1"/>
    <col min="3842" max="3842" width="18.7109375" style="160" bestFit="1" customWidth="1"/>
    <col min="3843" max="3843" width="6.28515625" style="160" customWidth="1"/>
    <col min="3844" max="3844" width="6.5703125" style="160" bestFit="1" customWidth="1"/>
    <col min="3845" max="3865" width="4.42578125" style="160" customWidth="1"/>
    <col min="3866" max="4096" width="9.140625" style="160"/>
    <col min="4097" max="4097" width="3" style="160" customWidth="1"/>
    <col min="4098" max="4098" width="18.7109375" style="160" bestFit="1" customWidth="1"/>
    <col min="4099" max="4099" width="6.28515625" style="160" customWidth="1"/>
    <col min="4100" max="4100" width="6.5703125" style="160" bestFit="1" customWidth="1"/>
    <col min="4101" max="4121" width="4.42578125" style="160" customWidth="1"/>
    <col min="4122" max="4352" width="9.140625" style="160"/>
    <col min="4353" max="4353" width="3" style="160" customWidth="1"/>
    <col min="4354" max="4354" width="18.7109375" style="160" bestFit="1" customWidth="1"/>
    <col min="4355" max="4355" width="6.28515625" style="160" customWidth="1"/>
    <col min="4356" max="4356" width="6.5703125" style="160" bestFit="1" customWidth="1"/>
    <col min="4357" max="4377" width="4.42578125" style="160" customWidth="1"/>
    <col min="4378" max="4608" width="9.140625" style="160"/>
    <col min="4609" max="4609" width="3" style="160" customWidth="1"/>
    <col min="4610" max="4610" width="18.7109375" style="160" bestFit="1" customWidth="1"/>
    <col min="4611" max="4611" width="6.28515625" style="160" customWidth="1"/>
    <col min="4612" max="4612" width="6.5703125" style="160" bestFit="1" customWidth="1"/>
    <col min="4613" max="4633" width="4.42578125" style="160" customWidth="1"/>
    <col min="4634" max="4864" width="9.140625" style="160"/>
    <col min="4865" max="4865" width="3" style="160" customWidth="1"/>
    <col min="4866" max="4866" width="18.7109375" style="160" bestFit="1" customWidth="1"/>
    <col min="4867" max="4867" width="6.28515625" style="160" customWidth="1"/>
    <col min="4868" max="4868" width="6.5703125" style="160" bestFit="1" customWidth="1"/>
    <col min="4869" max="4889" width="4.42578125" style="160" customWidth="1"/>
    <col min="4890" max="5120" width="9.140625" style="160"/>
    <col min="5121" max="5121" width="3" style="160" customWidth="1"/>
    <col min="5122" max="5122" width="18.7109375" style="160" bestFit="1" customWidth="1"/>
    <col min="5123" max="5123" width="6.28515625" style="160" customWidth="1"/>
    <col min="5124" max="5124" width="6.5703125" style="160" bestFit="1" customWidth="1"/>
    <col min="5125" max="5145" width="4.42578125" style="160" customWidth="1"/>
    <col min="5146" max="5376" width="9.140625" style="160"/>
    <col min="5377" max="5377" width="3" style="160" customWidth="1"/>
    <col min="5378" max="5378" width="18.7109375" style="160" bestFit="1" customWidth="1"/>
    <col min="5379" max="5379" width="6.28515625" style="160" customWidth="1"/>
    <col min="5380" max="5380" width="6.5703125" style="160" bestFit="1" customWidth="1"/>
    <col min="5381" max="5401" width="4.42578125" style="160" customWidth="1"/>
    <col min="5402" max="5632" width="9.140625" style="160"/>
    <col min="5633" max="5633" width="3" style="160" customWidth="1"/>
    <col min="5634" max="5634" width="18.7109375" style="160" bestFit="1" customWidth="1"/>
    <col min="5635" max="5635" width="6.28515625" style="160" customWidth="1"/>
    <col min="5636" max="5636" width="6.5703125" style="160" bestFit="1" customWidth="1"/>
    <col min="5637" max="5657" width="4.42578125" style="160" customWidth="1"/>
    <col min="5658" max="5888" width="9.140625" style="160"/>
    <col min="5889" max="5889" width="3" style="160" customWidth="1"/>
    <col min="5890" max="5890" width="18.7109375" style="160" bestFit="1" customWidth="1"/>
    <col min="5891" max="5891" width="6.28515625" style="160" customWidth="1"/>
    <col min="5892" max="5892" width="6.5703125" style="160" bestFit="1" customWidth="1"/>
    <col min="5893" max="5913" width="4.42578125" style="160" customWidth="1"/>
    <col min="5914" max="6144" width="9.140625" style="160"/>
    <col min="6145" max="6145" width="3" style="160" customWidth="1"/>
    <col min="6146" max="6146" width="18.7109375" style="160" bestFit="1" customWidth="1"/>
    <col min="6147" max="6147" width="6.28515625" style="160" customWidth="1"/>
    <col min="6148" max="6148" width="6.5703125" style="160" bestFit="1" customWidth="1"/>
    <col min="6149" max="6169" width="4.42578125" style="160" customWidth="1"/>
    <col min="6170" max="6400" width="9.140625" style="160"/>
    <col min="6401" max="6401" width="3" style="160" customWidth="1"/>
    <col min="6402" max="6402" width="18.7109375" style="160" bestFit="1" customWidth="1"/>
    <col min="6403" max="6403" width="6.28515625" style="160" customWidth="1"/>
    <col min="6404" max="6404" width="6.5703125" style="160" bestFit="1" customWidth="1"/>
    <col min="6405" max="6425" width="4.42578125" style="160" customWidth="1"/>
    <col min="6426" max="6656" width="9.140625" style="160"/>
    <col min="6657" max="6657" width="3" style="160" customWidth="1"/>
    <col min="6658" max="6658" width="18.7109375" style="160" bestFit="1" customWidth="1"/>
    <col min="6659" max="6659" width="6.28515625" style="160" customWidth="1"/>
    <col min="6660" max="6660" width="6.5703125" style="160" bestFit="1" customWidth="1"/>
    <col min="6661" max="6681" width="4.42578125" style="160" customWidth="1"/>
    <col min="6682" max="6912" width="9.140625" style="160"/>
    <col min="6913" max="6913" width="3" style="160" customWidth="1"/>
    <col min="6914" max="6914" width="18.7109375" style="160" bestFit="1" customWidth="1"/>
    <col min="6915" max="6915" width="6.28515625" style="160" customWidth="1"/>
    <col min="6916" max="6916" width="6.5703125" style="160" bestFit="1" customWidth="1"/>
    <col min="6917" max="6937" width="4.42578125" style="160" customWidth="1"/>
    <col min="6938" max="7168" width="9.140625" style="160"/>
    <col min="7169" max="7169" width="3" style="160" customWidth="1"/>
    <col min="7170" max="7170" width="18.7109375" style="160" bestFit="1" customWidth="1"/>
    <col min="7171" max="7171" width="6.28515625" style="160" customWidth="1"/>
    <col min="7172" max="7172" width="6.5703125" style="160" bestFit="1" customWidth="1"/>
    <col min="7173" max="7193" width="4.42578125" style="160" customWidth="1"/>
    <col min="7194" max="7424" width="9.140625" style="160"/>
    <col min="7425" max="7425" width="3" style="160" customWidth="1"/>
    <col min="7426" max="7426" width="18.7109375" style="160" bestFit="1" customWidth="1"/>
    <col min="7427" max="7427" width="6.28515625" style="160" customWidth="1"/>
    <col min="7428" max="7428" width="6.5703125" style="160" bestFit="1" customWidth="1"/>
    <col min="7429" max="7449" width="4.42578125" style="160" customWidth="1"/>
    <col min="7450" max="7680" width="9.140625" style="160"/>
    <col min="7681" max="7681" width="3" style="160" customWidth="1"/>
    <col min="7682" max="7682" width="18.7109375" style="160" bestFit="1" customWidth="1"/>
    <col min="7683" max="7683" width="6.28515625" style="160" customWidth="1"/>
    <col min="7684" max="7684" width="6.5703125" style="160" bestFit="1" customWidth="1"/>
    <col min="7685" max="7705" width="4.42578125" style="160" customWidth="1"/>
    <col min="7706" max="7936" width="9.140625" style="160"/>
    <col min="7937" max="7937" width="3" style="160" customWidth="1"/>
    <col min="7938" max="7938" width="18.7109375" style="160" bestFit="1" customWidth="1"/>
    <col min="7939" max="7939" width="6.28515625" style="160" customWidth="1"/>
    <col min="7940" max="7940" width="6.5703125" style="160" bestFit="1" customWidth="1"/>
    <col min="7941" max="7961" width="4.42578125" style="160" customWidth="1"/>
    <col min="7962" max="8192" width="9.140625" style="160"/>
    <col min="8193" max="8193" width="3" style="160" customWidth="1"/>
    <col min="8194" max="8194" width="18.7109375" style="160" bestFit="1" customWidth="1"/>
    <col min="8195" max="8195" width="6.28515625" style="160" customWidth="1"/>
    <col min="8196" max="8196" width="6.5703125" style="160" bestFit="1" customWidth="1"/>
    <col min="8197" max="8217" width="4.42578125" style="160" customWidth="1"/>
    <col min="8218" max="8448" width="9.140625" style="160"/>
    <col min="8449" max="8449" width="3" style="160" customWidth="1"/>
    <col min="8450" max="8450" width="18.7109375" style="160" bestFit="1" customWidth="1"/>
    <col min="8451" max="8451" width="6.28515625" style="160" customWidth="1"/>
    <col min="8452" max="8452" width="6.5703125" style="160" bestFit="1" customWidth="1"/>
    <col min="8453" max="8473" width="4.42578125" style="160" customWidth="1"/>
    <col min="8474" max="8704" width="9.140625" style="160"/>
    <col min="8705" max="8705" width="3" style="160" customWidth="1"/>
    <col min="8706" max="8706" width="18.7109375" style="160" bestFit="1" customWidth="1"/>
    <col min="8707" max="8707" width="6.28515625" style="160" customWidth="1"/>
    <col min="8708" max="8708" width="6.5703125" style="160" bestFit="1" customWidth="1"/>
    <col min="8709" max="8729" width="4.42578125" style="160" customWidth="1"/>
    <col min="8730" max="8960" width="9.140625" style="160"/>
    <col min="8961" max="8961" width="3" style="160" customWidth="1"/>
    <col min="8962" max="8962" width="18.7109375" style="160" bestFit="1" customWidth="1"/>
    <col min="8963" max="8963" width="6.28515625" style="160" customWidth="1"/>
    <col min="8964" max="8964" width="6.5703125" style="160" bestFit="1" customWidth="1"/>
    <col min="8965" max="8985" width="4.42578125" style="160" customWidth="1"/>
    <col min="8986" max="9216" width="9.140625" style="160"/>
    <col min="9217" max="9217" width="3" style="160" customWidth="1"/>
    <col min="9218" max="9218" width="18.7109375" style="160" bestFit="1" customWidth="1"/>
    <col min="9219" max="9219" width="6.28515625" style="160" customWidth="1"/>
    <col min="9220" max="9220" width="6.5703125" style="160" bestFit="1" customWidth="1"/>
    <col min="9221" max="9241" width="4.42578125" style="160" customWidth="1"/>
    <col min="9242" max="9472" width="9.140625" style="160"/>
    <col min="9473" max="9473" width="3" style="160" customWidth="1"/>
    <col min="9474" max="9474" width="18.7109375" style="160" bestFit="1" customWidth="1"/>
    <col min="9475" max="9475" width="6.28515625" style="160" customWidth="1"/>
    <col min="9476" max="9476" width="6.5703125" style="160" bestFit="1" customWidth="1"/>
    <col min="9477" max="9497" width="4.42578125" style="160" customWidth="1"/>
    <col min="9498" max="9728" width="9.140625" style="160"/>
    <col min="9729" max="9729" width="3" style="160" customWidth="1"/>
    <col min="9730" max="9730" width="18.7109375" style="160" bestFit="1" customWidth="1"/>
    <col min="9731" max="9731" width="6.28515625" style="160" customWidth="1"/>
    <col min="9732" max="9732" width="6.5703125" style="160" bestFit="1" customWidth="1"/>
    <col min="9733" max="9753" width="4.42578125" style="160" customWidth="1"/>
    <col min="9754" max="9984" width="9.140625" style="160"/>
    <col min="9985" max="9985" width="3" style="160" customWidth="1"/>
    <col min="9986" max="9986" width="18.7109375" style="160" bestFit="1" customWidth="1"/>
    <col min="9987" max="9987" width="6.28515625" style="160" customWidth="1"/>
    <col min="9988" max="9988" width="6.5703125" style="160" bestFit="1" customWidth="1"/>
    <col min="9989" max="10009" width="4.42578125" style="160" customWidth="1"/>
    <col min="10010" max="10240" width="9.140625" style="160"/>
    <col min="10241" max="10241" width="3" style="160" customWidth="1"/>
    <col min="10242" max="10242" width="18.7109375" style="160" bestFit="1" customWidth="1"/>
    <col min="10243" max="10243" width="6.28515625" style="160" customWidth="1"/>
    <col min="10244" max="10244" width="6.5703125" style="160" bestFit="1" customWidth="1"/>
    <col min="10245" max="10265" width="4.42578125" style="160" customWidth="1"/>
    <col min="10266" max="10496" width="9.140625" style="160"/>
    <col min="10497" max="10497" width="3" style="160" customWidth="1"/>
    <col min="10498" max="10498" width="18.7109375" style="160" bestFit="1" customWidth="1"/>
    <col min="10499" max="10499" width="6.28515625" style="160" customWidth="1"/>
    <col min="10500" max="10500" width="6.5703125" style="160" bestFit="1" customWidth="1"/>
    <col min="10501" max="10521" width="4.42578125" style="160" customWidth="1"/>
    <col min="10522" max="10752" width="9.140625" style="160"/>
    <col min="10753" max="10753" width="3" style="160" customWidth="1"/>
    <col min="10754" max="10754" width="18.7109375" style="160" bestFit="1" customWidth="1"/>
    <col min="10755" max="10755" width="6.28515625" style="160" customWidth="1"/>
    <col min="10756" max="10756" width="6.5703125" style="160" bestFit="1" customWidth="1"/>
    <col min="10757" max="10777" width="4.42578125" style="160" customWidth="1"/>
    <col min="10778" max="11008" width="9.140625" style="160"/>
    <col min="11009" max="11009" width="3" style="160" customWidth="1"/>
    <col min="11010" max="11010" width="18.7109375" style="160" bestFit="1" customWidth="1"/>
    <col min="11011" max="11011" width="6.28515625" style="160" customWidth="1"/>
    <col min="11012" max="11012" width="6.5703125" style="160" bestFit="1" customWidth="1"/>
    <col min="11013" max="11033" width="4.42578125" style="160" customWidth="1"/>
    <col min="11034" max="11264" width="9.140625" style="160"/>
    <col min="11265" max="11265" width="3" style="160" customWidth="1"/>
    <col min="11266" max="11266" width="18.7109375" style="160" bestFit="1" customWidth="1"/>
    <col min="11267" max="11267" width="6.28515625" style="160" customWidth="1"/>
    <col min="11268" max="11268" width="6.5703125" style="160" bestFit="1" customWidth="1"/>
    <col min="11269" max="11289" width="4.42578125" style="160" customWidth="1"/>
    <col min="11290" max="11520" width="9.140625" style="160"/>
    <col min="11521" max="11521" width="3" style="160" customWidth="1"/>
    <col min="11522" max="11522" width="18.7109375" style="160" bestFit="1" customWidth="1"/>
    <col min="11523" max="11523" width="6.28515625" style="160" customWidth="1"/>
    <col min="11524" max="11524" width="6.5703125" style="160" bestFit="1" customWidth="1"/>
    <col min="11525" max="11545" width="4.42578125" style="160" customWidth="1"/>
    <col min="11546" max="11776" width="9.140625" style="160"/>
    <col min="11777" max="11777" width="3" style="160" customWidth="1"/>
    <col min="11778" max="11778" width="18.7109375" style="160" bestFit="1" customWidth="1"/>
    <col min="11779" max="11779" width="6.28515625" style="160" customWidth="1"/>
    <col min="11780" max="11780" width="6.5703125" style="160" bestFit="1" customWidth="1"/>
    <col min="11781" max="11801" width="4.42578125" style="160" customWidth="1"/>
    <col min="11802" max="12032" width="9.140625" style="160"/>
    <col min="12033" max="12033" width="3" style="160" customWidth="1"/>
    <col min="12034" max="12034" width="18.7109375" style="160" bestFit="1" customWidth="1"/>
    <col min="12035" max="12035" width="6.28515625" style="160" customWidth="1"/>
    <col min="12036" max="12036" width="6.5703125" style="160" bestFit="1" customWidth="1"/>
    <col min="12037" max="12057" width="4.42578125" style="160" customWidth="1"/>
    <col min="12058" max="12288" width="9.140625" style="160"/>
    <col min="12289" max="12289" width="3" style="160" customWidth="1"/>
    <col min="12290" max="12290" width="18.7109375" style="160" bestFit="1" customWidth="1"/>
    <col min="12291" max="12291" width="6.28515625" style="160" customWidth="1"/>
    <col min="12292" max="12292" width="6.5703125" style="160" bestFit="1" customWidth="1"/>
    <col min="12293" max="12313" width="4.42578125" style="160" customWidth="1"/>
    <col min="12314" max="12544" width="9.140625" style="160"/>
    <col min="12545" max="12545" width="3" style="160" customWidth="1"/>
    <col min="12546" max="12546" width="18.7109375" style="160" bestFit="1" customWidth="1"/>
    <col min="12547" max="12547" width="6.28515625" style="160" customWidth="1"/>
    <col min="12548" max="12548" width="6.5703125" style="160" bestFit="1" customWidth="1"/>
    <col min="12549" max="12569" width="4.42578125" style="160" customWidth="1"/>
    <col min="12570" max="12800" width="9.140625" style="160"/>
    <col min="12801" max="12801" width="3" style="160" customWidth="1"/>
    <col min="12802" max="12802" width="18.7109375" style="160" bestFit="1" customWidth="1"/>
    <col min="12803" max="12803" width="6.28515625" style="160" customWidth="1"/>
    <col min="12804" max="12804" width="6.5703125" style="160" bestFit="1" customWidth="1"/>
    <col min="12805" max="12825" width="4.42578125" style="160" customWidth="1"/>
    <col min="12826" max="13056" width="9.140625" style="160"/>
    <col min="13057" max="13057" width="3" style="160" customWidth="1"/>
    <col min="13058" max="13058" width="18.7109375" style="160" bestFit="1" customWidth="1"/>
    <col min="13059" max="13059" width="6.28515625" style="160" customWidth="1"/>
    <col min="13060" max="13060" width="6.5703125" style="160" bestFit="1" customWidth="1"/>
    <col min="13061" max="13081" width="4.42578125" style="160" customWidth="1"/>
    <col min="13082" max="13312" width="9.140625" style="160"/>
    <col min="13313" max="13313" width="3" style="160" customWidth="1"/>
    <col min="13314" max="13314" width="18.7109375" style="160" bestFit="1" customWidth="1"/>
    <col min="13315" max="13315" width="6.28515625" style="160" customWidth="1"/>
    <col min="13316" max="13316" width="6.5703125" style="160" bestFit="1" customWidth="1"/>
    <col min="13317" max="13337" width="4.42578125" style="160" customWidth="1"/>
    <col min="13338" max="13568" width="9.140625" style="160"/>
    <col min="13569" max="13569" width="3" style="160" customWidth="1"/>
    <col min="13570" max="13570" width="18.7109375" style="160" bestFit="1" customWidth="1"/>
    <col min="13571" max="13571" width="6.28515625" style="160" customWidth="1"/>
    <col min="13572" max="13572" width="6.5703125" style="160" bestFit="1" customWidth="1"/>
    <col min="13573" max="13593" width="4.42578125" style="160" customWidth="1"/>
    <col min="13594" max="13824" width="9.140625" style="160"/>
    <col min="13825" max="13825" width="3" style="160" customWidth="1"/>
    <col min="13826" max="13826" width="18.7109375" style="160" bestFit="1" customWidth="1"/>
    <col min="13827" max="13827" width="6.28515625" style="160" customWidth="1"/>
    <col min="13828" max="13828" width="6.5703125" style="160" bestFit="1" customWidth="1"/>
    <col min="13829" max="13849" width="4.42578125" style="160" customWidth="1"/>
    <col min="13850" max="14080" width="9.140625" style="160"/>
    <col min="14081" max="14081" width="3" style="160" customWidth="1"/>
    <col min="14082" max="14082" width="18.7109375" style="160" bestFit="1" customWidth="1"/>
    <col min="14083" max="14083" width="6.28515625" style="160" customWidth="1"/>
    <col min="14084" max="14084" width="6.5703125" style="160" bestFit="1" customWidth="1"/>
    <col min="14085" max="14105" width="4.42578125" style="160" customWidth="1"/>
    <col min="14106" max="14336" width="9.140625" style="160"/>
    <col min="14337" max="14337" width="3" style="160" customWidth="1"/>
    <col min="14338" max="14338" width="18.7109375" style="160" bestFit="1" customWidth="1"/>
    <col min="14339" max="14339" width="6.28515625" style="160" customWidth="1"/>
    <col min="14340" max="14340" width="6.5703125" style="160" bestFit="1" customWidth="1"/>
    <col min="14341" max="14361" width="4.42578125" style="160" customWidth="1"/>
    <col min="14362" max="14592" width="9.140625" style="160"/>
    <col min="14593" max="14593" width="3" style="160" customWidth="1"/>
    <col min="14594" max="14594" width="18.7109375" style="160" bestFit="1" customWidth="1"/>
    <col min="14595" max="14595" width="6.28515625" style="160" customWidth="1"/>
    <col min="14596" max="14596" width="6.5703125" style="160" bestFit="1" customWidth="1"/>
    <col min="14597" max="14617" width="4.42578125" style="160" customWidth="1"/>
    <col min="14618" max="14848" width="9.140625" style="160"/>
    <col min="14849" max="14849" width="3" style="160" customWidth="1"/>
    <col min="14850" max="14850" width="18.7109375" style="160" bestFit="1" customWidth="1"/>
    <col min="14851" max="14851" width="6.28515625" style="160" customWidth="1"/>
    <col min="14852" max="14852" width="6.5703125" style="160" bestFit="1" customWidth="1"/>
    <col min="14853" max="14873" width="4.42578125" style="160" customWidth="1"/>
    <col min="14874" max="15104" width="9.140625" style="160"/>
    <col min="15105" max="15105" width="3" style="160" customWidth="1"/>
    <col min="15106" max="15106" width="18.7109375" style="160" bestFit="1" customWidth="1"/>
    <col min="15107" max="15107" width="6.28515625" style="160" customWidth="1"/>
    <col min="15108" max="15108" width="6.5703125" style="160" bestFit="1" customWidth="1"/>
    <col min="15109" max="15129" width="4.42578125" style="160" customWidth="1"/>
    <col min="15130" max="15360" width="9.140625" style="160"/>
    <col min="15361" max="15361" width="3" style="160" customWidth="1"/>
    <col min="15362" max="15362" width="18.7109375" style="160" bestFit="1" customWidth="1"/>
    <col min="15363" max="15363" width="6.28515625" style="160" customWidth="1"/>
    <col min="15364" max="15364" width="6.5703125" style="160" bestFit="1" customWidth="1"/>
    <col min="15365" max="15385" width="4.42578125" style="160" customWidth="1"/>
    <col min="15386" max="15616" width="9.140625" style="160"/>
    <col min="15617" max="15617" width="3" style="160" customWidth="1"/>
    <col min="15618" max="15618" width="18.7109375" style="160" bestFit="1" customWidth="1"/>
    <col min="15619" max="15619" width="6.28515625" style="160" customWidth="1"/>
    <col min="15620" max="15620" width="6.5703125" style="160" bestFit="1" customWidth="1"/>
    <col min="15621" max="15641" width="4.42578125" style="160" customWidth="1"/>
    <col min="15642" max="15872" width="9.140625" style="160"/>
    <col min="15873" max="15873" width="3" style="160" customWidth="1"/>
    <col min="15874" max="15874" width="18.7109375" style="160" bestFit="1" customWidth="1"/>
    <col min="15875" max="15875" width="6.28515625" style="160" customWidth="1"/>
    <col min="15876" max="15876" width="6.5703125" style="160" bestFit="1" customWidth="1"/>
    <col min="15877" max="15897" width="4.42578125" style="160" customWidth="1"/>
    <col min="15898" max="16128" width="9.140625" style="160"/>
    <col min="16129" max="16129" width="3" style="160" customWidth="1"/>
    <col min="16130" max="16130" width="18.7109375" style="160" bestFit="1" customWidth="1"/>
    <col min="16131" max="16131" width="6.28515625" style="160" customWidth="1"/>
    <col min="16132" max="16132" width="6.5703125" style="160" bestFit="1" customWidth="1"/>
    <col min="16133" max="16153" width="4.42578125" style="160" customWidth="1"/>
    <col min="16154" max="16384" width="9.140625" style="160"/>
  </cols>
  <sheetData>
    <row r="1" spans="1:1" x14ac:dyDescent="0.2">
      <c r="A1" s="20" t="str">
        <f>UPPER((Kalend!D32)&amp;" - "&amp;(Kalend!C32)&amp;" - "&amp;(Kalend!E32))</f>
        <v>SÜ - SÜNNIPÄEVAVÄLK - ÜKSIK</v>
      </c>
    </row>
    <row r="2" spans="1:1" x14ac:dyDescent="0.2">
      <c r="A2" s="160" t="str">
        <f>"Toimumisaeg: "&amp;(Kalend!A32)&amp;" kell "&amp;(Kalend!B32)</f>
        <v>Toimumisaeg: R, 17.08.2012 kell 18:00</v>
      </c>
    </row>
    <row r="3" spans="1:1" x14ac:dyDescent="0.2">
      <c r="A3" s="160" t="str">
        <f>"Toimumiskoht: "&amp;(Kalend!F32)</f>
        <v>Toimumiskoht: K-Nõmme Kaevanduspark</v>
      </c>
    </row>
    <row r="4" spans="1:1" x14ac:dyDescent="0.2">
      <c r="A4" s="160" t="str">
        <f>"Korraldaja: "&amp;(Kalend!G32)</f>
        <v>Korraldaja: K-Nõmme SK</v>
      </c>
    </row>
    <row r="6" spans="1:1" x14ac:dyDescent="0.2">
      <c r="A6" s="210" t="s">
        <v>284</v>
      </c>
    </row>
    <row r="7" spans="1:1" x14ac:dyDescent="0.2">
      <c r="A7" s="2" t="s">
        <v>285</v>
      </c>
    </row>
    <row r="8" spans="1:1" x14ac:dyDescent="0.2">
      <c r="A8" s="2" t="s">
        <v>286</v>
      </c>
    </row>
    <row r="9" spans="1:1" x14ac:dyDescent="0.2">
      <c r="A9" s="2" t="s">
        <v>287</v>
      </c>
    </row>
    <row r="10" spans="1:1" x14ac:dyDescent="0.2">
      <c r="A10" s="2" t="s">
        <v>288</v>
      </c>
    </row>
    <row r="11" spans="1:1" x14ac:dyDescent="0.2">
      <c r="A11" s="2" t="s">
        <v>289</v>
      </c>
    </row>
    <row r="12" spans="1:1" x14ac:dyDescent="0.2">
      <c r="A12" s="2" t="s">
        <v>290</v>
      </c>
    </row>
    <row r="13" spans="1:1" x14ac:dyDescent="0.2">
      <c r="A13" s="2" t="s">
        <v>291</v>
      </c>
    </row>
    <row r="14" spans="1:1" x14ac:dyDescent="0.2">
      <c r="A14" s="2" t="s">
        <v>292</v>
      </c>
    </row>
    <row r="15" spans="1:1" x14ac:dyDescent="0.2">
      <c r="A15" s="2" t="s">
        <v>293</v>
      </c>
    </row>
    <row r="16" spans="1:1" x14ac:dyDescent="0.2">
      <c r="A16" s="2" t="s">
        <v>294</v>
      </c>
    </row>
    <row r="17" spans="1:1" x14ac:dyDescent="0.2">
      <c r="A17" s="2" t="s">
        <v>295</v>
      </c>
    </row>
    <row r="18" spans="1:1" x14ac:dyDescent="0.2">
      <c r="A18" s="2" t="s">
        <v>296</v>
      </c>
    </row>
    <row r="19" spans="1:1" x14ac:dyDescent="0.2">
      <c r="A19" s="2" t="s">
        <v>297</v>
      </c>
    </row>
    <row r="20" spans="1:1" x14ac:dyDescent="0.2">
      <c r="A20" s="2" t="s">
        <v>298</v>
      </c>
    </row>
    <row r="21" spans="1:1" x14ac:dyDescent="0.2">
      <c r="A21" s="2" t="s">
        <v>299</v>
      </c>
    </row>
    <row r="22" spans="1:1" x14ac:dyDescent="0.2">
      <c r="A22" s="2" t="s">
        <v>300</v>
      </c>
    </row>
    <row r="23" spans="1:1" x14ac:dyDescent="0.2">
      <c r="A23" s="2" t="s">
        <v>301</v>
      </c>
    </row>
    <row r="24" spans="1:1" x14ac:dyDescent="0.2">
      <c r="A24" s="2" t="s">
        <v>302</v>
      </c>
    </row>
    <row r="25" spans="1:1" x14ac:dyDescent="0.2">
      <c r="A25" s="2" t="s">
        <v>303</v>
      </c>
    </row>
    <row r="26" spans="1:1" x14ac:dyDescent="0.2">
      <c r="A26" s="2" t="s">
        <v>304</v>
      </c>
    </row>
    <row r="27" spans="1:1" x14ac:dyDescent="0.2">
      <c r="A27" s="2" t="s">
        <v>305</v>
      </c>
    </row>
    <row r="28" spans="1:1" x14ac:dyDescent="0.2">
      <c r="A28" s="2" t="s">
        <v>347</v>
      </c>
    </row>
  </sheetData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43"/>
  <sheetViews>
    <sheetView showGridLines="0" showRowColHeaders="0" zoomScaleNormal="100" workbookViewId="0">
      <pane ySplit="2" topLeftCell="A3" activePane="bottomLeft" state="frozen"/>
      <selection pane="bottomLeft" activeCell="I1" sqref="I1"/>
    </sheetView>
  </sheetViews>
  <sheetFormatPr defaultRowHeight="12.75" x14ac:dyDescent="0.2"/>
  <cols>
    <col min="1" max="1" width="3.28515625" style="160" customWidth="1"/>
    <col min="2" max="2" width="30.85546875" style="160" bestFit="1" customWidth="1"/>
    <col min="3" max="9" width="6.7109375" style="160" customWidth="1"/>
    <col min="10" max="212" width="9.140625" style="160"/>
    <col min="213" max="213" width="3" style="160" customWidth="1"/>
    <col min="214" max="214" width="18.7109375" style="160" bestFit="1" customWidth="1"/>
    <col min="215" max="215" width="6.28515625" style="160" customWidth="1"/>
    <col min="216" max="216" width="6.5703125" style="160" bestFit="1" customWidth="1"/>
    <col min="217" max="237" width="4.42578125" style="160" customWidth="1"/>
    <col min="238" max="468" width="9.140625" style="160"/>
    <col min="469" max="469" width="3" style="160" customWidth="1"/>
    <col min="470" max="470" width="18.7109375" style="160" bestFit="1" customWidth="1"/>
    <col min="471" max="471" width="6.28515625" style="160" customWidth="1"/>
    <col min="472" max="472" width="6.5703125" style="160" bestFit="1" customWidth="1"/>
    <col min="473" max="493" width="4.42578125" style="160" customWidth="1"/>
    <col min="494" max="724" width="9.140625" style="160"/>
    <col min="725" max="725" width="3" style="160" customWidth="1"/>
    <col min="726" max="726" width="18.7109375" style="160" bestFit="1" customWidth="1"/>
    <col min="727" max="727" width="6.28515625" style="160" customWidth="1"/>
    <col min="728" max="728" width="6.5703125" style="160" bestFit="1" customWidth="1"/>
    <col min="729" max="749" width="4.42578125" style="160" customWidth="1"/>
    <col min="750" max="980" width="9.140625" style="160"/>
    <col min="981" max="981" width="3" style="160" customWidth="1"/>
    <col min="982" max="982" width="18.7109375" style="160" bestFit="1" customWidth="1"/>
    <col min="983" max="983" width="6.28515625" style="160" customWidth="1"/>
    <col min="984" max="984" width="6.5703125" style="160" bestFit="1" customWidth="1"/>
    <col min="985" max="1005" width="4.42578125" style="160" customWidth="1"/>
    <col min="1006" max="1236" width="9.140625" style="160"/>
    <col min="1237" max="1237" width="3" style="160" customWidth="1"/>
    <col min="1238" max="1238" width="18.7109375" style="160" bestFit="1" customWidth="1"/>
    <col min="1239" max="1239" width="6.28515625" style="160" customWidth="1"/>
    <col min="1240" max="1240" width="6.5703125" style="160" bestFit="1" customWidth="1"/>
    <col min="1241" max="1261" width="4.42578125" style="160" customWidth="1"/>
    <col min="1262" max="1492" width="9.140625" style="160"/>
    <col min="1493" max="1493" width="3" style="160" customWidth="1"/>
    <col min="1494" max="1494" width="18.7109375" style="160" bestFit="1" customWidth="1"/>
    <col min="1495" max="1495" width="6.28515625" style="160" customWidth="1"/>
    <col min="1496" max="1496" width="6.5703125" style="160" bestFit="1" customWidth="1"/>
    <col min="1497" max="1517" width="4.42578125" style="160" customWidth="1"/>
    <col min="1518" max="1748" width="9.140625" style="160"/>
    <col min="1749" max="1749" width="3" style="160" customWidth="1"/>
    <col min="1750" max="1750" width="18.7109375" style="160" bestFit="1" customWidth="1"/>
    <col min="1751" max="1751" width="6.28515625" style="160" customWidth="1"/>
    <col min="1752" max="1752" width="6.5703125" style="160" bestFit="1" customWidth="1"/>
    <col min="1753" max="1773" width="4.42578125" style="160" customWidth="1"/>
    <col min="1774" max="2004" width="9.140625" style="160"/>
    <col min="2005" max="2005" width="3" style="160" customWidth="1"/>
    <col min="2006" max="2006" width="18.7109375" style="160" bestFit="1" customWidth="1"/>
    <col min="2007" max="2007" width="6.28515625" style="160" customWidth="1"/>
    <col min="2008" max="2008" width="6.5703125" style="160" bestFit="1" customWidth="1"/>
    <col min="2009" max="2029" width="4.42578125" style="160" customWidth="1"/>
    <col min="2030" max="2260" width="9.140625" style="160"/>
    <col min="2261" max="2261" width="3" style="160" customWidth="1"/>
    <col min="2262" max="2262" width="18.7109375" style="160" bestFit="1" customWidth="1"/>
    <col min="2263" max="2263" width="6.28515625" style="160" customWidth="1"/>
    <col min="2264" max="2264" width="6.5703125" style="160" bestFit="1" customWidth="1"/>
    <col min="2265" max="2285" width="4.42578125" style="160" customWidth="1"/>
    <col min="2286" max="2516" width="9.140625" style="160"/>
    <col min="2517" max="2517" width="3" style="160" customWidth="1"/>
    <col min="2518" max="2518" width="18.7109375" style="160" bestFit="1" customWidth="1"/>
    <col min="2519" max="2519" width="6.28515625" style="160" customWidth="1"/>
    <col min="2520" max="2520" width="6.5703125" style="160" bestFit="1" customWidth="1"/>
    <col min="2521" max="2541" width="4.42578125" style="160" customWidth="1"/>
    <col min="2542" max="2772" width="9.140625" style="160"/>
    <col min="2773" max="2773" width="3" style="160" customWidth="1"/>
    <col min="2774" max="2774" width="18.7109375" style="160" bestFit="1" customWidth="1"/>
    <col min="2775" max="2775" width="6.28515625" style="160" customWidth="1"/>
    <col min="2776" max="2776" width="6.5703125" style="160" bestFit="1" customWidth="1"/>
    <col min="2777" max="2797" width="4.42578125" style="160" customWidth="1"/>
    <col min="2798" max="3028" width="9.140625" style="160"/>
    <col min="3029" max="3029" width="3" style="160" customWidth="1"/>
    <col min="3030" max="3030" width="18.7109375" style="160" bestFit="1" customWidth="1"/>
    <col min="3031" max="3031" width="6.28515625" style="160" customWidth="1"/>
    <col min="3032" max="3032" width="6.5703125" style="160" bestFit="1" customWidth="1"/>
    <col min="3033" max="3053" width="4.42578125" style="160" customWidth="1"/>
    <col min="3054" max="3284" width="9.140625" style="160"/>
    <col min="3285" max="3285" width="3" style="160" customWidth="1"/>
    <col min="3286" max="3286" width="18.7109375" style="160" bestFit="1" customWidth="1"/>
    <col min="3287" max="3287" width="6.28515625" style="160" customWidth="1"/>
    <col min="3288" max="3288" width="6.5703125" style="160" bestFit="1" customWidth="1"/>
    <col min="3289" max="3309" width="4.42578125" style="160" customWidth="1"/>
    <col min="3310" max="3540" width="9.140625" style="160"/>
    <col min="3541" max="3541" width="3" style="160" customWidth="1"/>
    <col min="3542" max="3542" width="18.7109375" style="160" bestFit="1" customWidth="1"/>
    <col min="3543" max="3543" width="6.28515625" style="160" customWidth="1"/>
    <col min="3544" max="3544" width="6.5703125" style="160" bestFit="1" customWidth="1"/>
    <col min="3545" max="3565" width="4.42578125" style="160" customWidth="1"/>
    <col min="3566" max="3796" width="9.140625" style="160"/>
    <col min="3797" max="3797" width="3" style="160" customWidth="1"/>
    <col min="3798" max="3798" width="18.7109375" style="160" bestFit="1" customWidth="1"/>
    <col min="3799" max="3799" width="6.28515625" style="160" customWidth="1"/>
    <col min="3800" max="3800" width="6.5703125" style="160" bestFit="1" customWidth="1"/>
    <col min="3801" max="3821" width="4.42578125" style="160" customWidth="1"/>
    <col min="3822" max="4052" width="9.140625" style="160"/>
    <col min="4053" max="4053" width="3" style="160" customWidth="1"/>
    <col min="4054" max="4054" width="18.7109375" style="160" bestFit="1" customWidth="1"/>
    <col min="4055" max="4055" width="6.28515625" style="160" customWidth="1"/>
    <col min="4056" max="4056" width="6.5703125" style="160" bestFit="1" customWidth="1"/>
    <col min="4057" max="4077" width="4.42578125" style="160" customWidth="1"/>
    <col min="4078" max="4308" width="9.140625" style="160"/>
    <col min="4309" max="4309" width="3" style="160" customWidth="1"/>
    <col min="4310" max="4310" width="18.7109375" style="160" bestFit="1" customWidth="1"/>
    <col min="4311" max="4311" width="6.28515625" style="160" customWidth="1"/>
    <col min="4312" max="4312" width="6.5703125" style="160" bestFit="1" customWidth="1"/>
    <col min="4313" max="4333" width="4.42578125" style="160" customWidth="1"/>
    <col min="4334" max="4564" width="9.140625" style="160"/>
    <col min="4565" max="4565" width="3" style="160" customWidth="1"/>
    <col min="4566" max="4566" width="18.7109375" style="160" bestFit="1" customWidth="1"/>
    <col min="4567" max="4567" width="6.28515625" style="160" customWidth="1"/>
    <col min="4568" max="4568" width="6.5703125" style="160" bestFit="1" customWidth="1"/>
    <col min="4569" max="4589" width="4.42578125" style="160" customWidth="1"/>
    <col min="4590" max="4820" width="9.140625" style="160"/>
    <col min="4821" max="4821" width="3" style="160" customWidth="1"/>
    <col min="4822" max="4822" width="18.7109375" style="160" bestFit="1" customWidth="1"/>
    <col min="4823" max="4823" width="6.28515625" style="160" customWidth="1"/>
    <col min="4824" max="4824" width="6.5703125" style="160" bestFit="1" customWidth="1"/>
    <col min="4825" max="4845" width="4.42578125" style="160" customWidth="1"/>
    <col min="4846" max="5076" width="9.140625" style="160"/>
    <col min="5077" max="5077" width="3" style="160" customWidth="1"/>
    <col min="5078" max="5078" width="18.7109375" style="160" bestFit="1" customWidth="1"/>
    <col min="5079" max="5079" width="6.28515625" style="160" customWidth="1"/>
    <col min="5080" max="5080" width="6.5703125" style="160" bestFit="1" customWidth="1"/>
    <col min="5081" max="5101" width="4.42578125" style="160" customWidth="1"/>
    <col min="5102" max="5332" width="9.140625" style="160"/>
    <col min="5333" max="5333" width="3" style="160" customWidth="1"/>
    <col min="5334" max="5334" width="18.7109375" style="160" bestFit="1" customWidth="1"/>
    <col min="5335" max="5335" width="6.28515625" style="160" customWidth="1"/>
    <col min="5336" max="5336" width="6.5703125" style="160" bestFit="1" customWidth="1"/>
    <col min="5337" max="5357" width="4.42578125" style="160" customWidth="1"/>
    <col min="5358" max="5588" width="9.140625" style="160"/>
    <col min="5589" max="5589" width="3" style="160" customWidth="1"/>
    <col min="5590" max="5590" width="18.7109375" style="160" bestFit="1" customWidth="1"/>
    <col min="5591" max="5591" width="6.28515625" style="160" customWidth="1"/>
    <col min="5592" max="5592" width="6.5703125" style="160" bestFit="1" customWidth="1"/>
    <col min="5593" max="5613" width="4.42578125" style="160" customWidth="1"/>
    <col min="5614" max="5844" width="9.140625" style="160"/>
    <col min="5845" max="5845" width="3" style="160" customWidth="1"/>
    <col min="5846" max="5846" width="18.7109375" style="160" bestFit="1" customWidth="1"/>
    <col min="5847" max="5847" width="6.28515625" style="160" customWidth="1"/>
    <col min="5848" max="5848" width="6.5703125" style="160" bestFit="1" customWidth="1"/>
    <col min="5849" max="5869" width="4.42578125" style="160" customWidth="1"/>
    <col min="5870" max="6100" width="9.140625" style="160"/>
    <col min="6101" max="6101" width="3" style="160" customWidth="1"/>
    <col min="6102" max="6102" width="18.7109375" style="160" bestFit="1" customWidth="1"/>
    <col min="6103" max="6103" width="6.28515625" style="160" customWidth="1"/>
    <col min="6104" max="6104" width="6.5703125" style="160" bestFit="1" customWidth="1"/>
    <col min="6105" max="6125" width="4.42578125" style="160" customWidth="1"/>
    <col min="6126" max="6356" width="9.140625" style="160"/>
    <col min="6357" max="6357" width="3" style="160" customWidth="1"/>
    <col min="6358" max="6358" width="18.7109375" style="160" bestFit="1" customWidth="1"/>
    <col min="6359" max="6359" width="6.28515625" style="160" customWidth="1"/>
    <col min="6360" max="6360" width="6.5703125" style="160" bestFit="1" customWidth="1"/>
    <col min="6361" max="6381" width="4.42578125" style="160" customWidth="1"/>
    <col min="6382" max="6612" width="9.140625" style="160"/>
    <col min="6613" max="6613" width="3" style="160" customWidth="1"/>
    <col min="6614" max="6614" width="18.7109375" style="160" bestFit="1" customWidth="1"/>
    <col min="6615" max="6615" width="6.28515625" style="160" customWidth="1"/>
    <col min="6616" max="6616" width="6.5703125" style="160" bestFit="1" customWidth="1"/>
    <col min="6617" max="6637" width="4.42578125" style="160" customWidth="1"/>
    <col min="6638" max="6868" width="9.140625" style="160"/>
    <col min="6869" max="6869" width="3" style="160" customWidth="1"/>
    <col min="6870" max="6870" width="18.7109375" style="160" bestFit="1" customWidth="1"/>
    <col min="6871" max="6871" width="6.28515625" style="160" customWidth="1"/>
    <col min="6872" max="6872" width="6.5703125" style="160" bestFit="1" customWidth="1"/>
    <col min="6873" max="6893" width="4.42578125" style="160" customWidth="1"/>
    <col min="6894" max="7124" width="9.140625" style="160"/>
    <col min="7125" max="7125" width="3" style="160" customWidth="1"/>
    <col min="7126" max="7126" width="18.7109375" style="160" bestFit="1" customWidth="1"/>
    <col min="7127" max="7127" width="6.28515625" style="160" customWidth="1"/>
    <col min="7128" max="7128" width="6.5703125" style="160" bestFit="1" customWidth="1"/>
    <col min="7129" max="7149" width="4.42578125" style="160" customWidth="1"/>
    <col min="7150" max="7380" width="9.140625" style="160"/>
    <col min="7381" max="7381" width="3" style="160" customWidth="1"/>
    <col min="7382" max="7382" width="18.7109375" style="160" bestFit="1" customWidth="1"/>
    <col min="7383" max="7383" width="6.28515625" style="160" customWidth="1"/>
    <col min="7384" max="7384" width="6.5703125" style="160" bestFit="1" customWidth="1"/>
    <col min="7385" max="7405" width="4.42578125" style="160" customWidth="1"/>
    <col min="7406" max="7636" width="9.140625" style="160"/>
    <col min="7637" max="7637" width="3" style="160" customWidth="1"/>
    <col min="7638" max="7638" width="18.7109375" style="160" bestFit="1" customWidth="1"/>
    <col min="7639" max="7639" width="6.28515625" style="160" customWidth="1"/>
    <col min="7640" max="7640" width="6.5703125" style="160" bestFit="1" customWidth="1"/>
    <col min="7641" max="7661" width="4.42578125" style="160" customWidth="1"/>
    <col min="7662" max="7892" width="9.140625" style="160"/>
    <col min="7893" max="7893" width="3" style="160" customWidth="1"/>
    <col min="7894" max="7894" width="18.7109375" style="160" bestFit="1" customWidth="1"/>
    <col min="7895" max="7895" width="6.28515625" style="160" customWidth="1"/>
    <col min="7896" max="7896" width="6.5703125" style="160" bestFit="1" customWidth="1"/>
    <col min="7897" max="7917" width="4.42578125" style="160" customWidth="1"/>
    <col min="7918" max="8148" width="9.140625" style="160"/>
    <col min="8149" max="8149" width="3" style="160" customWidth="1"/>
    <col min="8150" max="8150" width="18.7109375" style="160" bestFit="1" customWidth="1"/>
    <col min="8151" max="8151" width="6.28515625" style="160" customWidth="1"/>
    <col min="8152" max="8152" width="6.5703125" style="160" bestFit="1" customWidth="1"/>
    <col min="8153" max="8173" width="4.42578125" style="160" customWidth="1"/>
    <col min="8174" max="8404" width="9.140625" style="160"/>
    <col min="8405" max="8405" width="3" style="160" customWidth="1"/>
    <col min="8406" max="8406" width="18.7109375" style="160" bestFit="1" customWidth="1"/>
    <col min="8407" max="8407" width="6.28515625" style="160" customWidth="1"/>
    <col min="8408" max="8408" width="6.5703125" style="160" bestFit="1" customWidth="1"/>
    <col min="8409" max="8429" width="4.42578125" style="160" customWidth="1"/>
    <col min="8430" max="8660" width="9.140625" style="160"/>
    <col min="8661" max="8661" width="3" style="160" customWidth="1"/>
    <col min="8662" max="8662" width="18.7109375" style="160" bestFit="1" customWidth="1"/>
    <col min="8663" max="8663" width="6.28515625" style="160" customWidth="1"/>
    <col min="8664" max="8664" width="6.5703125" style="160" bestFit="1" customWidth="1"/>
    <col min="8665" max="8685" width="4.42578125" style="160" customWidth="1"/>
    <col min="8686" max="8916" width="9.140625" style="160"/>
    <col min="8917" max="8917" width="3" style="160" customWidth="1"/>
    <col min="8918" max="8918" width="18.7109375" style="160" bestFit="1" customWidth="1"/>
    <col min="8919" max="8919" width="6.28515625" style="160" customWidth="1"/>
    <col min="8920" max="8920" width="6.5703125" style="160" bestFit="1" customWidth="1"/>
    <col min="8921" max="8941" width="4.42578125" style="160" customWidth="1"/>
    <col min="8942" max="9172" width="9.140625" style="160"/>
    <col min="9173" max="9173" width="3" style="160" customWidth="1"/>
    <col min="9174" max="9174" width="18.7109375" style="160" bestFit="1" customWidth="1"/>
    <col min="9175" max="9175" width="6.28515625" style="160" customWidth="1"/>
    <col min="9176" max="9176" width="6.5703125" style="160" bestFit="1" customWidth="1"/>
    <col min="9177" max="9197" width="4.42578125" style="160" customWidth="1"/>
    <col min="9198" max="9428" width="9.140625" style="160"/>
    <col min="9429" max="9429" width="3" style="160" customWidth="1"/>
    <col min="9430" max="9430" width="18.7109375" style="160" bestFit="1" customWidth="1"/>
    <col min="9431" max="9431" width="6.28515625" style="160" customWidth="1"/>
    <col min="9432" max="9432" width="6.5703125" style="160" bestFit="1" customWidth="1"/>
    <col min="9433" max="9453" width="4.42578125" style="160" customWidth="1"/>
    <col min="9454" max="9684" width="9.140625" style="160"/>
    <col min="9685" max="9685" width="3" style="160" customWidth="1"/>
    <col min="9686" max="9686" width="18.7109375" style="160" bestFit="1" customWidth="1"/>
    <col min="9687" max="9687" width="6.28515625" style="160" customWidth="1"/>
    <col min="9688" max="9688" width="6.5703125" style="160" bestFit="1" customWidth="1"/>
    <col min="9689" max="9709" width="4.42578125" style="160" customWidth="1"/>
    <col min="9710" max="9940" width="9.140625" style="160"/>
    <col min="9941" max="9941" width="3" style="160" customWidth="1"/>
    <col min="9942" max="9942" width="18.7109375" style="160" bestFit="1" customWidth="1"/>
    <col min="9943" max="9943" width="6.28515625" style="160" customWidth="1"/>
    <col min="9944" max="9944" width="6.5703125" style="160" bestFit="1" customWidth="1"/>
    <col min="9945" max="9965" width="4.42578125" style="160" customWidth="1"/>
    <col min="9966" max="10196" width="9.140625" style="160"/>
    <col min="10197" max="10197" width="3" style="160" customWidth="1"/>
    <col min="10198" max="10198" width="18.7109375" style="160" bestFit="1" customWidth="1"/>
    <col min="10199" max="10199" width="6.28515625" style="160" customWidth="1"/>
    <col min="10200" max="10200" width="6.5703125" style="160" bestFit="1" customWidth="1"/>
    <col min="10201" max="10221" width="4.42578125" style="160" customWidth="1"/>
    <col min="10222" max="10452" width="9.140625" style="160"/>
    <col min="10453" max="10453" width="3" style="160" customWidth="1"/>
    <col min="10454" max="10454" width="18.7109375" style="160" bestFit="1" customWidth="1"/>
    <col min="10455" max="10455" width="6.28515625" style="160" customWidth="1"/>
    <col min="10456" max="10456" width="6.5703125" style="160" bestFit="1" customWidth="1"/>
    <col min="10457" max="10477" width="4.42578125" style="160" customWidth="1"/>
    <col min="10478" max="10708" width="9.140625" style="160"/>
    <col min="10709" max="10709" width="3" style="160" customWidth="1"/>
    <col min="10710" max="10710" width="18.7109375" style="160" bestFit="1" customWidth="1"/>
    <col min="10711" max="10711" width="6.28515625" style="160" customWidth="1"/>
    <col min="10712" max="10712" width="6.5703125" style="160" bestFit="1" customWidth="1"/>
    <col min="10713" max="10733" width="4.42578125" style="160" customWidth="1"/>
    <col min="10734" max="10964" width="9.140625" style="160"/>
    <col min="10965" max="10965" width="3" style="160" customWidth="1"/>
    <col min="10966" max="10966" width="18.7109375" style="160" bestFit="1" customWidth="1"/>
    <col min="10967" max="10967" width="6.28515625" style="160" customWidth="1"/>
    <col min="10968" max="10968" width="6.5703125" style="160" bestFit="1" customWidth="1"/>
    <col min="10969" max="10989" width="4.42578125" style="160" customWidth="1"/>
    <col min="10990" max="11220" width="9.140625" style="160"/>
    <col min="11221" max="11221" width="3" style="160" customWidth="1"/>
    <col min="11222" max="11222" width="18.7109375" style="160" bestFit="1" customWidth="1"/>
    <col min="11223" max="11223" width="6.28515625" style="160" customWidth="1"/>
    <col min="11224" max="11224" width="6.5703125" style="160" bestFit="1" customWidth="1"/>
    <col min="11225" max="11245" width="4.42578125" style="160" customWidth="1"/>
    <col min="11246" max="11476" width="9.140625" style="160"/>
    <col min="11477" max="11477" width="3" style="160" customWidth="1"/>
    <col min="11478" max="11478" width="18.7109375" style="160" bestFit="1" customWidth="1"/>
    <col min="11479" max="11479" width="6.28515625" style="160" customWidth="1"/>
    <col min="11480" max="11480" width="6.5703125" style="160" bestFit="1" customWidth="1"/>
    <col min="11481" max="11501" width="4.42578125" style="160" customWidth="1"/>
    <col min="11502" max="11732" width="9.140625" style="160"/>
    <col min="11733" max="11733" width="3" style="160" customWidth="1"/>
    <col min="11734" max="11734" width="18.7109375" style="160" bestFit="1" customWidth="1"/>
    <col min="11735" max="11735" width="6.28515625" style="160" customWidth="1"/>
    <col min="11736" max="11736" width="6.5703125" style="160" bestFit="1" customWidth="1"/>
    <col min="11737" max="11757" width="4.42578125" style="160" customWidth="1"/>
    <col min="11758" max="11988" width="9.140625" style="160"/>
    <col min="11989" max="11989" width="3" style="160" customWidth="1"/>
    <col min="11990" max="11990" width="18.7109375" style="160" bestFit="1" customWidth="1"/>
    <col min="11991" max="11991" width="6.28515625" style="160" customWidth="1"/>
    <col min="11992" max="11992" width="6.5703125" style="160" bestFit="1" customWidth="1"/>
    <col min="11993" max="12013" width="4.42578125" style="160" customWidth="1"/>
    <col min="12014" max="12244" width="9.140625" style="160"/>
    <col min="12245" max="12245" width="3" style="160" customWidth="1"/>
    <col min="12246" max="12246" width="18.7109375" style="160" bestFit="1" customWidth="1"/>
    <col min="12247" max="12247" width="6.28515625" style="160" customWidth="1"/>
    <col min="12248" max="12248" width="6.5703125" style="160" bestFit="1" customWidth="1"/>
    <col min="12249" max="12269" width="4.42578125" style="160" customWidth="1"/>
    <col min="12270" max="12500" width="9.140625" style="160"/>
    <col min="12501" max="12501" width="3" style="160" customWidth="1"/>
    <col min="12502" max="12502" width="18.7109375" style="160" bestFit="1" customWidth="1"/>
    <col min="12503" max="12503" width="6.28515625" style="160" customWidth="1"/>
    <col min="12504" max="12504" width="6.5703125" style="160" bestFit="1" customWidth="1"/>
    <col min="12505" max="12525" width="4.42578125" style="160" customWidth="1"/>
    <col min="12526" max="12756" width="9.140625" style="160"/>
    <col min="12757" max="12757" width="3" style="160" customWidth="1"/>
    <col min="12758" max="12758" width="18.7109375" style="160" bestFit="1" customWidth="1"/>
    <col min="12759" max="12759" width="6.28515625" style="160" customWidth="1"/>
    <col min="12760" max="12760" width="6.5703125" style="160" bestFit="1" customWidth="1"/>
    <col min="12761" max="12781" width="4.42578125" style="160" customWidth="1"/>
    <col min="12782" max="13012" width="9.140625" style="160"/>
    <col min="13013" max="13013" width="3" style="160" customWidth="1"/>
    <col min="13014" max="13014" width="18.7109375" style="160" bestFit="1" customWidth="1"/>
    <col min="13015" max="13015" width="6.28515625" style="160" customWidth="1"/>
    <col min="13016" max="13016" width="6.5703125" style="160" bestFit="1" customWidth="1"/>
    <col min="13017" max="13037" width="4.42578125" style="160" customWidth="1"/>
    <col min="13038" max="13268" width="9.140625" style="160"/>
    <col min="13269" max="13269" width="3" style="160" customWidth="1"/>
    <col min="13270" max="13270" width="18.7109375" style="160" bestFit="1" customWidth="1"/>
    <col min="13271" max="13271" width="6.28515625" style="160" customWidth="1"/>
    <col min="13272" max="13272" width="6.5703125" style="160" bestFit="1" customWidth="1"/>
    <col min="13273" max="13293" width="4.42578125" style="160" customWidth="1"/>
    <col min="13294" max="13524" width="9.140625" style="160"/>
    <col min="13525" max="13525" width="3" style="160" customWidth="1"/>
    <col min="13526" max="13526" width="18.7109375" style="160" bestFit="1" customWidth="1"/>
    <col min="13527" max="13527" width="6.28515625" style="160" customWidth="1"/>
    <col min="13528" max="13528" width="6.5703125" style="160" bestFit="1" customWidth="1"/>
    <col min="13529" max="13549" width="4.42578125" style="160" customWidth="1"/>
    <col min="13550" max="13780" width="9.140625" style="160"/>
    <col min="13781" max="13781" width="3" style="160" customWidth="1"/>
    <col min="13782" max="13782" width="18.7109375" style="160" bestFit="1" customWidth="1"/>
    <col min="13783" max="13783" width="6.28515625" style="160" customWidth="1"/>
    <col min="13784" max="13784" width="6.5703125" style="160" bestFit="1" customWidth="1"/>
    <col min="13785" max="13805" width="4.42578125" style="160" customWidth="1"/>
    <col min="13806" max="14036" width="9.140625" style="160"/>
    <col min="14037" max="14037" width="3" style="160" customWidth="1"/>
    <col min="14038" max="14038" width="18.7109375" style="160" bestFit="1" customWidth="1"/>
    <col min="14039" max="14039" width="6.28515625" style="160" customWidth="1"/>
    <col min="14040" max="14040" width="6.5703125" style="160" bestFit="1" customWidth="1"/>
    <col min="14041" max="14061" width="4.42578125" style="160" customWidth="1"/>
    <col min="14062" max="14292" width="9.140625" style="160"/>
    <col min="14293" max="14293" width="3" style="160" customWidth="1"/>
    <col min="14294" max="14294" width="18.7109375" style="160" bestFit="1" customWidth="1"/>
    <col min="14295" max="14295" width="6.28515625" style="160" customWidth="1"/>
    <col min="14296" max="14296" width="6.5703125" style="160" bestFit="1" customWidth="1"/>
    <col min="14297" max="14317" width="4.42578125" style="160" customWidth="1"/>
    <col min="14318" max="14548" width="9.140625" style="160"/>
    <col min="14549" max="14549" width="3" style="160" customWidth="1"/>
    <col min="14550" max="14550" width="18.7109375" style="160" bestFit="1" customWidth="1"/>
    <col min="14551" max="14551" width="6.28515625" style="160" customWidth="1"/>
    <col min="14552" max="14552" width="6.5703125" style="160" bestFit="1" customWidth="1"/>
    <col min="14553" max="14573" width="4.42578125" style="160" customWidth="1"/>
    <col min="14574" max="14804" width="9.140625" style="160"/>
    <col min="14805" max="14805" width="3" style="160" customWidth="1"/>
    <col min="14806" max="14806" width="18.7109375" style="160" bestFit="1" customWidth="1"/>
    <col min="14807" max="14807" width="6.28515625" style="160" customWidth="1"/>
    <col min="14808" max="14808" width="6.5703125" style="160" bestFit="1" customWidth="1"/>
    <col min="14809" max="14829" width="4.42578125" style="160" customWidth="1"/>
    <col min="14830" max="15060" width="9.140625" style="160"/>
    <col min="15061" max="15061" width="3" style="160" customWidth="1"/>
    <col min="15062" max="15062" width="18.7109375" style="160" bestFit="1" customWidth="1"/>
    <col min="15063" max="15063" width="6.28515625" style="160" customWidth="1"/>
    <col min="15064" max="15064" width="6.5703125" style="160" bestFit="1" customWidth="1"/>
    <col min="15065" max="15085" width="4.42578125" style="160" customWidth="1"/>
    <col min="15086" max="15316" width="9.140625" style="160"/>
    <col min="15317" max="15317" width="3" style="160" customWidth="1"/>
    <col min="15318" max="15318" width="18.7109375" style="160" bestFit="1" customWidth="1"/>
    <col min="15319" max="15319" width="6.28515625" style="160" customWidth="1"/>
    <col min="15320" max="15320" width="6.5703125" style="160" bestFit="1" customWidth="1"/>
    <col min="15321" max="15341" width="4.42578125" style="160" customWidth="1"/>
    <col min="15342" max="15572" width="9.140625" style="160"/>
    <col min="15573" max="15573" width="3" style="160" customWidth="1"/>
    <col min="15574" max="15574" width="18.7109375" style="160" bestFit="1" customWidth="1"/>
    <col min="15575" max="15575" width="6.28515625" style="160" customWidth="1"/>
    <col min="15576" max="15576" width="6.5703125" style="160" bestFit="1" customWidth="1"/>
    <col min="15577" max="15597" width="4.42578125" style="160" customWidth="1"/>
    <col min="15598" max="15828" width="9.140625" style="160"/>
    <col min="15829" max="15829" width="3" style="160" customWidth="1"/>
    <col min="15830" max="15830" width="18.7109375" style="160" bestFit="1" customWidth="1"/>
    <col min="15831" max="15831" width="6.28515625" style="160" customWidth="1"/>
    <col min="15832" max="15832" width="6.5703125" style="160" bestFit="1" customWidth="1"/>
    <col min="15833" max="15853" width="4.42578125" style="160" customWidth="1"/>
    <col min="15854" max="16084" width="9.140625" style="160"/>
    <col min="16085" max="16085" width="3" style="160" customWidth="1"/>
    <col min="16086" max="16086" width="18.7109375" style="160" bestFit="1" customWidth="1"/>
    <col min="16087" max="16087" width="6.28515625" style="160" customWidth="1"/>
    <col min="16088" max="16088" width="6.5703125" style="160" bestFit="1" customWidth="1"/>
    <col min="16089" max="16109" width="4.42578125" style="160" customWidth="1"/>
    <col min="16110" max="16384" width="9.140625" style="160"/>
  </cols>
  <sheetData>
    <row r="1" spans="1:9" x14ac:dyDescent="0.2">
      <c r="A1" s="20" t="str">
        <f>UPPER((Kalend!D33)&amp;" - "&amp;(Kalend!C33)&amp;" - "&amp;(Kalend!E33))</f>
        <v>9 - K-JÄRVE 13. MV - DUO</v>
      </c>
    </row>
    <row r="2" spans="1:9" x14ac:dyDescent="0.2">
      <c r="A2" s="160" t="str">
        <f>"Toimumisaeg: "&amp;(Kalend!A33)&amp;" kell "&amp;(Kalend!B33)</f>
        <v>Toimumisaeg: E, 20.08.2012 kell 10:00</v>
      </c>
    </row>
    <row r="3" spans="1:9" x14ac:dyDescent="0.2">
      <c r="A3" s="160" t="str">
        <f>"Toimumiskoht: "&amp;(Kalend!F33)</f>
        <v>Toimumiskoht: K-Järve, Järve Gümnaasiumi staadion</v>
      </c>
    </row>
    <row r="4" spans="1:9" x14ac:dyDescent="0.2">
      <c r="A4" s="160" t="str">
        <f>"Korraldaja: "&amp;(Kalend!G33)</f>
        <v>Korraldaja: K-Järve SHK</v>
      </c>
    </row>
    <row r="6" spans="1:9" x14ac:dyDescent="0.2">
      <c r="A6" s="242" t="s">
        <v>209</v>
      </c>
      <c r="B6" s="255"/>
      <c r="C6" s="243">
        <v>1</v>
      </c>
      <c r="D6" s="243">
        <v>2</v>
      </c>
      <c r="E6" s="243">
        <v>3</v>
      </c>
      <c r="F6" s="243">
        <v>4</v>
      </c>
      <c r="G6" s="243">
        <v>5</v>
      </c>
      <c r="H6" s="243" t="s">
        <v>309</v>
      </c>
      <c r="I6" s="243" t="s">
        <v>306</v>
      </c>
    </row>
    <row r="7" spans="1:9" x14ac:dyDescent="0.2">
      <c r="A7" s="242">
        <v>1</v>
      </c>
      <c r="B7" s="244" t="s">
        <v>335</v>
      </c>
      <c r="C7" s="235"/>
      <c r="D7" s="237">
        <v>1</v>
      </c>
      <c r="E7" s="237">
        <v>13</v>
      </c>
      <c r="F7" s="237">
        <v>13</v>
      </c>
      <c r="G7" s="237">
        <v>4</v>
      </c>
      <c r="H7" s="236" t="s">
        <v>353</v>
      </c>
      <c r="I7" s="245" t="s">
        <v>317</v>
      </c>
    </row>
    <row r="8" spans="1:9" x14ac:dyDescent="0.2">
      <c r="A8" s="242">
        <v>2</v>
      </c>
      <c r="B8" s="244" t="s">
        <v>375</v>
      </c>
      <c r="C8" s="237">
        <v>13</v>
      </c>
      <c r="D8" s="235"/>
      <c r="E8" s="237">
        <v>13</v>
      </c>
      <c r="F8" s="237">
        <v>13</v>
      </c>
      <c r="G8" s="237">
        <v>6</v>
      </c>
      <c r="H8" s="236" t="s">
        <v>326</v>
      </c>
      <c r="I8" s="237" t="s">
        <v>314</v>
      </c>
    </row>
    <row r="9" spans="1:9" x14ac:dyDescent="0.2">
      <c r="A9" s="242">
        <v>3</v>
      </c>
      <c r="B9" s="244" t="s">
        <v>376</v>
      </c>
      <c r="C9" s="237">
        <v>6</v>
      </c>
      <c r="D9" s="245">
        <v>8</v>
      </c>
      <c r="E9" s="235"/>
      <c r="F9" s="237">
        <v>10</v>
      </c>
      <c r="G9" s="237">
        <v>13</v>
      </c>
      <c r="H9" s="236" t="s">
        <v>322</v>
      </c>
      <c r="I9" s="237" t="s">
        <v>328</v>
      </c>
    </row>
    <row r="10" spans="1:9" x14ac:dyDescent="0.2">
      <c r="A10" s="242">
        <v>4</v>
      </c>
      <c r="B10" s="244" t="s">
        <v>349</v>
      </c>
      <c r="C10" s="237">
        <v>2</v>
      </c>
      <c r="D10" s="245">
        <v>7</v>
      </c>
      <c r="E10" s="237">
        <v>13</v>
      </c>
      <c r="F10" s="235"/>
      <c r="G10" s="237">
        <v>6</v>
      </c>
      <c r="H10" s="236" t="s">
        <v>322</v>
      </c>
      <c r="I10" s="237" t="s">
        <v>312</v>
      </c>
    </row>
    <row r="11" spans="1:9" x14ac:dyDescent="0.2">
      <c r="A11" s="242">
        <v>5</v>
      </c>
      <c r="B11" s="244" t="s">
        <v>377</v>
      </c>
      <c r="C11" s="237">
        <v>13</v>
      </c>
      <c r="D11" s="237">
        <v>13</v>
      </c>
      <c r="E11" s="237">
        <v>12</v>
      </c>
      <c r="F11" s="237">
        <v>13</v>
      </c>
      <c r="G11" s="235"/>
      <c r="H11" s="236" t="s">
        <v>326</v>
      </c>
      <c r="I11" s="237" t="s">
        <v>310</v>
      </c>
    </row>
    <row r="13" spans="1:9" x14ac:dyDescent="0.2">
      <c r="A13" s="242" t="s">
        <v>211</v>
      </c>
      <c r="B13" s="255"/>
      <c r="C13" s="243">
        <v>1</v>
      </c>
      <c r="D13" s="243">
        <v>2</v>
      </c>
      <c r="E13" s="243">
        <v>3</v>
      </c>
      <c r="F13" s="243">
        <v>4</v>
      </c>
      <c r="G13" s="243">
        <v>5</v>
      </c>
      <c r="H13" s="243" t="s">
        <v>309</v>
      </c>
      <c r="I13" s="243" t="s">
        <v>306</v>
      </c>
    </row>
    <row r="14" spans="1:9" x14ac:dyDescent="0.2">
      <c r="A14" s="242">
        <v>1</v>
      </c>
      <c r="B14" s="244" t="s">
        <v>340</v>
      </c>
      <c r="C14" s="235"/>
      <c r="D14" s="237">
        <v>13</v>
      </c>
      <c r="E14" s="237">
        <v>13</v>
      </c>
      <c r="F14" s="237">
        <v>13</v>
      </c>
      <c r="G14" s="237">
        <v>9</v>
      </c>
      <c r="H14" s="236" t="s">
        <v>326</v>
      </c>
      <c r="I14" s="245" t="s">
        <v>310</v>
      </c>
    </row>
    <row r="15" spans="1:9" x14ac:dyDescent="0.2">
      <c r="A15" s="242">
        <v>2</v>
      </c>
      <c r="B15" s="244" t="s">
        <v>378</v>
      </c>
      <c r="C15" s="237">
        <v>10</v>
      </c>
      <c r="D15" s="235"/>
      <c r="E15" s="237">
        <v>13</v>
      </c>
      <c r="F15" s="237">
        <v>5</v>
      </c>
      <c r="G15" s="237">
        <v>10</v>
      </c>
      <c r="H15" s="236" t="s">
        <v>322</v>
      </c>
      <c r="I15" s="237" t="s">
        <v>312</v>
      </c>
    </row>
    <row r="16" spans="1:9" x14ac:dyDescent="0.2">
      <c r="A16" s="242">
        <v>3</v>
      </c>
      <c r="B16" s="244" t="s">
        <v>315</v>
      </c>
      <c r="C16" s="237">
        <v>9</v>
      </c>
      <c r="D16" s="245">
        <v>8</v>
      </c>
      <c r="E16" s="235"/>
      <c r="F16" s="237">
        <v>12</v>
      </c>
      <c r="G16" s="237">
        <v>13</v>
      </c>
      <c r="H16" s="236" t="s">
        <v>322</v>
      </c>
      <c r="I16" s="237" t="s">
        <v>328</v>
      </c>
    </row>
    <row r="17" spans="1:10" x14ac:dyDescent="0.2">
      <c r="A17" s="242">
        <v>4</v>
      </c>
      <c r="B17" s="244" t="s">
        <v>344</v>
      </c>
      <c r="C17" s="237">
        <v>6</v>
      </c>
      <c r="D17" s="245">
        <v>13</v>
      </c>
      <c r="E17" s="237">
        <v>13</v>
      </c>
      <c r="F17" s="235"/>
      <c r="G17" s="237">
        <v>13</v>
      </c>
      <c r="H17" s="236" t="s">
        <v>326</v>
      </c>
      <c r="I17" s="237" t="s">
        <v>314</v>
      </c>
    </row>
    <row r="18" spans="1:10" x14ac:dyDescent="0.2">
      <c r="A18" s="242">
        <v>5</v>
      </c>
      <c r="B18" s="244" t="s">
        <v>336</v>
      </c>
      <c r="C18" s="237">
        <v>13</v>
      </c>
      <c r="D18" s="237">
        <v>13</v>
      </c>
      <c r="E18" s="237">
        <v>8</v>
      </c>
      <c r="F18" s="237">
        <v>5</v>
      </c>
      <c r="G18" s="235"/>
      <c r="H18" s="236" t="s">
        <v>353</v>
      </c>
      <c r="I18" s="237" t="s">
        <v>317</v>
      </c>
    </row>
    <row r="20" spans="1:10" x14ac:dyDescent="0.2">
      <c r="A20" s="242" t="s">
        <v>215</v>
      </c>
      <c r="B20" s="255"/>
      <c r="C20" s="243">
        <v>1</v>
      </c>
      <c r="D20" s="243">
        <v>2</v>
      </c>
      <c r="E20" s="243">
        <v>3</v>
      </c>
      <c r="F20" s="243">
        <v>4</v>
      </c>
      <c r="G20" s="243">
        <v>5</v>
      </c>
      <c r="H20" s="243" t="s">
        <v>309</v>
      </c>
      <c r="I20" s="243" t="s">
        <v>306</v>
      </c>
    </row>
    <row r="21" spans="1:10" x14ac:dyDescent="0.2">
      <c r="A21" s="242">
        <v>1</v>
      </c>
      <c r="B21" s="244" t="s">
        <v>350</v>
      </c>
      <c r="C21" s="235"/>
      <c r="D21" s="237">
        <v>13</v>
      </c>
      <c r="E21" s="237">
        <v>11</v>
      </c>
      <c r="F21" s="237">
        <v>13</v>
      </c>
      <c r="G21" s="237">
        <v>13</v>
      </c>
      <c r="H21" s="236" t="s">
        <v>326</v>
      </c>
      <c r="I21" s="245" t="s">
        <v>310</v>
      </c>
    </row>
    <row r="22" spans="1:10" x14ac:dyDescent="0.2">
      <c r="A22" s="242">
        <v>2</v>
      </c>
      <c r="B22" s="244" t="s">
        <v>341</v>
      </c>
      <c r="C22" s="237">
        <v>7</v>
      </c>
      <c r="D22" s="235"/>
      <c r="E22" s="299">
        <v>11</v>
      </c>
      <c r="F22" s="237">
        <v>13</v>
      </c>
      <c r="G22" s="299">
        <v>13</v>
      </c>
      <c r="H22" s="298" t="s">
        <v>353</v>
      </c>
      <c r="I22" s="237" t="s">
        <v>314</v>
      </c>
      <c r="J22" s="300" t="s">
        <v>388</v>
      </c>
    </row>
    <row r="23" spans="1:10" x14ac:dyDescent="0.2">
      <c r="A23" s="242">
        <v>3</v>
      </c>
      <c r="B23" s="244" t="s">
        <v>387</v>
      </c>
      <c r="C23" s="237">
        <v>13</v>
      </c>
      <c r="D23" s="299">
        <v>13</v>
      </c>
      <c r="E23" s="235"/>
      <c r="F23" s="237">
        <v>1</v>
      </c>
      <c r="G23" s="299">
        <v>4</v>
      </c>
      <c r="H23" s="298" t="s">
        <v>353</v>
      </c>
      <c r="I23" s="237" t="s">
        <v>312</v>
      </c>
      <c r="J23" s="300" t="s">
        <v>389</v>
      </c>
    </row>
    <row r="24" spans="1:10" x14ac:dyDescent="0.2">
      <c r="A24" s="242">
        <v>4</v>
      </c>
      <c r="B24" s="244" t="s">
        <v>339</v>
      </c>
      <c r="C24" s="237">
        <v>12</v>
      </c>
      <c r="D24" s="245">
        <v>5</v>
      </c>
      <c r="E24" s="237">
        <v>13</v>
      </c>
      <c r="F24" s="235"/>
      <c r="G24" s="237">
        <v>11</v>
      </c>
      <c r="H24" s="236" t="s">
        <v>322</v>
      </c>
      <c r="I24" s="237" t="s">
        <v>328</v>
      </c>
    </row>
    <row r="25" spans="1:10" x14ac:dyDescent="0.2">
      <c r="A25" s="242">
        <v>5</v>
      </c>
      <c r="B25" s="244" t="s">
        <v>351</v>
      </c>
      <c r="C25" s="237">
        <v>5</v>
      </c>
      <c r="D25" s="299">
        <v>5</v>
      </c>
      <c r="E25" s="299">
        <v>13</v>
      </c>
      <c r="F25" s="237">
        <v>13</v>
      </c>
      <c r="G25" s="235"/>
      <c r="H25" s="298" t="s">
        <v>353</v>
      </c>
      <c r="I25" s="237" t="s">
        <v>317</v>
      </c>
      <c r="J25" s="300" t="s">
        <v>390</v>
      </c>
    </row>
    <row r="27" spans="1:10" x14ac:dyDescent="0.2">
      <c r="A27" s="242" t="s">
        <v>218</v>
      </c>
      <c r="B27" s="255"/>
      <c r="C27" s="243">
        <v>1</v>
      </c>
      <c r="D27" s="243">
        <v>2</v>
      </c>
      <c r="E27" s="243">
        <v>3</v>
      </c>
      <c r="F27" s="243">
        <v>4</v>
      </c>
      <c r="G27" s="243">
        <v>5</v>
      </c>
      <c r="H27" s="243" t="s">
        <v>309</v>
      </c>
      <c r="I27" s="243" t="s">
        <v>306</v>
      </c>
    </row>
    <row r="28" spans="1:10" x14ac:dyDescent="0.2">
      <c r="A28" s="242">
        <v>1</v>
      </c>
      <c r="B28" s="244" t="s">
        <v>337</v>
      </c>
      <c r="C28" s="235"/>
      <c r="D28" s="299">
        <v>13</v>
      </c>
      <c r="E28" s="237">
        <v>10</v>
      </c>
      <c r="F28" s="237">
        <v>13</v>
      </c>
      <c r="G28" s="299">
        <v>3</v>
      </c>
      <c r="H28" s="298" t="s">
        <v>353</v>
      </c>
      <c r="I28" s="245" t="s">
        <v>312</v>
      </c>
      <c r="J28" s="300" t="s">
        <v>391</v>
      </c>
    </row>
    <row r="29" spans="1:10" x14ac:dyDescent="0.2">
      <c r="A29" s="242">
        <v>2</v>
      </c>
      <c r="B29" s="244" t="s">
        <v>385</v>
      </c>
      <c r="C29" s="299">
        <v>11</v>
      </c>
      <c r="D29" s="235"/>
      <c r="E29" s="237">
        <v>13</v>
      </c>
      <c r="F29" s="237">
        <v>12</v>
      </c>
      <c r="G29" s="299">
        <v>13</v>
      </c>
      <c r="H29" s="298" t="s">
        <v>353</v>
      </c>
      <c r="I29" s="237" t="s">
        <v>314</v>
      </c>
      <c r="J29" s="300" t="s">
        <v>392</v>
      </c>
    </row>
    <row r="30" spans="1:10" x14ac:dyDescent="0.2">
      <c r="A30" s="242">
        <v>3</v>
      </c>
      <c r="B30" s="244" t="s">
        <v>386</v>
      </c>
      <c r="C30" s="237">
        <v>13</v>
      </c>
      <c r="D30" s="245">
        <v>4</v>
      </c>
      <c r="E30" s="235"/>
      <c r="F30" s="237">
        <v>9</v>
      </c>
      <c r="G30" s="237">
        <v>10</v>
      </c>
      <c r="H30" s="236" t="s">
        <v>322</v>
      </c>
      <c r="I30" s="237" t="s">
        <v>328</v>
      </c>
    </row>
    <row r="31" spans="1:10" x14ac:dyDescent="0.2">
      <c r="A31" s="242">
        <v>4</v>
      </c>
      <c r="B31" s="244" t="s">
        <v>343</v>
      </c>
      <c r="C31" s="237">
        <v>12</v>
      </c>
      <c r="D31" s="245">
        <v>13</v>
      </c>
      <c r="E31" s="237">
        <v>13</v>
      </c>
      <c r="F31" s="235"/>
      <c r="G31" s="237">
        <v>13</v>
      </c>
      <c r="H31" s="236" t="s">
        <v>326</v>
      </c>
      <c r="I31" s="237" t="s">
        <v>310</v>
      </c>
    </row>
    <row r="32" spans="1:10" x14ac:dyDescent="0.2">
      <c r="A32" s="242">
        <v>5</v>
      </c>
      <c r="B32" s="244" t="s">
        <v>342</v>
      </c>
      <c r="C32" s="299">
        <v>13</v>
      </c>
      <c r="D32" s="299">
        <v>1</v>
      </c>
      <c r="E32" s="237">
        <v>13</v>
      </c>
      <c r="F32" s="237">
        <v>7</v>
      </c>
      <c r="G32" s="235"/>
      <c r="H32" s="298" t="s">
        <v>353</v>
      </c>
      <c r="I32" s="237" t="s">
        <v>317</v>
      </c>
      <c r="J32" s="300" t="s">
        <v>393</v>
      </c>
    </row>
    <row r="33" spans="1:11" x14ac:dyDescent="0.2">
      <c r="A33" s="246"/>
      <c r="B33" s="246"/>
      <c r="C33" s="247"/>
      <c r="D33" s="247"/>
      <c r="E33" s="248"/>
      <c r="F33" s="248"/>
      <c r="G33" s="248"/>
      <c r="H33" s="249"/>
      <c r="I33" s="248"/>
    </row>
    <row r="34" spans="1:11" x14ac:dyDescent="0.2">
      <c r="A34" s="256"/>
      <c r="B34" s="250" t="s">
        <v>318</v>
      </c>
      <c r="C34" s="251" t="s">
        <v>334</v>
      </c>
      <c r="D34" s="251" t="s">
        <v>323</v>
      </c>
      <c r="I34" s="253"/>
    </row>
    <row r="35" spans="1:11" x14ac:dyDescent="0.2">
      <c r="A35" s="256"/>
      <c r="B35" s="250" t="s">
        <v>321</v>
      </c>
      <c r="C35" s="251" t="s">
        <v>322</v>
      </c>
      <c r="D35" s="251" t="s">
        <v>331</v>
      </c>
      <c r="E35" s="251"/>
      <c r="F35" s="252"/>
      <c r="I35" s="253"/>
    </row>
    <row r="36" spans="1:11" x14ac:dyDescent="0.2">
      <c r="A36" s="256"/>
      <c r="B36" s="250" t="s">
        <v>324</v>
      </c>
      <c r="C36" s="251" t="s">
        <v>329</v>
      </c>
      <c r="D36" s="251" t="s">
        <v>325</v>
      </c>
      <c r="E36" s="252"/>
      <c r="F36" s="252"/>
      <c r="I36" s="254"/>
    </row>
    <row r="37" spans="1:11" x14ac:dyDescent="0.2">
      <c r="A37" s="256"/>
      <c r="B37" s="250" t="s">
        <v>332</v>
      </c>
      <c r="C37" s="251" t="s">
        <v>316</v>
      </c>
      <c r="D37" s="251" t="s">
        <v>330</v>
      </c>
      <c r="E37" s="251"/>
      <c r="F37" s="252"/>
      <c r="I37" s="253"/>
    </row>
    <row r="38" spans="1:11" x14ac:dyDescent="0.2">
      <c r="A38" s="256"/>
      <c r="B38" s="250" t="s">
        <v>333</v>
      </c>
      <c r="C38" s="251" t="s">
        <v>319</v>
      </c>
      <c r="D38" s="251" t="s">
        <v>320</v>
      </c>
      <c r="E38" s="251"/>
      <c r="F38" s="252"/>
      <c r="G38" s="252"/>
      <c r="H38" s="251"/>
      <c r="I38" s="253"/>
    </row>
    <row r="40" spans="1:11" x14ac:dyDescent="0.2">
      <c r="A40" s="260" t="s">
        <v>354</v>
      </c>
      <c r="B40" s="261"/>
      <c r="C40" s="261"/>
      <c r="D40" s="261"/>
      <c r="E40" s="261"/>
      <c r="F40" s="261"/>
      <c r="G40" s="261"/>
      <c r="H40" s="252"/>
      <c r="I40" s="252"/>
      <c r="J40" s="252"/>
      <c r="K40" s="261"/>
    </row>
    <row r="41" spans="1:11" x14ac:dyDescent="0.2">
      <c r="A41" s="260"/>
      <c r="B41" s="261"/>
      <c r="C41" s="261"/>
      <c r="D41" s="261"/>
      <c r="E41" s="261"/>
      <c r="F41" s="261"/>
      <c r="G41" s="261"/>
      <c r="H41" s="252"/>
      <c r="I41" s="252"/>
      <c r="J41" s="252"/>
      <c r="K41" s="261"/>
    </row>
    <row r="42" spans="1:11" x14ac:dyDescent="0.2">
      <c r="A42" s="262" t="s">
        <v>359</v>
      </c>
      <c r="B42" s="261" t="s">
        <v>377</v>
      </c>
      <c r="C42" s="263">
        <v>3</v>
      </c>
      <c r="D42" s="261"/>
      <c r="E42" s="261"/>
      <c r="F42" s="261"/>
      <c r="G42" s="261"/>
      <c r="H42" s="261"/>
      <c r="I42" s="261"/>
      <c r="J42" s="261"/>
      <c r="K42" s="261"/>
    </row>
    <row r="43" spans="1:11" x14ac:dyDescent="0.2">
      <c r="A43" s="264"/>
      <c r="B43" s="265"/>
      <c r="C43" s="266" t="s">
        <v>344</v>
      </c>
      <c r="D43" s="267"/>
      <c r="E43" s="261"/>
      <c r="F43" s="263">
        <v>4</v>
      </c>
      <c r="G43" s="261"/>
      <c r="H43" s="261"/>
      <c r="I43" s="261"/>
      <c r="J43" s="261"/>
      <c r="K43" s="261"/>
    </row>
    <row r="44" spans="1:11" x14ac:dyDescent="0.2">
      <c r="A44" s="262" t="s">
        <v>358</v>
      </c>
      <c r="B44" s="268" t="s">
        <v>344</v>
      </c>
      <c r="C44" s="269">
        <v>13</v>
      </c>
      <c r="D44" s="261"/>
      <c r="E44" s="270"/>
      <c r="F44" s="261"/>
      <c r="G44" s="261"/>
      <c r="H44" s="261"/>
      <c r="I44" s="261"/>
      <c r="J44" s="261"/>
      <c r="K44" s="261"/>
    </row>
    <row r="45" spans="1:11" x14ac:dyDescent="0.2">
      <c r="A45" s="264"/>
      <c r="B45" s="261"/>
      <c r="C45" s="261"/>
      <c r="D45" s="271"/>
      <c r="E45" s="272"/>
      <c r="F45" s="261" t="s">
        <v>343</v>
      </c>
      <c r="G45" s="261"/>
      <c r="H45" s="261"/>
      <c r="I45" s="263">
        <v>13</v>
      </c>
      <c r="J45" s="261"/>
      <c r="K45" s="261"/>
    </row>
    <row r="46" spans="1:11" x14ac:dyDescent="0.2">
      <c r="A46" s="262" t="s">
        <v>360</v>
      </c>
      <c r="B46" s="273" t="s">
        <v>341</v>
      </c>
      <c r="C46" s="274"/>
      <c r="D46" s="261"/>
      <c r="E46" s="272"/>
      <c r="F46" s="265"/>
      <c r="G46" s="265"/>
      <c r="H46" s="270"/>
      <c r="I46" s="261"/>
      <c r="J46" s="261"/>
      <c r="K46" s="261"/>
    </row>
    <row r="47" spans="1:11" x14ac:dyDescent="0.2">
      <c r="A47" s="264"/>
      <c r="B47" s="265"/>
      <c r="C47" s="275" t="s">
        <v>343</v>
      </c>
      <c r="D47" s="261"/>
      <c r="E47" s="276"/>
      <c r="F47" s="274">
        <v>13</v>
      </c>
      <c r="G47" s="271"/>
      <c r="H47" s="272"/>
      <c r="I47" s="261"/>
      <c r="J47" s="261"/>
      <c r="K47" s="261"/>
    </row>
    <row r="48" spans="1:11" x14ac:dyDescent="0.2">
      <c r="A48" s="262" t="s">
        <v>355</v>
      </c>
      <c r="B48" s="268" t="s">
        <v>343</v>
      </c>
      <c r="C48" s="277">
        <v>13</v>
      </c>
      <c r="D48" s="265"/>
      <c r="E48" s="261"/>
      <c r="F48" s="271"/>
      <c r="G48" s="271"/>
      <c r="H48" s="272"/>
      <c r="I48" s="261"/>
      <c r="J48" s="261"/>
      <c r="K48" s="261"/>
    </row>
    <row r="49" spans="1:11" ht="13.5" thickBot="1" x14ac:dyDescent="0.25">
      <c r="A49" s="264"/>
      <c r="B49" s="261"/>
      <c r="C49" s="261"/>
      <c r="D49" s="261"/>
      <c r="E49" s="261"/>
      <c r="F49" s="271"/>
      <c r="G49" s="271"/>
      <c r="H49" s="272"/>
      <c r="I49" s="261"/>
      <c r="J49" s="261" t="s">
        <v>343</v>
      </c>
      <c r="K49" s="261"/>
    </row>
    <row r="50" spans="1:11" x14ac:dyDescent="0.2">
      <c r="A50" s="262" t="s">
        <v>362</v>
      </c>
      <c r="B50" s="261" t="s">
        <v>385</v>
      </c>
      <c r="C50" s="263">
        <v>13</v>
      </c>
      <c r="D50" s="261"/>
      <c r="E50" s="261"/>
      <c r="F50" s="271"/>
      <c r="G50" s="271"/>
      <c r="H50" s="272"/>
      <c r="I50" s="278"/>
      <c r="J50" s="279" t="s">
        <v>417</v>
      </c>
      <c r="K50" s="280"/>
    </row>
    <row r="51" spans="1:11" x14ac:dyDescent="0.2">
      <c r="A51" s="264"/>
      <c r="B51" s="265"/>
      <c r="C51" s="266" t="s">
        <v>385</v>
      </c>
      <c r="D51" s="267"/>
      <c r="E51" s="261"/>
      <c r="F51" s="274">
        <v>13</v>
      </c>
      <c r="G51" s="271"/>
      <c r="H51" s="272"/>
      <c r="I51" s="261"/>
      <c r="J51" s="261"/>
      <c r="K51" s="261"/>
    </row>
    <row r="52" spans="1:11" ht="13.5" thickBot="1" x14ac:dyDescent="0.25">
      <c r="A52" s="262" t="s">
        <v>357</v>
      </c>
      <c r="B52" s="267" t="s">
        <v>350</v>
      </c>
      <c r="C52" s="269">
        <v>7</v>
      </c>
      <c r="D52" s="261"/>
      <c r="E52" s="270"/>
      <c r="F52" s="271"/>
      <c r="G52" s="271"/>
      <c r="H52" s="272"/>
      <c r="I52" s="261"/>
      <c r="J52" s="281" t="s">
        <v>385</v>
      </c>
      <c r="K52" s="281"/>
    </row>
    <row r="53" spans="1:11" x14ac:dyDescent="0.2">
      <c r="A53" s="264"/>
      <c r="B53" s="261"/>
      <c r="C53" s="261"/>
      <c r="D53" s="271"/>
      <c r="E53" s="272"/>
      <c r="F53" s="267" t="s">
        <v>385</v>
      </c>
      <c r="G53" s="267"/>
      <c r="H53" s="276"/>
      <c r="I53" s="263">
        <v>0</v>
      </c>
      <c r="J53" s="279" t="s">
        <v>418</v>
      </c>
      <c r="K53" s="261"/>
    </row>
    <row r="54" spans="1:11" x14ac:dyDescent="0.2">
      <c r="A54" s="262" t="s">
        <v>356</v>
      </c>
      <c r="B54" s="261" t="s">
        <v>375</v>
      </c>
      <c r="C54" s="274">
        <v>9</v>
      </c>
      <c r="D54" s="261"/>
      <c r="E54" s="272"/>
      <c r="F54" s="261"/>
      <c r="G54" s="261"/>
      <c r="H54" s="261"/>
      <c r="I54" s="261"/>
      <c r="J54" s="261"/>
      <c r="K54" s="261"/>
    </row>
    <row r="55" spans="1:11" x14ac:dyDescent="0.2">
      <c r="A55" s="264"/>
      <c r="B55" s="265"/>
      <c r="C55" s="275" t="s">
        <v>340</v>
      </c>
      <c r="D55" s="261"/>
      <c r="E55" s="276"/>
      <c r="F55" s="263">
        <v>8</v>
      </c>
      <c r="G55" s="261"/>
      <c r="H55" s="261"/>
      <c r="I55" s="261"/>
      <c r="J55" s="261"/>
      <c r="K55" s="261"/>
    </row>
    <row r="56" spans="1:11" x14ac:dyDescent="0.2">
      <c r="A56" s="262" t="s">
        <v>361</v>
      </c>
      <c r="B56" s="267" t="s">
        <v>340</v>
      </c>
      <c r="C56" s="277">
        <v>13</v>
      </c>
      <c r="D56" s="265"/>
      <c r="E56" s="261"/>
      <c r="F56" s="261"/>
      <c r="G56" s="261"/>
      <c r="H56" s="261"/>
      <c r="I56" s="261"/>
      <c r="J56" s="261"/>
      <c r="K56" s="261"/>
    </row>
    <row r="57" spans="1:11" x14ac:dyDescent="0.2">
      <c r="A57" s="261"/>
      <c r="B57" s="261"/>
      <c r="C57" s="261"/>
      <c r="D57" s="261"/>
      <c r="E57" s="261"/>
      <c r="F57" s="261" t="s">
        <v>344</v>
      </c>
      <c r="G57" s="261"/>
      <c r="H57" s="261"/>
      <c r="I57" s="274">
        <v>13</v>
      </c>
      <c r="J57" s="271"/>
      <c r="K57" s="271"/>
    </row>
    <row r="58" spans="1:11" ht="13.5" thickBot="1" x14ac:dyDescent="0.25">
      <c r="A58" s="261"/>
      <c r="B58" s="261"/>
      <c r="C58" s="261"/>
      <c r="D58" s="261"/>
      <c r="E58" s="261"/>
      <c r="F58" s="265"/>
      <c r="G58" s="265"/>
      <c r="H58" s="270"/>
      <c r="I58" s="281"/>
      <c r="J58" s="281" t="s">
        <v>344</v>
      </c>
      <c r="K58" s="281"/>
    </row>
    <row r="59" spans="1:11" x14ac:dyDescent="0.2">
      <c r="A59" s="261"/>
      <c r="B59" s="261"/>
      <c r="C59" s="261"/>
      <c r="D59" s="261"/>
      <c r="E59" s="261"/>
      <c r="F59" s="267" t="s">
        <v>340</v>
      </c>
      <c r="G59" s="267"/>
      <c r="H59" s="276"/>
      <c r="I59" s="263">
        <v>12</v>
      </c>
      <c r="J59" s="282" t="s">
        <v>416</v>
      </c>
      <c r="K59" s="271"/>
    </row>
    <row r="60" spans="1:11" x14ac:dyDescent="0.2">
      <c r="A60" s="261"/>
      <c r="B60" s="261"/>
      <c r="C60" s="261"/>
      <c r="D60" s="261"/>
      <c r="E60" s="261"/>
      <c r="F60" s="261"/>
      <c r="G60" s="261"/>
      <c r="H60" s="261"/>
      <c r="I60" s="261"/>
      <c r="J60" s="271"/>
      <c r="K60" s="271"/>
    </row>
    <row r="61" spans="1:11" ht="13.5" thickBot="1" x14ac:dyDescent="0.25">
      <c r="A61" s="261"/>
      <c r="B61" s="261"/>
      <c r="C61" s="261" t="s">
        <v>377</v>
      </c>
      <c r="D61" s="261"/>
      <c r="E61" s="261"/>
      <c r="F61" s="263">
        <v>4</v>
      </c>
      <c r="G61" s="261"/>
      <c r="H61" s="261"/>
      <c r="I61" s="261"/>
      <c r="J61" s="281" t="s">
        <v>340</v>
      </c>
      <c r="K61" s="281"/>
    </row>
    <row r="62" spans="1:11" x14ac:dyDescent="0.2">
      <c r="A62" s="261"/>
      <c r="B62" s="261"/>
      <c r="C62" s="265"/>
      <c r="D62" s="265"/>
      <c r="E62" s="270"/>
      <c r="F62" s="266" t="s">
        <v>341</v>
      </c>
      <c r="G62" s="267"/>
      <c r="H62" s="267"/>
      <c r="I62" s="263">
        <v>13</v>
      </c>
      <c r="J62" s="283" t="s">
        <v>229</v>
      </c>
      <c r="K62" s="261"/>
    </row>
    <row r="63" spans="1:11" x14ac:dyDescent="0.2">
      <c r="A63" s="261"/>
      <c r="B63" s="261"/>
      <c r="C63" s="267" t="s">
        <v>341</v>
      </c>
      <c r="D63" s="267"/>
      <c r="E63" s="276"/>
      <c r="F63" s="269">
        <v>13</v>
      </c>
      <c r="G63" s="261"/>
      <c r="H63" s="272"/>
      <c r="I63" s="261"/>
      <c r="J63" s="261"/>
      <c r="K63" s="261"/>
    </row>
    <row r="64" spans="1:11" ht="13.5" thickBot="1" x14ac:dyDescent="0.25">
      <c r="A64" s="261"/>
      <c r="B64" s="261"/>
      <c r="C64" s="261"/>
      <c r="D64" s="261"/>
      <c r="E64" s="261"/>
      <c r="F64" s="271"/>
      <c r="G64" s="261"/>
      <c r="H64" s="272"/>
      <c r="I64" s="261"/>
      <c r="J64" s="261" t="s">
        <v>341</v>
      </c>
      <c r="K64" s="261"/>
    </row>
    <row r="65" spans="1:11" x14ac:dyDescent="0.2">
      <c r="A65" s="261"/>
      <c r="B65" s="261"/>
      <c r="C65" s="261" t="s">
        <v>350</v>
      </c>
      <c r="D65" s="261"/>
      <c r="E65" s="261"/>
      <c r="F65" s="274">
        <v>13</v>
      </c>
      <c r="G65" s="261"/>
      <c r="H65" s="272"/>
      <c r="I65" s="278"/>
      <c r="J65" s="279" t="s">
        <v>231</v>
      </c>
      <c r="K65" s="280"/>
    </row>
    <row r="66" spans="1:11" x14ac:dyDescent="0.2">
      <c r="A66" s="261"/>
      <c r="B66" s="261"/>
      <c r="C66" s="265"/>
      <c r="D66" s="265"/>
      <c r="E66" s="270"/>
      <c r="F66" s="275" t="s">
        <v>350</v>
      </c>
      <c r="G66" s="261"/>
      <c r="H66" s="276"/>
      <c r="I66" s="274">
        <v>9</v>
      </c>
      <c r="J66" s="261"/>
      <c r="K66" s="261"/>
    </row>
    <row r="67" spans="1:11" ht="13.5" thickBot="1" x14ac:dyDescent="0.25">
      <c r="A67" s="261"/>
      <c r="B67" s="261"/>
      <c r="C67" s="267" t="s">
        <v>375</v>
      </c>
      <c r="D67" s="267"/>
      <c r="E67" s="276"/>
      <c r="F67" s="277">
        <v>3</v>
      </c>
      <c r="G67" s="265"/>
      <c r="H67" s="261"/>
      <c r="I67" s="271"/>
      <c r="J67" s="271" t="s">
        <v>350</v>
      </c>
      <c r="K67" s="281"/>
    </row>
    <row r="68" spans="1:11" x14ac:dyDescent="0.2">
      <c r="A68" s="261"/>
      <c r="B68" s="261"/>
      <c r="C68" s="261"/>
      <c r="D68" s="261"/>
      <c r="E68" s="261"/>
      <c r="F68" s="261"/>
      <c r="G68" s="261"/>
      <c r="H68" s="261"/>
      <c r="I68" s="271"/>
      <c r="J68" s="279" t="s">
        <v>232</v>
      </c>
      <c r="K68" s="271"/>
    </row>
    <row r="69" spans="1:11" x14ac:dyDescent="0.2">
      <c r="A69" s="261"/>
      <c r="B69" s="261"/>
      <c r="C69" s="261"/>
      <c r="D69" s="261"/>
      <c r="E69" s="261"/>
      <c r="F69" s="261" t="s">
        <v>377</v>
      </c>
      <c r="G69" s="261"/>
      <c r="H69" s="261"/>
      <c r="I69" s="274">
        <v>12</v>
      </c>
      <c r="J69" s="271"/>
      <c r="K69" s="271"/>
    </row>
    <row r="70" spans="1:11" ht="13.5" thickBot="1" x14ac:dyDescent="0.25">
      <c r="A70" s="261"/>
      <c r="B70" s="261"/>
      <c r="C70" s="261"/>
      <c r="D70" s="261"/>
      <c r="E70" s="261"/>
      <c r="F70" s="265"/>
      <c r="G70" s="265"/>
      <c r="H70" s="270"/>
      <c r="I70" s="281"/>
      <c r="J70" s="281" t="s">
        <v>375</v>
      </c>
      <c r="K70" s="281"/>
    </row>
    <row r="71" spans="1:11" x14ac:dyDescent="0.2">
      <c r="A71" s="261"/>
      <c r="B71" s="261"/>
      <c r="C71" s="261"/>
      <c r="D71" s="261"/>
      <c r="E71" s="261"/>
      <c r="F71" s="267" t="s">
        <v>375</v>
      </c>
      <c r="G71" s="267"/>
      <c r="H71" s="276"/>
      <c r="I71" s="263">
        <v>13</v>
      </c>
      <c r="J71" s="282" t="s">
        <v>234</v>
      </c>
      <c r="K71" s="271"/>
    </row>
    <row r="72" spans="1:11" x14ac:dyDescent="0.2">
      <c r="A72" s="261"/>
      <c r="B72" s="261"/>
      <c r="C72" s="261"/>
      <c r="D72" s="261"/>
      <c r="E72" s="261"/>
      <c r="F72" s="261"/>
      <c r="G72" s="261"/>
      <c r="H72" s="261"/>
      <c r="I72" s="261"/>
      <c r="J72" s="271"/>
      <c r="K72" s="271"/>
    </row>
    <row r="73" spans="1:11" ht="13.5" thickBot="1" x14ac:dyDescent="0.25">
      <c r="A73" s="261"/>
      <c r="B73" s="261"/>
      <c r="J73" s="281" t="s">
        <v>377</v>
      </c>
      <c r="K73" s="281"/>
    </row>
    <row r="74" spans="1:11" x14ac:dyDescent="0.2">
      <c r="A74" s="261"/>
      <c r="B74" s="261"/>
      <c r="C74" s="261"/>
      <c r="D74" s="261"/>
      <c r="E74" s="261"/>
      <c r="F74" s="261"/>
      <c r="G74" s="271"/>
      <c r="H74" s="271"/>
      <c r="I74" s="261"/>
      <c r="J74" s="283" t="s">
        <v>235</v>
      </c>
      <c r="K74" s="261"/>
    </row>
    <row r="75" spans="1:11" x14ac:dyDescent="0.2">
      <c r="A75" s="261"/>
      <c r="B75" s="261"/>
      <c r="C75" s="261"/>
      <c r="D75" s="261"/>
      <c r="E75" s="261"/>
      <c r="F75" s="261"/>
      <c r="G75" s="271"/>
      <c r="H75" s="271"/>
      <c r="I75" s="261"/>
    </row>
    <row r="76" spans="1:11" x14ac:dyDescent="0.2">
      <c r="A76" s="260" t="s">
        <v>363</v>
      </c>
      <c r="B76" s="261"/>
      <c r="C76" s="261"/>
      <c r="D76" s="261"/>
      <c r="E76" s="261"/>
      <c r="F76" s="261"/>
      <c r="G76" s="261"/>
      <c r="H76" s="252"/>
      <c r="I76" s="252"/>
      <c r="J76" s="252"/>
      <c r="K76" s="261"/>
    </row>
    <row r="77" spans="1:11" x14ac:dyDescent="0.2">
      <c r="A77" s="260"/>
      <c r="B77" s="261"/>
      <c r="C77" s="261"/>
      <c r="D77" s="261"/>
      <c r="E77" s="261"/>
      <c r="F77" s="261"/>
      <c r="G77" s="261"/>
      <c r="H77" s="252"/>
      <c r="I77" s="252"/>
      <c r="J77" s="252"/>
      <c r="K77" s="261"/>
    </row>
    <row r="78" spans="1:11" x14ac:dyDescent="0.2">
      <c r="A78" s="262" t="s">
        <v>364</v>
      </c>
      <c r="B78" s="261" t="s">
        <v>335</v>
      </c>
      <c r="C78" s="302" t="s">
        <v>228</v>
      </c>
      <c r="D78" s="261"/>
      <c r="E78" s="261"/>
      <c r="F78" s="261"/>
      <c r="G78" s="261"/>
      <c r="H78" s="261"/>
      <c r="I78" s="261"/>
      <c r="J78" s="261"/>
      <c r="K78" s="261"/>
    </row>
    <row r="79" spans="1:11" x14ac:dyDescent="0.2">
      <c r="A79" s="264"/>
      <c r="B79" s="265"/>
      <c r="C79" s="266" t="s">
        <v>378</v>
      </c>
      <c r="D79" s="267"/>
      <c r="E79" s="261"/>
      <c r="F79" s="263">
        <v>1</v>
      </c>
      <c r="G79" s="261"/>
      <c r="H79" s="261"/>
      <c r="I79" s="261"/>
      <c r="J79" s="261"/>
      <c r="K79" s="261"/>
    </row>
    <row r="80" spans="1:11" x14ac:dyDescent="0.2">
      <c r="A80" s="262" t="s">
        <v>370</v>
      </c>
      <c r="B80" s="268" t="s">
        <v>378</v>
      </c>
      <c r="C80" s="269">
        <v>13</v>
      </c>
      <c r="D80" s="261"/>
      <c r="E80" s="270"/>
      <c r="F80" s="261"/>
      <c r="G80" s="261"/>
      <c r="H80" s="261"/>
      <c r="I80" s="261"/>
      <c r="J80" s="261"/>
      <c r="K80" s="261"/>
    </row>
    <row r="81" spans="1:11" x14ac:dyDescent="0.2">
      <c r="A81" s="264"/>
      <c r="B81" s="261"/>
      <c r="C81" s="261"/>
      <c r="D81" s="271"/>
      <c r="E81" s="272"/>
      <c r="F81" s="291" t="s">
        <v>342</v>
      </c>
      <c r="G81" s="261"/>
      <c r="H81" s="261"/>
      <c r="I81" s="263">
        <v>10</v>
      </c>
      <c r="J81" s="261"/>
      <c r="K81" s="261"/>
    </row>
    <row r="82" spans="1:11" x14ac:dyDescent="0.2">
      <c r="A82" s="262" t="s">
        <v>368</v>
      </c>
      <c r="B82" s="273" t="s">
        <v>387</v>
      </c>
      <c r="C82" s="289" t="s">
        <v>228</v>
      </c>
      <c r="D82" s="261"/>
      <c r="E82" s="272"/>
      <c r="F82" s="265"/>
      <c r="G82" s="265"/>
      <c r="H82" s="270"/>
      <c r="I82" s="261"/>
      <c r="J82" s="261"/>
      <c r="K82" s="261"/>
    </row>
    <row r="83" spans="1:11" x14ac:dyDescent="0.2">
      <c r="A83" s="264"/>
      <c r="B83" s="265"/>
      <c r="C83" s="275" t="s">
        <v>342</v>
      </c>
      <c r="D83" s="261"/>
      <c r="E83" s="276"/>
      <c r="F83" s="274">
        <v>13</v>
      </c>
      <c r="G83" s="271"/>
      <c r="H83" s="272"/>
      <c r="I83" s="261"/>
      <c r="J83" s="261"/>
      <c r="K83" s="261"/>
    </row>
    <row r="84" spans="1:11" x14ac:dyDescent="0.2">
      <c r="A84" s="262" t="s">
        <v>371</v>
      </c>
      <c r="B84" s="268" t="s">
        <v>342</v>
      </c>
      <c r="C84" s="290">
        <v>13</v>
      </c>
      <c r="D84" s="265"/>
      <c r="E84" s="261"/>
      <c r="F84" s="271"/>
      <c r="G84" s="271"/>
      <c r="H84" s="272"/>
      <c r="I84" s="261"/>
      <c r="J84" s="261"/>
      <c r="K84" s="261"/>
    </row>
    <row r="85" spans="1:11" ht="13.5" thickBot="1" x14ac:dyDescent="0.25">
      <c r="A85" s="264"/>
      <c r="B85" s="261"/>
      <c r="C85" s="261"/>
      <c r="D85" s="261"/>
      <c r="E85" s="261"/>
      <c r="F85" s="271"/>
      <c r="G85" s="271"/>
      <c r="H85" s="272"/>
      <c r="I85" s="261"/>
      <c r="J85" s="261" t="s">
        <v>337</v>
      </c>
      <c r="K85" s="261"/>
    </row>
    <row r="86" spans="1:11" x14ac:dyDescent="0.2">
      <c r="A86" s="262" t="s">
        <v>366</v>
      </c>
      <c r="B86" s="261" t="s">
        <v>337</v>
      </c>
      <c r="C86" s="263">
        <v>13</v>
      </c>
      <c r="D86" s="261"/>
      <c r="E86" s="261"/>
      <c r="F86" s="271"/>
      <c r="G86" s="271"/>
      <c r="H86" s="272"/>
      <c r="I86" s="278"/>
      <c r="J86" s="279" t="s">
        <v>237</v>
      </c>
      <c r="K86" s="280"/>
    </row>
    <row r="87" spans="1:11" x14ac:dyDescent="0.2">
      <c r="A87" s="264"/>
      <c r="B87" s="265"/>
      <c r="C87" s="266" t="s">
        <v>337</v>
      </c>
      <c r="D87" s="267"/>
      <c r="E87" s="261"/>
      <c r="F87" s="274">
        <v>13</v>
      </c>
      <c r="G87" s="271"/>
      <c r="H87" s="272"/>
      <c r="I87" s="261"/>
      <c r="J87" s="261"/>
      <c r="K87" s="261"/>
    </row>
    <row r="88" spans="1:11" ht="13.5" thickBot="1" x14ac:dyDescent="0.25">
      <c r="A88" s="262" t="s">
        <v>369</v>
      </c>
      <c r="B88" s="267" t="s">
        <v>351</v>
      </c>
      <c r="C88" s="269">
        <v>3</v>
      </c>
      <c r="D88" s="261"/>
      <c r="E88" s="270"/>
      <c r="F88" s="271"/>
      <c r="G88" s="271"/>
      <c r="H88" s="272"/>
      <c r="I88" s="261"/>
      <c r="J88" s="281" t="s">
        <v>342</v>
      </c>
      <c r="K88" s="281"/>
    </row>
    <row r="89" spans="1:11" x14ac:dyDescent="0.2">
      <c r="A89" s="264"/>
      <c r="B89" s="261"/>
      <c r="C89" s="261"/>
      <c r="D89" s="271"/>
      <c r="E89" s="272"/>
      <c r="F89" s="267" t="s">
        <v>337</v>
      </c>
      <c r="G89" s="267"/>
      <c r="H89" s="276"/>
      <c r="I89" s="263">
        <v>13</v>
      </c>
      <c r="J89" s="279" t="s">
        <v>238</v>
      </c>
      <c r="K89" s="261"/>
    </row>
    <row r="90" spans="1:11" x14ac:dyDescent="0.2">
      <c r="A90" s="262" t="s">
        <v>372</v>
      </c>
      <c r="B90" s="261" t="s">
        <v>349</v>
      </c>
      <c r="C90" s="303" t="s">
        <v>228</v>
      </c>
      <c r="D90" s="261"/>
      <c r="E90" s="272"/>
      <c r="F90" s="261"/>
      <c r="G90" s="261"/>
      <c r="H90" s="261"/>
      <c r="I90" s="261"/>
      <c r="J90" s="261"/>
      <c r="K90" s="261"/>
    </row>
    <row r="91" spans="1:11" x14ac:dyDescent="0.2">
      <c r="A91" s="264"/>
      <c r="B91" s="265"/>
      <c r="C91" s="275" t="s">
        <v>336</v>
      </c>
      <c r="D91" s="261"/>
      <c r="E91" s="276"/>
      <c r="F91" s="263">
        <v>2</v>
      </c>
      <c r="G91" s="261"/>
      <c r="H91" s="261"/>
      <c r="I91" s="261"/>
      <c r="J91" s="261"/>
      <c r="K91" s="261"/>
    </row>
    <row r="92" spans="1:11" x14ac:dyDescent="0.2">
      <c r="A92" s="262" t="s">
        <v>367</v>
      </c>
      <c r="B92" s="267" t="s">
        <v>336</v>
      </c>
      <c r="C92" s="277">
        <v>13</v>
      </c>
      <c r="D92" s="265"/>
      <c r="E92" s="261"/>
      <c r="F92" s="261"/>
      <c r="G92" s="261"/>
      <c r="H92" s="261"/>
      <c r="I92" s="261"/>
      <c r="J92" s="261"/>
      <c r="K92" s="261"/>
    </row>
    <row r="93" spans="1:11" x14ac:dyDescent="0.2">
      <c r="A93" s="261"/>
      <c r="B93" s="261"/>
      <c r="C93" s="261"/>
      <c r="D93" s="261"/>
      <c r="E93" s="261"/>
      <c r="F93" s="261" t="s">
        <v>378</v>
      </c>
      <c r="G93" s="261"/>
      <c r="H93" s="261"/>
      <c r="I93" s="274">
        <v>13</v>
      </c>
      <c r="J93" s="271"/>
      <c r="K93" s="271"/>
    </row>
    <row r="94" spans="1:11" ht="13.5" thickBot="1" x14ac:dyDescent="0.25">
      <c r="A94" s="261"/>
      <c r="B94" s="261"/>
      <c r="C94" s="261"/>
      <c r="D94" s="261"/>
      <c r="E94" s="261"/>
      <c r="F94" s="265"/>
      <c r="G94" s="265"/>
      <c r="H94" s="270"/>
      <c r="I94" s="281"/>
      <c r="J94" s="281" t="s">
        <v>378</v>
      </c>
      <c r="K94" s="281"/>
    </row>
    <row r="95" spans="1:11" x14ac:dyDescent="0.2">
      <c r="A95" s="261"/>
      <c r="B95" s="261"/>
      <c r="C95" s="261"/>
      <c r="D95" s="261"/>
      <c r="E95" s="261"/>
      <c r="F95" s="267" t="s">
        <v>336</v>
      </c>
      <c r="G95" s="267"/>
      <c r="H95" s="276"/>
      <c r="I95" s="263">
        <v>10</v>
      </c>
      <c r="J95" s="282" t="s">
        <v>239</v>
      </c>
      <c r="K95" s="271"/>
    </row>
    <row r="96" spans="1:11" x14ac:dyDescent="0.2">
      <c r="A96" s="261"/>
      <c r="B96" s="261"/>
      <c r="C96" s="261"/>
      <c r="D96" s="261"/>
      <c r="E96" s="261"/>
      <c r="F96" s="261"/>
      <c r="G96" s="261"/>
      <c r="H96" s="261"/>
      <c r="I96" s="261"/>
      <c r="J96" s="271"/>
      <c r="K96" s="271"/>
    </row>
    <row r="97" spans="1:11" ht="13.5" thickBot="1" x14ac:dyDescent="0.25">
      <c r="A97" s="261"/>
      <c r="B97" s="261"/>
      <c r="C97" s="261" t="s">
        <v>335</v>
      </c>
      <c r="D97" s="261"/>
      <c r="E97" s="261"/>
      <c r="F97" s="287">
        <v>13</v>
      </c>
      <c r="G97" s="261"/>
      <c r="H97" s="261"/>
      <c r="I97" s="261"/>
      <c r="J97" s="281" t="s">
        <v>336</v>
      </c>
      <c r="K97" s="281"/>
    </row>
    <row r="98" spans="1:11" x14ac:dyDescent="0.2">
      <c r="A98" s="261"/>
      <c r="B98" s="261"/>
      <c r="C98" s="265"/>
      <c r="D98" s="265"/>
      <c r="E98" s="270"/>
      <c r="F98" s="266" t="s">
        <v>335</v>
      </c>
      <c r="G98" s="267"/>
      <c r="H98" s="267"/>
      <c r="I98" s="302" t="s">
        <v>228</v>
      </c>
      <c r="J98" s="283" t="s">
        <v>240</v>
      </c>
      <c r="K98" s="261"/>
    </row>
    <row r="99" spans="1:11" x14ac:dyDescent="0.2">
      <c r="A99" s="261"/>
      <c r="B99" s="261"/>
      <c r="C99" s="267" t="s">
        <v>387</v>
      </c>
      <c r="D99" s="267"/>
      <c r="E99" s="276"/>
      <c r="F99" s="288" t="s">
        <v>228</v>
      </c>
      <c r="G99" s="261"/>
      <c r="H99" s="272"/>
      <c r="I99" s="261"/>
      <c r="J99" s="261"/>
      <c r="K99" s="261"/>
    </row>
    <row r="100" spans="1:11" ht="13.5" thickBot="1" x14ac:dyDescent="0.25">
      <c r="A100" s="261"/>
      <c r="B100" s="261"/>
      <c r="C100" s="261"/>
      <c r="D100" s="261"/>
      <c r="E100" s="261"/>
      <c r="F100" s="271"/>
      <c r="G100" s="261"/>
      <c r="H100" s="272"/>
      <c r="I100" s="261"/>
      <c r="J100" s="261" t="s">
        <v>351</v>
      </c>
      <c r="K100" s="261"/>
    </row>
    <row r="101" spans="1:11" x14ac:dyDescent="0.2">
      <c r="A101" s="261"/>
      <c r="B101" s="261"/>
      <c r="C101" s="291" t="s">
        <v>351</v>
      </c>
      <c r="D101" s="261"/>
      <c r="E101" s="261"/>
      <c r="F101" s="274">
        <v>13</v>
      </c>
      <c r="G101" s="261"/>
      <c r="H101" s="272"/>
      <c r="I101" s="278"/>
      <c r="J101" s="279" t="s">
        <v>242</v>
      </c>
      <c r="K101" s="280"/>
    </row>
    <row r="102" spans="1:11" x14ac:dyDescent="0.2">
      <c r="A102" s="261"/>
      <c r="B102" s="261"/>
      <c r="C102" s="265"/>
      <c r="D102" s="265"/>
      <c r="E102" s="270"/>
      <c r="F102" s="275" t="s">
        <v>351</v>
      </c>
      <c r="G102" s="261"/>
      <c r="H102" s="276"/>
      <c r="I102" s="274">
        <v>13</v>
      </c>
      <c r="J102" s="261"/>
      <c r="K102" s="261"/>
    </row>
    <row r="103" spans="1:11" ht="13.5" thickBot="1" x14ac:dyDescent="0.25">
      <c r="A103" s="261"/>
      <c r="B103" s="261"/>
      <c r="C103" s="267" t="s">
        <v>349</v>
      </c>
      <c r="D103" s="267"/>
      <c r="E103" s="276"/>
      <c r="F103" s="277">
        <v>6</v>
      </c>
      <c r="G103" s="265"/>
      <c r="H103" s="261"/>
      <c r="I103" s="271"/>
      <c r="J103" s="271" t="s">
        <v>335</v>
      </c>
      <c r="K103" s="281"/>
    </row>
    <row r="104" spans="1:11" x14ac:dyDescent="0.2">
      <c r="A104" s="261"/>
      <c r="B104" s="261"/>
      <c r="C104" s="261"/>
      <c r="D104" s="261"/>
      <c r="E104" s="261"/>
      <c r="F104" s="261"/>
      <c r="G104" s="261"/>
      <c r="H104" s="261"/>
      <c r="I104" s="271"/>
      <c r="J104" s="279" t="s">
        <v>243</v>
      </c>
      <c r="K104" s="271"/>
    </row>
    <row r="105" spans="1:11" x14ac:dyDescent="0.2">
      <c r="A105" s="261"/>
      <c r="B105" s="261"/>
      <c r="C105" s="261"/>
      <c r="D105" s="261"/>
      <c r="E105" s="261"/>
      <c r="F105" s="261" t="s">
        <v>387</v>
      </c>
      <c r="G105" s="261"/>
      <c r="H105" s="261"/>
      <c r="I105" s="289" t="s">
        <v>228</v>
      </c>
      <c r="J105" s="271"/>
      <c r="K105" s="271"/>
    </row>
    <row r="106" spans="1:11" ht="13.5" thickBot="1" x14ac:dyDescent="0.25">
      <c r="A106" s="261"/>
      <c r="B106" s="261"/>
      <c r="C106" s="261"/>
      <c r="D106" s="261"/>
      <c r="E106" s="261"/>
      <c r="F106" s="265"/>
      <c r="G106" s="265"/>
      <c r="H106" s="270"/>
      <c r="I106" s="281"/>
      <c r="J106" s="281" t="s">
        <v>349</v>
      </c>
      <c r="K106" s="281"/>
    </row>
    <row r="107" spans="1:11" x14ac:dyDescent="0.2">
      <c r="A107" s="261"/>
      <c r="B107" s="261"/>
      <c r="C107" s="261"/>
      <c r="D107" s="261"/>
      <c r="E107" s="261"/>
      <c r="F107" s="267" t="s">
        <v>349</v>
      </c>
      <c r="G107" s="267"/>
      <c r="H107" s="276"/>
      <c r="I107" s="287">
        <v>13</v>
      </c>
      <c r="J107" s="282" t="s">
        <v>244</v>
      </c>
      <c r="K107" s="271"/>
    </row>
    <row r="108" spans="1:11" x14ac:dyDescent="0.2">
      <c r="A108" s="261"/>
      <c r="B108" s="261"/>
      <c r="C108" s="261"/>
      <c r="D108" s="261"/>
      <c r="E108" s="261"/>
      <c r="F108" s="261"/>
      <c r="G108" s="261"/>
      <c r="H108" s="261"/>
      <c r="I108" s="261"/>
      <c r="J108" s="271"/>
      <c r="K108" s="271"/>
    </row>
    <row r="109" spans="1:11" ht="13.5" thickBot="1" x14ac:dyDescent="0.25">
      <c r="A109" s="261"/>
      <c r="B109" s="261"/>
      <c r="J109" s="281" t="s">
        <v>387</v>
      </c>
      <c r="K109" s="281"/>
    </row>
    <row r="110" spans="1:11" x14ac:dyDescent="0.2">
      <c r="A110" s="261"/>
      <c r="B110" s="261"/>
      <c r="C110" s="261"/>
      <c r="D110" s="261"/>
      <c r="E110" s="261"/>
      <c r="F110" s="261"/>
      <c r="G110" s="271"/>
      <c r="H110" s="271"/>
      <c r="I110" s="261"/>
      <c r="J110" s="283" t="s">
        <v>245</v>
      </c>
      <c r="K110" s="261"/>
    </row>
    <row r="111" spans="1:11" x14ac:dyDescent="0.2">
      <c r="A111" s="261"/>
      <c r="B111" s="261"/>
      <c r="C111" s="261"/>
      <c r="D111" s="261"/>
      <c r="E111" s="261"/>
      <c r="F111" s="261"/>
      <c r="G111" s="271"/>
      <c r="H111" s="271"/>
      <c r="I111" s="261"/>
      <c r="J111" s="283"/>
      <c r="K111" s="261"/>
    </row>
    <row r="112" spans="1:11" x14ac:dyDescent="0.2">
      <c r="A112" s="260" t="s">
        <v>374</v>
      </c>
      <c r="B112" s="261"/>
      <c r="C112" s="261"/>
      <c r="D112" s="261"/>
      <c r="E112" s="261"/>
      <c r="F112" s="261"/>
      <c r="G112" s="271"/>
      <c r="H112" s="271"/>
      <c r="I112" s="261"/>
      <c r="J112" s="283"/>
      <c r="K112" s="261"/>
    </row>
    <row r="113" spans="1:10" x14ac:dyDescent="0.2">
      <c r="A113" s="261"/>
      <c r="B113" s="261"/>
      <c r="C113" s="261"/>
      <c r="D113" s="261"/>
      <c r="E113" s="261"/>
      <c r="F113" s="261"/>
      <c r="G113" s="271"/>
      <c r="H113" s="271"/>
      <c r="I113" s="261"/>
    </row>
    <row r="114" spans="1:10" x14ac:dyDescent="0.2">
      <c r="A114" s="232"/>
      <c r="B114" s="232"/>
      <c r="C114" s="233">
        <v>1</v>
      </c>
      <c r="D114" s="233">
        <v>2</v>
      </c>
      <c r="E114" s="233">
        <v>3</v>
      </c>
      <c r="F114" s="233">
        <v>4</v>
      </c>
      <c r="G114" s="234" t="s">
        <v>309</v>
      </c>
      <c r="H114" s="234" t="s">
        <v>306</v>
      </c>
    </row>
    <row r="115" spans="1:10" x14ac:dyDescent="0.2">
      <c r="A115" s="232">
        <v>1</v>
      </c>
      <c r="B115" s="257" t="s">
        <v>376</v>
      </c>
      <c r="C115" s="235"/>
      <c r="D115" s="306">
        <v>2</v>
      </c>
      <c r="E115" s="306">
        <v>13</v>
      </c>
      <c r="F115" s="238">
        <v>13</v>
      </c>
      <c r="G115" s="298" t="s">
        <v>313</v>
      </c>
      <c r="H115" s="237" t="s">
        <v>317</v>
      </c>
      <c r="I115" s="300" t="s">
        <v>391</v>
      </c>
      <c r="J115" s="305" t="s">
        <v>249</v>
      </c>
    </row>
    <row r="116" spans="1:10" x14ac:dyDescent="0.2">
      <c r="A116" s="232">
        <v>2</v>
      </c>
      <c r="B116" s="257" t="s">
        <v>315</v>
      </c>
      <c r="C116" s="306">
        <v>13</v>
      </c>
      <c r="D116" s="235"/>
      <c r="E116" s="306">
        <v>2</v>
      </c>
      <c r="F116" s="238">
        <v>13</v>
      </c>
      <c r="G116" s="298" t="s">
        <v>313</v>
      </c>
      <c r="H116" s="237" t="s">
        <v>314</v>
      </c>
      <c r="I116" s="307">
        <v>0</v>
      </c>
      <c r="J116" s="305" t="s">
        <v>248</v>
      </c>
    </row>
    <row r="117" spans="1:10" x14ac:dyDescent="0.2">
      <c r="A117" s="232">
        <v>3</v>
      </c>
      <c r="B117" s="258" t="s">
        <v>339</v>
      </c>
      <c r="C117" s="306">
        <v>10</v>
      </c>
      <c r="D117" s="306">
        <v>13</v>
      </c>
      <c r="E117" s="235"/>
      <c r="F117" s="238">
        <v>13</v>
      </c>
      <c r="G117" s="298" t="s">
        <v>313</v>
      </c>
      <c r="H117" s="237" t="s">
        <v>310</v>
      </c>
      <c r="I117" s="300" t="s">
        <v>394</v>
      </c>
      <c r="J117" s="305" t="s">
        <v>247</v>
      </c>
    </row>
    <row r="118" spans="1:10" x14ac:dyDescent="0.2">
      <c r="A118" s="232">
        <v>4</v>
      </c>
      <c r="B118" s="257" t="s">
        <v>386</v>
      </c>
      <c r="C118" s="238">
        <v>0</v>
      </c>
      <c r="D118" s="238">
        <v>0</v>
      </c>
      <c r="E118" s="238">
        <v>0</v>
      </c>
      <c r="F118" s="235"/>
      <c r="G118" s="236" t="s">
        <v>311</v>
      </c>
      <c r="H118" s="237" t="s">
        <v>312</v>
      </c>
      <c r="J118" s="305" t="s">
        <v>250</v>
      </c>
    </row>
    <row r="120" spans="1:10" x14ac:dyDescent="0.2">
      <c r="B120" s="240" t="s">
        <v>318</v>
      </c>
      <c r="C120" s="241" t="s">
        <v>319</v>
      </c>
      <c r="D120" s="241" t="s">
        <v>320</v>
      </c>
    </row>
    <row r="121" spans="1:10" x14ac:dyDescent="0.2">
      <c r="B121" s="240" t="s">
        <v>321</v>
      </c>
      <c r="C121" s="241" t="s">
        <v>322</v>
      </c>
      <c r="D121" s="241" t="s">
        <v>323</v>
      </c>
    </row>
    <row r="122" spans="1:10" x14ac:dyDescent="0.2">
      <c r="B122" s="240" t="s">
        <v>324</v>
      </c>
      <c r="C122" s="241" t="s">
        <v>316</v>
      </c>
      <c r="D122" s="241" t="s">
        <v>325</v>
      </c>
    </row>
    <row r="124" spans="1:10" x14ac:dyDescent="0.2">
      <c r="A124" s="232">
        <v>1</v>
      </c>
      <c r="B124" s="284" t="s">
        <v>343</v>
      </c>
    </row>
    <row r="125" spans="1:10" x14ac:dyDescent="0.2">
      <c r="A125" s="232">
        <v>2</v>
      </c>
      <c r="B125" s="285" t="s">
        <v>385</v>
      </c>
    </row>
    <row r="126" spans="1:10" x14ac:dyDescent="0.2">
      <c r="A126" s="232">
        <v>3</v>
      </c>
      <c r="B126" s="286" t="s">
        <v>344</v>
      </c>
    </row>
    <row r="127" spans="1:10" x14ac:dyDescent="0.2">
      <c r="A127" s="232">
        <v>4</v>
      </c>
      <c r="B127" s="212" t="s">
        <v>340</v>
      </c>
    </row>
    <row r="128" spans="1:10" x14ac:dyDescent="0.2">
      <c r="A128" s="232">
        <v>5</v>
      </c>
      <c r="B128" s="212" t="s">
        <v>341</v>
      </c>
    </row>
    <row r="129" spans="1:2" x14ac:dyDescent="0.2">
      <c r="A129" s="232">
        <v>6</v>
      </c>
      <c r="B129" s="301" t="s">
        <v>350</v>
      </c>
    </row>
    <row r="130" spans="1:2" x14ac:dyDescent="0.2">
      <c r="A130" s="232">
        <v>7</v>
      </c>
      <c r="B130" s="212" t="s">
        <v>375</v>
      </c>
    </row>
    <row r="131" spans="1:2" x14ac:dyDescent="0.2">
      <c r="A131" s="232">
        <v>8</v>
      </c>
      <c r="B131" s="212" t="s">
        <v>377</v>
      </c>
    </row>
    <row r="132" spans="1:2" x14ac:dyDescent="0.2">
      <c r="A132" s="232">
        <v>9</v>
      </c>
      <c r="B132" s="212" t="s">
        <v>337</v>
      </c>
    </row>
    <row r="133" spans="1:2" x14ac:dyDescent="0.2">
      <c r="A133" s="232">
        <v>10</v>
      </c>
      <c r="B133" s="212" t="s">
        <v>342</v>
      </c>
    </row>
    <row r="134" spans="1:2" x14ac:dyDescent="0.2">
      <c r="A134" s="232">
        <v>11</v>
      </c>
      <c r="B134" s="212" t="s">
        <v>378</v>
      </c>
    </row>
    <row r="135" spans="1:2" x14ac:dyDescent="0.2">
      <c r="A135" s="232">
        <v>12</v>
      </c>
      <c r="B135" s="212" t="s">
        <v>336</v>
      </c>
    </row>
    <row r="136" spans="1:2" x14ac:dyDescent="0.2">
      <c r="A136" s="232">
        <v>13</v>
      </c>
      <c r="B136" s="212" t="s">
        <v>351</v>
      </c>
    </row>
    <row r="137" spans="1:2" x14ac:dyDescent="0.2">
      <c r="A137" s="232">
        <v>14</v>
      </c>
      <c r="B137" s="212" t="s">
        <v>335</v>
      </c>
    </row>
    <row r="138" spans="1:2" x14ac:dyDescent="0.2">
      <c r="A138" s="232">
        <v>15</v>
      </c>
      <c r="B138" s="212" t="s">
        <v>349</v>
      </c>
    </row>
    <row r="139" spans="1:2" x14ac:dyDescent="0.2">
      <c r="A139" s="232">
        <v>16</v>
      </c>
      <c r="B139" s="212" t="s">
        <v>387</v>
      </c>
    </row>
    <row r="140" spans="1:2" x14ac:dyDescent="0.2">
      <c r="A140" s="232">
        <v>17</v>
      </c>
      <c r="B140" s="212" t="s">
        <v>339</v>
      </c>
    </row>
    <row r="141" spans="1:2" x14ac:dyDescent="0.2">
      <c r="A141" s="232">
        <v>18</v>
      </c>
      <c r="B141" s="212" t="s">
        <v>315</v>
      </c>
    </row>
    <row r="142" spans="1:2" x14ac:dyDescent="0.2">
      <c r="A142" s="232">
        <v>19</v>
      </c>
      <c r="B142" s="212" t="s">
        <v>376</v>
      </c>
    </row>
    <row r="143" spans="1:2" x14ac:dyDescent="0.2">
      <c r="A143" s="232">
        <v>20</v>
      </c>
      <c r="B143" s="212" t="s">
        <v>386</v>
      </c>
    </row>
  </sheetData>
  <conditionalFormatting sqref="C97:I108 C74:I75 C61:I72 C110:I113">
    <cfRule type="cellIs" dxfId="24" priority="9" stopIfTrue="1" operator="equal">
      <formula>13</formula>
    </cfRule>
  </conditionalFormatting>
  <conditionalFormatting sqref="C40:I60">
    <cfRule type="cellIs" dxfId="23" priority="8" stopIfTrue="1" operator="equal">
      <formula>13</formula>
    </cfRule>
  </conditionalFormatting>
  <conditionalFormatting sqref="C76:I96">
    <cfRule type="cellIs" dxfId="22" priority="7" stopIfTrue="1" operator="equal">
      <formula>13</formula>
    </cfRule>
  </conditionalFormatting>
  <conditionalFormatting sqref="C26:I33 C34:D34 C35:F37 I34:I37 C38:I72 C74:I107">
    <cfRule type="cellIs" dxfId="21" priority="6" operator="equal">
      <formula>13</formula>
    </cfRule>
  </conditionalFormatting>
  <conditionalFormatting sqref="C6:I11">
    <cfRule type="cellIs" dxfId="20" priority="5" operator="equal">
      <formula>13</formula>
    </cfRule>
  </conditionalFormatting>
  <conditionalFormatting sqref="C13:I18">
    <cfRule type="cellIs" dxfId="19" priority="4" operator="equal">
      <formula>13</formula>
    </cfRule>
  </conditionalFormatting>
  <conditionalFormatting sqref="C20:I25">
    <cfRule type="cellIs" dxfId="18" priority="3" operator="equal">
      <formula>13</formula>
    </cfRule>
  </conditionalFormatting>
  <conditionalFormatting sqref="C120:D122">
    <cfRule type="cellIs" dxfId="17" priority="2" stopIfTrue="1" operator="equal">
      <formula>13</formula>
    </cfRule>
  </conditionalFormatting>
  <conditionalFormatting sqref="C114:I122">
    <cfRule type="cellIs" dxfId="16" priority="1" operator="equal">
      <formula>13</formula>
    </cfRule>
  </conditionalFormatting>
  <pageMargins left="0.78740157480314965" right="0.39370078740157483" top="0.78740157480314965" bottom="0.27559055118110237" header="0.59055118110236227" footer="0"/>
  <pageSetup paperSize="9" fitToHeight="0" orientation="landscape" r:id="rId1"/>
  <headerFooter>
    <oddHeader>&amp;R&amp;"Arial,Regular"&amp;9Page &amp;P of &amp;N</oddHeader>
  </headerFooter>
  <rowBreaks count="3" manualBreakCount="3">
    <brk id="38" max="16383" man="1"/>
    <brk id="74" max="16383" man="1"/>
    <brk id="11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68"/>
  <sheetViews>
    <sheetView showGridLines="0" showRowColHeaders="0" zoomScaleNormal="100" workbookViewId="0">
      <pane ySplit="2" topLeftCell="A3" activePane="bottomLeft" state="frozen"/>
      <selection pane="bottomLeft" activeCell="H1" sqref="H1"/>
    </sheetView>
  </sheetViews>
  <sheetFormatPr defaultRowHeight="12.75" x14ac:dyDescent="0.2"/>
  <cols>
    <col min="1" max="1" width="3.28515625" style="160" customWidth="1"/>
    <col min="2" max="2" width="42.140625" style="160" bestFit="1" customWidth="1"/>
    <col min="3" max="8" width="7.7109375" style="160" customWidth="1"/>
    <col min="9" max="9" width="8.7109375" style="160" customWidth="1"/>
    <col min="10" max="212" width="9.140625" style="160"/>
    <col min="213" max="213" width="3" style="160" customWidth="1"/>
    <col min="214" max="214" width="18.7109375" style="160" bestFit="1" customWidth="1"/>
    <col min="215" max="215" width="6.28515625" style="160" customWidth="1"/>
    <col min="216" max="216" width="6.5703125" style="160" bestFit="1" customWidth="1"/>
    <col min="217" max="237" width="4.42578125" style="160" customWidth="1"/>
    <col min="238" max="468" width="9.140625" style="160"/>
    <col min="469" max="469" width="3" style="160" customWidth="1"/>
    <col min="470" max="470" width="18.7109375" style="160" bestFit="1" customWidth="1"/>
    <col min="471" max="471" width="6.28515625" style="160" customWidth="1"/>
    <col min="472" max="472" width="6.5703125" style="160" bestFit="1" customWidth="1"/>
    <col min="473" max="493" width="4.42578125" style="160" customWidth="1"/>
    <col min="494" max="724" width="9.140625" style="160"/>
    <col min="725" max="725" width="3" style="160" customWidth="1"/>
    <col min="726" max="726" width="18.7109375" style="160" bestFit="1" customWidth="1"/>
    <col min="727" max="727" width="6.28515625" style="160" customWidth="1"/>
    <col min="728" max="728" width="6.5703125" style="160" bestFit="1" customWidth="1"/>
    <col min="729" max="749" width="4.42578125" style="160" customWidth="1"/>
    <col min="750" max="980" width="9.140625" style="160"/>
    <col min="981" max="981" width="3" style="160" customWidth="1"/>
    <col min="982" max="982" width="18.7109375" style="160" bestFit="1" customWidth="1"/>
    <col min="983" max="983" width="6.28515625" style="160" customWidth="1"/>
    <col min="984" max="984" width="6.5703125" style="160" bestFit="1" customWidth="1"/>
    <col min="985" max="1005" width="4.42578125" style="160" customWidth="1"/>
    <col min="1006" max="1236" width="9.140625" style="160"/>
    <col min="1237" max="1237" width="3" style="160" customWidth="1"/>
    <col min="1238" max="1238" width="18.7109375" style="160" bestFit="1" customWidth="1"/>
    <col min="1239" max="1239" width="6.28515625" style="160" customWidth="1"/>
    <col min="1240" max="1240" width="6.5703125" style="160" bestFit="1" customWidth="1"/>
    <col min="1241" max="1261" width="4.42578125" style="160" customWidth="1"/>
    <col min="1262" max="1492" width="9.140625" style="160"/>
    <col min="1493" max="1493" width="3" style="160" customWidth="1"/>
    <col min="1494" max="1494" width="18.7109375" style="160" bestFit="1" customWidth="1"/>
    <col min="1495" max="1495" width="6.28515625" style="160" customWidth="1"/>
    <col min="1496" max="1496" width="6.5703125" style="160" bestFit="1" customWidth="1"/>
    <col min="1497" max="1517" width="4.42578125" style="160" customWidth="1"/>
    <col min="1518" max="1748" width="9.140625" style="160"/>
    <col min="1749" max="1749" width="3" style="160" customWidth="1"/>
    <col min="1750" max="1750" width="18.7109375" style="160" bestFit="1" customWidth="1"/>
    <col min="1751" max="1751" width="6.28515625" style="160" customWidth="1"/>
    <col min="1752" max="1752" width="6.5703125" style="160" bestFit="1" customWidth="1"/>
    <col min="1753" max="1773" width="4.42578125" style="160" customWidth="1"/>
    <col min="1774" max="2004" width="9.140625" style="160"/>
    <col min="2005" max="2005" width="3" style="160" customWidth="1"/>
    <col min="2006" max="2006" width="18.7109375" style="160" bestFit="1" customWidth="1"/>
    <col min="2007" max="2007" width="6.28515625" style="160" customWidth="1"/>
    <col min="2008" max="2008" width="6.5703125" style="160" bestFit="1" customWidth="1"/>
    <col min="2009" max="2029" width="4.42578125" style="160" customWidth="1"/>
    <col min="2030" max="2260" width="9.140625" style="160"/>
    <col min="2261" max="2261" width="3" style="160" customWidth="1"/>
    <col min="2262" max="2262" width="18.7109375" style="160" bestFit="1" customWidth="1"/>
    <col min="2263" max="2263" width="6.28515625" style="160" customWidth="1"/>
    <col min="2264" max="2264" width="6.5703125" style="160" bestFit="1" customWidth="1"/>
    <col min="2265" max="2285" width="4.42578125" style="160" customWidth="1"/>
    <col min="2286" max="2516" width="9.140625" style="160"/>
    <col min="2517" max="2517" width="3" style="160" customWidth="1"/>
    <col min="2518" max="2518" width="18.7109375" style="160" bestFit="1" customWidth="1"/>
    <col min="2519" max="2519" width="6.28515625" style="160" customWidth="1"/>
    <col min="2520" max="2520" width="6.5703125" style="160" bestFit="1" customWidth="1"/>
    <col min="2521" max="2541" width="4.42578125" style="160" customWidth="1"/>
    <col min="2542" max="2772" width="9.140625" style="160"/>
    <col min="2773" max="2773" width="3" style="160" customWidth="1"/>
    <col min="2774" max="2774" width="18.7109375" style="160" bestFit="1" customWidth="1"/>
    <col min="2775" max="2775" width="6.28515625" style="160" customWidth="1"/>
    <col min="2776" max="2776" width="6.5703125" style="160" bestFit="1" customWidth="1"/>
    <col min="2777" max="2797" width="4.42578125" style="160" customWidth="1"/>
    <col min="2798" max="3028" width="9.140625" style="160"/>
    <col min="3029" max="3029" width="3" style="160" customWidth="1"/>
    <col min="3030" max="3030" width="18.7109375" style="160" bestFit="1" customWidth="1"/>
    <col min="3031" max="3031" width="6.28515625" style="160" customWidth="1"/>
    <col min="3032" max="3032" width="6.5703125" style="160" bestFit="1" customWidth="1"/>
    <col min="3033" max="3053" width="4.42578125" style="160" customWidth="1"/>
    <col min="3054" max="3284" width="9.140625" style="160"/>
    <col min="3285" max="3285" width="3" style="160" customWidth="1"/>
    <col min="3286" max="3286" width="18.7109375" style="160" bestFit="1" customWidth="1"/>
    <col min="3287" max="3287" width="6.28515625" style="160" customWidth="1"/>
    <col min="3288" max="3288" width="6.5703125" style="160" bestFit="1" customWidth="1"/>
    <col min="3289" max="3309" width="4.42578125" style="160" customWidth="1"/>
    <col min="3310" max="3540" width="9.140625" style="160"/>
    <col min="3541" max="3541" width="3" style="160" customWidth="1"/>
    <col min="3542" max="3542" width="18.7109375" style="160" bestFit="1" customWidth="1"/>
    <col min="3543" max="3543" width="6.28515625" style="160" customWidth="1"/>
    <col min="3544" max="3544" width="6.5703125" style="160" bestFit="1" customWidth="1"/>
    <col min="3545" max="3565" width="4.42578125" style="160" customWidth="1"/>
    <col min="3566" max="3796" width="9.140625" style="160"/>
    <col min="3797" max="3797" width="3" style="160" customWidth="1"/>
    <col min="3798" max="3798" width="18.7109375" style="160" bestFit="1" customWidth="1"/>
    <col min="3799" max="3799" width="6.28515625" style="160" customWidth="1"/>
    <col min="3800" max="3800" width="6.5703125" style="160" bestFit="1" customWidth="1"/>
    <col min="3801" max="3821" width="4.42578125" style="160" customWidth="1"/>
    <col min="3822" max="4052" width="9.140625" style="160"/>
    <col min="4053" max="4053" width="3" style="160" customWidth="1"/>
    <col min="4054" max="4054" width="18.7109375" style="160" bestFit="1" customWidth="1"/>
    <col min="4055" max="4055" width="6.28515625" style="160" customWidth="1"/>
    <col min="4056" max="4056" width="6.5703125" style="160" bestFit="1" customWidth="1"/>
    <col min="4057" max="4077" width="4.42578125" style="160" customWidth="1"/>
    <col min="4078" max="4308" width="9.140625" style="160"/>
    <col min="4309" max="4309" width="3" style="160" customWidth="1"/>
    <col min="4310" max="4310" width="18.7109375" style="160" bestFit="1" customWidth="1"/>
    <col min="4311" max="4311" width="6.28515625" style="160" customWidth="1"/>
    <col min="4312" max="4312" width="6.5703125" style="160" bestFit="1" customWidth="1"/>
    <col min="4313" max="4333" width="4.42578125" style="160" customWidth="1"/>
    <col min="4334" max="4564" width="9.140625" style="160"/>
    <col min="4565" max="4565" width="3" style="160" customWidth="1"/>
    <col min="4566" max="4566" width="18.7109375" style="160" bestFit="1" customWidth="1"/>
    <col min="4567" max="4567" width="6.28515625" style="160" customWidth="1"/>
    <col min="4568" max="4568" width="6.5703125" style="160" bestFit="1" customWidth="1"/>
    <col min="4569" max="4589" width="4.42578125" style="160" customWidth="1"/>
    <col min="4590" max="4820" width="9.140625" style="160"/>
    <col min="4821" max="4821" width="3" style="160" customWidth="1"/>
    <col min="4822" max="4822" width="18.7109375" style="160" bestFit="1" customWidth="1"/>
    <col min="4823" max="4823" width="6.28515625" style="160" customWidth="1"/>
    <col min="4824" max="4824" width="6.5703125" style="160" bestFit="1" customWidth="1"/>
    <col min="4825" max="4845" width="4.42578125" style="160" customWidth="1"/>
    <col min="4846" max="5076" width="9.140625" style="160"/>
    <col min="5077" max="5077" width="3" style="160" customWidth="1"/>
    <col min="5078" max="5078" width="18.7109375" style="160" bestFit="1" customWidth="1"/>
    <col min="5079" max="5079" width="6.28515625" style="160" customWidth="1"/>
    <col min="5080" max="5080" width="6.5703125" style="160" bestFit="1" customWidth="1"/>
    <col min="5081" max="5101" width="4.42578125" style="160" customWidth="1"/>
    <col min="5102" max="5332" width="9.140625" style="160"/>
    <col min="5333" max="5333" width="3" style="160" customWidth="1"/>
    <col min="5334" max="5334" width="18.7109375" style="160" bestFit="1" customWidth="1"/>
    <col min="5335" max="5335" width="6.28515625" style="160" customWidth="1"/>
    <col min="5336" max="5336" width="6.5703125" style="160" bestFit="1" customWidth="1"/>
    <col min="5337" max="5357" width="4.42578125" style="160" customWidth="1"/>
    <col min="5358" max="5588" width="9.140625" style="160"/>
    <col min="5589" max="5589" width="3" style="160" customWidth="1"/>
    <col min="5590" max="5590" width="18.7109375" style="160" bestFit="1" customWidth="1"/>
    <col min="5591" max="5591" width="6.28515625" style="160" customWidth="1"/>
    <col min="5592" max="5592" width="6.5703125" style="160" bestFit="1" customWidth="1"/>
    <col min="5593" max="5613" width="4.42578125" style="160" customWidth="1"/>
    <col min="5614" max="5844" width="9.140625" style="160"/>
    <col min="5845" max="5845" width="3" style="160" customWidth="1"/>
    <col min="5846" max="5846" width="18.7109375" style="160" bestFit="1" customWidth="1"/>
    <col min="5847" max="5847" width="6.28515625" style="160" customWidth="1"/>
    <col min="5848" max="5848" width="6.5703125" style="160" bestFit="1" customWidth="1"/>
    <col min="5849" max="5869" width="4.42578125" style="160" customWidth="1"/>
    <col min="5870" max="6100" width="9.140625" style="160"/>
    <col min="6101" max="6101" width="3" style="160" customWidth="1"/>
    <col min="6102" max="6102" width="18.7109375" style="160" bestFit="1" customWidth="1"/>
    <col min="6103" max="6103" width="6.28515625" style="160" customWidth="1"/>
    <col min="6104" max="6104" width="6.5703125" style="160" bestFit="1" customWidth="1"/>
    <col min="6105" max="6125" width="4.42578125" style="160" customWidth="1"/>
    <col min="6126" max="6356" width="9.140625" style="160"/>
    <col min="6357" max="6357" width="3" style="160" customWidth="1"/>
    <col min="6358" max="6358" width="18.7109375" style="160" bestFit="1" customWidth="1"/>
    <col min="6359" max="6359" width="6.28515625" style="160" customWidth="1"/>
    <col min="6360" max="6360" width="6.5703125" style="160" bestFit="1" customWidth="1"/>
    <col min="6361" max="6381" width="4.42578125" style="160" customWidth="1"/>
    <col min="6382" max="6612" width="9.140625" style="160"/>
    <col min="6613" max="6613" width="3" style="160" customWidth="1"/>
    <col min="6614" max="6614" width="18.7109375" style="160" bestFit="1" customWidth="1"/>
    <col min="6615" max="6615" width="6.28515625" style="160" customWidth="1"/>
    <col min="6616" max="6616" width="6.5703125" style="160" bestFit="1" customWidth="1"/>
    <col min="6617" max="6637" width="4.42578125" style="160" customWidth="1"/>
    <col min="6638" max="6868" width="9.140625" style="160"/>
    <col min="6869" max="6869" width="3" style="160" customWidth="1"/>
    <col min="6870" max="6870" width="18.7109375" style="160" bestFit="1" customWidth="1"/>
    <col min="6871" max="6871" width="6.28515625" style="160" customWidth="1"/>
    <col min="6872" max="6872" width="6.5703125" style="160" bestFit="1" customWidth="1"/>
    <col min="6873" max="6893" width="4.42578125" style="160" customWidth="1"/>
    <col min="6894" max="7124" width="9.140625" style="160"/>
    <col min="7125" max="7125" width="3" style="160" customWidth="1"/>
    <col min="7126" max="7126" width="18.7109375" style="160" bestFit="1" customWidth="1"/>
    <col min="7127" max="7127" width="6.28515625" style="160" customWidth="1"/>
    <col min="7128" max="7128" width="6.5703125" style="160" bestFit="1" customWidth="1"/>
    <col min="7129" max="7149" width="4.42578125" style="160" customWidth="1"/>
    <col min="7150" max="7380" width="9.140625" style="160"/>
    <col min="7381" max="7381" width="3" style="160" customWidth="1"/>
    <col min="7382" max="7382" width="18.7109375" style="160" bestFit="1" customWidth="1"/>
    <col min="7383" max="7383" width="6.28515625" style="160" customWidth="1"/>
    <col min="7384" max="7384" width="6.5703125" style="160" bestFit="1" customWidth="1"/>
    <col min="7385" max="7405" width="4.42578125" style="160" customWidth="1"/>
    <col min="7406" max="7636" width="9.140625" style="160"/>
    <col min="7637" max="7637" width="3" style="160" customWidth="1"/>
    <col min="7638" max="7638" width="18.7109375" style="160" bestFit="1" customWidth="1"/>
    <col min="7639" max="7639" width="6.28515625" style="160" customWidth="1"/>
    <col min="7640" max="7640" width="6.5703125" style="160" bestFit="1" customWidth="1"/>
    <col min="7641" max="7661" width="4.42578125" style="160" customWidth="1"/>
    <col min="7662" max="7892" width="9.140625" style="160"/>
    <col min="7893" max="7893" width="3" style="160" customWidth="1"/>
    <col min="7894" max="7894" width="18.7109375" style="160" bestFit="1" customWidth="1"/>
    <col min="7895" max="7895" width="6.28515625" style="160" customWidth="1"/>
    <col min="7896" max="7896" width="6.5703125" style="160" bestFit="1" customWidth="1"/>
    <col min="7897" max="7917" width="4.42578125" style="160" customWidth="1"/>
    <col min="7918" max="8148" width="9.140625" style="160"/>
    <col min="8149" max="8149" width="3" style="160" customWidth="1"/>
    <col min="8150" max="8150" width="18.7109375" style="160" bestFit="1" customWidth="1"/>
    <col min="8151" max="8151" width="6.28515625" style="160" customWidth="1"/>
    <col min="8152" max="8152" width="6.5703125" style="160" bestFit="1" customWidth="1"/>
    <col min="8153" max="8173" width="4.42578125" style="160" customWidth="1"/>
    <col min="8174" max="8404" width="9.140625" style="160"/>
    <col min="8405" max="8405" width="3" style="160" customWidth="1"/>
    <col min="8406" max="8406" width="18.7109375" style="160" bestFit="1" customWidth="1"/>
    <col min="8407" max="8407" width="6.28515625" style="160" customWidth="1"/>
    <col min="8408" max="8408" width="6.5703125" style="160" bestFit="1" customWidth="1"/>
    <col min="8409" max="8429" width="4.42578125" style="160" customWidth="1"/>
    <col min="8430" max="8660" width="9.140625" style="160"/>
    <col min="8661" max="8661" width="3" style="160" customWidth="1"/>
    <col min="8662" max="8662" width="18.7109375" style="160" bestFit="1" customWidth="1"/>
    <col min="8663" max="8663" width="6.28515625" style="160" customWidth="1"/>
    <col min="8664" max="8664" width="6.5703125" style="160" bestFit="1" customWidth="1"/>
    <col min="8665" max="8685" width="4.42578125" style="160" customWidth="1"/>
    <col min="8686" max="8916" width="9.140625" style="160"/>
    <col min="8917" max="8917" width="3" style="160" customWidth="1"/>
    <col min="8918" max="8918" width="18.7109375" style="160" bestFit="1" customWidth="1"/>
    <col min="8919" max="8919" width="6.28515625" style="160" customWidth="1"/>
    <col min="8920" max="8920" width="6.5703125" style="160" bestFit="1" customWidth="1"/>
    <col min="8921" max="8941" width="4.42578125" style="160" customWidth="1"/>
    <col min="8942" max="9172" width="9.140625" style="160"/>
    <col min="9173" max="9173" width="3" style="160" customWidth="1"/>
    <col min="9174" max="9174" width="18.7109375" style="160" bestFit="1" customWidth="1"/>
    <col min="9175" max="9175" width="6.28515625" style="160" customWidth="1"/>
    <col min="9176" max="9176" width="6.5703125" style="160" bestFit="1" customWidth="1"/>
    <col min="9177" max="9197" width="4.42578125" style="160" customWidth="1"/>
    <col min="9198" max="9428" width="9.140625" style="160"/>
    <col min="9429" max="9429" width="3" style="160" customWidth="1"/>
    <col min="9430" max="9430" width="18.7109375" style="160" bestFit="1" customWidth="1"/>
    <col min="9431" max="9431" width="6.28515625" style="160" customWidth="1"/>
    <col min="9432" max="9432" width="6.5703125" style="160" bestFit="1" customWidth="1"/>
    <col min="9433" max="9453" width="4.42578125" style="160" customWidth="1"/>
    <col min="9454" max="9684" width="9.140625" style="160"/>
    <col min="9685" max="9685" width="3" style="160" customWidth="1"/>
    <col min="9686" max="9686" width="18.7109375" style="160" bestFit="1" customWidth="1"/>
    <col min="9687" max="9687" width="6.28515625" style="160" customWidth="1"/>
    <col min="9688" max="9688" width="6.5703125" style="160" bestFit="1" customWidth="1"/>
    <col min="9689" max="9709" width="4.42578125" style="160" customWidth="1"/>
    <col min="9710" max="9940" width="9.140625" style="160"/>
    <col min="9941" max="9941" width="3" style="160" customWidth="1"/>
    <col min="9942" max="9942" width="18.7109375" style="160" bestFit="1" customWidth="1"/>
    <col min="9943" max="9943" width="6.28515625" style="160" customWidth="1"/>
    <col min="9944" max="9944" width="6.5703125" style="160" bestFit="1" customWidth="1"/>
    <col min="9945" max="9965" width="4.42578125" style="160" customWidth="1"/>
    <col min="9966" max="10196" width="9.140625" style="160"/>
    <col min="10197" max="10197" width="3" style="160" customWidth="1"/>
    <col min="10198" max="10198" width="18.7109375" style="160" bestFit="1" customWidth="1"/>
    <col min="10199" max="10199" width="6.28515625" style="160" customWidth="1"/>
    <col min="10200" max="10200" width="6.5703125" style="160" bestFit="1" customWidth="1"/>
    <col min="10201" max="10221" width="4.42578125" style="160" customWidth="1"/>
    <col min="10222" max="10452" width="9.140625" style="160"/>
    <col min="10453" max="10453" width="3" style="160" customWidth="1"/>
    <col min="10454" max="10454" width="18.7109375" style="160" bestFit="1" customWidth="1"/>
    <col min="10455" max="10455" width="6.28515625" style="160" customWidth="1"/>
    <col min="10456" max="10456" width="6.5703125" style="160" bestFit="1" customWidth="1"/>
    <col min="10457" max="10477" width="4.42578125" style="160" customWidth="1"/>
    <col min="10478" max="10708" width="9.140625" style="160"/>
    <col min="10709" max="10709" width="3" style="160" customWidth="1"/>
    <col min="10710" max="10710" width="18.7109375" style="160" bestFit="1" customWidth="1"/>
    <col min="10711" max="10711" width="6.28515625" style="160" customWidth="1"/>
    <col min="10712" max="10712" width="6.5703125" style="160" bestFit="1" customWidth="1"/>
    <col min="10713" max="10733" width="4.42578125" style="160" customWidth="1"/>
    <col min="10734" max="10964" width="9.140625" style="160"/>
    <col min="10965" max="10965" width="3" style="160" customWidth="1"/>
    <col min="10966" max="10966" width="18.7109375" style="160" bestFit="1" customWidth="1"/>
    <col min="10967" max="10967" width="6.28515625" style="160" customWidth="1"/>
    <col min="10968" max="10968" width="6.5703125" style="160" bestFit="1" customWidth="1"/>
    <col min="10969" max="10989" width="4.42578125" style="160" customWidth="1"/>
    <col min="10990" max="11220" width="9.140625" style="160"/>
    <col min="11221" max="11221" width="3" style="160" customWidth="1"/>
    <col min="11222" max="11222" width="18.7109375" style="160" bestFit="1" customWidth="1"/>
    <col min="11223" max="11223" width="6.28515625" style="160" customWidth="1"/>
    <col min="11224" max="11224" width="6.5703125" style="160" bestFit="1" customWidth="1"/>
    <col min="11225" max="11245" width="4.42578125" style="160" customWidth="1"/>
    <col min="11246" max="11476" width="9.140625" style="160"/>
    <col min="11477" max="11477" width="3" style="160" customWidth="1"/>
    <col min="11478" max="11478" width="18.7109375" style="160" bestFit="1" customWidth="1"/>
    <col min="11479" max="11479" width="6.28515625" style="160" customWidth="1"/>
    <col min="11480" max="11480" width="6.5703125" style="160" bestFit="1" customWidth="1"/>
    <col min="11481" max="11501" width="4.42578125" style="160" customWidth="1"/>
    <col min="11502" max="11732" width="9.140625" style="160"/>
    <col min="11733" max="11733" width="3" style="160" customWidth="1"/>
    <col min="11734" max="11734" width="18.7109375" style="160" bestFit="1" customWidth="1"/>
    <col min="11735" max="11735" width="6.28515625" style="160" customWidth="1"/>
    <col min="11736" max="11736" width="6.5703125" style="160" bestFit="1" customWidth="1"/>
    <col min="11737" max="11757" width="4.42578125" style="160" customWidth="1"/>
    <col min="11758" max="11988" width="9.140625" style="160"/>
    <col min="11989" max="11989" width="3" style="160" customWidth="1"/>
    <col min="11990" max="11990" width="18.7109375" style="160" bestFit="1" customWidth="1"/>
    <col min="11991" max="11991" width="6.28515625" style="160" customWidth="1"/>
    <col min="11992" max="11992" width="6.5703125" style="160" bestFit="1" customWidth="1"/>
    <col min="11993" max="12013" width="4.42578125" style="160" customWidth="1"/>
    <col min="12014" max="12244" width="9.140625" style="160"/>
    <col min="12245" max="12245" width="3" style="160" customWidth="1"/>
    <col min="12246" max="12246" width="18.7109375" style="160" bestFit="1" customWidth="1"/>
    <col min="12247" max="12247" width="6.28515625" style="160" customWidth="1"/>
    <col min="12248" max="12248" width="6.5703125" style="160" bestFit="1" customWidth="1"/>
    <col min="12249" max="12269" width="4.42578125" style="160" customWidth="1"/>
    <col min="12270" max="12500" width="9.140625" style="160"/>
    <col min="12501" max="12501" width="3" style="160" customWidth="1"/>
    <col min="12502" max="12502" width="18.7109375" style="160" bestFit="1" customWidth="1"/>
    <col min="12503" max="12503" width="6.28515625" style="160" customWidth="1"/>
    <col min="12504" max="12504" width="6.5703125" style="160" bestFit="1" customWidth="1"/>
    <col min="12505" max="12525" width="4.42578125" style="160" customWidth="1"/>
    <col min="12526" max="12756" width="9.140625" style="160"/>
    <col min="12757" max="12757" width="3" style="160" customWidth="1"/>
    <col min="12758" max="12758" width="18.7109375" style="160" bestFit="1" customWidth="1"/>
    <col min="12759" max="12759" width="6.28515625" style="160" customWidth="1"/>
    <col min="12760" max="12760" width="6.5703125" style="160" bestFit="1" customWidth="1"/>
    <col min="12761" max="12781" width="4.42578125" style="160" customWidth="1"/>
    <col min="12782" max="13012" width="9.140625" style="160"/>
    <col min="13013" max="13013" width="3" style="160" customWidth="1"/>
    <col min="13014" max="13014" width="18.7109375" style="160" bestFit="1" customWidth="1"/>
    <col min="13015" max="13015" width="6.28515625" style="160" customWidth="1"/>
    <col min="13016" max="13016" width="6.5703125" style="160" bestFit="1" customWidth="1"/>
    <col min="13017" max="13037" width="4.42578125" style="160" customWidth="1"/>
    <col min="13038" max="13268" width="9.140625" style="160"/>
    <col min="13269" max="13269" width="3" style="160" customWidth="1"/>
    <col min="13270" max="13270" width="18.7109375" style="160" bestFit="1" customWidth="1"/>
    <col min="13271" max="13271" width="6.28515625" style="160" customWidth="1"/>
    <col min="13272" max="13272" width="6.5703125" style="160" bestFit="1" customWidth="1"/>
    <col min="13273" max="13293" width="4.42578125" style="160" customWidth="1"/>
    <col min="13294" max="13524" width="9.140625" style="160"/>
    <col min="13525" max="13525" width="3" style="160" customWidth="1"/>
    <col min="13526" max="13526" width="18.7109375" style="160" bestFit="1" customWidth="1"/>
    <col min="13527" max="13527" width="6.28515625" style="160" customWidth="1"/>
    <col min="13528" max="13528" width="6.5703125" style="160" bestFit="1" customWidth="1"/>
    <col min="13529" max="13549" width="4.42578125" style="160" customWidth="1"/>
    <col min="13550" max="13780" width="9.140625" style="160"/>
    <col min="13781" max="13781" width="3" style="160" customWidth="1"/>
    <col min="13782" max="13782" width="18.7109375" style="160" bestFit="1" customWidth="1"/>
    <col min="13783" max="13783" width="6.28515625" style="160" customWidth="1"/>
    <col min="13784" max="13784" width="6.5703125" style="160" bestFit="1" customWidth="1"/>
    <col min="13785" max="13805" width="4.42578125" style="160" customWidth="1"/>
    <col min="13806" max="14036" width="9.140625" style="160"/>
    <col min="14037" max="14037" width="3" style="160" customWidth="1"/>
    <col min="14038" max="14038" width="18.7109375" style="160" bestFit="1" customWidth="1"/>
    <col min="14039" max="14039" width="6.28515625" style="160" customWidth="1"/>
    <col min="14040" max="14040" width="6.5703125" style="160" bestFit="1" customWidth="1"/>
    <col min="14041" max="14061" width="4.42578125" style="160" customWidth="1"/>
    <col min="14062" max="14292" width="9.140625" style="160"/>
    <col min="14293" max="14293" width="3" style="160" customWidth="1"/>
    <col min="14294" max="14294" width="18.7109375" style="160" bestFit="1" customWidth="1"/>
    <col min="14295" max="14295" width="6.28515625" style="160" customWidth="1"/>
    <col min="14296" max="14296" width="6.5703125" style="160" bestFit="1" customWidth="1"/>
    <col min="14297" max="14317" width="4.42578125" style="160" customWidth="1"/>
    <col min="14318" max="14548" width="9.140625" style="160"/>
    <col min="14549" max="14549" width="3" style="160" customWidth="1"/>
    <col min="14550" max="14550" width="18.7109375" style="160" bestFit="1" customWidth="1"/>
    <col min="14551" max="14551" width="6.28515625" style="160" customWidth="1"/>
    <col min="14552" max="14552" width="6.5703125" style="160" bestFit="1" customWidth="1"/>
    <col min="14553" max="14573" width="4.42578125" style="160" customWidth="1"/>
    <col min="14574" max="14804" width="9.140625" style="160"/>
    <col min="14805" max="14805" width="3" style="160" customWidth="1"/>
    <col min="14806" max="14806" width="18.7109375" style="160" bestFit="1" customWidth="1"/>
    <col min="14807" max="14807" width="6.28515625" style="160" customWidth="1"/>
    <col min="14808" max="14808" width="6.5703125" style="160" bestFit="1" customWidth="1"/>
    <col min="14809" max="14829" width="4.42578125" style="160" customWidth="1"/>
    <col min="14830" max="15060" width="9.140625" style="160"/>
    <col min="15061" max="15061" width="3" style="160" customWidth="1"/>
    <col min="15062" max="15062" width="18.7109375" style="160" bestFit="1" customWidth="1"/>
    <col min="15063" max="15063" width="6.28515625" style="160" customWidth="1"/>
    <col min="15064" max="15064" width="6.5703125" style="160" bestFit="1" customWidth="1"/>
    <col min="15065" max="15085" width="4.42578125" style="160" customWidth="1"/>
    <col min="15086" max="15316" width="9.140625" style="160"/>
    <col min="15317" max="15317" width="3" style="160" customWidth="1"/>
    <col min="15318" max="15318" width="18.7109375" style="160" bestFit="1" customWidth="1"/>
    <col min="15319" max="15319" width="6.28515625" style="160" customWidth="1"/>
    <col min="15320" max="15320" width="6.5703125" style="160" bestFit="1" customWidth="1"/>
    <col min="15321" max="15341" width="4.42578125" style="160" customWidth="1"/>
    <col min="15342" max="15572" width="9.140625" style="160"/>
    <col min="15573" max="15573" width="3" style="160" customWidth="1"/>
    <col min="15574" max="15574" width="18.7109375" style="160" bestFit="1" customWidth="1"/>
    <col min="15575" max="15575" width="6.28515625" style="160" customWidth="1"/>
    <col min="15576" max="15576" width="6.5703125" style="160" bestFit="1" customWidth="1"/>
    <col min="15577" max="15597" width="4.42578125" style="160" customWidth="1"/>
    <col min="15598" max="15828" width="9.140625" style="160"/>
    <col min="15829" max="15829" width="3" style="160" customWidth="1"/>
    <col min="15830" max="15830" width="18.7109375" style="160" bestFit="1" customWidth="1"/>
    <col min="15831" max="15831" width="6.28515625" style="160" customWidth="1"/>
    <col min="15832" max="15832" width="6.5703125" style="160" bestFit="1" customWidth="1"/>
    <col min="15833" max="15853" width="4.42578125" style="160" customWidth="1"/>
    <col min="15854" max="16084" width="9.140625" style="160"/>
    <col min="16085" max="16085" width="3" style="160" customWidth="1"/>
    <col min="16086" max="16086" width="18.7109375" style="160" bestFit="1" customWidth="1"/>
    <col min="16087" max="16087" width="6.28515625" style="160" customWidth="1"/>
    <col min="16088" max="16088" width="6.5703125" style="160" bestFit="1" customWidth="1"/>
    <col min="16089" max="16109" width="4.42578125" style="160" customWidth="1"/>
    <col min="16110" max="16384" width="9.140625" style="160"/>
  </cols>
  <sheetData>
    <row r="1" spans="1:8" x14ac:dyDescent="0.2">
      <c r="A1" s="20" t="str">
        <f>UPPER((Kalend!D36)&amp;" - "&amp;(Kalend!C36)&amp;" - "&amp;(Kalend!E36))</f>
        <v>10 - K-JÄRVE 11. MV - TRIO</v>
      </c>
    </row>
    <row r="2" spans="1:8" x14ac:dyDescent="0.2">
      <c r="A2" s="160" t="str">
        <f>"Toimumisaeg: "&amp;(Kalend!A36)&amp;" kell "&amp;(Kalend!B36)</f>
        <v>Toimumisaeg: P, 02.09.2012 kell 10:00</v>
      </c>
    </row>
    <row r="3" spans="1:8" x14ac:dyDescent="0.2">
      <c r="A3" s="160" t="str">
        <f>"Toimumiskoht: "&amp;(Kalend!F36)</f>
        <v>Toimumiskoht: K-Järve, Järve Gümnaasiumi staadion</v>
      </c>
    </row>
    <row r="4" spans="1:8" x14ac:dyDescent="0.2">
      <c r="A4" s="160" t="str">
        <f>"Korraldaja: "&amp;(Kalend!G36)</f>
        <v>Korraldaja: K-Järve SHK</v>
      </c>
    </row>
    <row r="6" spans="1:8" x14ac:dyDescent="0.2">
      <c r="A6" s="232" t="s">
        <v>209</v>
      </c>
      <c r="B6" s="232"/>
      <c r="C6" s="233">
        <v>1</v>
      </c>
      <c r="D6" s="233">
        <v>2</v>
      </c>
      <c r="E6" s="233">
        <v>3</v>
      </c>
      <c r="F6" s="233">
        <v>4</v>
      </c>
      <c r="G6" s="234" t="s">
        <v>309</v>
      </c>
      <c r="H6" s="234" t="s">
        <v>306</v>
      </c>
    </row>
    <row r="7" spans="1:8" x14ac:dyDescent="0.2">
      <c r="A7" s="232">
        <v>1</v>
      </c>
      <c r="B7" s="257" t="s">
        <v>398</v>
      </c>
      <c r="C7" s="235"/>
      <c r="D7" s="238">
        <v>13</v>
      </c>
      <c r="E7" s="238">
        <v>8</v>
      </c>
      <c r="F7" s="238">
        <v>13</v>
      </c>
      <c r="G7" s="236" t="s">
        <v>313</v>
      </c>
      <c r="H7" s="237" t="s">
        <v>314</v>
      </c>
    </row>
    <row r="8" spans="1:8" x14ac:dyDescent="0.2">
      <c r="A8" s="232">
        <v>2</v>
      </c>
      <c r="B8" s="257" t="s">
        <v>399</v>
      </c>
      <c r="C8" s="238">
        <v>1</v>
      </c>
      <c r="D8" s="235"/>
      <c r="E8" s="238">
        <v>1</v>
      </c>
      <c r="F8" s="238">
        <v>13</v>
      </c>
      <c r="G8" s="236" t="s">
        <v>316</v>
      </c>
      <c r="H8" s="237" t="s">
        <v>317</v>
      </c>
    </row>
    <row r="9" spans="1:8" x14ac:dyDescent="0.2">
      <c r="A9" s="232">
        <v>3</v>
      </c>
      <c r="B9" s="259" t="s">
        <v>400</v>
      </c>
      <c r="C9" s="238">
        <v>13</v>
      </c>
      <c r="D9" s="238">
        <v>13</v>
      </c>
      <c r="E9" s="235"/>
      <c r="F9" s="238">
        <v>13</v>
      </c>
      <c r="G9" s="236" t="s">
        <v>402</v>
      </c>
      <c r="H9" s="237" t="s">
        <v>310</v>
      </c>
    </row>
    <row r="10" spans="1:8" x14ac:dyDescent="0.2">
      <c r="A10" s="232">
        <v>4</v>
      </c>
      <c r="B10" s="257" t="s">
        <v>401</v>
      </c>
      <c r="C10" s="238">
        <v>0</v>
      </c>
      <c r="D10" s="238">
        <v>10</v>
      </c>
      <c r="E10" s="238">
        <v>12</v>
      </c>
      <c r="F10" s="235"/>
      <c r="G10" s="236" t="s">
        <v>311</v>
      </c>
      <c r="H10" s="237" t="s">
        <v>312</v>
      </c>
    </row>
    <row r="12" spans="1:8" x14ac:dyDescent="0.2">
      <c r="A12" s="232" t="s">
        <v>211</v>
      </c>
      <c r="B12" s="232"/>
      <c r="C12" s="233">
        <v>1</v>
      </c>
      <c r="D12" s="233">
        <v>2</v>
      </c>
      <c r="E12" s="233">
        <v>3</v>
      </c>
      <c r="F12" s="233">
        <v>4</v>
      </c>
      <c r="G12" s="234" t="s">
        <v>309</v>
      </c>
      <c r="H12" s="234" t="s">
        <v>306</v>
      </c>
    </row>
    <row r="13" spans="1:8" x14ac:dyDescent="0.2">
      <c r="A13" s="232">
        <v>1</v>
      </c>
      <c r="B13" s="257" t="s">
        <v>403</v>
      </c>
      <c r="C13" s="235"/>
      <c r="D13" s="238">
        <v>13</v>
      </c>
      <c r="E13" s="238">
        <v>11</v>
      </c>
      <c r="F13" s="238">
        <v>13</v>
      </c>
      <c r="G13" s="236" t="s">
        <v>313</v>
      </c>
      <c r="H13" s="237" t="s">
        <v>314</v>
      </c>
    </row>
    <row r="14" spans="1:8" x14ac:dyDescent="0.2">
      <c r="A14" s="232">
        <v>2</v>
      </c>
      <c r="B14" s="257" t="s">
        <v>404</v>
      </c>
      <c r="C14" s="238">
        <v>6</v>
      </c>
      <c r="D14" s="235"/>
      <c r="E14" s="238">
        <v>6</v>
      </c>
      <c r="F14" s="238">
        <v>13</v>
      </c>
      <c r="G14" s="236" t="s">
        <v>316</v>
      </c>
      <c r="H14" s="237" t="s">
        <v>317</v>
      </c>
    </row>
    <row r="15" spans="1:8" x14ac:dyDescent="0.2">
      <c r="A15" s="232">
        <v>3</v>
      </c>
      <c r="B15" s="257" t="s">
        <v>405</v>
      </c>
      <c r="C15" s="238">
        <v>13</v>
      </c>
      <c r="D15" s="238">
        <v>13</v>
      </c>
      <c r="E15" s="235"/>
      <c r="F15" s="238">
        <v>13</v>
      </c>
      <c r="G15" s="236" t="s">
        <v>402</v>
      </c>
      <c r="H15" s="237" t="s">
        <v>310</v>
      </c>
    </row>
    <row r="16" spans="1:8" x14ac:dyDescent="0.2">
      <c r="A16" s="232">
        <v>4</v>
      </c>
      <c r="B16" s="257" t="s">
        <v>406</v>
      </c>
      <c r="C16" s="238">
        <v>3</v>
      </c>
      <c r="D16" s="238">
        <v>8</v>
      </c>
      <c r="E16" s="238">
        <v>12</v>
      </c>
      <c r="F16" s="235"/>
      <c r="G16" s="236" t="s">
        <v>311</v>
      </c>
      <c r="H16" s="237" t="s">
        <v>312</v>
      </c>
    </row>
    <row r="18" spans="1:11" x14ac:dyDescent="0.2">
      <c r="B18" s="240" t="s">
        <v>318</v>
      </c>
      <c r="C18" s="241" t="s">
        <v>319</v>
      </c>
      <c r="D18" s="241" t="s">
        <v>320</v>
      </c>
    </row>
    <row r="19" spans="1:11" x14ac:dyDescent="0.2">
      <c r="B19" s="240" t="s">
        <v>321</v>
      </c>
      <c r="C19" s="241" t="s">
        <v>322</v>
      </c>
      <c r="D19" s="241" t="s">
        <v>323</v>
      </c>
    </row>
    <row r="20" spans="1:11" x14ac:dyDescent="0.2">
      <c r="B20" s="240" t="s">
        <v>324</v>
      </c>
      <c r="C20" s="241" t="s">
        <v>316</v>
      </c>
      <c r="D20" s="241" t="s">
        <v>325</v>
      </c>
    </row>
    <row r="22" spans="1:11" x14ac:dyDescent="0.2">
      <c r="A22" s="232" t="s">
        <v>215</v>
      </c>
      <c r="B22" s="232"/>
      <c r="C22" s="233">
        <v>1</v>
      </c>
      <c r="D22" s="233">
        <v>2</v>
      </c>
      <c r="E22" s="233">
        <v>3</v>
      </c>
      <c r="F22" s="234" t="s">
        <v>309</v>
      </c>
      <c r="G22" s="234" t="s">
        <v>306</v>
      </c>
    </row>
    <row r="23" spans="1:11" x14ac:dyDescent="0.2">
      <c r="A23" s="232">
        <v>1</v>
      </c>
      <c r="B23" s="257" t="s">
        <v>407</v>
      </c>
      <c r="C23" s="235"/>
      <c r="D23" s="238">
        <v>13</v>
      </c>
      <c r="E23" s="238">
        <v>13</v>
      </c>
      <c r="F23" s="236" t="s">
        <v>408</v>
      </c>
      <c r="G23" s="237" t="s">
        <v>310</v>
      </c>
    </row>
    <row r="24" spans="1:11" x14ac:dyDescent="0.2">
      <c r="A24" s="232">
        <v>2</v>
      </c>
      <c r="B24" s="257" t="s">
        <v>411</v>
      </c>
      <c r="C24" s="238">
        <v>10</v>
      </c>
      <c r="D24" s="235"/>
      <c r="E24" s="238">
        <v>13</v>
      </c>
      <c r="F24" s="236" t="s">
        <v>409</v>
      </c>
      <c r="G24" s="237" t="s">
        <v>314</v>
      </c>
    </row>
    <row r="25" spans="1:11" x14ac:dyDescent="0.2">
      <c r="A25" s="232">
        <v>3</v>
      </c>
      <c r="B25" s="258" t="s">
        <v>412</v>
      </c>
      <c r="C25" s="238">
        <v>4</v>
      </c>
      <c r="D25" s="238">
        <v>12</v>
      </c>
      <c r="E25" s="235"/>
      <c r="F25" s="236" t="s">
        <v>410</v>
      </c>
      <c r="G25" s="237" t="s">
        <v>317</v>
      </c>
    </row>
    <row r="27" spans="1:11" x14ac:dyDescent="0.2">
      <c r="B27" s="240" t="s">
        <v>318</v>
      </c>
      <c r="C27" s="241" t="s">
        <v>322</v>
      </c>
      <c r="D27" s="252"/>
    </row>
    <row r="28" spans="1:11" x14ac:dyDescent="0.2">
      <c r="B28" s="240" t="s">
        <v>321</v>
      </c>
      <c r="C28" s="241" t="s">
        <v>320</v>
      </c>
      <c r="D28" s="252"/>
    </row>
    <row r="29" spans="1:11" x14ac:dyDescent="0.2">
      <c r="B29" s="240" t="s">
        <v>324</v>
      </c>
      <c r="C29" s="241" t="s">
        <v>316</v>
      </c>
      <c r="D29" s="252"/>
    </row>
    <row r="31" spans="1:11" x14ac:dyDescent="0.2">
      <c r="A31" s="260" t="s">
        <v>395</v>
      </c>
      <c r="B31" s="261"/>
      <c r="C31" s="261"/>
      <c r="D31" s="261"/>
      <c r="E31" s="261"/>
      <c r="F31" s="261"/>
      <c r="G31" s="261"/>
      <c r="H31" s="252"/>
      <c r="I31" s="252"/>
      <c r="J31" s="252"/>
      <c r="K31" s="261"/>
    </row>
    <row r="33" spans="1:11" x14ac:dyDescent="0.2">
      <c r="A33" s="232"/>
      <c r="B33" s="232"/>
      <c r="C33" s="233">
        <v>1</v>
      </c>
      <c r="D33" s="233">
        <v>2</v>
      </c>
      <c r="E33" s="233">
        <v>3</v>
      </c>
      <c r="F33" s="234" t="s">
        <v>309</v>
      </c>
      <c r="G33" s="234" t="s">
        <v>306</v>
      </c>
    </row>
    <row r="34" spans="1:11" x14ac:dyDescent="0.2">
      <c r="A34" s="232">
        <v>1</v>
      </c>
      <c r="B34" s="259" t="s">
        <v>400</v>
      </c>
      <c r="C34" s="235"/>
      <c r="D34" s="238"/>
      <c r="E34" s="238"/>
      <c r="F34" s="236"/>
      <c r="G34" s="237" t="s">
        <v>317</v>
      </c>
      <c r="I34" s="305" t="s">
        <v>416</v>
      </c>
    </row>
    <row r="35" spans="1:11" x14ac:dyDescent="0.2">
      <c r="A35" s="232">
        <v>2</v>
      </c>
      <c r="B35" s="257" t="s">
        <v>405</v>
      </c>
      <c r="C35" s="238"/>
      <c r="D35" s="235"/>
      <c r="E35" s="238"/>
      <c r="F35" s="236"/>
      <c r="G35" s="237" t="s">
        <v>310</v>
      </c>
      <c r="I35" s="305" t="s">
        <v>417</v>
      </c>
    </row>
    <row r="36" spans="1:11" x14ac:dyDescent="0.2">
      <c r="A36" s="232">
        <v>3</v>
      </c>
      <c r="B36" s="257" t="s">
        <v>407</v>
      </c>
      <c r="C36" s="238"/>
      <c r="D36" s="238"/>
      <c r="E36" s="235"/>
      <c r="F36" s="236"/>
      <c r="G36" s="237" t="s">
        <v>314</v>
      </c>
      <c r="I36" s="305" t="s">
        <v>418</v>
      </c>
    </row>
    <row r="38" spans="1:11" x14ac:dyDescent="0.2">
      <c r="A38" s="260" t="s">
        <v>396</v>
      </c>
      <c r="B38" s="261"/>
      <c r="C38" s="261"/>
      <c r="D38" s="261"/>
      <c r="E38" s="261"/>
      <c r="F38" s="261"/>
      <c r="G38" s="261"/>
      <c r="H38" s="252"/>
      <c r="I38" s="252"/>
      <c r="J38" s="252"/>
      <c r="K38" s="261"/>
    </row>
    <row r="40" spans="1:11" x14ac:dyDescent="0.2">
      <c r="A40" s="232"/>
      <c r="B40" s="232"/>
      <c r="C40" s="233">
        <v>1</v>
      </c>
      <c r="D40" s="233">
        <v>2</v>
      </c>
      <c r="E40" s="233">
        <v>3</v>
      </c>
      <c r="F40" s="234" t="s">
        <v>309</v>
      </c>
      <c r="G40" s="234" t="s">
        <v>306</v>
      </c>
    </row>
    <row r="41" spans="1:11" x14ac:dyDescent="0.2">
      <c r="A41" s="232">
        <v>1</v>
      </c>
      <c r="B41" s="257" t="s">
        <v>398</v>
      </c>
      <c r="C41" s="235"/>
      <c r="D41" s="238">
        <v>13</v>
      </c>
      <c r="E41" s="238"/>
      <c r="F41" s="236"/>
      <c r="G41" s="237" t="s">
        <v>310</v>
      </c>
      <c r="I41" s="305" t="s">
        <v>229</v>
      </c>
    </row>
    <row r="42" spans="1:11" x14ac:dyDescent="0.2">
      <c r="A42" s="232">
        <v>2</v>
      </c>
      <c r="B42" s="257" t="s">
        <v>403</v>
      </c>
      <c r="C42" s="238">
        <v>2</v>
      </c>
      <c r="D42" s="235"/>
      <c r="E42" s="238"/>
      <c r="F42" s="236"/>
      <c r="G42" s="237" t="s">
        <v>317</v>
      </c>
      <c r="I42" s="305" t="s">
        <v>232</v>
      </c>
    </row>
    <row r="43" spans="1:11" x14ac:dyDescent="0.2">
      <c r="A43" s="232">
        <v>3</v>
      </c>
      <c r="B43" s="257" t="s">
        <v>411</v>
      </c>
      <c r="C43" s="238"/>
      <c r="D43" s="238"/>
      <c r="E43" s="235"/>
      <c r="F43" s="236"/>
      <c r="G43" s="237" t="s">
        <v>314</v>
      </c>
      <c r="I43" s="305" t="s">
        <v>231</v>
      </c>
    </row>
    <row r="45" spans="1:11" x14ac:dyDescent="0.2">
      <c r="A45" s="260" t="s">
        <v>397</v>
      </c>
      <c r="B45" s="261"/>
      <c r="C45" s="261"/>
      <c r="D45" s="261"/>
      <c r="E45" s="261"/>
      <c r="F45" s="261"/>
      <c r="G45" s="261"/>
      <c r="H45" s="252"/>
      <c r="I45" s="252"/>
      <c r="J45" s="252"/>
      <c r="K45" s="261"/>
    </row>
    <row r="47" spans="1:11" x14ac:dyDescent="0.2">
      <c r="A47" s="232"/>
      <c r="B47" s="232"/>
      <c r="C47" s="233">
        <v>1</v>
      </c>
      <c r="D47" s="233">
        <v>2</v>
      </c>
      <c r="E47" s="233">
        <v>3</v>
      </c>
      <c r="F47" s="234" t="s">
        <v>309</v>
      </c>
      <c r="G47" s="234" t="s">
        <v>306</v>
      </c>
    </row>
    <row r="48" spans="1:11" x14ac:dyDescent="0.2">
      <c r="A48" s="232">
        <v>1</v>
      </c>
      <c r="B48" s="257" t="s">
        <v>399</v>
      </c>
      <c r="C48" s="235"/>
      <c r="D48" s="238">
        <v>2</v>
      </c>
      <c r="E48" s="238">
        <v>3</v>
      </c>
      <c r="F48" s="236" t="s">
        <v>414</v>
      </c>
      <c r="G48" s="237" t="s">
        <v>317</v>
      </c>
      <c r="I48" s="305" t="s">
        <v>237</v>
      </c>
    </row>
    <row r="49" spans="1:11" x14ac:dyDescent="0.2">
      <c r="A49" s="232">
        <v>2</v>
      </c>
      <c r="B49" s="257" t="s">
        <v>404</v>
      </c>
      <c r="C49" s="238">
        <v>13</v>
      </c>
      <c r="D49" s="235"/>
      <c r="E49" s="238">
        <v>13</v>
      </c>
      <c r="F49" s="236" t="s">
        <v>408</v>
      </c>
      <c r="G49" s="237" t="s">
        <v>310</v>
      </c>
      <c r="I49" s="305" t="s">
        <v>234</v>
      </c>
    </row>
    <row r="50" spans="1:11" x14ac:dyDescent="0.2">
      <c r="A50" s="232">
        <v>3</v>
      </c>
      <c r="B50" s="258" t="s">
        <v>412</v>
      </c>
      <c r="C50" s="238">
        <v>4</v>
      </c>
      <c r="D50" s="238">
        <v>13</v>
      </c>
      <c r="E50" s="235"/>
      <c r="F50" s="236" t="s">
        <v>409</v>
      </c>
      <c r="G50" s="237" t="s">
        <v>314</v>
      </c>
      <c r="I50" s="305" t="s">
        <v>235</v>
      </c>
    </row>
    <row r="52" spans="1:11" x14ac:dyDescent="0.2">
      <c r="A52" s="260" t="s">
        <v>413</v>
      </c>
      <c r="B52" s="261"/>
      <c r="C52" s="261"/>
      <c r="D52" s="261"/>
      <c r="E52" s="261"/>
      <c r="F52" s="261"/>
      <c r="G52" s="261"/>
      <c r="H52" s="252"/>
      <c r="I52" s="252"/>
      <c r="J52" s="252"/>
      <c r="K52" s="261"/>
    </row>
    <row r="54" spans="1:11" x14ac:dyDescent="0.2">
      <c r="A54" s="232"/>
      <c r="B54" s="232"/>
      <c r="C54" s="233">
        <v>1</v>
      </c>
      <c r="D54" s="233">
        <v>2</v>
      </c>
      <c r="E54" s="234" t="s">
        <v>309</v>
      </c>
      <c r="F54" s="234" t="s">
        <v>306</v>
      </c>
    </row>
    <row r="55" spans="1:11" x14ac:dyDescent="0.2">
      <c r="A55" s="232">
        <v>1</v>
      </c>
      <c r="B55" s="257" t="s">
        <v>401</v>
      </c>
      <c r="C55" s="235"/>
      <c r="D55" s="238">
        <v>7</v>
      </c>
      <c r="E55" s="236" t="s">
        <v>410</v>
      </c>
      <c r="F55" s="237" t="s">
        <v>314</v>
      </c>
      <c r="I55" s="305" t="s">
        <v>239</v>
      </c>
    </row>
    <row r="56" spans="1:11" x14ac:dyDescent="0.2">
      <c r="A56" s="232">
        <v>2</v>
      </c>
      <c r="B56" s="257" t="s">
        <v>406</v>
      </c>
      <c r="C56" s="238">
        <v>13</v>
      </c>
      <c r="D56" s="235"/>
      <c r="E56" s="236" t="s">
        <v>415</v>
      </c>
      <c r="F56" s="237" t="s">
        <v>310</v>
      </c>
      <c r="I56" s="305" t="s">
        <v>238</v>
      </c>
    </row>
    <row r="57" spans="1:11" x14ac:dyDescent="0.2">
      <c r="A57" s="308"/>
      <c r="B57" s="309"/>
      <c r="C57" s="310"/>
      <c r="D57" s="311"/>
      <c r="E57" s="311"/>
      <c r="F57" s="312"/>
    </row>
    <row r="58" spans="1:11" x14ac:dyDescent="0.2">
      <c r="A58" s="232">
        <v>1</v>
      </c>
      <c r="B58" s="284" t="s">
        <v>405</v>
      </c>
    </row>
    <row r="59" spans="1:11" x14ac:dyDescent="0.2">
      <c r="A59" s="232">
        <v>2</v>
      </c>
      <c r="B59" s="285" t="s">
        <v>407</v>
      </c>
    </row>
    <row r="60" spans="1:11" x14ac:dyDescent="0.2">
      <c r="A60" s="232">
        <v>3</v>
      </c>
      <c r="B60" s="286" t="s">
        <v>400</v>
      </c>
    </row>
    <row r="61" spans="1:11" x14ac:dyDescent="0.2">
      <c r="A61" s="232">
        <v>4</v>
      </c>
      <c r="B61" s="257" t="s">
        <v>398</v>
      </c>
    </row>
    <row r="62" spans="1:11" x14ac:dyDescent="0.2">
      <c r="A62" s="232">
        <v>5</v>
      </c>
      <c r="B62" s="257" t="s">
        <v>411</v>
      </c>
    </row>
    <row r="63" spans="1:11" x14ac:dyDescent="0.2">
      <c r="A63" s="232">
        <v>6</v>
      </c>
      <c r="B63" s="257" t="s">
        <v>403</v>
      </c>
    </row>
    <row r="64" spans="1:11" x14ac:dyDescent="0.2">
      <c r="A64" s="232">
        <v>7</v>
      </c>
      <c r="B64" s="257" t="s">
        <v>404</v>
      </c>
    </row>
    <row r="65" spans="1:2" x14ac:dyDescent="0.2">
      <c r="A65" s="232">
        <v>8</v>
      </c>
      <c r="B65" s="258" t="s">
        <v>412</v>
      </c>
    </row>
    <row r="66" spans="1:2" x14ac:dyDescent="0.2">
      <c r="A66" s="232">
        <v>9</v>
      </c>
      <c r="B66" s="257" t="s">
        <v>399</v>
      </c>
    </row>
    <row r="67" spans="1:2" x14ac:dyDescent="0.2">
      <c r="A67" s="232">
        <v>10</v>
      </c>
      <c r="B67" s="257" t="s">
        <v>406</v>
      </c>
    </row>
    <row r="68" spans="1:2" x14ac:dyDescent="0.2">
      <c r="A68" s="232">
        <v>11</v>
      </c>
      <c r="B68" s="257" t="s">
        <v>401</v>
      </c>
    </row>
  </sheetData>
  <conditionalFormatting sqref="C7:F57">
    <cfRule type="cellIs" dxfId="15" priority="1" operator="equal">
      <formula>13</formula>
    </cfRule>
  </conditionalFormatting>
  <pageMargins left="0.78740157480314965" right="0.39370078740157483" top="0.59055118110236227" bottom="0.27559055118110237" header="0.39370078740157483" footer="0"/>
  <pageSetup paperSize="9" fitToHeight="0" orientation="landscape" r:id="rId1"/>
  <headerFooter>
    <oddHeader>&amp;R&amp;"Arial,Regular"&amp;9Page &amp;P of &amp;N</oddHeader>
  </headerFooter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29"/>
  <sheetViews>
    <sheetView showGridLines="0" showRowColHeaders="0" zoomScaleNormal="100" workbookViewId="0">
      <pane ySplit="2" topLeftCell="A3" activePane="bottomLeft" state="frozen"/>
      <selection pane="bottomLeft" activeCell="H1" sqref="H1"/>
    </sheetView>
  </sheetViews>
  <sheetFormatPr defaultRowHeight="12.75" x14ac:dyDescent="0.2"/>
  <cols>
    <col min="1" max="1" width="3.28515625" style="160" customWidth="1"/>
    <col min="2" max="2" width="34.85546875" style="160" bestFit="1" customWidth="1"/>
    <col min="3" max="9" width="6.7109375" style="160" customWidth="1"/>
    <col min="10" max="212" width="9.140625" style="160"/>
    <col min="213" max="213" width="3" style="160" customWidth="1"/>
    <col min="214" max="214" width="18.7109375" style="160" bestFit="1" customWidth="1"/>
    <col min="215" max="215" width="6.28515625" style="160" customWidth="1"/>
    <col min="216" max="216" width="6.5703125" style="160" bestFit="1" customWidth="1"/>
    <col min="217" max="237" width="4.42578125" style="160" customWidth="1"/>
    <col min="238" max="468" width="9.140625" style="160"/>
    <col min="469" max="469" width="3" style="160" customWidth="1"/>
    <col min="470" max="470" width="18.7109375" style="160" bestFit="1" customWidth="1"/>
    <col min="471" max="471" width="6.28515625" style="160" customWidth="1"/>
    <col min="472" max="472" width="6.5703125" style="160" bestFit="1" customWidth="1"/>
    <col min="473" max="493" width="4.42578125" style="160" customWidth="1"/>
    <col min="494" max="724" width="9.140625" style="160"/>
    <col min="725" max="725" width="3" style="160" customWidth="1"/>
    <col min="726" max="726" width="18.7109375" style="160" bestFit="1" customWidth="1"/>
    <col min="727" max="727" width="6.28515625" style="160" customWidth="1"/>
    <col min="728" max="728" width="6.5703125" style="160" bestFit="1" customWidth="1"/>
    <col min="729" max="749" width="4.42578125" style="160" customWidth="1"/>
    <col min="750" max="980" width="9.140625" style="160"/>
    <col min="981" max="981" width="3" style="160" customWidth="1"/>
    <col min="982" max="982" width="18.7109375" style="160" bestFit="1" customWidth="1"/>
    <col min="983" max="983" width="6.28515625" style="160" customWidth="1"/>
    <col min="984" max="984" width="6.5703125" style="160" bestFit="1" customWidth="1"/>
    <col min="985" max="1005" width="4.42578125" style="160" customWidth="1"/>
    <col min="1006" max="1236" width="9.140625" style="160"/>
    <col min="1237" max="1237" width="3" style="160" customWidth="1"/>
    <col min="1238" max="1238" width="18.7109375" style="160" bestFit="1" customWidth="1"/>
    <col min="1239" max="1239" width="6.28515625" style="160" customWidth="1"/>
    <col min="1240" max="1240" width="6.5703125" style="160" bestFit="1" customWidth="1"/>
    <col min="1241" max="1261" width="4.42578125" style="160" customWidth="1"/>
    <col min="1262" max="1492" width="9.140625" style="160"/>
    <col min="1493" max="1493" width="3" style="160" customWidth="1"/>
    <col min="1494" max="1494" width="18.7109375" style="160" bestFit="1" customWidth="1"/>
    <col min="1495" max="1495" width="6.28515625" style="160" customWidth="1"/>
    <col min="1496" max="1496" width="6.5703125" style="160" bestFit="1" customWidth="1"/>
    <col min="1497" max="1517" width="4.42578125" style="160" customWidth="1"/>
    <col min="1518" max="1748" width="9.140625" style="160"/>
    <col min="1749" max="1749" width="3" style="160" customWidth="1"/>
    <col min="1750" max="1750" width="18.7109375" style="160" bestFit="1" customWidth="1"/>
    <col min="1751" max="1751" width="6.28515625" style="160" customWidth="1"/>
    <col min="1752" max="1752" width="6.5703125" style="160" bestFit="1" customWidth="1"/>
    <col min="1753" max="1773" width="4.42578125" style="160" customWidth="1"/>
    <col min="1774" max="2004" width="9.140625" style="160"/>
    <col min="2005" max="2005" width="3" style="160" customWidth="1"/>
    <col min="2006" max="2006" width="18.7109375" style="160" bestFit="1" customWidth="1"/>
    <col min="2007" max="2007" width="6.28515625" style="160" customWidth="1"/>
    <col min="2008" max="2008" width="6.5703125" style="160" bestFit="1" customWidth="1"/>
    <col min="2009" max="2029" width="4.42578125" style="160" customWidth="1"/>
    <col min="2030" max="2260" width="9.140625" style="160"/>
    <col min="2261" max="2261" width="3" style="160" customWidth="1"/>
    <col min="2262" max="2262" width="18.7109375" style="160" bestFit="1" customWidth="1"/>
    <col min="2263" max="2263" width="6.28515625" style="160" customWidth="1"/>
    <col min="2264" max="2264" width="6.5703125" style="160" bestFit="1" customWidth="1"/>
    <col min="2265" max="2285" width="4.42578125" style="160" customWidth="1"/>
    <col min="2286" max="2516" width="9.140625" style="160"/>
    <col min="2517" max="2517" width="3" style="160" customWidth="1"/>
    <col min="2518" max="2518" width="18.7109375" style="160" bestFit="1" customWidth="1"/>
    <col min="2519" max="2519" width="6.28515625" style="160" customWidth="1"/>
    <col min="2520" max="2520" width="6.5703125" style="160" bestFit="1" customWidth="1"/>
    <col min="2521" max="2541" width="4.42578125" style="160" customWidth="1"/>
    <col min="2542" max="2772" width="9.140625" style="160"/>
    <col min="2773" max="2773" width="3" style="160" customWidth="1"/>
    <col min="2774" max="2774" width="18.7109375" style="160" bestFit="1" customWidth="1"/>
    <col min="2775" max="2775" width="6.28515625" style="160" customWidth="1"/>
    <col min="2776" max="2776" width="6.5703125" style="160" bestFit="1" customWidth="1"/>
    <col min="2777" max="2797" width="4.42578125" style="160" customWidth="1"/>
    <col min="2798" max="3028" width="9.140625" style="160"/>
    <col min="3029" max="3029" width="3" style="160" customWidth="1"/>
    <col min="3030" max="3030" width="18.7109375" style="160" bestFit="1" customWidth="1"/>
    <col min="3031" max="3031" width="6.28515625" style="160" customWidth="1"/>
    <col min="3032" max="3032" width="6.5703125" style="160" bestFit="1" customWidth="1"/>
    <col min="3033" max="3053" width="4.42578125" style="160" customWidth="1"/>
    <col min="3054" max="3284" width="9.140625" style="160"/>
    <col min="3285" max="3285" width="3" style="160" customWidth="1"/>
    <col min="3286" max="3286" width="18.7109375" style="160" bestFit="1" customWidth="1"/>
    <col min="3287" max="3287" width="6.28515625" style="160" customWidth="1"/>
    <col min="3288" max="3288" width="6.5703125" style="160" bestFit="1" customWidth="1"/>
    <col min="3289" max="3309" width="4.42578125" style="160" customWidth="1"/>
    <col min="3310" max="3540" width="9.140625" style="160"/>
    <col min="3541" max="3541" width="3" style="160" customWidth="1"/>
    <col min="3542" max="3542" width="18.7109375" style="160" bestFit="1" customWidth="1"/>
    <col min="3543" max="3543" width="6.28515625" style="160" customWidth="1"/>
    <col min="3544" max="3544" width="6.5703125" style="160" bestFit="1" customWidth="1"/>
    <col min="3545" max="3565" width="4.42578125" style="160" customWidth="1"/>
    <col min="3566" max="3796" width="9.140625" style="160"/>
    <col min="3797" max="3797" width="3" style="160" customWidth="1"/>
    <col min="3798" max="3798" width="18.7109375" style="160" bestFit="1" customWidth="1"/>
    <col min="3799" max="3799" width="6.28515625" style="160" customWidth="1"/>
    <col min="3800" max="3800" width="6.5703125" style="160" bestFit="1" customWidth="1"/>
    <col min="3801" max="3821" width="4.42578125" style="160" customWidth="1"/>
    <col min="3822" max="4052" width="9.140625" style="160"/>
    <col min="4053" max="4053" width="3" style="160" customWidth="1"/>
    <col min="4054" max="4054" width="18.7109375" style="160" bestFit="1" customWidth="1"/>
    <col min="4055" max="4055" width="6.28515625" style="160" customWidth="1"/>
    <col min="4056" max="4056" width="6.5703125" style="160" bestFit="1" customWidth="1"/>
    <col min="4057" max="4077" width="4.42578125" style="160" customWidth="1"/>
    <col min="4078" max="4308" width="9.140625" style="160"/>
    <col min="4309" max="4309" width="3" style="160" customWidth="1"/>
    <col min="4310" max="4310" width="18.7109375" style="160" bestFit="1" customWidth="1"/>
    <col min="4311" max="4311" width="6.28515625" style="160" customWidth="1"/>
    <col min="4312" max="4312" width="6.5703125" style="160" bestFit="1" customWidth="1"/>
    <col min="4313" max="4333" width="4.42578125" style="160" customWidth="1"/>
    <col min="4334" max="4564" width="9.140625" style="160"/>
    <col min="4565" max="4565" width="3" style="160" customWidth="1"/>
    <col min="4566" max="4566" width="18.7109375" style="160" bestFit="1" customWidth="1"/>
    <col min="4567" max="4567" width="6.28515625" style="160" customWidth="1"/>
    <col min="4568" max="4568" width="6.5703125" style="160" bestFit="1" customWidth="1"/>
    <col min="4569" max="4589" width="4.42578125" style="160" customWidth="1"/>
    <col min="4590" max="4820" width="9.140625" style="160"/>
    <col min="4821" max="4821" width="3" style="160" customWidth="1"/>
    <col min="4822" max="4822" width="18.7109375" style="160" bestFit="1" customWidth="1"/>
    <col min="4823" max="4823" width="6.28515625" style="160" customWidth="1"/>
    <col min="4824" max="4824" width="6.5703125" style="160" bestFit="1" customWidth="1"/>
    <col min="4825" max="4845" width="4.42578125" style="160" customWidth="1"/>
    <col min="4846" max="5076" width="9.140625" style="160"/>
    <col min="5077" max="5077" width="3" style="160" customWidth="1"/>
    <col min="5078" max="5078" width="18.7109375" style="160" bestFit="1" customWidth="1"/>
    <col min="5079" max="5079" width="6.28515625" style="160" customWidth="1"/>
    <col min="5080" max="5080" width="6.5703125" style="160" bestFit="1" customWidth="1"/>
    <col min="5081" max="5101" width="4.42578125" style="160" customWidth="1"/>
    <col min="5102" max="5332" width="9.140625" style="160"/>
    <col min="5333" max="5333" width="3" style="160" customWidth="1"/>
    <col min="5334" max="5334" width="18.7109375" style="160" bestFit="1" customWidth="1"/>
    <col min="5335" max="5335" width="6.28515625" style="160" customWidth="1"/>
    <col min="5336" max="5336" width="6.5703125" style="160" bestFit="1" customWidth="1"/>
    <col min="5337" max="5357" width="4.42578125" style="160" customWidth="1"/>
    <col min="5358" max="5588" width="9.140625" style="160"/>
    <col min="5589" max="5589" width="3" style="160" customWidth="1"/>
    <col min="5590" max="5590" width="18.7109375" style="160" bestFit="1" customWidth="1"/>
    <col min="5591" max="5591" width="6.28515625" style="160" customWidth="1"/>
    <col min="5592" max="5592" width="6.5703125" style="160" bestFit="1" customWidth="1"/>
    <col min="5593" max="5613" width="4.42578125" style="160" customWidth="1"/>
    <col min="5614" max="5844" width="9.140625" style="160"/>
    <col min="5845" max="5845" width="3" style="160" customWidth="1"/>
    <col min="5846" max="5846" width="18.7109375" style="160" bestFit="1" customWidth="1"/>
    <col min="5847" max="5847" width="6.28515625" style="160" customWidth="1"/>
    <col min="5848" max="5848" width="6.5703125" style="160" bestFit="1" customWidth="1"/>
    <col min="5849" max="5869" width="4.42578125" style="160" customWidth="1"/>
    <col min="5870" max="6100" width="9.140625" style="160"/>
    <col min="6101" max="6101" width="3" style="160" customWidth="1"/>
    <col min="6102" max="6102" width="18.7109375" style="160" bestFit="1" customWidth="1"/>
    <col min="6103" max="6103" width="6.28515625" style="160" customWidth="1"/>
    <col min="6104" max="6104" width="6.5703125" style="160" bestFit="1" customWidth="1"/>
    <col min="6105" max="6125" width="4.42578125" style="160" customWidth="1"/>
    <col min="6126" max="6356" width="9.140625" style="160"/>
    <col min="6357" max="6357" width="3" style="160" customWidth="1"/>
    <col min="6358" max="6358" width="18.7109375" style="160" bestFit="1" customWidth="1"/>
    <col min="6359" max="6359" width="6.28515625" style="160" customWidth="1"/>
    <col min="6360" max="6360" width="6.5703125" style="160" bestFit="1" customWidth="1"/>
    <col min="6361" max="6381" width="4.42578125" style="160" customWidth="1"/>
    <col min="6382" max="6612" width="9.140625" style="160"/>
    <col min="6613" max="6613" width="3" style="160" customWidth="1"/>
    <col min="6614" max="6614" width="18.7109375" style="160" bestFit="1" customWidth="1"/>
    <col min="6615" max="6615" width="6.28515625" style="160" customWidth="1"/>
    <col min="6616" max="6616" width="6.5703125" style="160" bestFit="1" customWidth="1"/>
    <col min="6617" max="6637" width="4.42578125" style="160" customWidth="1"/>
    <col min="6638" max="6868" width="9.140625" style="160"/>
    <col min="6869" max="6869" width="3" style="160" customWidth="1"/>
    <col min="6870" max="6870" width="18.7109375" style="160" bestFit="1" customWidth="1"/>
    <col min="6871" max="6871" width="6.28515625" style="160" customWidth="1"/>
    <col min="6872" max="6872" width="6.5703125" style="160" bestFit="1" customWidth="1"/>
    <col min="6873" max="6893" width="4.42578125" style="160" customWidth="1"/>
    <col min="6894" max="7124" width="9.140625" style="160"/>
    <col min="7125" max="7125" width="3" style="160" customWidth="1"/>
    <col min="7126" max="7126" width="18.7109375" style="160" bestFit="1" customWidth="1"/>
    <col min="7127" max="7127" width="6.28515625" style="160" customWidth="1"/>
    <col min="7128" max="7128" width="6.5703125" style="160" bestFit="1" customWidth="1"/>
    <col min="7129" max="7149" width="4.42578125" style="160" customWidth="1"/>
    <col min="7150" max="7380" width="9.140625" style="160"/>
    <col min="7381" max="7381" width="3" style="160" customWidth="1"/>
    <col min="7382" max="7382" width="18.7109375" style="160" bestFit="1" customWidth="1"/>
    <col min="7383" max="7383" width="6.28515625" style="160" customWidth="1"/>
    <col min="7384" max="7384" width="6.5703125" style="160" bestFit="1" customWidth="1"/>
    <col min="7385" max="7405" width="4.42578125" style="160" customWidth="1"/>
    <col min="7406" max="7636" width="9.140625" style="160"/>
    <col min="7637" max="7637" width="3" style="160" customWidth="1"/>
    <col min="7638" max="7638" width="18.7109375" style="160" bestFit="1" customWidth="1"/>
    <col min="7639" max="7639" width="6.28515625" style="160" customWidth="1"/>
    <col min="7640" max="7640" width="6.5703125" style="160" bestFit="1" customWidth="1"/>
    <col min="7641" max="7661" width="4.42578125" style="160" customWidth="1"/>
    <col min="7662" max="7892" width="9.140625" style="160"/>
    <col min="7893" max="7893" width="3" style="160" customWidth="1"/>
    <col min="7894" max="7894" width="18.7109375" style="160" bestFit="1" customWidth="1"/>
    <col min="7895" max="7895" width="6.28515625" style="160" customWidth="1"/>
    <col min="7896" max="7896" width="6.5703125" style="160" bestFit="1" customWidth="1"/>
    <col min="7897" max="7917" width="4.42578125" style="160" customWidth="1"/>
    <col min="7918" max="8148" width="9.140625" style="160"/>
    <col min="8149" max="8149" width="3" style="160" customWidth="1"/>
    <col min="8150" max="8150" width="18.7109375" style="160" bestFit="1" customWidth="1"/>
    <col min="8151" max="8151" width="6.28515625" style="160" customWidth="1"/>
    <col min="8152" max="8152" width="6.5703125" style="160" bestFit="1" customWidth="1"/>
    <col min="8153" max="8173" width="4.42578125" style="160" customWidth="1"/>
    <col min="8174" max="8404" width="9.140625" style="160"/>
    <col min="8405" max="8405" width="3" style="160" customWidth="1"/>
    <col min="8406" max="8406" width="18.7109375" style="160" bestFit="1" customWidth="1"/>
    <col min="8407" max="8407" width="6.28515625" style="160" customWidth="1"/>
    <col min="8408" max="8408" width="6.5703125" style="160" bestFit="1" customWidth="1"/>
    <col min="8409" max="8429" width="4.42578125" style="160" customWidth="1"/>
    <col min="8430" max="8660" width="9.140625" style="160"/>
    <col min="8661" max="8661" width="3" style="160" customWidth="1"/>
    <col min="8662" max="8662" width="18.7109375" style="160" bestFit="1" customWidth="1"/>
    <col min="8663" max="8663" width="6.28515625" style="160" customWidth="1"/>
    <col min="8664" max="8664" width="6.5703125" style="160" bestFit="1" customWidth="1"/>
    <col min="8665" max="8685" width="4.42578125" style="160" customWidth="1"/>
    <col min="8686" max="8916" width="9.140625" style="160"/>
    <col min="8917" max="8917" width="3" style="160" customWidth="1"/>
    <col min="8918" max="8918" width="18.7109375" style="160" bestFit="1" customWidth="1"/>
    <col min="8919" max="8919" width="6.28515625" style="160" customWidth="1"/>
    <col min="8920" max="8920" width="6.5703125" style="160" bestFit="1" customWidth="1"/>
    <col min="8921" max="8941" width="4.42578125" style="160" customWidth="1"/>
    <col min="8942" max="9172" width="9.140625" style="160"/>
    <col min="9173" max="9173" width="3" style="160" customWidth="1"/>
    <col min="9174" max="9174" width="18.7109375" style="160" bestFit="1" customWidth="1"/>
    <col min="9175" max="9175" width="6.28515625" style="160" customWidth="1"/>
    <col min="9176" max="9176" width="6.5703125" style="160" bestFit="1" customWidth="1"/>
    <col min="9177" max="9197" width="4.42578125" style="160" customWidth="1"/>
    <col min="9198" max="9428" width="9.140625" style="160"/>
    <col min="9429" max="9429" width="3" style="160" customWidth="1"/>
    <col min="9430" max="9430" width="18.7109375" style="160" bestFit="1" customWidth="1"/>
    <col min="9431" max="9431" width="6.28515625" style="160" customWidth="1"/>
    <col min="9432" max="9432" width="6.5703125" style="160" bestFit="1" customWidth="1"/>
    <col min="9433" max="9453" width="4.42578125" style="160" customWidth="1"/>
    <col min="9454" max="9684" width="9.140625" style="160"/>
    <col min="9685" max="9685" width="3" style="160" customWidth="1"/>
    <col min="9686" max="9686" width="18.7109375" style="160" bestFit="1" customWidth="1"/>
    <col min="9687" max="9687" width="6.28515625" style="160" customWidth="1"/>
    <col min="9688" max="9688" width="6.5703125" style="160" bestFit="1" customWidth="1"/>
    <col min="9689" max="9709" width="4.42578125" style="160" customWidth="1"/>
    <col min="9710" max="9940" width="9.140625" style="160"/>
    <col min="9941" max="9941" width="3" style="160" customWidth="1"/>
    <col min="9942" max="9942" width="18.7109375" style="160" bestFit="1" customWidth="1"/>
    <col min="9943" max="9943" width="6.28515625" style="160" customWidth="1"/>
    <col min="9944" max="9944" width="6.5703125" style="160" bestFit="1" customWidth="1"/>
    <col min="9945" max="9965" width="4.42578125" style="160" customWidth="1"/>
    <col min="9966" max="10196" width="9.140625" style="160"/>
    <col min="10197" max="10197" width="3" style="160" customWidth="1"/>
    <col min="10198" max="10198" width="18.7109375" style="160" bestFit="1" customWidth="1"/>
    <col min="10199" max="10199" width="6.28515625" style="160" customWidth="1"/>
    <col min="10200" max="10200" width="6.5703125" style="160" bestFit="1" customWidth="1"/>
    <col min="10201" max="10221" width="4.42578125" style="160" customWidth="1"/>
    <col min="10222" max="10452" width="9.140625" style="160"/>
    <col min="10453" max="10453" width="3" style="160" customWidth="1"/>
    <col min="10454" max="10454" width="18.7109375" style="160" bestFit="1" customWidth="1"/>
    <col min="10455" max="10455" width="6.28515625" style="160" customWidth="1"/>
    <col min="10456" max="10456" width="6.5703125" style="160" bestFit="1" customWidth="1"/>
    <col min="10457" max="10477" width="4.42578125" style="160" customWidth="1"/>
    <col min="10478" max="10708" width="9.140625" style="160"/>
    <col min="10709" max="10709" width="3" style="160" customWidth="1"/>
    <col min="10710" max="10710" width="18.7109375" style="160" bestFit="1" customWidth="1"/>
    <col min="10711" max="10711" width="6.28515625" style="160" customWidth="1"/>
    <col min="10712" max="10712" width="6.5703125" style="160" bestFit="1" customWidth="1"/>
    <col min="10713" max="10733" width="4.42578125" style="160" customWidth="1"/>
    <col min="10734" max="10964" width="9.140625" style="160"/>
    <col min="10965" max="10965" width="3" style="160" customWidth="1"/>
    <col min="10966" max="10966" width="18.7109375" style="160" bestFit="1" customWidth="1"/>
    <col min="10967" max="10967" width="6.28515625" style="160" customWidth="1"/>
    <col min="10968" max="10968" width="6.5703125" style="160" bestFit="1" customWidth="1"/>
    <col min="10969" max="10989" width="4.42578125" style="160" customWidth="1"/>
    <col min="10990" max="11220" width="9.140625" style="160"/>
    <col min="11221" max="11221" width="3" style="160" customWidth="1"/>
    <col min="11222" max="11222" width="18.7109375" style="160" bestFit="1" customWidth="1"/>
    <col min="11223" max="11223" width="6.28515625" style="160" customWidth="1"/>
    <col min="11224" max="11224" width="6.5703125" style="160" bestFit="1" customWidth="1"/>
    <col min="11225" max="11245" width="4.42578125" style="160" customWidth="1"/>
    <col min="11246" max="11476" width="9.140625" style="160"/>
    <col min="11477" max="11477" width="3" style="160" customWidth="1"/>
    <col min="11478" max="11478" width="18.7109375" style="160" bestFit="1" customWidth="1"/>
    <col min="11479" max="11479" width="6.28515625" style="160" customWidth="1"/>
    <col min="11480" max="11480" width="6.5703125" style="160" bestFit="1" customWidth="1"/>
    <col min="11481" max="11501" width="4.42578125" style="160" customWidth="1"/>
    <col min="11502" max="11732" width="9.140625" style="160"/>
    <col min="11733" max="11733" width="3" style="160" customWidth="1"/>
    <col min="11734" max="11734" width="18.7109375" style="160" bestFit="1" customWidth="1"/>
    <col min="11735" max="11735" width="6.28515625" style="160" customWidth="1"/>
    <col min="11736" max="11736" width="6.5703125" style="160" bestFit="1" customWidth="1"/>
    <col min="11737" max="11757" width="4.42578125" style="160" customWidth="1"/>
    <col min="11758" max="11988" width="9.140625" style="160"/>
    <col min="11989" max="11989" width="3" style="160" customWidth="1"/>
    <col min="11990" max="11990" width="18.7109375" style="160" bestFit="1" customWidth="1"/>
    <col min="11991" max="11991" width="6.28515625" style="160" customWidth="1"/>
    <col min="11992" max="11992" width="6.5703125" style="160" bestFit="1" customWidth="1"/>
    <col min="11993" max="12013" width="4.42578125" style="160" customWidth="1"/>
    <col min="12014" max="12244" width="9.140625" style="160"/>
    <col min="12245" max="12245" width="3" style="160" customWidth="1"/>
    <col min="12246" max="12246" width="18.7109375" style="160" bestFit="1" customWidth="1"/>
    <col min="12247" max="12247" width="6.28515625" style="160" customWidth="1"/>
    <col min="12248" max="12248" width="6.5703125" style="160" bestFit="1" customWidth="1"/>
    <col min="12249" max="12269" width="4.42578125" style="160" customWidth="1"/>
    <col min="12270" max="12500" width="9.140625" style="160"/>
    <col min="12501" max="12501" width="3" style="160" customWidth="1"/>
    <col min="12502" max="12502" width="18.7109375" style="160" bestFit="1" customWidth="1"/>
    <col min="12503" max="12503" width="6.28515625" style="160" customWidth="1"/>
    <col min="12504" max="12504" width="6.5703125" style="160" bestFit="1" customWidth="1"/>
    <col min="12505" max="12525" width="4.42578125" style="160" customWidth="1"/>
    <col min="12526" max="12756" width="9.140625" style="160"/>
    <col min="12757" max="12757" width="3" style="160" customWidth="1"/>
    <col min="12758" max="12758" width="18.7109375" style="160" bestFit="1" customWidth="1"/>
    <col min="12759" max="12759" width="6.28515625" style="160" customWidth="1"/>
    <col min="12760" max="12760" width="6.5703125" style="160" bestFit="1" customWidth="1"/>
    <col min="12761" max="12781" width="4.42578125" style="160" customWidth="1"/>
    <col min="12782" max="13012" width="9.140625" style="160"/>
    <col min="13013" max="13013" width="3" style="160" customWidth="1"/>
    <col min="13014" max="13014" width="18.7109375" style="160" bestFit="1" customWidth="1"/>
    <col min="13015" max="13015" width="6.28515625" style="160" customWidth="1"/>
    <col min="13016" max="13016" width="6.5703125" style="160" bestFit="1" customWidth="1"/>
    <col min="13017" max="13037" width="4.42578125" style="160" customWidth="1"/>
    <col min="13038" max="13268" width="9.140625" style="160"/>
    <col min="13269" max="13269" width="3" style="160" customWidth="1"/>
    <col min="13270" max="13270" width="18.7109375" style="160" bestFit="1" customWidth="1"/>
    <col min="13271" max="13271" width="6.28515625" style="160" customWidth="1"/>
    <col min="13272" max="13272" width="6.5703125" style="160" bestFit="1" customWidth="1"/>
    <col min="13273" max="13293" width="4.42578125" style="160" customWidth="1"/>
    <col min="13294" max="13524" width="9.140625" style="160"/>
    <col min="13525" max="13525" width="3" style="160" customWidth="1"/>
    <col min="13526" max="13526" width="18.7109375" style="160" bestFit="1" customWidth="1"/>
    <col min="13527" max="13527" width="6.28515625" style="160" customWidth="1"/>
    <col min="13528" max="13528" width="6.5703125" style="160" bestFit="1" customWidth="1"/>
    <col min="13529" max="13549" width="4.42578125" style="160" customWidth="1"/>
    <col min="13550" max="13780" width="9.140625" style="160"/>
    <col min="13781" max="13781" width="3" style="160" customWidth="1"/>
    <col min="13782" max="13782" width="18.7109375" style="160" bestFit="1" customWidth="1"/>
    <col min="13783" max="13783" width="6.28515625" style="160" customWidth="1"/>
    <col min="13784" max="13784" width="6.5703125" style="160" bestFit="1" customWidth="1"/>
    <col min="13785" max="13805" width="4.42578125" style="160" customWidth="1"/>
    <col min="13806" max="14036" width="9.140625" style="160"/>
    <col min="14037" max="14037" width="3" style="160" customWidth="1"/>
    <col min="14038" max="14038" width="18.7109375" style="160" bestFit="1" customWidth="1"/>
    <col min="14039" max="14039" width="6.28515625" style="160" customWidth="1"/>
    <col min="14040" max="14040" width="6.5703125" style="160" bestFit="1" customWidth="1"/>
    <col min="14041" max="14061" width="4.42578125" style="160" customWidth="1"/>
    <col min="14062" max="14292" width="9.140625" style="160"/>
    <col min="14293" max="14293" width="3" style="160" customWidth="1"/>
    <col min="14294" max="14294" width="18.7109375" style="160" bestFit="1" customWidth="1"/>
    <col min="14295" max="14295" width="6.28515625" style="160" customWidth="1"/>
    <col min="14296" max="14296" width="6.5703125" style="160" bestFit="1" customWidth="1"/>
    <col min="14297" max="14317" width="4.42578125" style="160" customWidth="1"/>
    <col min="14318" max="14548" width="9.140625" style="160"/>
    <col min="14549" max="14549" width="3" style="160" customWidth="1"/>
    <col min="14550" max="14550" width="18.7109375" style="160" bestFit="1" customWidth="1"/>
    <col min="14551" max="14551" width="6.28515625" style="160" customWidth="1"/>
    <col min="14552" max="14552" width="6.5703125" style="160" bestFit="1" customWidth="1"/>
    <col min="14553" max="14573" width="4.42578125" style="160" customWidth="1"/>
    <col min="14574" max="14804" width="9.140625" style="160"/>
    <col min="14805" max="14805" width="3" style="160" customWidth="1"/>
    <col min="14806" max="14806" width="18.7109375" style="160" bestFit="1" customWidth="1"/>
    <col min="14807" max="14807" width="6.28515625" style="160" customWidth="1"/>
    <col min="14808" max="14808" width="6.5703125" style="160" bestFit="1" customWidth="1"/>
    <col min="14809" max="14829" width="4.42578125" style="160" customWidth="1"/>
    <col min="14830" max="15060" width="9.140625" style="160"/>
    <col min="15061" max="15061" width="3" style="160" customWidth="1"/>
    <col min="15062" max="15062" width="18.7109375" style="160" bestFit="1" customWidth="1"/>
    <col min="15063" max="15063" width="6.28515625" style="160" customWidth="1"/>
    <col min="15064" max="15064" width="6.5703125" style="160" bestFit="1" customWidth="1"/>
    <col min="15065" max="15085" width="4.42578125" style="160" customWidth="1"/>
    <col min="15086" max="15316" width="9.140625" style="160"/>
    <col min="15317" max="15317" width="3" style="160" customWidth="1"/>
    <col min="15318" max="15318" width="18.7109375" style="160" bestFit="1" customWidth="1"/>
    <col min="15319" max="15319" width="6.28515625" style="160" customWidth="1"/>
    <col min="15320" max="15320" width="6.5703125" style="160" bestFit="1" customWidth="1"/>
    <col min="15321" max="15341" width="4.42578125" style="160" customWidth="1"/>
    <col min="15342" max="15572" width="9.140625" style="160"/>
    <col min="15573" max="15573" width="3" style="160" customWidth="1"/>
    <col min="15574" max="15574" width="18.7109375" style="160" bestFit="1" customWidth="1"/>
    <col min="15575" max="15575" width="6.28515625" style="160" customWidth="1"/>
    <col min="15576" max="15576" width="6.5703125" style="160" bestFit="1" customWidth="1"/>
    <col min="15577" max="15597" width="4.42578125" style="160" customWidth="1"/>
    <col min="15598" max="15828" width="9.140625" style="160"/>
    <col min="15829" max="15829" width="3" style="160" customWidth="1"/>
    <col min="15830" max="15830" width="18.7109375" style="160" bestFit="1" customWidth="1"/>
    <col min="15831" max="15831" width="6.28515625" style="160" customWidth="1"/>
    <col min="15832" max="15832" width="6.5703125" style="160" bestFit="1" customWidth="1"/>
    <col min="15833" max="15853" width="4.42578125" style="160" customWidth="1"/>
    <col min="15854" max="16084" width="9.140625" style="160"/>
    <col min="16085" max="16085" width="3" style="160" customWidth="1"/>
    <col min="16086" max="16086" width="18.7109375" style="160" bestFit="1" customWidth="1"/>
    <col min="16087" max="16087" width="6.28515625" style="160" customWidth="1"/>
    <col min="16088" max="16088" width="6.5703125" style="160" bestFit="1" customWidth="1"/>
    <col min="16089" max="16109" width="4.42578125" style="160" customWidth="1"/>
    <col min="16110" max="16384" width="9.140625" style="160"/>
  </cols>
  <sheetData>
    <row r="1" spans="1:8" x14ac:dyDescent="0.2">
      <c r="A1" s="20" t="str">
        <f>UPPER((Kalend!D38)&amp;" - "&amp;(Kalend!C38)&amp;" - "&amp;(Kalend!E38))</f>
        <v>12 - JÕHVI 12. MV - DUO</v>
      </c>
    </row>
    <row r="2" spans="1:8" x14ac:dyDescent="0.2">
      <c r="A2" s="160" t="str">
        <f>"Toimumisaeg: "&amp;(Kalend!A38)&amp;" kell "&amp;(Kalend!B38)</f>
        <v>Toimumisaeg: P, 23.09.2012 kell 10:00</v>
      </c>
    </row>
    <row r="3" spans="1:8" x14ac:dyDescent="0.2">
      <c r="A3" s="160" t="str">
        <f>"Toimumiskoht: "&amp;(Kalend!F38)</f>
        <v>Toimumiskoht: Jõhvi, PK Neptun petangiväljakud</v>
      </c>
    </row>
    <row r="4" spans="1:8" x14ac:dyDescent="0.2">
      <c r="A4" s="160" t="str">
        <f>"Korraldaja: "&amp;(Kalend!G38)</f>
        <v>Korraldaja: Jõhvi LTK Üks-Teist</v>
      </c>
    </row>
    <row r="6" spans="1:8" x14ac:dyDescent="0.2">
      <c r="A6" s="232" t="s">
        <v>209</v>
      </c>
      <c r="B6" s="232"/>
      <c r="C6" s="233">
        <v>1</v>
      </c>
      <c r="D6" s="233">
        <v>2</v>
      </c>
      <c r="E6" s="233">
        <v>3</v>
      </c>
      <c r="F6" s="233">
        <v>4</v>
      </c>
      <c r="G6" s="234" t="s">
        <v>309</v>
      </c>
      <c r="H6" s="234" t="s">
        <v>306</v>
      </c>
    </row>
    <row r="7" spans="1:8" x14ac:dyDescent="0.2">
      <c r="A7" s="232">
        <v>1</v>
      </c>
      <c r="B7" s="257" t="s">
        <v>335</v>
      </c>
      <c r="C7" s="235"/>
      <c r="D7" s="238">
        <v>13</v>
      </c>
      <c r="E7" s="238">
        <v>13</v>
      </c>
      <c r="F7" s="238">
        <v>6</v>
      </c>
      <c r="G7" s="236" t="s">
        <v>313</v>
      </c>
      <c r="H7" s="237" t="s">
        <v>310</v>
      </c>
    </row>
    <row r="8" spans="1:8" x14ac:dyDescent="0.2">
      <c r="A8" s="232">
        <v>2</v>
      </c>
      <c r="B8" s="257" t="s">
        <v>336</v>
      </c>
      <c r="C8" s="238">
        <v>5</v>
      </c>
      <c r="D8" s="235"/>
      <c r="E8" s="238">
        <v>13</v>
      </c>
      <c r="F8" s="238">
        <v>13</v>
      </c>
      <c r="G8" s="236" t="s">
        <v>313</v>
      </c>
      <c r="H8" s="237" t="s">
        <v>314</v>
      </c>
    </row>
    <row r="9" spans="1:8" x14ac:dyDescent="0.2">
      <c r="A9" s="232">
        <v>3</v>
      </c>
      <c r="B9" s="259" t="s">
        <v>339</v>
      </c>
      <c r="C9" s="238">
        <v>7</v>
      </c>
      <c r="D9" s="238">
        <v>4</v>
      </c>
      <c r="E9" s="235"/>
      <c r="F9" s="238">
        <v>13</v>
      </c>
      <c r="G9" s="236" t="s">
        <v>316</v>
      </c>
      <c r="H9" s="237" t="s">
        <v>317</v>
      </c>
    </row>
    <row r="10" spans="1:8" x14ac:dyDescent="0.2">
      <c r="A10" s="232">
        <v>4</v>
      </c>
      <c r="B10" s="257" t="s">
        <v>346</v>
      </c>
      <c r="C10" s="238">
        <v>13</v>
      </c>
      <c r="D10" s="238">
        <v>4</v>
      </c>
      <c r="E10" s="238">
        <v>2</v>
      </c>
      <c r="F10" s="235"/>
      <c r="G10" s="236" t="s">
        <v>316</v>
      </c>
      <c r="H10" s="237" t="s">
        <v>312</v>
      </c>
    </row>
    <row r="12" spans="1:8" x14ac:dyDescent="0.2">
      <c r="A12" s="232" t="s">
        <v>211</v>
      </c>
      <c r="B12" s="232"/>
      <c r="C12" s="233">
        <v>1</v>
      </c>
      <c r="D12" s="233">
        <v>2</v>
      </c>
      <c r="E12" s="233">
        <v>3</v>
      </c>
      <c r="F12" s="233">
        <v>4</v>
      </c>
      <c r="G12" s="234" t="s">
        <v>309</v>
      </c>
      <c r="H12" s="234" t="s">
        <v>306</v>
      </c>
    </row>
    <row r="13" spans="1:8" x14ac:dyDescent="0.2">
      <c r="A13" s="232">
        <v>1</v>
      </c>
      <c r="B13" s="257" t="s">
        <v>337</v>
      </c>
      <c r="C13" s="235"/>
      <c r="D13" s="238">
        <v>13</v>
      </c>
      <c r="E13" s="238">
        <v>13</v>
      </c>
      <c r="F13" s="238">
        <v>13</v>
      </c>
      <c r="G13" s="236" t="s">
        <v>326</v>
      </c>
      <c r="H13" s="237" t="s">
        <v>310</v>
      </c>
    </row>
    <row r="14" spans="1:8" x14ac:dyDescent="0.2">
      <c r="A14" s="232">
        <v>2</v>
      </c>
      <c r="B14" s="257" t="s">
        <v>338</v>
      </c>
      <c r="C14" s="238">
        <v>8</v>
      </c>
      <c r="D14" s="235"/>
      <c r="E14" s="238">
        <v>13</v>
      </c>
      <c r="F14" s="238">
        <v>13</v>
      </c>
      <c r="G14" s="236" t="s">
        <v>313</v>
      </c>
      <c r="H14" s="237" t="s">
        <v>314</v>
      </c>
    </row>
    <row r="15" spans="1:8" x14ac:dyDescent="0.2">
      <c r="A15" s="232">
        <v>3</v>
      </c>
      <c r="B15" s="258" t="s">
        <v>349</v>
      </c>
      <c r="C15" s="238">
        <v>11</v>
      </c>
      <c r="D15" s="238">
        <v>9</v>
      </c>
      <c r="E15" s="235"/>
      <c r="F15" s="238">
        <v>9</v>
      </c>
      <c r="G15" s="236" t="s">
        <v>311</v>
      </c>
      <c r="H15" s="237" t="s">
        <v>312</v>
      </c>
    </row>
    <row r="16" spans="1:8" x14ac:dyDescent="0.2">
      <c r="A16" s="232">
        <v>4</v>
      </c>
      <c r="B16" s="257" t="s">
        <v>345</v>
      </c>
      <c r="C16" s="238">
        <v>6</v>
      </c>
      <c r="D16" s="238">
        <v>2</v>
      </c>
      <c r="E16" s="238">
        <v>13</v>
      </c>
      <c r="F16" s="235"/>
      <c r="G16" s="236" t="s">
        <v>316</v>
      </c>
      <c r="H16" s="237" t="s">
        <v>317</v>
      </c>
    </row>
    <row r="18" spans="1:9" x14ac:dyDescent="0.2">
      <c r="A18" s="232" t="s">
        <v>215</v>
      </c>
      <c r="B18" s="232"/>
      <c r="C18" s="233">
        <v>1</v>
      </c>
      <c r="D18" s="233">
        <v>2</v>
      </c>
      <c r="E18" s="233">
        <v>3</v>
      </c>
      <c r="F18" s="233">
        <v>4</v>
      </c>
      <c r="G18" s="234" t="s">
        <v>309</v>
      </c>
      <c r="H18" s="234" t="s">
        <v>306</v>
      </c>
    </row>
    <row r="19" spans="1:9" x14ac:dyDescent="0.2">
      <c r="A19" s="232">
        <v>1</v>
      </c>
      <c r="B19" s="257" t="s">
        <v>342</v>
      </c>
      <c r="C19" s="235"/>
      <c r="D19" s="238">
        <v>13</v>
      </c>
      <c r="E19" s="238">
        <v>13</v>
      </c>
      <c r="F19" s="238">
        <v>11</v>
      </c>
      <c r="G19" s="236" t="s">
        <v>313</v>
      </c>
      <c r="H19" s="237" t="s">
        <v>314</v>
      </c>
    </row>
    <row r="20" spans="1:9" x14ac:dyDescent="0.2">
      <c r="A20" s="232">
        <v>2</v>
      </c>
      <c r="B20" s="257" t="s">
        <v>350</v>
      </c>
      <c r="C20" s="238">
        <v>10</v>
      </c>
      <c r="D20" s="235"/>
      <c r="E20" s="238">
        <v>7</v>
      </c>
      <c r="F20" s="238">
        <v>13</v>
      </c>
      <c r="G20" s="236" t="s">
        <v>316</v>
      </c>
      <c r="H20" s="237" t="s">
        <v>312</v>
      </c>
    </row>
    <row r="21" spans="1:9" x14ac:dyDescent="0.2">
      <c r="A21" s="232">
        <v>3</v>
      </c>
      <c r="B21" s="258" t="s">
        <v>344</v>
      </c>
      <c r="C21" s="238">
        <v>8</v>
      </c>
      <c r="D21" s="238">
        <v>13</v>
      </c>
      <c r="E21" s="235"/>
      <c r="F21" s="238">
        <v>7</v>
      </c>
      <c r="G21" s="236" t="s">
        <v>316</v>
      </c>
      <c r="H21" s="237" t="s">
        <v>317</v>
      </c>
    </row>
    <row r="22" spans="1:9" x14ac:dyDescent="0.2">
      <c r="A22" s="232">
        <v>4</v>
      </c>
      <c r="B22" s="257" t="s">
        <v>341</v>
      </c>
      <c r="C22" s="238">
        <v>13</v>
      </c>
      <c r="D22" s="238">
        <v>4</v>
      </c>
      <c r="E22" s="238">
        <v>13</v>
      </c>
      <c r="F22" s="235"/>
      <c r="G22" s="236" t="s">
        <v>313</v>
      </c>
      <c r="H22" s="237" t="s">
        <v>310</v>
      </c>
    </row>
    <row r="24" spans="1:9" x14ac:dyDescent="0.2">
      <c r="B24" s="240" t="s">
        <v>318</v>
      </c>
      <c r="C24" s="241" t="s">
        <v>319</v>
      </c>
      <c r="D24" s="241" t="s">
        <v>320</v>
      </c>
    </row>
    <row r="25" spans="1:9" x14ac:dyDescent="0.2">
      <c r="B25" s="240" t="s">
        <v>321</v>
      </c>
      <c r="C25" s="241" t="s">
        <v>322</v>
      </c>
      <c r="D25" s="241" t="s">
        <v>323</v>
      </c>
    </row>
    <row r="26" spans="1:9" x14ac:dyDescent="0.2">
      <c r="B26" s="240" t="s">
        <v>324</v>
      </c>
      <c r="C26" s="241" t="s">
        <v>316</v>
      </c>
      <c r="D26" s="241" t="s">
        <v>325</v>
      </c>
    </row>
    <row r="28" spans="1:9" x14ac:dyDescent="0.2">
      <c r="A28" s="242" t="s">
        <v>218</v>
      </c>
      <c r="B28" s="255"/>
      <c r="C28" s="243">
        <v>1</v>
      </c>
      <c r="D28" s="243">
        <v>2</v>
      </c>
      <c r="E28" s="243">
        <v>3</v>
      </c>
      <c r="F28" s="243">
        <v>4</v>
      </c>
      <c r="G28" s="243">
        <v>5</v>
      </c>
      <c r="H28" s="243" t="s">
        <v>309</v>
      </c>
      <c r="I28" s="243" t="s">
        <v>306</v>
      </c>
    </row>
    <row r="29" spans="1:9" x14ac:dyDescent="0.2">
      <c r="A29" s="242">
        <v>1</v>
      </c>
      <c r="B29" s="244" t="s">
        <v>340</v>
      </c>
      <c r="C29" s="235"/>
      <c r="D29" s="237">
        <v>13</v>
      </c>
      <c r="E29" s="237">
        <v>13</v>
      </c>
      <c r="F29" s="237">
        <v>13</v>
      </c>
      <c r="G29" s="237">
        <v>13</v>
      </c>
      <c r="H29" s="236" t="s">
        <v>352</v>
      </c>
      <c r="I29" s="245" t="s">
        <v>310</v>
      </c>
    </row>
    <row r="30" spans="1:9" x14ac:dyDescent="0.2">
      <c r="A30" s="242">
        <v>2</v>
      </c>
      <c r="B30" s="244" t="s">
        <v>343</v>
      </c>
      <c r="C30" s="237">
        <v>0</v>
      </c>
      <c r="D30" s="235"/>
      <c r="E30" s="237">
        <v>13</v>
      </c>
      <c r="F30" s="237">
        <v>13</v>
      </c>
      <c r="G30" s="237">
        <v>13</v>
      </c>
      <c r="H30" s="236" t="s">
        <v>326</v>
      </c>
      <c r="I30" s="237" t="s">
        <v>314</v>
      </c>
    </row>
    <row r="31" spans="1:9" x14ac:dyDescent="0.2">
      <c r="A31" s="242">
        <v>3</v>
      </c>
      <c r="B31" s="244" t="s">
        <v>351</v>
      </c>
      <c r="C31" s="237">
        <v>9</v>
      </c>
      <c r="D31" s="245">
        <v>0</v>
      </c>
      <c r="E31" s="235"/>
      <c r="F31" s="237">
        <v>1</v>
      </c>
      <c r="G31" s="237">
        <v>0</v>
      </c>
      <c r="H31" s="236" t="s">
        <v>327</v>
      </c>
      <c r="I31" s="237" t="s">
        <v>328</v>
      </c>
    </row>
    <row r="32" spans="1:9" x14ac:dyDescent="0.2">
      <c r="A32" s="242">
        <v>4</v>
      </c>
      <c r="B32" s="244" t="s">
        <v>348</v>
      </c>
      <c r="C32" s="237">
        <v>4</v>
      </c>
      <c r="D32" s="245">
        <v>1</v>
      </c>
      <c r="E32" s="237">
        <v>13</v>
      </c>
      <c r="F32" s="235"/>
      <c r="G32" s="237">
        <v>13</v>
      </c>
      <c r="H32" s="236" t="s">
        <v>353</v>
      </c>
      <c r="I32" s="237" t="s">
        <v>317</v>
      </c>
    </row>
    <row r="33" spans="1:11" x14ac:dyDescent="0.2">
      <c r="A33" s="242">
        <v>5</v>
      </c>
      <c r="B33" s="244" t="s">
        <v>315</v>
      </c>
      <c r="C33" s="237">
        <v>7</v>
      </c>
      <c r="D33" s="237">
        <v>3</v>
      </c>
      <c r="E33" s="237">
        <v>13</v>
      </c>
      <c r="F33" s="237">
        <v>9</v>
      </c>
      <c r="G33" s="235"/>
      <c r="H33" s="236" t="s">
        <v>322</v>
      </c>
      <c r="I33" s="237" t="s">
        <v>312</v>
      </c>
    </row>
    <row r="34" spans="1:11" x14ac:dyDescent="0.2">
      <c r="A34" s="246"/>
      <c r="B34" s="246"/>
      <c r="C34" s="247"/>
      <c r="D34" s="247"/>
      <c r="E34" s="248"/>
      <c r="F34" s="248"/>
      <c r="G34" s="248"/>
      <c r="H34" s="249"/>
      <c r="I34" s="248"/>
    </row>
    <row r="35" spans="1:11" x14ac:dyDescent="0.2">
      <c r="A35" s="256"/>
      <c r="B35" s="250" t="s">
        <v>318</v>
      </c>
      <c r="C35" s="251" t="s">
        <v>334</v>
      </c>
      <c r="D35" s="251" t="s">
        <v>323</v>
      </c>
      <c r="E35" s="252"/>
      <c r="F35" s="252"/>
      <c r="G35" s="252"/>
      <c r="H35" s="251"/>
      <c r="I35" s="253"/>
    </row>
    <row r="36" spans="1:11" x14ac:dyDescent="0.2">
      <c r="A36" s="256"/>
      <c r="B36" s="250" t="s">
        <v>321</v>
      </c>
      <c r="C36" s="251" t="s">
        <v>322</v>
      </c>
      <c r="D36" s="251" t="s">
        <v>331</v>
      </c>
      <c r="E36" s="251"/>
      <c r="F36" s="252"/>
      <c r="G36" s="252"/>
      <c r="H36" s="251"/>
      <c r="I36" s="253"/>
    </row>
    <row r="37" spans="1:11" x14ac:dyDescent="0.2">
      <c r="A37" s="256"/>
      <c r="B37" s="250" t="s">
        <v>324</v>
      </c>
      <c r="C37" s="251" t="s">
        <v>329</v>
      </c>
      <c r="D37" s="251" t="s">
        <v>325</v>
      </c>
      <c r="E37" s="252"/>
      <c r="F37" s="252"/>
      <c r="G37" s="252"/>
      <c r="H37" s="251"/>
      <c r="I37" s="254"/>
    </row>
    <row r="38" spans="1:11" x14ac:dyDescent="0.2">
      <c r="A38" s="256"/>
      <c r="B38" s="250" t="s">
        <v>332</v>
      </c>
      <c r="C38" s="251" t="s">
        <v>316</v>
      </c>
      <c r="D38" s="251" t="s">
        <v>330</v>
      </c>
      <c r="E38" s="251"/>
      <c r="F38" s="252"/>
      <c r="G38" s="252"/>
      <c r="H38" s="251"/>
      <c r="I38" s="253"/>
    </row>
    <row r="39" spans="1:11" x14ac:dyDescent="0.2">
      <c r="A39" s="256"/>
      <c r="B39" s="250" t="s">
        <v>333</v>
      </c>
      <c r="C39" s="251" t="s">
        <v>319</v>
      </c>
      <c r="D39" s="251" t="s">
        <v>320</v>
      </c>
      <c r="E39" s="251"/>
      <c r="F39" s="252"/>
      <c r="G39" s="252"/>
      <c r="H39" s="251"/>
      <c r="I39" s="253"/>
    </row>
    <row r="41" spans="1:11" x14ac:dyDescent="0.2">
      <c r="A41" s="260" t="s">
        <v>354</v>
      </c>
      <c r="B41" s="261"/>
      <c r="C41" s="261"/>
      <c r="D41" s="261"/>
      <c r="E41" s="261"/>
      <c r="F41" s="261"/>
      <c r="G41" s="261"/>
      <c r="H41" s="252"/>
      <c r="I41" s="252"/>
      <c r="J41" s="252"/>
      <c r="K41" s="261"/>
    </row>
    <row r="42" spans="1:11" x14ac:dyDescent="0.2">
      <c r="A42" s="260"/>
      <c r="B42" s="261"/>
      <c r="C42" s="261"/>
      <c r="D42" s="261"/>
      <c r="E42" s="261"/>
      <c r="F42" s="261"/>
      <c r="G42" s="261"/>
      <c r="H42" s="252"/>
      <c r="I42" s="252"/>
      <c r="J42" s="252"/>
      <c r="K42" s="261"/>
    </row>
    <row r="43" spans="1:11" x14ac:dyDescent="0.2">
      <c r="A43" s="262" t="s">
        <v>359</v>
      </c>
      <c r="B43" s="261" t="s">
        <v>335</v>
      </c>
      <c r="C43" s="263">
        <v>13</v>
      </c>
      <c r="D43" s="261"/>
      <c r="E43" s="261"/>
      <c r="F43" s="261"/>
      <c r="G43" s="261"/>
      <c r="H43" s="261"/>
      <c r="I43" s="261"/>
      <c r="J43" s="261"/>
      <c r="K43" s="261"/>
    </row>
    <row r="44" spans="1:11" x14ac:dyDescent="0.2">
      <c r="A44" s="264"/>
      <c r="B44" s="265"/>
      <c r="C44" s="266" t="s">
        <v>335</v>
      </c>
      <c r="D44" s="267"/>
      <c r="E44" s="261"/>
      <c r="F44" s="263">
        <v>13</v>
      </c>
      <c r="G44" s="261"/>
      <c r="H44" s="261"/>
      <c r="I44" s="261"/>
      <c r="J44" s="261"/>
      <c r="K44" s="261"/>
    </row>
    <row r="45" spans="1:11" x14ac:dyDescent="0.2">
      <c r="A45" s="262" t="s">
        <v>362</v>
      </c>
      <c r="B45" s="268" t="s">
        <v>343</v>
      </c>
      <c r="C45" s="269">
        <v>10</v>
      </c>
      <c r="D45" s="261"/>
      <c r="E45" s="270"/>
      <c r="F45" s="261"/>
      <c r="G45" s="261"/>
      <c r="H45" s="261"/>
      <c r="I45" s="261"/>
      <c r="J45" s="261"/>
      <c r="K45" s="261"/>
    </row>
    <row r="46" spans="1:11" x14ac:dyDescent="0.2">
      <c r="A46" s="264"/>
      <c r="B46" s="261"/>
      <c r="C46" s="261"/>
      <c r="D46" s="271"/>
      <c r="E46" s="272"/>
      <c r="F46" s="261" t="s">
        <v>335</v>
      </c>
      <c r="G46" s="261"/>
      <c r="H46" s="261"/>
      <c r="I46" s="263"/>
      <c r="J46" s="261"/>
      <c r="K46" s="261"/>
    </row>
    <row r="47" spans="1:11" x14ac:dyDescent="0.2">
      <c r="A47" s="262" t="s">
        <v>361</v>
      </c>
      <c r="B47" s="273" t="s">
        <v>337</v>
      </c>
      <c r="C47" s="274">
        <v>13</v>
      </c>
      <c r="D47" s="261"/>
      <c r="E47" s="272"/>
      <c r="F47" s="265"/>
      <c r="G47" s="265"/>
      <c r="H47" s="270"/>
      <c r="I47" s="261"/>
      <c r="J47" s="261"/>
      <c r="K47" s="261"/>
    </row>
    <row r="48" spans="1:11" x14ac:dyDescent="0.2">
      <c r="A48" s="264"/>
      <c r="B48" s="265"/>
      <c r="C48" s="275" t="s">
        <v>337</v>
      </c>
      <c r="D48" s="261"/>
      <c r="E48" s="276"/>
      <c r="F48" s="274">
        <v>3</v>
      </c>
      <c r="G48" s="271"/>
      <c r="H48" s="272"/>
      <c r="I48" s="261"/>
      <c r="J48" s="261"/>
      <c r="K48" s="261"/>
    </row>
    <row r="49" spans="1:11" x14ac:dyDescent="0.2">
      <c r="A49" s="262" t="s">
        <v>360</v>
      </c>
      <c r="B49" s="268" t="s">
        <v>342</v>
      </c>
      <c r="C49" s="277">
        <v>10</v>
      </c>
      <c r="D49" s="265"/>
      <c r="E49" s="261"/>
      <c r="F49" s="271"/>
      <c r="G49" s="271"/>
      <c r="H49" s="272"/>
      <c r="I49" s="261"/>
      <c r="J49" s="261"/>
      <c r="K49" s="261"/>
    </row>
    <row r="50" spans="1:11" ht="13.5" thickBot="1" x14ac:dyDescent="0.25">
      <c r="A50" s="264"/>
      <c r="B50" s="261"/>
      <c r="C50" s="261"/>
      <c r="D50" s="261"/>
      <c r="E50" s="261"/>
      <c r="F50" s="271"/>
      <c r="G50" s="271"/>
      <c r="H50" s="272"/>
      <c r="I50" s="261"/>
      <c r="J50" s="261" t="s">
        <v>340</v>
      </c>
      <c r="K50" s="261"/>
    </row>
    <row r="51" spans="1:11" x14ac:dyDescent="0.2">
      <c r="A51" s="262" t="s">
        <v>357</v>
      </c>
      <c r="B51" s="261" t="s">
        <v>341</v>
      </c>
      <c r="C51" s="263">
        <v>13</v>
      </c>
      <c r="D51" s="261"/>
      <c r="E51" s="261"/>
      <c r="F51" s="271"/>
      <c r="G51" s="271"/>
      <c r="H51" s="272"/>
      <c r="I51" s="278"/>
      <c r="J51" s="279" t="s">
        <v>417</v>
      </c>
      <c r="K51" s="280"/>
    </row>
    <row r="52" spans="1:11" x14ac:dyDescent="0.2">
      <c r="A52" s="264"/>
      <c r="B52" s="265"/>
      <c r="C52" s="266" t="s">
        <v>341</v>
      </c>
      <c r="D52" s="267"/>
      <c r="E52" s="261"/>
      <c r="F52" s="274">
        <v>4</v>
      </c>
      <c r="G52" s="271"/>
      <c r="H52" s="272"/>
      <c r="I52" s="261"/>
      <c r="J52" s="261"/>
      <c r="K52" s="261"/>
    </row>
    <row r="53" spans="1:11" ht="13.5" thickBot="1" x14ac:dyDescent="0.25">
      <c r="A53" s="262" t="s">
        <v>358</v>
      </c>
      <c r="B53" s="267" t="s">
        <v>338</v>
      </c>
      <c r="C53" s="269">
        <v>1</v>
      </c>
      <c r="D53" s="261"/>
      <c r="E53" s="270"/>
      <c r="F53" s="271"/>
      <c r="G53" s="271"/>
      <c r="H53" s="272"/>
      <c r="I53" s="261"/>
      <c r="J53" s="281" t="s">
        <v>335</v>
      </c>
      <c r="K53" s="281"/>
    </row>
    <row r="54" spans="1:11" x14ac:dyDescent="0.2">
      <c r="A54" s="264"/>
      <c r="B54" s="261"/>
      <c r="C54" s="261"/>
      <c r="D54" s="271"/>
      <c r="E54" s="272"/>
      <c r="F54" s="267" t="s">
        <v>340</v>
      </c>
      <c r="G54" s="267"/>
      <c r="H54" s="276"/>
      <c r="I54" s="263">
        <v>13</v>
      </c>
      <c r="J54" s="279" t="s">
        <v>418</v>
      </c>
      <c r="K54" s="261"/>
    </row>
    <row r="55" spans="1:11" x14ac:dyDescent="0.2">
      <c r="A55" s="262" t="s">
        <v>355</v>
      </c>
      <c r="B55" s="261" t="s">
        <v>340</v>
      </c>
      <c r="C55" s="274">
        <v>13</v>
      </c>
      <c r="D55" s="261"/>
      <c r="E55" s="272"/>
      <c r="F55" s="261"/>
      <c r="G55" s="261"/>
      <c r="H55" s="261"/>
      <c r="I55" s="261"/>
      <c r="J55" s="261"/>
      <c r="K55" s="261"/>
    </row>
    <row r="56" spans="1:11" x14ac:dyDescent="0.2">
      <c r="A56" s="264"/>
      <c r="B56" s="265"/>
      <c r="C56" s="275" t="s">
        <v>340</v>
      </c>
      <c r="D56" s="261"/>
      <c r="E56" s="276"/>
      <c r="F56" s="263">
        <v>13</v>
      </c>
      <c r="G56" s="261"/>
      <c r="H56" s="261"/>
      <c r="I56" s="261"/>
      <c r="J56" s="261"/>
      <c r="K56" s="261"/>
    </row>
    <row r="57" spans="1:11" x14ac:dyDescent="0.2">
      <c r="A57" s="262" t="s">
        <v>356</v>
      </c>
      <c r="B57" s="267" t="s">
        <v>336</v>
      </c>
      <c r="C57" s="277">
        <v>7</v>
      </c>
      <c r="D57" s="265"/>
      <c r="E57" s="261"/>
      <c r="F57" s="261"/>
      <c r="G57" s="261"/>
      <c r="H57" s="261"/>
      <c r="I57" s="261"/>
      <c r="J57" s="261"/>
      <c r="K57" s="261"/>
    </row>
    <row r="58" spans="1:11" x14ac:dyDescent="0.2">
      <c r="A58" s="261"/>
      <c r="B58" s="261"/>
      <c r="C58" s="261"/>
      <c r="D58" s="261"/>
      <c r="E58" s="261"/>
      <c r="F58" s="261" t="s">
        <v>337</v>
      </c>
      <c r="G58" s="261"/>
      <c r="H58" s="261"/>
      <c r="I58" s="274">
        <v>13</v>
      </c>
      <c r="J58" s="271"/>
      <c r="K58" s="271"/>
    </row>
    <row r="59" spans="1:11" ht="13.5" thickBot="1" x14ac:dyDescent="0.25">
      <c r="A59" s="261"/>
      <c r="B59" s="261"/>
      <c r="C59" s="261"/>
      <c r="D59" s="261"/>
      <c r="E59" s="261"/>
      <c r="F59" s="265"/>
      <c r="G59" s="265"/>
      <c r="H59" s="270"/>
      <c r="I59" s="281"/>
      <c r="J59" s="281" t="s">
        <v>337</v>
      </c>
      <c r="K59" s="281"/>
    </row>
    <row r="60" spans="1:11" x14ac:dyDescent="0.2">
      <c r="A60" s="261"/>
      <c r="B60" s="261"/>
      <c r="C60" s="261"/>
      <c r="D60" s="261"/>
      <c r="E60" s="261"/>
      <c r="F60" s="267" t="s">
        <v>341</v>
      </c>
      <c r="G60" s="267"/>
      <c r="H60" s="276"/>
      <c r="I60" s="263"/>
      <c r="J60" s="282" t="s">
        <v>416</v>
      </c>
      <c r="K60" s="271"/>
    </row>
    <row r="61" spans="1:11" x14ac:dyDescent="0.2">
      <c r="A61" s="261"/>
      <c r="B61" s="261"/>
      <c r="C61" s="261"/>
      <c r="D61" s="261"/>
      <c r="E61" s="261"/>
      <c r="F61" s="261"/>
      <c r="G61" s="261"/>
      <c r="H61" s="261"/>
      <c r="I61" s="261"/>
      <c r="J61" s="271"/>
      <c r="K61" s="271"/>
    </row>
    <row r="62" spans="1:11" ht="13.5" thickBot="1" x14ac:dyDescent="0.25">
      <c r="A62" s="261"/>
      <c r="B62" s="261"/>
      <c r="C62" s="261" t="s">
        <v>343</v>
      </c>
      <c r="D62" s="261"/>
      <c r="E62" s="261"/>
      <c r="F62" s="263">
        <v>1</v>
      </c>
      <c r="G62" s="261"/>
      <c r="H62" s="261"/>
      <c r="I62" s="261"/>
      <c r="J62" s="281" t="s">
        <v>341</v>
      </c>
      <c r="K62" s="281"/>
    </row>
    <row r="63" spans="1:11" x14ac:dyDescent="0.2">
      <c r="A63" s="261"/>
      <c r="B63" s="261"/>
      <c r="C63" s="265"/>
      <c r="D63" s="265"/>
      <c r="E63" s="270"/>
      <c r="F63" s="266" t="s">
        <v>342</v>
      </c>
      <c r="G63" s="267"/>
      <c r="H63" s="267"/>
      <c r="I63" s="263"/>
      <c r="J63" s="283" t="s">
        <v>229</v>
      </c>
      <c r="K63" s="261"/>
    </row>
    <row r="64" spans="1:11" x14ac:dyDescent="0.2">
      <c r="A64" s="261"/>
      <c r="B64" s="261"/>
      <c r="C64" s="267" t="s">
        <v>342</v>
      </c>
      <c r="D64" s="267"/>
      <c r="E64" s="276"/>
      <c r="F64" s="269">
        <v>13</v>
      </c>
      <c r="G64" s="261"/>
      <c r="H64" s="272"/>
      <c r="I64" s="261"/>
      <c r="J64" s="261"/>
      <c r="K64" s="261"/>
    </row>
    <row r="65" spans="1:11" ht="13.5" thickBot="1" x14ac:dyDescent="0.25">
      <c r="A65" s="261"/>
      <c r="B65" s="261"/>
      <c r="C65" s="261"/>
      <c r="D65" s="261"/>
      <c r="E65" s="261"/>
      <c r="F65" s="271"/>
      <c r="G65" s="261"/>
      <c r="H65" s="272"/>
      <c r="I65" s="261"/>
      <c r="J65" s="261" t="s">
        <v>336</v>
      </c>
      <c r="K65" s="261"/>
    </row>
    <row r="66" spans="1:11" x14ac:dyDescent="0.2">
      <c r="A66" s="261"/>
      <c r="B66" s="261"/>
      <c r="C66" s="261" t="s">
        <v>338</v>
      </c>
      <c r="D66" s="261"/>
      <c r="E66" s="261"/>
      <c r="F66" s="274"/>
      <c r="G66" s="261"/>
      <c r="H66" s="272"/>
      <c r="I66" s="278"/>
      <c r="J66" s="279" t="s">
        <v>231</v>
      </c>
      <c r="K66" s="280"/>
    </row>
    <row r="67" spans="1:11" x14ac:dyDescent="0.2">
      <c r="A67" s="261"/>
      <c r="B67" s="261"/>
      <c r="C67" s="265"/>
      <c r="D67" s="265"/>
      <c r="E67" s="270"/>
      <c r="F67" s="275" t="s">
        <v>336</v>
      </c>
      <c r="G67" s="261"/>
      <c r="H67" s="276"/>
      <c r="I67" s="274">
        <v>13</v>
      </c>
      <c r="J67" s="261"/>
      <c r="K67" s="261"/>
    </row>
    <row r="68" spans="1:11" ht="13.5" thickBot="1" x14ac:dyDescent="0.25">
      <c r="A68" s="261"/>
      <c r="B68" s="261"/>
      <c r="C68" s="267" t="s">
        <v>336</v>
      </c>
      <c r="D68" s="267"/>
      <c r="E68" s="276"/>
      <c r="F68" s="277">
        <v>13</v>
      </c>
      <c r="G68" s="265"/>
      <c r="H68" s="261"/>
      <c r="I68" s="271"/>
      <c r="J68" s="271" t="s">
        <v>342</v>
      </c>
      <c r="K68" s="281"/>
    </row>
    <row r="69" spans="1:11" x14ac:dyDescent="0.2">
      <c r="A69" s="261"/>
      <c r="B69" s="261"/>
      <c r="C69" s="261"/>
      <c r="D69" s="261"/>
      <c r="E69" s="261"/>
      <c r="F69" s="261"/>
      <c r="G69" s="261"/>
      <c r="H69" s="261"/>
      <c r="I69" s="271"/>
      <c r="J69" s="279" t="s">
        <v>232</v>
      </c>
      <c r="K69" s="271"/>
    </row>
    <row r="70" spans="1:11" x14ac:dyDescent="0.2">
      <c r="A70" s="261"/>
      <c r="B70" s="261"/>
      <c r="C70" s="261"/>
      <c r="D70" s="261"/>
      <c r="E70" s="261"/>
      <c r="F70" s="261" t="s">
        <v>343</v>
      </c>
      <c r="G70" s="261"/>
      <c r="H70" s="261"/>
      <c r="I70" s="274"/>
      <c r="J70" s="271"/>
      <c r="K70" s="271"/>
    </row>
    <row r="71" spans="1:11" ht="13.5" thickBot="1" x14ac:dyDescent="0.25">
      <c r="A71" s="261"/>
      <c r="B71" s="261"/>
      <c r="C71" s="261"/>
      <c r="D71" s="261"/>
      <c r="E71" s="261"/>
      <c r="F71" s="265"/>
      <c r="G71" s="265"/>
      <c r="H71" s="270"/>
      <c r="I71" s="281"/>
      <c r="J71" s="281" t="s">
        <v>338</v>
      </c>
      <c r="K71" s="281"/>
    </row>
    <row r="72" spans="1:11" x14ac:dyDescent="0.2">
      <c r="A72" s="261"/>
      <c r="B72" s="261"/>
      <c r="C72" s="261"/>
      <c r="D72" s="261"/>
      <c r="E72" s="261"/>
      <c r="F72" s="267" t="s">
        <v>338</v>
      </c>
      <c r="G72" s="267"/>
      <c r="H72" s="276"/>
      <c r="I72" s="263">
        <v>13</v>
      </c>
      <c r="J72" s="282" t="s">
        <v>234</v>
      </c>
      <c r="K72" s="271"/>
    </row>
    <row r="73" spans="1:11" x14ac:dyDescent="0.2">
      <c r="A73" s="261"/>
      <c r="B73" s="261"/>
      <c r="C73" s="261"/>
      <c r="D73" s="261"/>
      <c r="E73" s="261"/>
      <c r="F73" s="261"/>
      <c r="G73" s="261"/>
      <c r="H73" s="261"/>
      <c r="I73" s="261"/>
      <c r="J73" s="271"/>
      <c r="K73" s="271"/>
    </row>
    <row r="74" spans="1:11" ht="13.5" thickBot="1" x14ac:dyDescent="0.25">
      <c r="A74" s="261"/>
      <c r="B74" s="261"/>
      <c r="J74" s="281" t="s">
        <v>343</v>
      </c>
      <c r="K74" s="281"/>
    </row>
    <row r="75" spans="1:11" x14ac:dyDescent="0.2">
      <c r="A75" s="261"/>
      <c r="B75" s="261"/>
      <c r="C75" s="261"/>
      <c r="D75" s="261"/>
      <c r="E75" s="261"/>
      <c r="F75" s="261"/>
      <c r="G75" s="271"/>
      <c r="H75" s="271"/>
      <c r="I75" s="261"/>
      <c r="J75" s="283" t="s">
        <v>235</v>
      </c>
      <c r="K75" s="261"/>
    </row>
    <row r="77" spans="1:11" x14ac:dyDescent="0.2">
      <c r="A77" s="260" t="s">
        <v>363</v>
      </c>
      <c r="B77" s="261"/>
      <c r="C77" s="261"/>
      <c r="D77" s="261"/>
      <c r="E77" s="261"/>
      <c r="F77" s="261"/>
      <c r="G77" s="261"/>
      <c r="H77" s="252"/>
      <c r="I77" s="252"/>
      <c r="J77" s="252"/>
      <c r="K77" s="261"/>
    </row>
    <row r="78" spans="1:11" x14ac:dyDescent="0.2">
      <c r="A78" s="260"/>
      <c r="B78" s="261"/>
      <c r="C78" s="261"/>
      <c r="D78" s="261"/>
      <c r="E78" s="261"/>
      <c r="F78" s="261"/>
      <c r="G78" s="261"/>
      <c r="H78" s="252"/>
      <c r="I78" s="252"/>
      <c r="J78" s="252"/>
      <c r="K78" s="261"/>
    </row>
    <row r="79" spans="1:11" x14ac:dyDescent="0.2">
      <c r="A79" s="262" t="s">
        <v>364</v>
      </c>
      <c r="B79" s="261" t="s">
        <v>339</v>
      </c>
      <c r="C79" s="263">
        <v>6</v>
      </c>
      <c r="D79" s="261"/>
      <c r="E79" s="261"/>
      <c r="F79" s="261"/>
      <c r="G79" s="261"/>
      <c r="H79" s="261"/>
      <c r="I79" s="261"/>
      <c r="J79" s="261"/>
      <c r="K79" s="261"/>
    </row>
    <row r="80" spans="1:11" x14ac:dyDescent="0.2">
      <c r="A80" s="264"/>
      <c r="B80" s="265"/>
      <c r="C80" s="266" t="s">
        <v>315</v>
      </c>
      <c r="D80" s="267"/>
      <c r="E80" s="261"/>
      <c r="F80" s="263">
        <v>11</v>
      </c>
      <c r="G80" s="261"/>
      <c r="H80" s="261"/>
      <c r="I80" s="261"/>
      <c r="J80" s="261"/>
      <c r="K80" s="261"/>
    </row>
    <row r="81" spans="1:11" x14ac:dyDescent="0.2">
      <c r="A81" s="262" t="s">
        <v>366</v>
      </c>
      <c r="B81" s="268" t="s">
        <v>315</v>
      </c>
      <c r="C81" s="269">
        <v>13</v>
      </c>
      <c r="D81" s="261"/>
      <c r="E81" s="270"/>
      <c r="F81" s="261"/>
      <c r="G81" s="261"/>
      <c r="H81" s="261"/>
      <c r="I81" s="261"/>
      <c r="J81" s="261"/>
      <c r="K81" s="261"/>
    </row>
    <row r="82" spans="1:11" x14ac:dyDescent="0.2">
      <c r="A82" s="264"/>
      <c r="B82" s="261"/>
      <c r="C82" s="261"/>
      <c r="D82" s="271"/>
      <c r="E82" s="272"/>
      <c r="F82" s="261" t="s">
        <v>345</v>
      </c>
      <c r="G82" s="261"/>
      <c r="H82" s="261"/>
      <c r="I82" s="263">
        <v>13</v>
      </c>
      <c r="J82" s="261"/>
      <c r="K82" s="261"/>
    </row>
    <row r="83" spans="1:11" x14ac:dyDescent="0.2">
      <c r="A83" s="262" t="s">
        <v>367</v>
      </c>
      <c r="B83" s="273" t="s">
        <v>345</v>
      </c>
      <c r="C83" s="289" t="s">
        <v>365</v>
      </c>
      <c r="D83" s="261"/>
      <c r="E83" s="272"/>
      <c r="F83" s="265"/>
      <c r="G83" s="265"/>
      <c r="H83" s="270"/>
      <c r="I83" s="261"/>
      <c r="J83" s="261"/>
      <c r="K83" s="261"/>
    </row>
    <row r="84" spans="1:11" x14ac:dyDescent="0.2">
      <c r="A84" s="264"/>
      <c r="B84" s="265"/>
      <c r="C84" s="275" t="s">
        <v>345</v>
      </c>
      <c r="D84" s="261"/>
      <c r="E84" s="276"/>
      <c r="F84" s="274">
        <v>13</v>
      </c>
      <c r="G84" s="271"/>
      <c r="H84" s="272"/>
      <c r="I84" s="261"/>
      <c r="J84" s="261"/>
      <c r="K84" s="261"/>
    </row>
    <row r="85" spans="1:11" x14ac:dyDescent="0.2">
      <c r="A85" s="262" t="s">
        <v>368</v>
      </c>
      <c r="B85" s="268" t="s">
        <v>350</v>
      </c>
      <c r="C85" s="290" t="s">
        <v>212</v>
      </c>
      <c r="D85" s="265"/>
      <c r="E85" s="261"/>
      <c r="F85" s="271"/>
      <c r="G85" s="271"/>
      <c r="H85" s="272"/>
      <c r="I85" s="261"/>
      <c r="J85" s="261"/>
      <c r="K85" s="261"/>
    </row>
    <row r="86" spans="1:11" ht="13.5" thickBot="1" x14ac:dyDescent="0.25">
      <c r="A86" s="264"/>
      <c r="B86" s="261"/>
      <c r="C86" s="261"/>
      <c r="D86" s="261"/>
      <c r="E86" s="261"/>
      <c r="F86" s="271"/>
      <c r="G86" s="271"/>
      <c r="H86" s="272"/>
      <c r="I86" s="261"/>
      <c r="J86" s="261" t="s">
        <v>344</v>
      </c>
      <c r="K86" s="261"/>
    </row>
    <row r="87" spans="1:11" x14ac:dyDescent="0.2">
      <c r="A87" s="262" t="s">
        <v>369</v>
      </c>
      <c r="B87" s="261" t="s">
        <v>344</v>
      </c>
      <c r="C87" s="263">
        <v>13</v>
      </c>
      <c r="D87" s="261"/>
      <c r="E87" s="261"/>
      <c r="F87" s="271"/>
      <c r="G87" s="271"/>
      <c r="H87" s="272"/>
      <c r="I87" s="278"/>
      <c r="J87" s="279" t="s">
        <v>237</v>
      </c>
      <c r="K87" s="280"/>
    </row>
    <row r="88" spans="1:11" x14ac:dyDescent="0.2">
      <c r="A88" s="264"/>
      <c r="B88" s="265"/>
      <c r="C88" s="266" t="s">
        <v>344</v>
      </c>
      <c r="D88" s="267"/>
      <c r="E88" s="261"/>
      <c r="F88" s="274">
        <v>13</v>
      </c>
      <c r="G88" s="271"/>
      <c r="H88" s="272"/>
      <c r="I88" s="261"/>
      <c r="J88" s="261"/>
      <c r="K88" s="261"/>
    </row>
    <row r="89" spans="1:11" ht="13.5" thickBot="1" x14ac:dyDescent="0.25">
      <c r="A89" s="262" t="s">
        <v>370</v>
      </c>
      <c r="B89" s="267" t="s">
        <v>349</v>
      </c>
      <c r="C89" s="269">
        <v>0</v>
      </c>
      <c r="D89" s="261"/>
      <c r="E89" s="270"/>
      <c r="F89" s="271"/>
      <c r="G89" s="271"/>
      <c r="H89" s="272"/>
      <c r="I89" s="261"/>
      <c r="J89" s="281" t="s">
        <v>345</v>
      </c>
      <c r="K89" s="281"/>
    </row>
    <row r="90" spans="1:11" x14ac:dyDescent="0.2">
      <c r="A90" s="264"/>
      <c r="B90" s="261"/>
      <c r="C90" s="261"/>
      <c r="D90" s="271"/>
      <c r="E90" s="272"/>
      <c r="F90" s="267" t="s">
        <v>344</v>
      </c>
      <c r="G90" s="267"/>
      <c r="H90" s="276"/>
      <c r="I90" s="263"/>
      <c r="J90" s="279" t="s">
        <v>238</v>
      </c>
      <c r="K90" s="261"/>
    </row>
    <row r="91" spans="1:11" x14ac:dyDescent="0.2">
      <c r="A91" s="262" t="s">
        <v>371</v>
      </c>
      <c r="B91" s="261" t="s">
        <v>348</v>
      </c>
      <c r="C91" s="274">
        <v>7</v>
      </c>
      <c r="D91" s="261"/>
      <c r="E91" s="272"/>
      <c r="F91" s="261"/>
      <c r="G91" s="261"/>
      <c r="H91" s="261"/>
      <c r="I91" s="261"/>
      <c r="J91" s="261"/>
      <c r="K91" s="261"/>
    </row>
    <row r="92" spans="1:11" x14ac:dyDescent="0.2">
      <c r="A92" s="264"/>
      <c r="B92" s="265"/>
      <c r="C92" s="275" t="s">
        <v>346</v>
      </c>
      <c r="D92" s="261"/>
      <c r="E92" s="276"/>
      <c r="F92" s="263">
        <v>7</v>
      </c>
      <c r="G92" s="261"/>
      <c r="H92" s="261"/>
      <c r="I92" s="261"/>
      <c r="J92" s="261"/>
      <c r="K92" s="261"/>
    </row>
    <row r="93" spans="1:11" x14ac:dyDescent="0.2">
      <c r="A93" s="262" t="s">
        <v>372</v>
      </c>
      <c r="B93" s="267" t="s">
        <v>346</v>
      </c>
      <c r="C93" s="277">
        <v>13</v>
      </c>
      <c r="D93" s="265"/>
      <c r="E93" s="261"/>
      <c r="F93" s="261"/>
      <c r="G93" s="261"/>
      <c r="H93" s="261"/>
      <c r="I93" s="261"/>
      <c r="J93" s="261"/>
      <c r="K93" s="261"/>
    </row>
    <row r="94" spans="1:11" x14ac:dyDescent="0.2">
      <c r="A94" s="261"/>
      <c r="B94" s="261"/>
      <c r="C94" s="261"/>
      <c r="D94" s="261"/>
      <c r="E94" s="261"/>
      <c r="F94" s="261" t="s">
        <v>315</v>
      </c>
      <c r="G94" s="261"/>
      <c r="H94" s="261"/>
      <c r="I94" s="274">
        <v>6</v>
      </c>
      <c r="J94" s="271"/>
      <c r="K94" s="271"/>
    </row>
    <row r="95" spans="1:11" ht="13.5" thickBot="1" x14ac:dyDescent="0.25">
      <c r="A95" s="261"/>
      <c r="B95" s="261"/>
      <c r="C95" s="261"/>
      <c r="D95" s="261"/>
      <c r="E95" s="261"/>
      <c r="F95" s="265"/>
      <c r="G95" s="265"/>
      <c r="H95" s="270"/>
      <c r="I95" s="281"/>
      <c r="J95" s="281" t="s">
        <v>346</v>
      </c>
      <c r="K95" s="281"/>
    </row>
    <row r="96" spans="1:11" x14ac:dyDescent="0.2">
      <c r="A96" s="261"/>
      <c r="B96" s="261"/>
      <c r="C96" s="261"/>
      <c r="D96" s="261"/>
      <c r="E96" s="261"/>
      <c r="F96" s="267" t="s">
        <v>346</v>
      </c>
      <c r="G96" s="267"/>
      <c r="H96" s="276"/>
      <c r="I96" s="263">
        <v>13</v>
      </c>
      <c r="J96" s="282" t="s">
        <v>239</v>
      </c>
      <c r="K96" s="271"/>
    </row>
    <row r="97" spans="1:11" x14ac:dyDescent="0.2">
      <c r="A97" s="261"/>
      <c r="B97" s="261"/>
      <c r="C97" s="261"/>
      <c r="D97" s="261"/>
      <c r="E97" s="261"/>
      <c r="F97" s="261"/>
      <c r="G97" s="261"/>
      <c r="H97" s="261"/>
      <c r="I97" s="261"/>
      <c r="J97" s="271"/>
      <c r="K97" s="271"/>
    </row>
    <row r="98" spans="1:11" ht="13.5" thickBot="1" x14ac:dyDescent="0.25">
      <c r="A98" s="261"/>
      <c r="B98" s="261"/>
      <c r="C98" s="261" t="s">
        <v>339</v>
      </c>
      <c r="D98" s="261"/>
      <c r="E98" s="261"/>
      <c r="F98" s="287" t="s">
        <v>365</v>
      </c>
      <c r="G98" s="261"/>
      <c r="H98" s="261"/>
      <c r="I98" s="261"/>
      <c r="J98" s="281" t="s">
        <v>315</v>
      </c>
      <c r="K98" s="281"/>
    </row>
    <row r="99" spans="1:11" x14ac:dyDescent="0.2">
      <c r="A99" s="261"/>
      <c r="B99" s="261"/>
      <c r="C99" s="265"/>
      <c r="D99" s="265"/>
      <c r="E99" s="270"/>
      <c r="F99" s="266" t="s">
        <v>339</v>
      </c>
      <c r="G99" s="267"/>
      <c r="H99" s="267"/>
      <c r="I99" s="263">
        <v>12</v>
      </c>
      <c r="J99" s="283" t="s">
        <v>240</v>
      </c>
      <c r="K99" s="261"/>
    </row>
    <row r="100" spans="1:11" x14ac:dyDescent="0.2">
      <c r="A100" s="261"/>
      <c r="B100" s="261"/>
      <c r="C100" s="267" t="s">
        <v>350</v>
      </c>
      <c r="D100" s="267"/>
      <c r="E100" s="276"/>
      <c r="F100" s="288" t="s">
        <v>212</v>
      </c>
      <c r="G100" s="261"/>
      <c r="H100" s="272"/>
      <c r="I100" s="261"/>
      <c r="J100" s="261"/>
      <c r="K100" s="261"/>
    </row>
    <row r="101" spans="1:11" ht="13.5" thickBot="1" x14ac:dyDescent="0.25">
      <c r="A101" s="261"/>
      <c r="B101" s="261"/>
      <c r="C101" s="261"/>
      <c r="D101" s="261"/>
      <c r="E101" s="261"/>
      <c r="F101" s="271"/>
      <c r="G101" s="261"/>
      <c r="H101" s="272"/>
      <c r="I101" s="261"/>
      <c r="J101" s="261" t="s">
        <v>348</v>
      </c>
      <c r="K101" s="261"/>
    </row>
    <row r="102" spans="1:11" x14ac:dyDescent="0.2">
      <c r="A102" s="261"/>
      <c r="B102" s="261"/>
      <c r="C102" s="291" t="s">
        <v>349</v>
      </c>
      <c r="D102" s="261"/>
      <c r="E102" s="261"/>
      <c r="F102" s="274">
        <v>5</v>
      </c>
      <c r="G102" s="261"/>
      <c r="H102" s="272"/>
      <c r="I102" s="278"/>
      <c r="J102" s="279" t="s">
        <v>242</v>
      </c>
      <c r="K102" s="280"/>
    </row>
    <row r="103" spans="1:11" x14ac:dyDescent="0.2">
      <c r="A103" s="261"/>
      <c r="B103" s="261"/>
      <c r="C103" s="265"/>
      <c r="D103" s="265"/>
      <c r="E103" s="270"/>
      <c r="F103" s="275" t="s">
        <v>348</v>
      </c>
      <c r="G103" s="261"/>
      <c r="H103" s="276"/>
      <c r="I103" s="274">
        <v>13</v>
      </c>
      <c r="J103" s="261"/>
      <c r="K103" s="261"/>
    </row>
    <row r="104" spans="1:11" ht="13.5" thickBot="1" x14ac:dyDescent="0.25">
      <c r="A104" s="261"/>
      <c r="B104" s="261"/>
      <c r="C104" s="267" t="s">
        <v>348</v>
      </c>
      <c r="D104" s="267"/>
      <c r="E104" s="276"/>
      <c r="F104" s="277">
        <v>13</v>
      </c>
      <c r="G104" s="265"/>
      <c r="H104" s="261"/>
      <c r="I104" s="271"/>
      <c r="J104" s="271" t="s">
        <v>339</v>
      </c>
      <c r="K104" s="281"/>
    </row>
    <row r="105" spans="1:11" x14ac:dyDescent="0.2">
      <c r="A105" s="261"/>
      <c r="B105" s="261"/>
      <c r="C105" s="261"/>
      <c r="D105" s="261"/>
      <c r="E105" s="261"/>
      <c r="F105" s="261"/>
      <c r="G105" s="261"/>
      <c r="H105" s="261"/>
      <c r="I105" s="271"/>
      <c r="J105" s="279" t="s">
        <v>243</v>
      </c>
      <c r="K105" s="271"/>
    </row>
    <row r="106" spans="1:11" x14ac:dyDescent="0.2">
      <c r="A106" s="261"/>
      <c r="B106" s="261"/>
      <c r="C106" s="261"/>
      <c r="D106" s="261"/>
      <c r="E106" s="261"/>
      <c r="F106" s="261" t="s">
        <v>350</v>
      </c>
      <c r="G106" s="261"/>
      <c r="H106" s="261"/>
      <c r="I106" s="289" t="s">
        <v>212</v>
      </c>
      <c r="J106" s="271"/>
      <c r="K106" s="271"/>
    </row>
    <row r="107" spans="1:11" ht="13.5" thickBot="1" x14ac:dyDescent="0.25">
      <c r="A107" s="261"/>
      <c r="B107" s="261"/>
      <c r="C107" s="261"/>
      <c r="D107" s="261"/>
      <c r="E107" s="261"/>
      <c r="F107" s="265"/>
      <c r="G107" s="265"/>
      <c r="H107" s="270"/>
      <c r="I107" s="281"/>
      <c r="J107" s="281" t="s">
        <v>349</v>
      </c>
      <c r="K107" s="281"/>
    </row>
    <row r="108" spans="1:11" x14ac:dyDescent="0.2">
      <c r="A108" s="261"/>
      <c r="B108" s="261"/>
      <c r="C108" s="261"/>
      <c r="D108" s="261"/>
      <c r="E108" s="261"/>
      <c r="F108" s="267" t="s">
        <v>349</v>
      </c>
      <c r="G108" s="267"/>
      <c r="H108" s="276"/>
      <c r="I108" s="287" t="s">
        <v>365</v>
      </c>
      <c r="J108" s="282" t="s">
        <v>244</v>
      </c>
      <c r="K108" s="271"/>
    </row>
    <row r="109" spans="1:11" x14ac:dyDescent="0.2">
      <c r="A109" s="261"/>
      <c r="B109" s="261"/>
      <c r="C109" s="261"/>
      <c r="D109" s="261"/>
      <c r="E109" s="261"/>
      <c r="F109" s="261"/>
      <c r="G109" s="261"/>
      <c r="H109" s="261"/>
      <c r="I109" s="261"/>
      <c r="J109" s="271"/>
      <c r="K109" s="271"/>
    </row>
    <row r="110" spans="1:11" ht="13.5" thickBot="1" x14ac:dyDescent="0.25">
      <c r="A110" s="261"/>
      <c r="B110" s="261"/>
      <c r="J110" s="281" t="s">
        <v>350</v>
      </c>
      <c r="K110" s="281"/>
    </row>
    <row r="111" spans="1:11" x14ac:dyDescent="0.2">
      <c r="A111" s="261"/>
      <c r="B111" s="261"/>
      <c r="C111" s="261"/>
      <c r="D111" s="261"/>
      <c r="E111" s="261"/>
      <c r="F111" s="261"/>
      <c r="G111" s="271"/>
      <c r="H111" s="271"/>
      <c r="I111" s="261"/>
      <c r="J111" s="283" t="s">
        <v>245</v>
      </c>
      <c r="K111" s="261"/>
    </row>
    <row r="112" spans="1:11" x14ac:dyDescent="0.2">
      <c r="A112" s="261"/>
      <c r="B112" s="261"/>
      <c r="C112" s="261"/>
      <c r="D112" s="261"/>
      <c r="E112" s="261"/>
      <c r="F112" s="261"/>
      <c r="G112" s="271"/>
      <c r="H112" s="271"/>
      <c r="I112" s="261"/>
    </row>
    <row r="113" spans="1:11" ht="13.5" thickBot="1" x14ac:dyDescent="0.25">
      <c r="A113" s="232">
        <v>1</v>
      </c>
      <c r="B113" s="284" t="s">
        <v>340</v>
      </c>
      <c r="I113" s="292" t="s">
        <v>373</v>
      </c>
      <c r="J113" s="281" t="s">
        <v>351</v>
      </c>
      <c r="K113" s="281"/>
    </row>
    <row r="114" spans="1:11" x14ac:dyDescent="0.2">
      <c r="A114" s="232">
        <v>2</v>
      </c>
      <c r="B114" s="285" t="s">
        <v>335</v>
      </c>
      <c r="J114" s="283" t="s">
        <v>247</v>
      </c>
      <c r="K114" s="261"/>
    </row>
    <row r="115" spans="1:11" x14ac:dyDescent="0.2">
      <c r="A115" s="232">
        <v>3</v>
      </c>
      <c r="B115" s="286" t="s">
        <v>337</v>
      </c>
    </row>
    <row r="116" spans="1:11" x14ac:dyDescent="0.2">
      <c r="A116" s="232">
        <v>4</v>
      </c>
      <c r="B116" s="239" t="s">
        <v>341</v>
      </c>
    </row>
    <row r="117" spans="1:11" x14ac:dyDescent="0.2">
      <c r="A117" s="232">
        <v>5</v>
      </c>
      <c r="B117" s="239" t="s">
        <v>336</v>
      </c>
    </row>
    <row r="118" spans="1:11" x14ac:dyDescent="0.2">
      <c r="A118" s="232">
        <v>6</v>
      </c>
      <c r="B118" s="239" t="s">
        <v>342</v>
      </c>
    </row>
    <row r="119" spans="1:11" x14ac:dyDescent="0.2">
      <c r="A119" s="232">
        <v>7</v>
      </c>
      <c r="B119" s="239" t="s">
        <v>338</v>
      </c>
    </row>
    <row r="120" spans="1:11" x14ac:dyDescent="0.2">
      <c r="A120" s="232">
        <v>8</v>
      </c>
      <c r="B120" s="239" t="s">
        <v>343</v>
      </c>
    </row>
    <row r="121" spans="1:11" x14ac:dyDescent="0.2">
      <c r="A121" s="232">
        <v>9</v>
      </c>
      <c r="B121" s="239" t="s">
        <v>344</v>
      </c>
    </row>
    <row r="122" spans="1:11" x14ac:dyDescent="0.2">
      <c r="A122" s="232">
        <v>10</v>
      </c>
      <c r="B122" s="239" t="s">
        <v>345</v>
      </c>
    </row>
    <row r="123" spans="1:11" x14ac:dyDescent="0.2">
      <c r="A123" s="232">
        <v>11</v>
      </c>
      <c r="B123" s="239" t="s">
        <v>346</v>
      </c>
    </row>
    <row r="124" spans="1:11" x14ac:dyDescent="0.2">
      <c r="A124" s="232">
        <v>12</v>
      </c>
      <c r="B124" s="258" t="s">
        <v>315</v>
      </c>
    </row>
    <row r="125" spans="1:11" x14ac:dyDescent="0.2">
      <c r="A125" s="232">
        <v>13</v>
      </c>
      <c r="B125" s="239" t="s">
        <v>348</v>
      </c>
    </row>
    <row r="126" spans="1:11" x14ac:dyDescent="0.2">
      <c r="A126" s="232">
        <v>14</v>
      </c>
      <c r="B126" s="239" t="s">
        <v>339</v>
      </c>
    </row>
    <row r="127" spans="1:11" x14ac:dyDescent="0.2">
      <c r="A127" s="232">
        <v>15</v>
      </c>
      <c r="B127" s="239" t="s">
        <v>349</v>
      </c>
    </row>
    <row r="128" spans="1:11" x14ac:dyDescent="0.2">
      <c r="A128" s="232">
        <v>16</v>
      </c>
      <c r="B128" s="239" t="s">
        <v>350</v>
      </c>
    </row>
    <row r="129" spans="1:2" x14ac:dyDescent="0.2">
      <c r="A129" s="232">
        <v>17</v>
      </c>
      <c r="B129" s="239" t="s">
        <v>351</v>
      </c>
    </row>
  </sheetData>
  <conditionalFormatting sqref="C24:D26 C111:I112 C98:I109 C75:I75 C62:I73">
    <cfRule type="cellIs" dxfId="14" priority="5" stopIfTrue="1" operator="equal">
      <formula>13</formula>
    </cfRule>
  </conditionalFormatting>
  <conditionalFormatting sqref="C41:I61">
    <cfRule type="cellIs" dxfId="13" priority="4" stopIfTrue="1" operator="equal">
      <formula>13</formula>
    </cfRule>
  </conditionalFormatting>
  <conditionalFormatting sqref="C77:I97">
    <cfRule type="cellIs" dxfId="12" priority="3" stopIfTrue="1" operator="equal">
      <formula>13</formula>
    </cfRule>
  </conditionalFormatting>
  <conditionalFormatting sqref="C7:I34 C40:I73 E35:I39 C75:I108">
    <cfRule type="cellIs" dxfId="11" priority="2" operator="equal">
      <formula>13</formula>
    </cfRule>
  </conditionalFormatting>
  <conditionalFormatting sqref="C35:D39">
    <cfRule type="cellIs" dxfId="10" priority="1" operator="equal">
      <formula>13</formula>
    </cfRule>
  </conditionalFormatting>
  <pageMargins left="0.78740157480314965" right="0.39370078740157483" top="0.78740157480314965" bottom="0.27559055118110237" header="0.59055118110236227" footer="0"/>
  <pageSetup paperSize="9" fitToHeight="0" orientation="landscape" r:id="rId1"/>
  <headerFooter>
    <oddHeader>&amp;R&amp;"Arial,Regular"&amp;9Page &amp;P of &amp;N</oddHeader>
  </headerFooter>
  <rowBreaks count="3" manualBreakCount="3">
    <brk id="39" max="16383" man="1"/>
    <brk id="75" max="16383" man="1"/>
    <brk id="11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X63"/>
  <sheetViews>
    <sheetView showGridLines="0" showRowColHeaders="0" workbookViewId="0">
      <pane ySplit="6" topLeftCell="A7" activePane="bottomLeft" state="frozen"/>
      <selection activeCell="M1" sqref="M1"/>
      <selection pane="bottomLeft" activeCell="P1" sqref="P1"/>
    </sheetView>
  </sheetViews>
  <sheetFormatPr defaultRowHeight="12.75" x14ac:dyDescent="0.2"/>
  <cols>
    <col min="1" max="1" width="3.28515625" style="2" customWidth="1"/>
    <col min="2" max="2" width="4" style="2" customWidth="1"/>
    <col min="3" max="6" width="3.28515625" style="2" customWidth="1"/>
    <col min="7" max="7" width="21.7109375" style="2" bestFit="1" customWidth="1"/>
    <col min="8" max="8" width="4" style="3" customWidth="1"/>
    <col min="9" max="9" width="4" style="3" bestFit="1" customWidth="1"/>
    <col min="10" max="10" width="6.7109375" style="3" hidden="1" customWidth="1"/>
    <col min="11" max="12" width="21.5703125" style="3" hidden="1" customWidth="1"/>
    <col min="13" max="13" width="6.7109375" style="3" hidden="1" customWidth="1"/>
    <col min="14" max="14" width="5.5703125" style="2" bestFit="1" customWidth="1"/>
    <col min="15" max="18" width="5.5703125" style="2" customWidth="1"/>
    <col min="19" max="19" width="10.140625" style="3" hidden="1" customWidth="1"/>
    <col min="20" max="20" width="9.7109375" style="3" hidden="1" customWidth="1"/>
    <col min="21" max="24" width="3.28515625" style="2" customWidth="1"/>
    <col min="25" max="16384" width="9.140625" style="2"/>
  </cols>
  <sheetData>
    <row r="1" spans="1:24" x14ac:dyDescent="0.2">
      <c r="E1" s="159" t="s">
        <v>201</v>
      </c>
      <c r="R1" s="105" t="s">
        <v>185</v>
      </c>
      <c r="U1" s="132"/>
      <c r="W1" s="63" t="s">
        <v>85</v>
      </c>
      <c r="X1" s="143"/>
    </row>
    <row r="2" spans="1:24" ht="12.75" customHeight="1" x14ac:dyDescent="0.2">
      <c r="E2" s="116" t="s">
        <v>189</v>
      </c>
      <c r="R2" s="64"/>
      <c r="U2" s="64"/>
      <c r="W2" s="66" t="s">
        <v>86</v>
      </c>
      <c r="X2" s="66"/>
    </row>
    <row r="3" spans="1:24" ht="12.75" customHeight="1" x14ac:dyDescent="0.2">
      <c r="H3" s="2" t="s">
        <v>481</v>
      </c>
      <c r="U3" s="499" t="s">
        <v>186</v>
      </c>
      <c r="V3" s="498" t="s">
        <v>94</v>
      </c>
      <c r="W3" s="67" t="s">
        <v>87</v>
      </c>
      <c r="X3" s="67"/>
    </row>
    <row r="4" spans="1:24" x14ac:dyDescent="0.2">
      <c r="A4" s="11"/>
      <c r="B4" s="11"/>
      <c r="C4" s="11"/>
      <c r="D4" s="11"/>
      <c r="E4" s="11"/>
      <c r="F4" s="11"/>
      <c r="G4" s="11"/>
      <c r="H4" s="13"/>
      <c r="I4" s="13"/>
      <c r="J4" s="13"/>
      <c r="K4" s="13"/>
      <c r="L4" s="13"/>
      <c r="M4" s="13"/>
      <c r="N4" s="146" t="str">
        <f>HYPERLINK("http://www.sportiv.ee/index.php?2/10486",MID(Kalend!A8,4,5))</f>
        <v>22.05</v>
      </c>
      <c r="O4" s="146" t="str">
        <f>HYPERLINK("http://www.sportiv.ee/index.php?2/10670",MID(Kalend!A27,4,5))</f>
        <v>31.07</v>
      </c>
      <c r="P4" s="146" t="str">
        <f>HYPERLINK("http://www.sportiv.ee/index.php?2/10685",MID(Kalend!A29,4,5))</f>
        <v>04.08</v>
      </c>
      <c r="Q4" s="146" t="str">
        <f>HYPERLINK("http://www.sportiv.ee/index.php?2/10753",MID(Kalend!A34,4,5))</f>
        <v>28.08</v>
      </c>
      <c r="R4" s="146" t="str">
        <f>HYPERLINK("http://www.sportiv.ee/index.php?2/10856",MID(Kalend!A41,4,5))</f>
        <v>07.10</v>
      </c>
      <c r="S4" s="13"/>
      <c r="T4" s="13"/>
      <c r="U4" s="499"/>
      <c r="V4" s="498"/>
      <c r="W4" s="498" t="s">
        <v>95</v>
      </c>
    </row>
    <row r="5" spans="1:24" x14ac:dyDescent="0.2">
      <c r="A5" s="446" t="s">
        <v>479</v>
      </c>
      <c r="B5" s="114"/>
      <c r="C5" s="447"/>
      <c r="D5" s="447"/>
      <c r="E5" s="448"/>
      <c r="F5" s="449"/>
      <c r="G5" s="440"/>
      <c r="H5" s="450" t="s">
        <v>480</v>
      </c>
      <c r="I5" s="451"/>
      <c r="J5" s="13"/>
      <c r="K5" s="13"/>
      <c r="L5" s="13"/>
      <c r="M5" s="13"/>
      <c r="N5" s="383" t="s">
        <v>459</v>
      </c>
      <c r="O5" s="383" t="s">
        <v>458</v>
      </c>
      <c r="P5" s="383" t="s">
        <v>460</v>
      </c>
      <c r="Q5" s="382" t="str">
        <f>HYPERLINK("#M4!H1","  M4  ")</f>
        <v xml:space="preserve">  M4  </v>
      </c>
      <c r="R5" s="383" t="s">
        <v>457</v>
      </c>
      <c r="S5" s="13"/>
      <c r="T5" s="13"/>
      <c r="U5" s="499"/>
      <c r="V5" s="498"/>
      <c r="W5" s="498"/>
    </row>
    <row r="6" spans="1:24" x14ac:dyDescent="0.2">
      <c r="A6" s="387" t="s">
        <v>461</v>
      </c>
      <c r="B6" s="441" t="s">
        <v>478</v>
      </c>
      <c r="C6" s="442" t="s">
        <v>477</v>
      </c>
      <c r="D6" s="443" t="s">
        <v>96</v>
      </c>
      <c r="E6" s="444" t="s">
        <v>97</v>
      </c>
      <c r="F6" s="445" t="s">
        <v>99</v>
      </c>
      <c r="G6" s="445" t="s">
        <v>98</v>
      </c>
      <c r="H6" s="441" t="s">
        <v>99</v>
      </c>
      <c r="I6" s="384" t="s">
        <v>461</v>
      </c>
      <c r="J6" s="458" t="s">
        <v>462</v>
      </c>
      <c r="K6" s="384" t="s">
        <v>485</v>
      </c>
      <c r="L6" s="459" t="s">
        <v>482</v>
      </c>
      <c r="M6" s="459" t="s">
        <v>463</v>
      </c>
      <c r="N6" s="406" t="s">
        <v>101</v>
      </c>
      <c r="O6" s="406" t="s">
        <v>101</v>
      </c>
      <c r="P6" s="406" t="s">
        <v>100</v>
      </c>
      <c r="Q6" s="406" t="s">
        <v>100</v>
      </c>
      <c r="R6" s="406" t="s">
        <v>102</v>
      </c>
      <c r="S6" s="459" t="s">
        <v>484</v>
      </c>
      <c r="T6" s="459" t="s">
        <v>483</v>
      </c>
    </row>
    <row r="7" spans="1:24" x14ac:dyDescent="0.2">
      <c r="A7" s="388">
        <f t="shared" ref="A7:A38" si="0">RANK(I7,I$7:I$61,0)</f>
        <v>1</v>
      </c>
      <c r="B7" s="453">
        <v>1</v>
      </c>
      <c r="C7" s="423">
        <v>1</v>
      </c>
      <c r="D7" s="119"/>
      <c r="E7" s="120"/>
      <c r="F7" s="121"/>
      <c r="G7" s="412" t="s">
        <v>114</v>
      </c>
      <c r="H7" s="452">
        <v>120.283</v>
      </c>
      <c r="I7" s="385">
        <f t="shared" ref="I7:I38" si="1">J7+L7+M7</f>
        <v>120.283</v>
      </c>
      <c r="J7" s="386">
        <f t="shared" ref="J7:J38" si="2">IF(R7="",0,RANK(R7,R$7:R$61,1)/100)</f>
        <v>0.28000000000000003</v>
      </c>
      <c r="K7" s="457">
        <f t="shared" ref="K7:K38" si="3">COUNTIF(N7:R7,40)/1000+COUNTIF(N7:R7,34)/10000+COUNTIF(N7:R7,30)/100000+COUNTIF(N7:R7,26)/1000000+COUNTIF(N7:R7,24)/10000000+COUNTIF(N7:R7,22)/100000000+COUNTIF(N7:R7,20)/1000000000+COUNTIF(N7:R7,18)/10000000000+COUNTIF(N7:R7,16)/100000000000+COUNTIF(N7:R7,14)/1000000000000+COUNTIF(N7:R7,12)/10000000000000+COUNTIF(N7:R7,10)/100000000000000+COUNTIF(N7:R7,8)/1000000000000000+COUNTIF(N7:R7,6)/10000000000000000+COUNTIF(N7:R7,4)/10000000000000000+COUNTIF(N7:R7,2)/100000000000000000+COUNTIF(N7:R7,1)/1000000000000000000</f>
        <v>4.00001E-3</v>
      </c>
      <c r="L7" s="457">
        <f t="shared" ref="L7:L38" si="4">COUNTIF(R7:T7,40)/1000+COUNTIF(R7:T7,34)/10000+COUNTIF(R7:T7,30)/100000+COUNTIF(R7:T7,26)/1000000+COUNTIF(R7:T7,24)/10000000+COUNTIF(R7:T7,22)/100000000+COUNTIF(R7:T7,20)/1000000000+COUNTIF(R7:T7,18)/10000000000+COUNTIF(R7:T7,16)/100000000000+COUNTIF(R7:T7,14)/1000000000000+COUNTIF(R7:T7,12)/10000000000000+COUNTIF(R7:T7,10)/100000000000000+COUNTIF(R7:T7,8)/1000000000000000+COUNTIF(R7:T7,6)/10000000000000000+COUNTIF(R7:T7,4)/10000000000000000+COUNTIF(R7:T7,2)/100000000000000000+COUNTIF(R7:T7,1)/1000000000000000000</f>
        <v>3.0000000000000001E-3</v>
      </c>
      <c r="M7" s="385">
        <f>(IF(COUNT(N7,O7)&lt;1,SUM(N7,O7),SUM(LARGE((N7,O7),{1}))))+(IF(COUNT(P7,Q7)&lt;1,SUM(P7,Q7),SUM(LARGE((P7,Q7),{1}))))+R7</f>
        <v>120</v>
      </c>
      <c r="N7" s="407">
        <v>40</v>
      </c>
      <c r="O7" s="122">
        <v>40</v>
      </c>
      <c r="P7" s="407">
        <v>22</v>
      </c>
      <c r="Q7" s="389">
        <v>40</v>
      </c>
      <c r="R7" s="123">
        <v>40</v>
      </c>
      <c r="S7" s="456">
        <f t="array" ref="S7">(IF(COUNT(N7,O7)&lt;1,SUM(N7,O7),SUM(LARGE((N7,O7),{1}))))</f>
        <v>40</v>
      </c>
      <c r="T7" s="456">
        <f t="array" ref="T7">IF(COUNT(P7,Q7)&lt;1,SUM(P7,Q7),SUM(LARGE((P7,Q7),{1})))</f>
        <v>40</v>
      </c>
      <c r="U7" s="141">
        <f t="shared" ref="U7:U38" si="5">COUNTIF(N7:R7,"&gt;=0")</f>
        <v>5</v>
      </c>
      <c r="V7" s="108">
        <f t="shared" ref="V7:V38" si="6">COUNTIF(N7:R7,"&gt;=30")</f>
        <v>4</v>
      </c>
      <c r="W7" s="108">
        <f t="shared" ref="W7:W38" si="7">COUNTIF(N7:R7,"=40")</f>
        <v>4</v>
      </c>
    </row>
    <row r="8" spans="1:24" x14ac:dyDescent="0.2">
      <c r="A8" s="388">
        <f t="shared" si="0"/>
        <v>2</v>
      </c>
      <c r="B8" s="453">
        <v>2</v>
      </c>
      <c r="C8" s="423">
        <v>2</v>
      </c>
      <c r="D8" s="119"/>
      <c r="E8" s="120"/>
      <c r="F8" s="121"/>
      <c r="G8" s="413" t="s">
        <v>110</v>
      </c>
      <c r="H8" s="452">
        <v>98.270210000000006</v>
      </c>
      <c r="I8" s="385">
        <f t="shared" si="1"/>
        <v>98.270210000000006</v>
      </c>
      <c r="J8" s="386">
        <f t="shared" si="2"/>
        <v>0.27</v>
      </c>
      <c r="K8" s="457">
        <f t="shared" si="3"/>
        <v>2.10010001E-4</v>
      </c>
      <c r="L8" s="457">
        <f t="shared" si="4"/>
        <v>2.1000000000000001E-4</v>
      </c>
      <c r="M8" s="385">
        <f t="array" ref="M8">(IF(COUNT(N8,O8)&lt;1,SUM(N8,O8),SUM(LARGE((N8,O8),{1}))))+(IF(COUNT(P8,Q8)&lt;1,SUM(P8,Q8),SUM(LARGE((P8,Q8),{1}))))+R8</f>
        <v>98</v>
      </c>
      <c r="N8" s="122">
        <v>30</v>
      </c>
      <c r="O8" s="407">
        <v>22</v>
      </c>
      <c r="P8" s="122">
        <v>34</v>
      </c>
      <c r="Q8" s="407">
        <v>14</v>
      </c>
      <c r="R8" s="123">
        <v>34</v>
      </c>
      <c r="S8" s="456">
        <f t="array" ref="S8">(IF(COUNT(N8,O8)&lt;1,SUM(N8,O8),SUM(LARGE((N8,O8),{1}))))</f>
        <v>30</v>
      </c>
      <c r="T8" s="456">
        <f t="array" ref="T8">IF(COUNT(P8,Q8)&lt;1,SUM(P8,Q8),SUM(LARGE((P8,Q8),{1})))</f>
        <v>34</v>
      </c>
      <c r="U8" s="141">
        <f t="shared" si="5"/>
        <v>5</v>
      </c>
      <c r="V8" s="108">
        <f t="shared" si="6"/>
        <v>3</v>
      </c>
      <c r="W8" s="108">
        <f t="shared" si="7"/>
        <v>0</v>
      </c>
    </row>
    <row r="9" spans="1:24" x14ac:dyDescent="0.2">
      <c r="A9" s="388">
        <f t="shared" si="0"/>
        <v>3</v>
      </c>
      <c r="B9" s="453">
        <v>3</v>
      </c>
      <c r="C9" s="423">
        <v>3</v>
      </c>
      <c r="D9" s="119"/>
      <c r="E9" s="120"/>
      <c r="F9" s="121"/>
      <c r="G9" s="414" t="s">
        <v>119</v>
      </c>
      <c r="H9" s="452">
        <v>96.231100010000006</v>
      </c>
      <c r="I9" s="385">
        <f t="shared" si="1"/>
        <v>96.231100010000006</v>
      </c>
      <c r="J9" s="386">
        <f t="shared" si="2"/>
        <v>0.23</v>
      </c>
      <c r="K9" s="457">
        <f t="shared" si="3"/>
        <v>1.1010200000000001E-3</v>
      </c>
      <c r="L9" s="457">
        <f t="shared" si="4"/>
        <v>1.10001E-3</v>
      </c>
      <c r="M9" s="385">
        <f t="array" ref="M9">(IF(COUNT(N9,O9)&lt;1,SUM(N9,O9),SUM(LARGE((N9,O9),{1}))))+(IF(COUNT(P9,Q9)&lt;1,SUM(P9,Q9),SUM(LARGE((P9,Q9),{1}))))+R9</f>
        <v>96</v>
      </c>
      <c r="N9" s="407">
        <v>22</v>
      </c>
      <c r="O9" s="122">
        <v>34</v>
      </c>
      <c r="P9" s="122">
        <v>40</v>
      </c>
      <c r="Q9" s="407">
        <v>26</v>
      </c>
      <c r="R9" s="123">
        <v>22</v>
      </c>
      <c r="S9" s="456">
        <f t="array" ref="S9">(IF(COUNT(N9,O9)&lt;1,SUM(N9,O9),SUM(LARGE((N9,O9),{1}))))</f>
        <v>34</v>
      </c>
      <c r="T9" s="456">
        <f t="array" ref="T9">IF(COUNT(P9,Q9)&lt;1,SUM(P9,Q9),SUM(LARGE((P9,Q9),{1})))</f>
        <v>40</v>
      </c>
      <c r="U9" s="141">
        <f t="shared" si="5"/>
        <v>5</v>
      </c>
      <c r="V9" s="108">
        <f t="shared" si="6"/>
        <v>2</v>
      </c>
      <c r="W9" s="108">
        <f t="shared" si="7"/>
        <v>1</v>
      </c>
    </row>
    <row r="10" spans="1:24" x14ac:dyDescent="0.2">
      <c r="A10" s="388">
        <f t="shared" si="0"/>
        <v>4</v>
      </c>
      <c r="B10" s="453">
        <v>4</v>
      </c>
      <c r="C10" s="423">
        <v>4</v>
      </c>
      <c r="D10" s="119"/>
      <c r="E10" s="120"/>
      <c r="F10" s="121"/>
      <c r="G10" s="415" t="s">
        <v>124</v>
      </c>
      <c r="H10" s="452">
        <v>94.261010099999993</v>
      </c>
      <c r="I10" s="385">
        <f t="shared" si="1"/>
        <v>94.261010099999993</v>
      </c>
      <c r="J10" s="386">
        <f t="shared" si="2"/>
        <v>0.26</v>
      </c>
      <c r="K10" s="457">
        <f t="shared" si="3"/>
        <v>1.0101000000010002E-3</v>
      </c>
      <c r="L10" s="457">
        <f t="shared" si="4"/>
        <v>1.0101000000000001E-3</v>
      </c>
      <c r="M10" s="385">
        <f t="array" ref="M10">(IF(COUNT(N10,O10)&lt;1,SUM(N10,O10),SUM(LARGE((N10,O10),{1}))))+(IF(COUNT(P10,Q10)&lt;1,SUM(P10,Q10),SUM(LARGE((P10,Q10),{1}))))+R10</f>
        <v>94</v>
      </c>
      <c r="N10" s="122">
        <v>40</v>
      </c>
      <c r="O10" s="408" t="s">
        <v>104</v>
      </c>
      <c r="P10" s="122">
        <v>24</v>
      </c>
      <c r="Q10" s="407">
        <v>8</v>
      </c>
      <c r="R10" s="123">
        <v>30</v>
      </c>
      <c r="S10" s="456">
        <f t="array" ref="S10">(IF(COUNT(N10,O10)&lt;1,SUM(N10,O10),SUM(LARGE((N10,O10),{1}))))</f>
        <v>40</v>
      </c>
      <c r="T10" s="456">
        <f t="array" ref="T10">IF(COUNT(P10,Q10)&lt;1,SUM(P10,Q10),SUM(LARGE((P10,Q10),{1})))</f>
        <v>24</v>
      </c>
      <c r="U10" s="141">
        <f t="shared" si="5"/>
        <v>4</v>
      </c>
      <c r="V10" s="108">
        <f t="shared" si="6"/>
        <v>2</v>
      </c>
      <c r="W10" s="108">
        <f t="shared" si="7"/>
        <v>1</v>
      </c>
    </row>
    <row r="11" spans="1:24" x14ac:dyDescent="0.2">
      <c r="A11" s="388">
        <f t="shared" si="0"/>
        <v>5</v>
      </c>
      <c r="B11" s="453">
        <v>5</v>
      </c>
      <c r="C11" s="423">
        <v>5</v>
      </c>
      <c r="D11" s="119"/>
      <c r="E11" s="120"/>
      <c r="F11" s="121"/>
      <c r="G11" s="415" t="s">
        <v>144</v>
      </c>
      <c r="H11" s="452">
        <v>88.240110099999995</v>
      </c>
      <c r="I11" s="385">
        <f t="shared" si="1"/>
        <v>88.240110099999995</v>
      </c>
      <c r="J11" s="386">
        <f t="shared" si="2"/>
        <v>0.24</v>
      </c>
      <c r="K11" s="457">
        <f t="shared" si="3"/>
        <v>1.1011E-4</v>
      </c>
      <c r="L11" s="457">
        <f t="shared" si="4"/>
        <v>1.1010000000000001E-4</v>
      </c>
      <c r="M11" s="385">
        <f t="array" ref="M11">(IF(COUNT(N11,O11)&lt;1,SUM(N11,O11),SUM(LARGE((N11,O11),{1}))))+(IF(COUNT(P11,Q11)&lt;1,SUM(P11,Q11),SUM(LARGE((P11,Q11),{1}))))+R11</f>
        <v>88</v>
      </c>
      <c r="N11" s="122">
        <v>30</v>
      </c>
      <c r="O11" s="407">
        <v>22</v>
      </c>
      <c r="P11" s="122">
        <v>34</v>
      </c>
      <c r="Q11" s="390"/>
      <c r="R11" s="123">
        <v>24</v>
      </c>
      <c r="S11" s="456">
        <f t="array" ref="S11">(IF(COUNT(N11,O11)&lt;1,SUM(N11,O11),SUM(LARGE((N11,O11),{1}))))</f>
        <v>30</v>
      </c>
      <c r="T11" s="456">
        <f t="array" ref="T11">IF(COUNT(P11,Q11)&lt;1,SUM(P11,Q11),SUM(LARGE((P11,Q11),{1})))</f>
        <v>34</v>
      </c>
      <c r="U11" s="141">
        <f t="shared" si="5"/>
        <v>4</v>
      </c>
      <c r="V11" s="108">
        <f t="shared" si="6"/>
        <v>2</v>
      </c>
      <c r="W11" s="108">
        <f t="shared" si="7"/>
        <v>0</v>
      </c>
    </row>
    <row r="12" spans="1:24" x14ac:dyDescent="0.2">
      <c r="A12" s="388">
        <f t="shared" si="0"/>
        <v>6</v>
      </c>
      <c r="B12" s="453">
        <v>6</v>
      </c>
      <c r="C12" s="423">
        <v>6</v>
      </c>
      <c r="D12" s="119"/>
      <c r="E12" s="120"/>
      <c r="F12" s="121"/>
      <c r="G12" s="415" t="s">
        <v>113</v>
      </c>
      <c r="H12" s="452">
        <v>86.1811000000001</v>
      </c>
      <c r="I12" s="385">
        <f t="shared" si="1"/>
        <v>86.1811000000001</v>
      </c>
      <c r="J12" s="386">
        <f t="shared" si="2"/>
        <v>0.18</v>
      </c>
      <c r="K12" s="457">
        <f t="shared" si="3"/>
        <v>1.1000100101000001E-3</v>
      </c>
      <c r="L12" s="457">
        <f t="shared" si="4"/>
        <v>1.1000000001000002E-3</v>
      </c>
      <c r="M12" s="385">
        <f t="array" ref="M12">(IF(COUNT(N12,O12)&lt;1,SUM(N12,O12),SUM(LARGE((N12,O12),{1}))))+(IF(COUNT(P12,Q12)&lt;1,SUM(P12,Q12),SUM(LARGE((P12,Q12),{1}))))+R12</f>
        <v>86</v>
      </c>
      <c r="N12" s="407">
        <v>22</v>
      </c>
      <c r="O12" s="122">
        <v>34</v>
      </c>
      <c r="P12" s="122">
        <v>40</v>
      </c>
      <c r="Q12" s="407">
        <v>16</v>
      </c>
      <c r="R12" s="123">
        <v>12</v>
      </c>
      <c r="S12" s="456">
        <f t="array" ref="S12">(IF(COUNT(N12,O12)&lt;1,SUM(N12,O12),SUM(LARGE((N12,O12),{1}))))</f>
        <v>34</v>
      </c>
      <c r="T12" s="456">
        <f t="array" ref="T12">IF(COUNT(P12,Q12)&lt;1,SUM(P12,Q12),SUM(LARGE((P12,Q12),{1})))</f>
        <v>40</v>
      </c>
      <c r="U12" s="141">
        <f t="shared" si="5"/>
        <v>5</v>
      </c>
      <c r="V12" s="108">
        <f t="shared" si="6"/>
        <v>2</v>
      </c>
      <c r="W12" s="108">
        <f t="shared" si="7"/>
        <v>1</v>
      </c>
    </row>
    <row r="13" spans="1:24" x14ac:dyDescent="0.2">
      <c r="A13" s="388">
        <f t="shared" si="0"/>
        <v>7</v>
      </c>
      <c r="B13" s="453">
        <v>7</v>
      </c>
      <c r="C13" s="423">
        <v>7</v>
      </c>
      <c r="D13" s="119"/>
      <c r="E13" s="120"/>
      <c r="F13" s="121"/>
      <c r="G13" s="415" t="s">
        <v>123</v>
      </c>
      <c r="H13" s="452">
        <v>65.011000100000004</v>
      </c>
      <c r="I13" s="385">
        <f t="shared" si="1"/>
        <v>65.011000100000004</v>
      </c>
      <c r="J13" s="386">
        <f t="shared" si="2"/>
        <v>0.01</v>
      </c>
      <c r="K13" s="457">
        <f t="shared" si="3"/>
        <v>1.0101000000010013E-3</v>
      </c>
      <c r="L13" s="457">
        <f t="shared" si="4"/>
        <v>1.0001000000000012E-3</v>
      </c>
      <c r="M13" s="385">
        <f t="array" ref="M13">(IF(COUNT(N13,O13)&lt;1,SUM(N13,O13),SUM(LARGE((N13,O13),{1}))))+(IF(COUNT(P13,Q13)&lt;1,SUM(P13,Q13),SUM(LARGE((P13,Q13),{1}))))+R13</f>
        <v>65</v>
      </c>
      <c r="N13" s="122">
        <v>40</v>
      </c>
      <c r="O13" s="407">
        <v>30</v>
      </c>
      <c r="P13" s="122">
        <v>24</v>
      </c>
      <c r="Q13" s="407">
        <v>8</v>
      </c>
      <c r="R13" s="454">
        <v>1</v>
      </c>
      <c r="S13" s="456">
        <f t="array" ref="S13">(IF(COUNT(N13,O13)&lt;1,SUM(N13,O13),SUM(LARGE((N13,O13),{1}))))</f>
        <v>40</v>
      </c>
      <c r="T13" s="456">
        <f t="array" ref="T13">IF(COUNT(P13,Q13)&lt;1,SUM(P13,Q13),SUM(LARGE((P13,Q13),{1})))</f>
        <v>24</v>
      </c>
      <c r="U13" s="141">
        <f t="shared" si="5"/>
        <v>5</v>
      </c>
      <c r="V13" s="108">
        <f t="shared" si="6"/>
        <v>2</v>
      </c>
      <c r="W13" s="108">
        <f t="shared" si="7"/>
        <v>1</v>
      </c>
    </row>
    <row r="14" spans="1:24" x14ac:dyDescent="0.2">
      <c r="A14" s="388">
        <f t="shared" si="0"/>
        <v>7</v>
      </c>
      <c r="B14" s="453">
        <v>7</v>
      </c>
      <c r="C14" s="423">
        <v>8</v>
      </c>
      <c r="D14" s="119"/>
      <c r="E14" s="120"/>
      <c r="F14" s="121"/>
      <c r="G14" s="415" t="s">
        <v>105</v>
      </c>
      <c r="H14" s="452">
        <v>65.011000100000004</v>
      </c>
      <c r="I14" s="385">
        <f t="shared" si="1"/>
        <v>65.011000100000004</v>
      </c>
      <c r="J14" s="386">
        <f t="shared" si="2"/>
        <v>0.01</v>
      </c>
      <c r="K14" s="457">
        <f t="shared" si="3"/>
        <v>1.1001000100000012E-3</v>
      </c>
      <c r="L14" s="457">
        <f t="shared" si="4"/>
        <v>1.0001000000000012E-3</v>
      </c>
      <c r="M14" s="385">
        <f t="array" ref="M14">(IF(COUNT(N14,O14)&lt;1,SUM(N14,O14),SUM(LARGE((N14,O14),{1}))))+(IF(COUNT(P14,Q14)&lt;1,SUM(P14,Q14),SUM(LARGE((P14,Q14),{1}))))+R14</f>
        <v>65</v>
      </c>
      <c r="N14" s="407">
        <v>16</v>
      </c>
      <c r="O14" s="122">
        <v>24</v>
      </c>
      <c r="P14" s="122">
        <v>40</v>
      </c>
      <c r="Q14" s="407">
        <v>34</v>
      </c>
      <c r="R14" s="454">
        <v>1</v>
      </c>
      <c r="S14" s="456">
        <f t="array" ref="S14">(IF(COUNT(N14,O14)&lt;1,SUM(N14,O14),SUM(LARGE((N14,O14),{1}))))</f>
        <v>24</v>
      </c>
      <c r="T14" s="456">
        <f t="array" ref="T14">IF(COUNT(P14,Q14)&lt;1,SUM(P14,Q14),SUM(LARGE((P14,Q14),{1})))</f>
        <v>40</v>
      </c>
      <c r="U14" s="141">
        <f t="shared" si="5"/>
        <v>5</v>
      </c>
      <c r="V14" s="108">
        <f t="shared" si="6"/>
        <v>2</v>
      </c>
      <c r="W14" s="108">
        <f t="shared" si="7"/>
        <v>1</v>
      </c>
    </row>
    <row r="15" spans="1:24" x14ac:dyDescent="0.2">
      <c r="A15" s="388">
        <f t="shared" si="0"/>
        <v>9</v>
      </c>
      <c r="B15" s="453">
        <v>9</v>
      </c>
      <c r="C15" s="423"/>
      <c r="D15" s="124">
        <v>1</v>
      </c>
      <c r="E15" s="125"/>
      <c r="F15" s="121"/>
      <c r="G15" s="416" t="s">
        <v>121</v>
      </c>
      <c r="H15" s="452">
        <v>61.011000000999999</v>
      </c>
      <c r="I15" s="385">
        <f t="shared" si="1"/>
        <v>61.011000000999999</v>
      </c>
      <c r="J15" s="386">
        <f t="shared" si="2"/>
        <v>0.01</v>
      </c>
      <c r="K15" s="457">
        <f t="shared" si="3"/>
        <v>1.000001000000001E-3</v>
      </c>
      <c r="L15" s="457">
        <f t="shared" si="4"/>
        <v>1.000001000000001E-3</v>
      </c>
      <c r="M15" s="385">
        <f t="array" ref="M15">(IF(COUNT(N15,O15)&lt;1,SUM(N15,O15),SUM(LARGE((N15,O15),{1}))))+(IF(COUNT(P15,Q15)&lt;1,SUM(P15,Q15),SUM(LARGE((P15,Q15),{1}))))+R15</f>
        <v>61</v>
      </c>
      <c r="N15" s="122">
        <v>20</v>
      </c>
      <c r="O15" s="408" t="s">
        <v>104</v>
      </c>
      <c r="P15" s="408" t="s">
        <v>104</v>
      </c>
      <c r="Q15" s="389">
        <v>40</v>
      </c>
      <c r="R15" s="454">
        <v>1</v>
      </c>
      <c r="S15" s="456">
        <f t="array" ref="S15">(IF(COUNT(N15,O15)&lt;1,SUM(N15,O15),SUM(LARGE((N15,O15),{1}))))</f>
        <v>20</v>
      </c>
      <c r="T15" s="456">
        <f t="array" ref="T15">IF(COUNT(P15,Q15)&lt;1,SUM(P15,Q15),SUM(LARGE((P15,Q15),{1})))</f>
        <v>40</v>
      </c>
      <c r="U15" s="141">
        <f t="shared" si="5"/>
        <v>3</v>
      </c>
      <c r="V15" s="108">
        <f t="shared" si="6"/>
        <v>1</v>
      </c>
      <c r="W15" s="108">
        <f t="shared" si="7"/>
        <v>1</v>
      </c>
    </row>
    <row r="16" spans="1:24" x14ac:dyDescent="0.2">
      <c r="A16" s="388">
        <f t="shared" si="0"/>
        <v>10</v>
      </c>
      <c r="B16" s="453">
        <v>10</v>
      </c>
      <c r="C16" s="423">
        <v>11</v>
      </c>
      <c r="D16" s="119"/>
      <c r="E16" s="120"/>
      <c r="F16" s="121"/>
      <c r="G16" s="415" t="s">
        <v>112</v>
      </c>
      <c r="H16" s="452">
        <v>58.200001000020002</v>
      </c>
      <c r="I16" s="385">
        <f t="shared" si="1"/>
        <v>58.200001000020002</v>
      </c>
      <c r="J16" s="386">
        <f t="shared" si="2"/>
        <v>0.2</v>
      </c>
      <c r="K16" s="457">
        <f t="shared" si="3"/>
        <v>1.0000200000999999E-6</v>
      </c>
      <c r="L16" s="457">
        <f t="shared" si="4"/>
        <v>1.0000199999999999E-6</v>
      </c>
      <c r="M16" s="385">
        <f t="array" ref="M16">(IF(COUNT(N16,O16)&lt;1,SUM(N16,O16),SUM(LARGE((N16,O16),{1}))))+(IF(COUNT(P16,Q16)&lt;1,SUM(P16,Q16),SUM(LARGE((P16,Q16),{1}))))+R16</f>
        <v>58</v>
      </c>
      <c r="N16" s="407">
        <v>6</v>
      </c>
      <c r="O16" s="122">
        <v>26</v>
      </c>
      <c r="P16" s="408" t="s">
        <v>104</v>
      </c>
      <c r="Q16" s="389">
        <v>16</v>
      </c>
      <c r="R16" s="454">
        <v>16</v>
      </c>
      <c r="S16" s="456">
        <f t="array" ref="S16">(IF(COUNT(N16,O16)&lt;1,SUM(N16,O16),SUM(LARGE((N16,O16),{1}))))</f>
        <v>26</v>
      </c>
      <c r="T16" s="456">
        <f t="array" ref="T16">IF(COUNT(P16,Q16)&lt;1,SUM(P16,Q16),SUM(LARGE((P16,Q16),{1})))</f>
        <v>16</v>
      </c>
      <c r="U16" s="141">
        <f t="shared" si="5"/>
        <v>4</v>
      </c>
      <c r="V16" s="108">
        <f t="shared" si="6"/>
        <v>0</v>
      </c>
      <c r="W16" s="108">
        <f t="shared" si="7"/>
        <v>0</v>
      </c>
    </row>
    <row r="17" spans="1:23" x14ac:dyDescent="0.2">
      <c r="A17" s="388">
        <f t="shared" si="0"/>
        <v>11</v>
      </c>
      <c r="B17" s="453">
        <v>11</v>
      </c>
      <c r="C17" s="423">
        <v>12</v>
      </c>
      <c r="D17" s="119"/>
      <c r="E17" s="120"/>
      <c r="F17" s="121"/>
      <c r="G17" s="415" t="s">
        <v>138</v>
      </c>
      <c r="H17" s="452">
        <v>58.190000101000997</v>
      </c>
      <c r="I17" s="385">
        <f t="shared" si="1"/>
        <v>58.190000101000997</v>
      </c>
      <c r="J17" s="386">
        <f t="shared" si="2"/>
        <v>0.19</v>
      </c>
      <c r="K17" s="457">
        <f t="shared" si="3"/>
        <v>1.0100110999999999E-7</v>
      </c>
      <c r="L17" s="457">
        <f t="shared" si="4"/>
        <v>1.0100099999999999E-7</v>
      </c>
      <c r="M17" s="385">
        <f t="array" ref="M17">(IF(COUNT(N17,O17)&lt;1,SUM(N17,O17),SUM(LARGE((N17,O17),{1}))))+(IF(COUNT(P17,Q17)&lt;1,SUM(P17,Q17),SUM(LARGE((P17,Q17),{1}))))+R17</f>
        <v>58</v>
      </c>
      <c r="N17" s="122">
        <v>24</v>
      </c>
      <c r="O17" s="407">
        <v>12</v>
      </c>
      <c r="P17" s="122">
        <v>20</v>
      </c>
      <c r="Q17" s="407">
        <v>10</v>
      </c>
      <c r="R17" s="454">
        <v>14</v>
      </c>
      <c r="S17" s="456">
        <f t="array" ref="S17">(IF(COUNT(N17,O17)&lt;1,SUM(N17,O17),SUM(LARGE((N17,O17),{1}))))</f>
        <v>24</v>
      </c>
      <c r="T17" s="456">
        <f t="array" ref="T17">IF(COUNT(P17,Q17)&lt;1,SUM(P17,Q17),SUM(LARGE((P17,Q17),{1})))</f>
        <v>20</v>
      </c>
      <c r="U17" s="141">
        <f t="shared" si="5"/>
        <v>5</v>
      </c>
      <c r="V17" s="108">
        <f t="shared" si="6"/>
        <v>0</v>
      </c>
      <c r="W17" s="108">
        <f t="shared" si="7"/>
        <v>0</v>
      </c>
    </row>
    <row r="18" spans="1:23" x14ac:dyDescent="0.2">
      <c r="A18" s="388">
        <f t="shared" si="0"/>
        <v>12</v>
      </c>
      <c r="B18" s="453">
        <v>12</v>
      </c>
      <c r="C18" s="423">
        <v>10</v>
      </c>
      <c r="D18" s="119"/>
      <c r="E18" s="120"/>
      <c r="F18" s="121"/>
      <c r="G18" s="415" t="s">
        <v>141</v>
      </c>
      <c r="H18" s="452">
        <v>58.160010001000003</v>
      </c>
      <c r="I18" s="385">
        <f t="shared" si="1"/>
        <v>58.160010001000003</v>
      </c>
      <c r="J18" s="386">
        <f t="shared" si="2"/>
        <v>0.16</v>
      </c>
      <c r="K18" s="457">
        <f t="shared" si="3"/>
        <v>2.0001000001000001E-5</v>
      </c>
      <c r="L18" s="457">
        <f t="shared" si="4"/>
        <v>1.0001000001000002E-5</v>
      </c>
      <c r="M18" s="385">
        <f t="array" ref="M18">(IF(COUNT(N18,O18)&lt;1,SUM(N18,O18),SUM(LARGE((N18,O18),{1}))))+(IF(COUNT(P18,Q18)&lt;1,SUM(P18,Q18),SUM(LARGE((P18,Q18),{1}))))+R18</f>
        <v>58</v>
      </c>
      <c r="N18" s="408" t="s">
        <v>104</v>
      </c>
      <c r="O18" s="122">
        <v>20</v>
      </c>
      <c r="P18" s="126">
        <v>30</v>
      </c>
      <c r="Q18" s="407">
        <v>30</v>
      </c>
      <c r="R18" s="454">
        <v>8</v>
      </c>
      <c r="S18" s="456">
        <f t="array" ref="S18">(IF(COUNT(N18,O18)&lt;1,SUM(N18,O18),SUM(LARGE((N18,O18),{1}))))</f>
        <v>20</v>
      </c>
      <c r="T18" s="456">
        <f t="array" ref="T18">IF(COUNT(P18,Q18)&lt;1,SUM(P18,Q18),SUM(LARGE((P18,Q18),{1})))</f>
        <v>30</v>
      </c>
      <c r="U18" s="141">
        <f t="shared" si="5"/>
        <v>4</v>
      </c>
      <c r="V18" s="108">
        <f t="shared" si="6"/>
        <v>2</v>
      </c>
      <c r="W18" s="108">
        <f t="shared" si="7"/>
        <v>0</v>
      </c>
    </row>
    <row r="19" spans="1:23" x14ac:dyDescent="0.2">
      <c r="A19" s="388">
        <f t="shared" si="0"/>
        <v>13</v>
      </c>
      <c r="B19" s="453">
        <v>13</v>
      </c>
      <c r="C19" s="423">
        <v>13</v>
      </c>
      <c r="D19" s="119"/>
      <c r="E19" s="120"/>
      <c r="F19" s="121"/>
      <c r="G19" s="415" t="s">
        <v>125</v>
      </c>
      <c r="H19" s="452">
        <v>56.210010000099999</v>
      </c>
      <c r="I19" s="385">
        <f t="shared" si="1"/>
        <v>56.210010000099999</v>
      </c>
      <c r="J19" s="386">
        <f t="shared" si="2"/>
        <v>0.21</v>
      </c>
      <c r="K19" s="457">
        <f t="shared" si="3"/>
        <v>1.0000100011000001E-5</v>
      </c>
      <c r="L19" s="457">
        <f t="shared" si="4"/>
        <v>1.0000100001000001E-5</v>
      </c>
      <c r="M19" s="385">
        <f t="array" ref="M19">(IF(COUNT(N19,O19)&lt;1,SUM(N19,O19),SUM(LARGE((N19,O19),{1}))))+(IF(COUNT(P19,Q19)&lt;1,SUM(P19,Q19),SUM(LARGE((P19,Q19),{1}))))+R19</f>
        <v>56</v>
      </c>
      <c r="N19" s="407">
        <v>10</v>
      </c>
      <c r="O19" s="122">
        <v>30</v>
      </c>
      <c r="P19" s="408" t="s">
        <v>104</v>
      </c>
      <c r="Q19" s="389">
        <v>8</v>
      </c>
      <c r="R19" s="454">
        <v>18</v>
      </c>
      <c r="S19" s="456">
        <f t="array" ref="S19">(IF(COUNT(N19,O19)&lt;1,SUM(N19,O19),SUM(LARGE((N19,O19),{1}))))</f>
        <v>30</v>
      </c>
      <c r="T19" s="456">
        <f t="array" ref="T19">IF(COUNT(P19,Q19)&lt;1,SUM(P19,Q19),SUM(LARGE((P19,Q19),{1})))</f>
        <v>8</v>
      </c>
      <c r="U19" s="141">
        <f t="shared" si="5"/>
        <v>4</v>
      </c>
      <c r="V19" s="108">
        <f t="shared" si="6"/>
        <v>1</v>
      </c>
      <c r="W19" s="108">
        <f t="shared" si="7"/>
        <v>0</v>
      </c>
    </row>
    <row r="20" spans="1:23" x14ac:dyDescent="0.2">
      <c r="A20" s="388">
        <f t="shared" si="0"/>
        <v>14</v>
      </c>
      <c r="B20" s="453">
        <v>14</v>
      </c>
      <c r="C20" s="423">
        <v>14</v>
      </c>
      <c r="D20" s="119"/>
      <c r="E20" s="120"/>
      <c r="F20" s="121"/>
      <c r="G20" s="415" t="s">
        <v>106</v>
      </c>
      <c r="H20" s="452">
        <v>55.010010100000002</v>
      </c>
      <c r="I20" s="385">
        <f t="shared" si="1"/>
        <v>55.010010100000002</v>
      </c>
      <c r="J20" s="386">
        <f t="shared" si="2"/>
        <v>0.01</v>
      </c>
      <c r="K20" s="457">
        <f t="shared" si="3"/>
        <v>2.0100000001001E-5</v>
      </c>
      <c r="L20" s="457">
        <f t="shared" si="4"/>
        <v>1.0100000000001001E-5</v>
      </c>
      <c r="M20" s="385">
        <f t="array" ref="M20">(IF(COUNT(N20,O20)&lt;1,SUM(N20,O20),SUM(LARGE((N20,O20),{1}))))+(IF(COUNT(P20,Q20)&lt;1,SUM(P20,Q20),SUM(LARGE((P20,Q20),{1}))))+R20</f>
        <v>55</v>
      </c>
      <c r="N20" s="407">
        <v>8</v>
      </c>
      <c r="O20" s="122">
        <v>24</v>
      </c>
      <c r="P20" s="126">
        <v>30</v>
      </c>
      <c r="Q20" s="407">
        <v>30</v>
      </c>
      <c r="R20" s="454">
        <v>1</v>
      </c>
      <c r="S20" s="456">
        <f t="array" ref="S20">(IF(COUNT(N20,O20)&lt;1,SUM(N20,O20),SUM(LARGE((N20,O20),{1}))))</f>
        <v>24</v>
      </c>
      <c r="T20" s="456">
        <f t="array" ref="T20">IF(COUNT(P20,Q20)&lt;1,SUM(P20,Q20),SUM(LARGE((P20,Q20),{1})))</f>
        <v>30</v>
      </c>
      <c r="U20" s="141">
        <f t="shared" si="5"/>
        <v>5</v>
      </c>
      <c r="V20" s="108">
        <f t="shared" si="6"/>
        <v>2</v>
      </c>
      <c r="W20" s="108">
        <f t="shared" si="7"/>
        <v>0</v>
      </c>
    </row>
    <row r="21" spans="1:23" x14ac:dyDescent="0.2">
      <c r="A21" s="388">
        <f t="shared" si="0"/>
        <v>15</v>
      </c>
      <c r="B21" s="453">
        <v>15</v>
      </c>
      <c r="C21" s="423">
        <v>15</v>
      </c>
      <c r="D21" s="119"/>
      <c r="E21" s="120"/>
      <c r="F21" s="121"/>
      <c r="G21" s="415" t="s">
        <v>117</v>
      </c>
      <c r="H21" s="452">
        <v>54.150001009999997</v>
      </c>
      <c r="I21" s="385">
        <f t="shared" si="1"/>
        <v>54.150001009999997</v>
      </c>
      <c r="J21" s="386">
        <f t="shared" si="2"/>
        <v>0.15</v>
      </c>
      <c r="K21" s="457">
        <f t="shared" si="3"/>
        <v>1.0100100001999999E-6</v>
      </c>
      <c r="L21" s="457">
        <f t="shared" si="4"/>
        <v>1.0100000000999999E-6</v>
      </c>
      <c r="M21" s="385">
        <f t="array" ref="M21">(IF(COUNT(N21,O21)&lt;1,SUM(N21,O21),SUM(LARGE((N21,O21),{1}))))+(IF(COUNT(P21,Q21)&lt;1,SUM(P21,Q21),SUM(LARGE((P21,Q21),{1}))))+R21</f>
        <v>54</v>
      </c>
      <c r="N21" s="407">
        <v>6</v>
      </c>
      <c r="O21" s="122">
        <v>26</v>
      </c>
      <c r="P21" s="122">
        <v>22</v>
      </c>
      <c r="Q21" s="407">
        <v>16</v>
      </c>
      <c r="R21" s="454">
        <v>6</v>
      </c>
      <c r="S21" s="456">
        <f t="array" ref="S21">(IF(COUNT(N21,O21)&lt;1,SUM(N21,O21),SUM(LARGE((N21,O21),{1}))))</f>
        <v>26</v>
      </c>
      <c r="T21" s="456">
        <f t="array" ref="T21">IF(COUNT(P21,Q21)&lt;1,SUM(P21,Q21),SUM(LARGE((P21,Q21),{1})))</f>
        <v>22</v>
      </c>
      <c r="U21" s="141">
        <f t="shared" si="5"/>
        <v>5</v>
      </c>
      <c r="V21" s="108">
        <f t="shared" si="6"/>
        <v>0</v>
      </c>
      <c r="W21" s="108">
        <f t="shared" si="7"/>
        <v>0</v>
      </c>
    </row>
    <row r="22" spans="1:23" x14ac:dyDescent="0.2">
      <c r="A22" s="388">
        <f t="shared" si="0"/>
        <v>16</v>
      </c>
      <c r="B22" s="453">
        <v>16</v>
      </c>
      <c r="C22" s="423">
        <v>9</v>
      </c>
      <c r="D22" s="119"/>
      <c r="E22" s="120"/>
      <c r="F22" s="121"/>
      <c r="G22" s="415" t="s">
        <v>108</v>
      </c>
      <c r="H22" s="455">
        <v>54.140100000010001</v>
      </c>
      <c r="I22" s="385">
        <f t="shared" si="1"/>
        <v>54.140100000010001</v>
      </c>
      <c r="J22" s="386">
        <f t="shared" si="2"/>
        <v>0.14000000000000001</v>
      </c>
      <c r="K22" s="457">
        <f t="shared" si="3"/>
        <v>1.0000001000010001E-4</v>
      </c>
      <c r="L22" s="457">
        <f t="shared" si="4"/>
        <v>1.0000001000010001E-4</v>
      </c>
      <c r="M22" s="385">
        <f t="array" ref="M22">(IF(COUNT(N22,O22)&lt;1,SUM(N22,O22),SUM(LARGE((N22,O22),{1}))))+(IF(COUNT(P22,Q22)&lt;1,SUM(P22,Q22),SUM(LARGE((P22,Q22),{1}))))+R22</f>
        <v>54</v>
      </c>
      <c r="N22" s="122">
        <v>16</v>
      </c>
      <c r="O22" s="408" t="s">
        <v>104</v>
      </c>
      <c r="P22" s="408" t="s">
        <v>104</v>
      </c>
      <c r="Q22" s="389">
        <v>34</v>
      </c>
      <c r="R22" s="454">
        <v>4</v>
      </c>
      <c r="S22" s="456">
        <f t="array" ref="S22">(IF(COUNT(N22,O22)&lt;1,SUM(N22,O22),SUM(LARGE((N22,O22),{1}))))</f>
        <v>16</v>
      </c>
      <c r="T22" s="456">
        <f t="array" ref="T22">IF(COUNT(P22,Q22)&lt;1,SUM(P22,Q22),SUM(LARGE((P22,Q22),{1})))</f>
        <v>34</v>
      </c>
      <c r="U22" s="141">
        <f t="shared" si="5"/>
        <v>3</v>
      </c>
      <c r="V22" s="108">
        <f t="shared" si="6"/>
        <v>1</v>
      </c>
      <c r="W22" s="108">
        <f t="shared" si="7"/>
        <v>0</v>
      </c>
    </row>
    <row r="23" spans="1:23" x14ac:dyDescent="0.2">
      <c r="A23" s="388">
        <f t="shared" si="0"/>
        <v>17</v>
      </c>
      <c r="B23" s="453">
        <v>17</v>
      </c>
      <c r="C23" s="423">
        <v>16</v>
      </c>
      <c r="D23" s="119"/>
      <c r="E23" s="120"/>
      <c r="F23" s="121"/>
      <c r="G23" s="415" t="s">
        <v>127</v>
      </c>
      <c r="H23" s="452">
        <v>53.010002</v>
      </c>
      <c r="I23" s="385">
        <f t="shared" si="1"/>
        <v>53.010002</v>
      </c>
      <c r="J23" s="386">
        <f t="shared" si="2"/>
        <v>0.01</v>
      </c>
      <c r="K23" s="457">
        <f t="shared" si="3"/>
        <v>2.0000000001009997E-6</v>
      </c>
      <c r="L23" s="457">
        <f t="shared" si="4"/>
        <v>2.0000000000009998E-6</v>
      </c>
      <c r="M23" s="385">
        <f t="array" ref="M23">(IF(COUNT(N23,O23)&lt;1,SUM(N23,O23),SUM(LARGE((N23,O23),{1}))))+(IF(COUNT(P23,Q23)&lt;1,SUM(P23,Q23),SUM(LARGE((P23,Q23),{1}))))+R23</f>
        <v>53</v>
      </c>
      <c r="N23" s="122">
        <v>26</v>
      </c>
      <c r="O23" s="407">
        <v>4</v>
      </c>
      <c r="P23" s="408" t="s">
        <v>104</v>
      </c>
      <c r="Q23" s="389">
        <v>26</v>
      </c>
      <c r="R23" s="454">
        <v>1</v>
      </c>
      <c r="S23" s="456">
        <f t="array" ref="S23">(IF(COUNT(N23,O23)&lt;1,SUM(N23,O23),SUM(LARGE((N23,O23),{1}))))</f>
        <v>26</v>
      </c>
      <c r="T23" s="456">
        <f t="array" ref="T23">IF(COUNT(P23,Q23)&lt;1,SUM(P23,Q23),SUM(LARGE((P23,Q23),{1})))</f>
        <v>26</v>
      </c>
      <c r="U23" s="141">
        <f t="shared" si="5"/>
        <v>4</v>
      </c>
      <c r="V23" s="108">
        <f t="shared" si="6"/>
        <v>0</v>
      </c>
      <c r="W23" s="108">
        <f t="shared" si="7"/>
        <v>0</v>
      </c>
    </row>
    <row r="24" spans="1:23" x14ac:dyDescent="0.2">
      <c r="A24" s="388">
        <f t="shared" si="0"/>
        <v>17</v>
      </c>
      <c r="B24" s="453">
        <v>17</v>
      </c>
      <c r="C24" s="423"/>
      <c r="D24" s="124">
        <v>2</v>
      </c>
      <c r="E24" s="125"/>
      <c r="F24" s="121"/>
      <c r="G24" s="416" t="s">
        <v>126</v>
      </c>
      <c r="H24" s="452">
        <v>53.010002</v>
      </c>
      <c r="I24" s="385">
        <f t="shared" si="1"/>
        <v>53.010002</v>
      </c>
      <c r="J24" s="386">
        <f t="shared" si="2"/>
        <v>0.01</v>
      </c>
      <c r="K24" s="457">
        <f t="shared" si="3"/>
        <v>2.0000000001009997E-6</v>
      </c>
      <c r="L24" s="457">
        <f t="shared" si="4"/>
        <v>2.0000000000009998E-6</v>
      </c>
      <c r="M24" s="385">
        <f t="array" ref="M24">(IF(COUNT(N24,O24)&lt;1,SUM(N24,O24),SUM(LARGE((N24,O24),{1}))))+(IF(COUNT(P24,Q24)&lt;1,SUM(P24,Q24),SUM(LARGE((P24,Q24),{1}))))+R24</f>
        <v>53</v>
      </c>
      <c r="N24" s="122">
        <v>26</v>
      </c>
      <c r="O24" s="407">
        <v>4</v>
      </c>
      <c r="P24" s="408" t="s">
        <v>104</v>
      </c>
      <c r="Q24" s="389">
        <v>26</v>
      </c>
      <c r="R24" s="454">
        <v>1</v>
      </c>
      <c r="S24" s="456">
        <f t="array" ref="S24">(IF(COUNT(N24,O24)&lt;1,SUM(N24,O24),SUM(LARGE((N24,O24),{1}))))</f>
        <v>26</v>
      </c>
      <c r="T24" s="456">
        <f t="array" ref="T24">IF(COUNT(P24,Q24)&lt;1,SUM(P24,Q24),SUM(LARGE((P24,Q24),{1})))</f>
        <v>26</v>
      </c>
      <c r="U24" s="141">
        <f t="shared" si="5"/>
        <v>4</v>
      </c>
      <c r="V24" s="108">
        <f t="shared" si="6"/>
        <v>0</v>
      </c>
      <c r="W24" s="108">
        <f t="shared" si="7"/>
        <v>0</v>
      </c>
    </row>
    <row r="25" spans="1:23" x14ac:dyDescent="0.2">
      <c r="A25" s="388">
        <f t="shared" si="0"/>
        <v>19</v>
      </c>
      <c r="B25" s="453">
        <v>19</v>
      </c>
      <c r="C25" s="423">
        <v>17</v>
      </c>
      <c r="D25" s="119"/>
      <c r="E25" s="120"/>
      <c r="F25" s="121"/>
      <c r="G25" s="415" t="s">
        <v>122</v>
      </c>
      <c r="H25" s="452">
        <v>50.1300100001</v>
      </c>
      <c r="I25" s="385">
        <f t="shared" si="1"/>
        <v>50.1300100001</v>
      </c>
      <c r="J25" s="386">
        <f t="shared" si="2"/>
        <v>0.13</v>
      </c>
      <c r="K25" s="457">
        <f t="shared" si="3"/>
        <v>2.0000100001010001E-5</v>
      </c>
      <c r="L25" s="457">
        <f t="shared" si="4"/>
        <v>1.0000100000010001E-5</v>
      </c>
      <c r="M25" s="385">
        <f t="array" ref="M25">(IF(COUNT(N25,O25)&lt;1,SUM(N25,O25),SUM(LARGE((N25,O25),{1}))))+(IF(COUNT(P25,Q25)&lt;1,SUM(P25,Q25),SUM(LARGE((P25,Q25),{1}))))+R25</f>
        <v>50</v>
      </c>
      <c r="N25" s="122">
        <v>18</v>
      </c>
      <c r="O25" s="407">
        <v>8</v>
      </c>
      <c r="P25" s="126">
        <v>30</v>
      </c>
      <c r="Q25" s="407">
        <v>30</v>
      </c>
      <c r="R25" s="454">
        <v>2</v>
      </c>
      <c r="S25" s="456">
        <f t="array" ref="S25">(IF(COUNT(N25,O25)&lt;1,SUM(N25,O25),SUM(LARGE((N25,O25),{1}))))</f>
        <v>18</v>
      </c>
      <c r="T25" s="456">
        <f t="array" ref="T25">IF(COUNT(P25,Q25)&lt;1,SUM(P25,Q25),SUM(LARGE((P25,Q25),{1})))</f>
        <v>30</v>
      </c>
      <c r="U25" s="141">
        <f t="shared" si="5"/>
        <v>5</v>
      </c>
      <c r="V25" s="108">
        <f t="shared" si="6"/>
        <v>2</v>
      </c>
      <c r="W25" s="108">
        <f t="shared" si="7"/>
        <v>0</v>
      </c>
    </row>
    <row r="26" spans="1:23" x14ac:dyDescent="0.2">
      <c r="A26" s="388">
        <f t="shared" si="0"/>
        <v>20</v>
      </c>
      <c r="B26" s="453">
        <v>20</v>
      </c>
      <c r="C26" s="423">
        <v>18</v>
      </c>
      <c r="D26" s="119"/>
      <c r="E26" s="120"/>
      <c r="F26" s="121"/>
      <c r="G26" s="415" t="s">
        <v>118</v>
      </c>
      <c r="H26" s="452">
        <v>44.000000100999998</v>
      </c>
      <c r="I26" s="385">
        <f t="shared" si="1"/>
        <v>44.000000100999998</v>
      </c>
      <c r="J26" s="386">
        <f t="shared" si="2"/>
        <v>0</v>
      </c>
      <c r="K26" s="457">
        <f t="shared" si="3"/>
        <v>1.0209999999999999E-7</v>
      </c>
      <c r="L26" s="457">
        <f t="shared" si="4"/>
        <v>1.0099999999999999E-7</v>
      </c>
      <c r="M26" s="385">
        <f t="array" ref="M26">(IF(COUNT(N26,O26)&lt;1,SUM(N26,O26),SUM(LARGE((N26,O26),{1}))))+(IF(COUNT(P26,Q26)&lt;1,SUM(P26,Q26),SUM(LARGE((P26,Q26),{1}))))+R26</f>
        <v>44</v>
      </c>
      <c r="N26" s="407">
        <v>18</v>
      </c>
      <c r="O26" s="122">
        <v>20</v>
      </c>
      <c r="P26" s="407">
        <v>20</v>
      </c>
      <c r="Q26" s="389">
        <v>24</v>
      </c>
      <c r="R26" s="454"/>
      <c r="S26" s="456">
        <f t="array" ref="S26">(IF(COUNT(N26,O26)&lt;1,SUM(N26,O26),SUM(LARGE((N26,O26),{1}))))</f>
        <v>20</v>
      </c>
      <c r="T26" s="456">
        <f t="array" ref="T26">IF(COUNT(P26,Q26)&lt;1,SUM(P26,Q26),SUM(LARGE((P26,Q26),{1})))</f>
        <v>24</v>
      </c>
      <c r="U26" s="141">
        <f t="shared" si="5"/>
        <v>4</v>
      </c>
      <c r="V26" s="108">
        <f t="shared" si="6"/>
        <v>0</v>
      </c>
      <c r="W26" s="108">
        <f t="shared" si="7"/>
        <v>0</v>
      </c>
    </row>
    <row r="27" spans="1:23" x14ac:dyDescent="0.2">
      <c r="A27" s="388">
        <f t="shared" si="0"/>
        <v>21</v>
      </c>
      <c r="B27" s="453">
        <v>21</v>
      </c>
      <c r="C27" s="423">
        <v>19</v>
      </c>
      <c r="D27" s="119"/>
      <c r="E27" s="120"/>
      <c r="F27" s="121"/>
      <c r="G27" s="415" t="s">
        <v>133</v>
      </c>
      <c r="H27" s="452">
        <v>42.000000010999997</v>
      </c>
      <c r="I27" s="385">
        <f t="shared" si="1"/>
        <v>42.000000010999997</v>
      </c>
      <c r="J27" s="386">
        <f t="shared" si="2"/>
        <v>0</v>
      </c>
      <c r="K27" s="457">
        <f t="shared" si="3"/>
        <v>1.1000000000000001E-8</v>
      </c>
      <c r="L27" s="457">
        <f t="shared" si="4"/>
        <v>1.1000000000000001E-8</v>
      </c>
      <c r="M27" s="385">
        <f t="array" ref="M27">(IF(COUNT(N27,O27)&lt;1,SUM(N27,O27),SUM(LARGE((N27,O27),{1}))))+(IF(COUNT(P27,Q27)&lt;1,SUM(P27,Q27),SUM(LARGE((P27,Q27),{1}))))+R27</f>
        <v>42</v>
      </c>
      <c r="N27" s="122">
        <v>20</v>
      </c>
      <c r="O27" s="408" t="s">
        <v>104</v>
      </c>
      <c r="P27" s="122">
        <v>22</v>
      </c>
      <c r="Q27" s="408" t="s">
        <v>104</v>
      </c>
      <c r="R27" s="454"/>
      <c r="S27" s="456">
        <f t="array" ref="S27">(IF(COUNT(N27,O27)&lt;1,SUM(N27,O27),SUM(LARGE((N27,O27),{1}))))</f>
        <v>20</v>
      </c>
      <c r="T27" s="456">
        <f t="array" ref="T27">IF(COUNT(P27,Q27)&lt;1,SUM(P27,Q27),SUM(LARGE((P27,Q27),{1})))</f>
        <v>22</v>
      </c>
      <c r="U27" s="141">
        <f t="shared" si="5"/>
        <v>2</v>
      </c>
      <c r="V27" s="108">
        <f t="shared" si="6"/>
        <v>0</v>
      </c>
      <c r="W27" s="108">
        <f t="shared" si="7"/>
        <v>0</v>
      </c>
    </row>
    <row r="28" spans="1:23" x14ac:dyDescent="0.2">
      <c r="A28" s="388">
        <f t="shared" si="0"/>
        <v>22</v>
      </c>
      <c r="B28" s="453">
        <v>22</v>
      </c>
      <c r="C28" s="423">
        <v>21</v>
      </c>
      <c r="D28" s="119"/>
      <c r="E28" s="120"/>
      <c r="F28" s="118">
        <v>1</v>
      </c>
      <c r="G28" s="417" t="s">
        <v>135</v>
      </c>
      <c r="H28" s="452">
        <v>40.17000000100002</v>
      </c>
      <c r="I28" s="385">
        <f t="shared" si="1"/>
        <v>40.17000000100002</v>
      </c>
      <c r="J28" s="386">
        <f t="shared" si="2"/>
        <v>0.17</v>
      </c>
      <c r="K28" s="457">
        <f t="shared" si="3"/>
        <v>1.1000200100000001E-9</v>
      </c>
      <c r="L28" s="457">
        <f t="shared" si="4"/>
        <v>1.00002E-9</v>
      </c>
      <c r="M28" s="385">
        <f t="array" ref="M28">(IF(COUNT(N28,O28)&lt;1,SUM(N28,O28),SUM(LARGE((N28,O28),{1}))))+(IF(COUNT(P28,Q28)&lt;1,SUM(P28,Q28),SUM(LARGE((P28,Q28),{1}))))+R28</f>
        <v>40</v>
      </c>
      <c r="N28" s="407">
        <v>2</v>
      </c>
      <c r="O28" s="122">
        <v>10</v>
      </c>
      <c r="P28" s="407">
        <v>18</v>
      </c>
      <c r="Q28" s="389">
        <v>20</v>
      </c>
      <c r="R28" s="454">
        <v>10</v>
      </c>
      <c r="S28" s="456">
        <f t="array" ref="S28">(IF(COUNT(N28,O28)&lt;1,SUM(N28,O28),SUM(LARGE((N28,O28),{1}))))</f>
        <v>10</v>
      </c>
      <c r="T28" s="456">
        <f t="array" ref="T28">IF(COUNT(P28,Q28)&lt;1,SUM(P28,Q28),SUM(LARGE((P28,Q28),{1})))</f>
        <v>20</v>
      </c>
      <c r="U28" s="141">
        <f t="shared" si="5"/>
        <v>5</v>
      </c>
      <c r="V28" s="108">
        <f t="shared" si="6"/>
        <v>0</v>
      </c>
      <c r="W28" s="108">
        <f t="shared" si="7"/>
        <v>0</v>
      </c>
    </row>
    <row r="29" spans="1:23" x14ac:dyDescent="0.2">
      <c r="A29" s="388">
        <f t="shared" si="0"/>
        <v>23</v>
      </c>
      <c r="B29" s="453">
        <v>23</v>
      </c>
      <c r="C29" s="423"/>
      <c r="D29" s="119">
        <v>3</v>
      </c>
      <c r="E29" s="120"/>
      <c r="F29" s="121"/>
      <c r="G29" s="416" t="s">
        <v>134</v>
      </c>
      <c r="H29" s="452">
        <v>40.000999999999998</v>
      </c>
      <c r="I29" s="385">
        <f t="shared" si="1"/>
        <v>40.000999999999998</v>
      </c>
      <c r="J29" s="386">
        <f t="shared" si="2"/>
        <v>0</v>
      </c>
      <c r="K29" s="457">
        <f t="shared" si="3"/>
        <v>1E-3</v>
      </c>
      <c r="L29" s="457">
        <f t="shared" si="4"/>
        <v>1E-3</v>
      </c>
      <c r="M29" s="385">
        <f t="array" ref="M29">(IF(COUNT(N29,O29)&lt;1,SUM(N29,O29),SUM(LARGE((N29,O29),{1}))))+(IF(COUNT(P29,Q29)&lt;1,SUM(P29,Q29),SUM(LARGE((P29,Q29),{1}))))+R29</f>
        <v>40</v>
      </c>
      <c r="N29" s="408" t="s">
        <v>104</v>
      </c>
      <c r="O29" s="408" t="s">
        <v>104</v>
      </c>
      <c r="P29" s="408" t="s">
        <v>104</v>
      </c>
      <c r="Q29" s="389">
        <v>40</v>
      </c>
      <c r="R29" s="454"/>
      <c r="S29" s="456">
        <f t="array" ref="S29">(IF(COUNT(N29,O29)&lt;1,SUM(N29,O29),SUM(LARGE((N29,O29),{1}))))</f>
        <v>0</v>
      </c>
      <c r="T29" s="456">
        <f t="array" ref="T29">IF(COUNT(P29,Q29)&lt;1,SUM(P29,Q29),SUM(LARGE((P29,Q29),{1})))</f>
        <v>40</v>
      </c>
      <c r="U29" s="141">
        <f t="shared" si="5"/>
        <v>1</v>
      </c>
      <c r="V29" s="108">
        <f t="shared" si="6"/>
        <v>1</v>
      </c>
      <c r="W29" s="108">
        <f t="shared" si="7"/>
        <v>1</v>
      </c>
    </row>
    <row r="30" spans="1:23" x14ac:dyDescent="0.2">
      <c r="A30" s="388">
        <f t="shared" si="0"/>
        <v>23</v>
      </c>
      <c r="B30" s="453">
        <v>23</v>
      </c>
      <c r="C30" s="423">
        <v>20</v>
      </c>
      <c r="D30" s="124"/>
      <c r="E30" s="125"/>
      <c r="F30" s="121"/>
      <c r="G30" s="415" t="s">
        <v>163</v>
      </c>
      <c r="H30" s="452">
        <v>40.000999999999998</v>
      </c>
      <c r="I30" s="385">
        <f t="shared" si="1"/>
        <v>40.000999999999998</v>
      </c>
      <c r="J30" s="386">
        <f t="shared" si="2"/>
        <v>0</v>
      </c>
      <c r="K30" s="457">
        <f t="shared" si="3"/>
        <v>1E-3</v>
      </c>
      <c r="L30" s="457">
        <f t="shared" si="4"/>
        <v>1E-3</v>
      </c>
      <c r="M30" s="385">
        <f t="array" ref="M30">(IF(COUNT(N30,O30)&lt;1,SUM(N30,O30),SUM(LARGE((N30,O30),{1}))))+(IF(COUNT(P30,Q30)&lt;1,SUM(P30,Q30),SUM(LARGE((P30,Q30),{1}))))+R30</f>
        <v>40</v>
      </c>
      <c r="N30" s="408" t="s">
        <v>104</v>
      </c>
      <c r="O30" s="122">
        <v>40</v>
      </c>
      <c r="P30" s="408" t="s">
        <v>104</v>
      </c>
      <c r="Q30" s="390"/>
      <c r="R30" s="454"/>
      <c r="S30" s="456">
        <f t="array" ref="S30">(IF(COUNT(N30,O30)&lt;1,SUM(N30,O30),SUM(LARGE((N30,O30),{1}))))</f>
        <v>40</v>
      </c>
      <c r="T30" s="456">
        <f t="array" ref="T30">IF(COUNT(P30,Q30)&lt;1,SUM(P30,Q30),SUM(LARGE((P30,Q30),{1})))</f>
        <v>0</v>
      </c>
      <c r="U30" s="141">
        <f t="shared" si="5"/>
        <v>1</v>
      </c>
      <c r="V30" s="108">
        <f t="shared" si="6"/>
        <v>1</v>
      </c>
      <c r="W30" s="108">
        <f t="shared" si="7"/>
        <v>1</v>
      </c>
    </row>
    <row r="31" spans="1:23" x14ac:dyDescent="0.2">
      <c r="A31" s="388">
        <f t="shared" si="0"/>
        <v>25</v>
      </c>
      <c r="B31" s="453">
        <v>25</v>
      </c>
      <c r="C31" s="423">
        <v>22</v>
      </c>
      <c r="D31" s="119"/>
      <c r="E31" s="120"/>
      <c r="F31" s="11"/>
      <c r="G31" s="415" t="s">
        <v>129</v>
      </c>
      <c r="H31" s="452">
        <v>36.250001000000012</v>
      </c>
      <c r="I31" s="385">
        <f t="shared" si="1"/>
        <v>36.250001000000012</v>
      </c>
      <c r="J31" s="386">
        <f t="shared" si="2"/>
        <v>0.25</v>
      </c>
      <c r="K31" s="457">
        <f t="shared" si="3"/>
        <v>1.00000001E-6</v>
      </c>
      <c r="L31" s="457">
        <f t="shared" si="4"/>
        <v>1.00000001E-6</v>
      </c>
      <c r="M31" s="385">
        <f t="array" ref="M31">(IF(COUNT(N31,O31)&lt;1,SUM(N31,O31),SUM(LARGE((N31,O31),{1}))))+(IF(COUNT(P31,Q31)&lt;1,SUM(P31,Q31),SUM(LARGE((P31,Q31),{1}))))+R31</f>
        <v>36</v>
      </c>
      <c r="N31" s="122">
        <v>10</v>
      </c>
      <c r="O31" s="408" t="s">
        <v>104</v>
      </c>
      <c r="P31" s="408" t="s">
        <v>104</v>
      </c>
      <c r="Q31" s="390"/>
      <c r="R31" s="454">
        <v>26</v>
      </c>
      <c r="S31" s="456">
        <f t="array" ref="S31">(IF(COUNT(N31,O31)&lt;1,SUM(N31,O31),SUM(LARGE((N31,O31),{1}))))</f>
        <v>10</v>
      </c>
      <c r="T31" s="456">
        <f t="array" ref="T31">IF(COUNT(P31,Q31)&lt;1,SUM(P31,Q31),SUM(LARGE((P31,Q31),{1})))</f>
        <v>0</v>
      </c>
      <c r="U31" s="141">
        <f t="shared" si="5"/>
        <v>2</v>
      </c>
      <c r="V31" s="108">
        <f t="shared" si="6"/>
        <v>0</v>
      </c>
      <c r="W31" s="108">
        <f t="shared" si="7"/>
        <v>0</v>
      </c>
    </row>
    <row r="32" spans="1:23" x14ac:dyDescent="0.2">
      <c r="A32" s="388">
        <f t="shared" si="0"/>
        <v>26</v>
      </c>
      <c r="B32" s="453">
        <v>26</v>
      </c>
      <c r="C32" s="423">
        <v>23</v>
      </c>
      <c r="D32" s="119"/>
      <c r="E32" s="120"/>
      <c r="F32" s="118">
        <v>2</v>
      </c>
      <c r="G32" s="417" t="s">
        <v>174</v>
      </c>
      <c r="H32" s="452">
        <v>36.000000010001003</v>
      </c>
      <c r="I32" s="385">
        <f t="shared" si="1"/>
        <v>36.000000010001003</v>
      </c>
      <c r="J32" s="386">
        <f t="shared" si="2"/>
        <v>0</v>
      </c>
      <c r="K32" s="457">
        <f t="shared" si="3"/>
        <v>1.0101000000999999E-8</v>
      </c>
      <c r="L32" s="457">
        <f t="shared" si="4"/>
        <v>1.0001E-8</v>
      </c>
      <c r="M32" s="385">
        <f t="array" ref="M32">(IF(COUNT(N32,O32)&lt;1,SUM(N32,O32),SUM(LARGE((N32,O32),{1}))))+(IF(COUNT(P32,Q32)&lt;1,SUM(P32,Q32),SUM(LARGE((P32,Q32),{1}))))+R32</f>
        <v>36</v>
      </c>
      <c r="N32" s="407">
        <v>1</v>
      </c>
      <c r="O32" s="122">
        <v>14</v>
      </c>
      <c r="P32" s="407">
        <v>18</v>
      </c>
      <c r="Q32" s="389">
        <v>22</v>
      </c>
      <c r="R32" s="454"/>
      <c r="S32" s="456">
        <f t="array" ref="S32">(IF(COUNT(N32,O32)&lt;1,SUM(N32,O32),SUM(LARGE((N32,O32),{1}))))</f>
        <v>14</v>
      </c>
      <c r="T32" s="456">
        <f t="array" ref="T32">IF(COUNT(P32,Q32)&lt;1,SUM(P32,Q32),SUM(LARGE((P32,Q32),{1})))</f>
        <v>22</v>
      </c>
      <c r="U32" s="141">
        <f t="shared" si="5"/>
        <v>4</v>
      </c>
      <c r="V32" s="108">
        <f t="shared" si="6"/>
        <v>0</v>
      </c>
      <c r="W32" s="108">
        <f t="shared" si="7"/>
        <v>0</v>
      </c>
    </row>
    <row r="33" spans="1:23" x14ac:dyDescent="0.2">
      <c r="A33" s="388">
        <f t="shared" si="0"/>
        <v>27</v>
      </c>
      <c r="B33" s="453">
        <v>27</v>
      </c>
      <c r="C33" s="423">
        <v>24</v>
      </c>
      <c r="D33" s="119"/>
      <c r="E33" s="120"/>
      <c r="F33" s="121"/>
      <c r="G33" s="415" t="s">
        <v>128</v>
      </c>
      <c r="H33" s="452">
        <v>35.010000100000013</v>
      </c>
      <c r="I33" s="385">
        <f t="shared" si="1"/>
        <v>35.010000100000013</v>
      </c>
      <c r="J33" s="386">
        <f t="shared" si="2"/>
        <v>0.01</v>
      </c>
      <c r="K33" s="457">
        <f t="shared" si="3"/>
        <v>1.0010001000099999E-7</v>
      </c>
      <c r="L33" s="457">
        <f t="shared" si="4"/>
        <v>1.0000001000099999E-7</v>
      </c>
      <c r="M33" s="385">
        <f t="array" ref="M33">(IF(COUNT(N33,O33)&lt;1,SUM(N33,O33),SUM(LARGE((N33,O33),{1}))))+(IF(COUNT(P33,Q33)&lt;1,SUM(P33,Q33),SUM(LARGE((P33,Q33),{1}))))+R33</f>
        <v>35</v>
      </c>
      <c r="N33" s="122">
        <v>24</v>
      </c>
      <c r="O33" s="407">
        <v>18</v>
      </c>
      <c r="P33" s="408" t="s">
        <v>104</v>
      </c>
      <c r="Q33" s="389">
        <v>10</v>
      </c>
      <c r="R33" s="454">
        <v>1</v>
      </c>
      <c r="S33" s="456">
        <f t="array" ref="S33">(IF(COUNT(N33,O33)&lt;1,SUM(N33,O33),SUM(LARGE((N33,O33),{1}))))</f>
        <v>24</v>
      </c>
      <c r="T33" s="456">
        <f t="array" ref="T33">IF(COUNT(P33,Q33)&lt;1,SUM(P33,Q33),SUM(LARGE((P33,Q33),{1})))</f>
        <v>10</v>
      </c>
      <c r="U33" s="141">
        <f t="shared" si="5"/>
        <v>4</v>
      </c>
      <c r="V33" s="108">
        <f t="shared" si="6"/>
        <v>0</v>
      </c>
      <c r="W33" s="108">
        <f t="shared" si="7"/>
        <v>0</v>
      </c>
    </row>
    <row r="34" spans="1:23" x14ac:dyDescent="0.2">
      <c r="A34" s="388">
        <f t="shared" si="0"/>
        <v>28</v>
      </c>
      <c r="B34" s="453">
        <v>28</v>
      </c>
      <c r="C34" s="423">
        <v>25</v>
      </c>
      <c r="D34" s="119"/>
      <c r="E34" s="120"/>
      <c r="F34" s="121"/>
      <c r="G34" s="415" t="s">
        <v>132</v>
      </c>
      <c r="H34" s="452">
        <v>34.000100000000003</v>
      </c>
      <c r="I34" s="385">
        <f t="shared" si="1"/>
        <v>34.000100000000003</v>
      </c>
      <c r="J34" s="386">
        <f t="shared" si="2"/>
        <v>0</v>
      </c>
      <c r="K34" s="457">
        <f t="shared" si="3"/>
        <v>1E-4</v>
      </c>
      <c r="L34" s="457">
        <f t="shared" si="4"/>
        <v>1E-4</v>
      </c>
      <c r="M34" s="385">
        <f t="array" ref="M34">(IF(COUNT(N34,O34)&lt;1,SUM(N34,O34),SUM(LARGE((N34,O34),{1}))))+(IF(COUNT(P34,Q34)&lt;1,SUM(P34,Q34),SUM(LARGE((P34,Q34),{1}))))+R34</f>
        <v>34</v>
      </c>
      <c r="N34" s="408" t="s">
        <v>104</v>
      </c>
      <c r="O34" s="408" t="s">
        <v>104</v>
      </c>
      <c r="P34" s="122">
        <v>34</v>
      </c>
      <c r="Q34" s="390"/>
      <c r="R34" s="454"/>
      <c r="S34" s="456">
        <f t="array" ref="S34">(IF(COUNT(N34,O34)&lt;1,SUM(N34,O34),SUM(LARGE((N34,O34),{1}))))</f>
        <v>0</v>
      </c>
      <c r="T34" s="456">
        <f t="array" ref="T34">IF(COUNT(P34,Q34)&lt;1,SUM(P34,Q34),SUM(LARGE((P34,Q34),{1})))</f>
        <v>34</v>
      </c>
      <c r="U34" s="141">
        <f t="shared" si="5"/>
        <v>1</v>
      </c>
      <c r="V34" s="108">
        <f t="shared" si="6"/>
        <v>1</v>
      </c>
      <c r="W34" s="108">
        <f t="shared" si="7"/>
        <v>0</v>
      </c>
    </row>
    <row r="35" spans="1:23" x14ac:dyDescent="0.2">
      <c r="A35" s="388">
        <f t="shared" si="0"/>
        <v>28</v>
      </c>
      <c r="B35" s="453">
        <v>28</v>
      </c>
      <c r="C35" s="423">
        <v>26</v>
      </c>
      <c r="D35" s="119"/>
      <c r="E35" s="120"/>
      <c r="F35" s="121"/>
      <c r="G35" s="415" t="s">
        <v>109</v>
      </c>
      <c r="H35" s="452">
        <v>34.000100000000003</v>
      </c>
      <c r="I35" s="385">
        <f t="shared" si="1"/>
        <v>34.000100000000003</v>
      </c>
      <c r="J35" s="386">
        <f t="shared" si="2"/>
        <v>0</v>
      </c>
      <c r="K35" s="457">
        <f t="shared" si="3"/>
        <v>1E-4</v>
      </c>
      <c r="L35" s="457">
        <f t="shared" si="4"/>
        <v>1E-4</v>
      </c>
      <c r="M35" s="385">
        <f t="array" ref="M35">(IF(COUNT(N35,O35)&lt;1,SUM(N35,O35),SUM(LARGE((N35,O35),{1}))))+(IF(COUNT(P35,Q35)&lt;1,SUM(P35,Q35),SUM(LARGE((P35,Q35),{1}))))+R35</f>
        <v>34</v>
      </c>
      <c r="N35" s="408" t="s">
        <v>104</v>
      </c>
      <c r="O35" s="123"/>
      <c r="P35" s="408" t="s">
        <v>104</v>
      </c>
      <c r="Q35" s="389">
        <v>34</v>
      </c>
      <c r="R35" s="454"/>
      <c r="S35" s="456">
        <f t="array" ref="S35">(IF(COUNT(N35,O35)&lt;1,SUM(N35,O35),SUM(LARGE((N35,O35),{1}))))</f>
        <v>0</v>
      </c>
      <c r="T35" s="456">
        <f t="array" ref="T35">IF(COUNT(P35,Q35)&lt;1,SUM(P35,Q35),SUM(LARGE((P35,Q35),{1})))</f>
        <v>34</v>
      </c>
      <c r="U35" s="141">
        <f t="shared" si="5"/>
        <v>1</v>
      </c>
      <c r="V35" s="108">
        <f t="shared" si="6"/>
        <v>1</v>
      </c>
      <c r="W35" s="108">
        <f t="shared" si="7"/>
        <v>0</v>
      </c>
    </row>
    <row r="36" spans="1:23" x14ac:dyDescent="0.2">
      <c r="A36" s="388">
        <f t="shared" si="0"/>
        <v>28</v>
      </c>
      <c r="B36" s="453">
        <v>28</v>
      </c>
      <c r="C36" s="423">
        <v>27</v>
      </c>
      <c r="D36" s="119"/>
      <c r="E36" s="120"/>
      <c r="F36" s="121"/>
      <c r="G36" s="415" t="s">
        <v>175</v>
      </c>
      <c r="H36" s="452">
        <v>34.000100000000003</v>
      </c>
      <c r="I36" s="385">
        <f t="shared" si="1"/>
        <v>34.000100000000003</v>
      </c>
      <c r="J36" s="386">
        <f t="shared" si="2"/>
        <v>0</v>
      </c>
      <c r="K36" s="457">
        <f t="shared" si="3"/>
        <v>1E-4</v>
      </c>
      <c r="L36" s="457">
        <f t="shared" si="4"/>
        <v>1E-4</v>
      </c>
      <c r="M36" s="385">
        <f t="array" ref="M36">(IF(COUNT(N36,O36)&lt;1,SUM(N36,O36),SUM(LARGE((N36,O36),{1}))))+(IF(COUNT(P36,Q36)&lt;1,SUM(P36,Q36),SUM(LARGE((P36,Q36),{1}))))+R36</f>
        <v>34</v>
      </c>
      <c r="N36" s="122">
        <v>34</v>
      </c>
      <c r="O36" s="408" t="s">
        <v>104</v>
      </c>
      <c r="P36" s="408" t="s">
        <v>104</v>
      </c>
      <c r="Q36" s="390"/>
      <c r="R36" s="454"/>
      <c r="S36" s="456">
        <f t="array" ref="S36">(IF(COUNT(N36,O36)&lt;1,SUM(N36,O36),SUM(LARGE((N36,O36),{1}))))</f>
        <v>34</v>
      </c>
      <c r="T36" s="456">
        <f t="array" ref="T36">IF(COUNT(P36,Q36)&lt;1,SUM(P36,Q36),SUM(LARGE((P36,Q36),{1})))</f>
        <v>0</v>
      </c>
      <c r="U36" s="141">
        <f t="shared" si="5"/>
        <v>1</v>
      </c>
      <c r="V36" s="108">
        <f t="shared" si="6"/>
        <v>1</v>
      </c>
      <c r="W36" s="108">
        <f t="shared" si="7"/>
        <v>0</v>
      </c>
    </row>
    <row r="37" spans="1:23" x14ac:dyDescent="0.2">
      <c r="A37" s="388">
        <f t="shared" si="0"/>
        <v>31</v>
      </c>
      <c r="B37" s="453">
        <v>31</v>
      </c>
      <c r="C37" s="423">
        <v>28</v>
      </c>
      <c r="D37" s="119"/>
      <c r="E37" s="120"/>
      <c r="F37" s="118">
        <v>3</v>
      </c>
      <c r="G37" s="418" t="s">
        <v>131</v>
      </c>
      <c r="H37" s="452">
        <v>33.010000001000101</v>
      </c>
      <c r="I37" s="385">
        <f t="shared" si="1"/>
        <v>33.010000001000101</v>
      </c>
      <c r="J37" s="386">
        <f t="shared" si="2"/>
        <v>0.01</v>
      </c>
      <c r="K37" s="457">
        <f t="shared" si="3"/>
        <v>1.1001100010000002E-9</v>
      </c>
      <c r="L37" s="457">
        <f t="shared" si="4"/>
        <v>1.000100001E-9</v>
      </c>
      <c r="M37" s="385">
        <f t="array" ref="M37">(IF(COUNT(N37,O37)&lt;1,SUM(N37,O37),SUM(LARGE((N37,O37),{1}))))+(IF(COUNT(P37,Q37)&lt;1,SUM(P37,Q37),SUM(LARGE((P37,Q37),{1}))))+R37</f>
        <v>33</v>
      </c>
      <c r="N37" s="122">
        <v>12</v>
      </c>
      <c r="O37" s="407">
        <v>10</v>
      </c>
      <c r="P37" s="407">
        <v>18</v>
      </c>
      <c r="Q37" s="389">
        <v>20</v>
      </c>
      <c r="R37" s="454">
        <v>1</v>
      </c>
      <c r="S37" s="456">
        <f t="array" ref="S37">(IF(COUNT(N37,O37)&lt;1,SUM(N37,O37),SUM(LARGE((N37,O37),{1}))))</f>
        <v>12</v>
      </c>
      <c r="T37" s="456">
        <f t="array" ref="T37">IF(COUNT(P37,Q37)&lt;1,SUM(P37,Q37),SUM(LARGE((P37,Q37),{1})))</f>
        <v>20</v>
      </c>
      <c r="U37" s="141">
        <f t="shared" si="5"/>
        <v>5</v>
      </c>
      <c r="V37" s="108">
        <f t="shared" si="6"/>
        <v>0</v>
      </c>
      <c r="W37" s="108">
        <f t="shared" si="7"/>
        <v>0</v>
      </c>
    </row>
    <row r="38" spans="1:23" x14ac:dyDescent="0.2">
      <c r="A38" s="388">
        <f t="shared" si="0"/>
        <v>31</v>
      </c>
      <c r="B38" s="453">
        <v>31</v>
      </c>
      <c r="C38" s="423">
        <v>29</v>
      </c>
      <c r="D38" s="119"/>
      <c r="E38" s="120">
        <v>1</v>
      </c>
      <c r="F38" s="118">
        <v>3</v>
      </c>
      <c r="G38" s="419" t="s">
        <v>137</v>
      </c>
      <c r="H38" s="452">
        <v>33.010000001000101</v>
      </c>
      <c r="I38" s="385">
        <f t="shared" si="1"/>
        <v>33.010000001000101</v>
      </c>
      <c r="J38" s="386">
        <f t="shared" si="2"/>
        <v>0.01</v>
      </c>
      <c r="K38" s="457">
        <f t="shared" si="3"/>
        <v>1.000100001E-9</v>
      </c>
      <c r="L38" s="457">
        <f t="shared" si="4"/>
        <v>1.000100001E-9</v>
      </c>
      <c r="M38" s="385">
        <f t="array" ref="M38">(IF(COUNT(N38,O38)&lt;1,SUM(N38,O38),SUM(LARGE((N38,O38),{1}))))+(IF(COUNT(P38,Q38)&lt;1,SUM(P38,Q38),SUM(LARGE((P38,Q38),{1}))))+R38</f>
        <v>33</v>
      </c>
      <c r="N38" s="122">
        <v>12</v>
      </c>
      <c r="O38" s="408" t="s">
        <v>104</v>
      </c>
      <c r="P38" s="408" t="s">
        <v>104</v>
      </c>
      <c r="Q38" s="389">
        <v>20</v>
      </c>
      <c r="R38" s="454">
        <v>1</v>
      </c>
      <c r="S38" s="456">
        <f t="array" ref="S38">(IF(COUNT(N38,O38)&lt;1,SUM(N38,O38),SUM(LARGE((N38,O38),{1}))))</f>
        <v>12</v>
      </c>
      <c r="T38" s="456">
        <f t="array" ref="T38">IF(COUNT(P38,Q38)&lt;1,SUM(P38,Q38),SUM(LARGE((P38,Q38),{1})))</f>
        <v>20</v>
      </c>
      <c r="U38" s="141">
        <f t="shared" si="5"/>
        <v>3</v>
      </c>
      <c r="V38" s="108">
        <f t="shared" si="6"/>
        <v>0</v>
      </c>
      <c r="W38" s="108">
        <f t="shared" si="7"/>
        <v>0</v>
      </c>
    </row>
    <row r="39" spans="1:23" x14ac:dyDescent="0.2">
      <c r="A39" s="388">
        <f t="shared" ref="A39:A61" si="8">RANK(I39,I$7:I$61,0)</f>
        <v>33</v>
      </c>
      <c r="B39" s="453">
        <v>33</v>
      </c>
      <c r="C39" s="423">
        <v>31</v>
      </c>
      <c r="D39" s="119"/>
      <c r="E39" s="120"/>
      <c r="F39" s="121"/>
      <c r="G39" s="415" t="s">
        <v>173</v>
      </c>
      <c r="H39" s="452">
        <v>32.220000001000102</v>
      </c>
      <c r="I39" s="385">
        <f t="shared" ref="I39:I61" si="9">J39+L39+M39</f>
        <v>32.220000001000102</v>
      </c>
      <c r="J39" s="386">
        <f t="shared" ref="J39:J61" si="10">IF(R39="",0,RANK(R39,R$7:R$61,1)/100)</f>
        <v>0.22</v>
      </c>
      <c r="K39" s="457">
        <f t="shared" ref="K39:K61" si="11">COUNTIF(N39:R39,40)/1000+COUNTIF(N39:R39,34)/10000+COUNTIF(N39:R39,30)/100000+COUNTIF(N39:R39,26)/1000000+COUNTIF(N39:R39,24)/10000000+COUNTIF(N39:R39,22)/100000000+COUNTIF(N39:R39,20)/1000000000+COUNTIF(N39:R39,18)/10000000000+COUNTIF(N39:R39,16)/100000000000+COUNTIF(N39:R39,14)/1000000000000+COUNTIF(N39:R39,12)/10000000000000+COUNTIF(N39:R39,10)/100000000000000+COUNTIF(N39:R39,8)/1000000000000000+COUNTIF(N39:R39,6)/10000000000000000+COUNTIF(N39:R39,4)/10000000000000000+COUNTIF(N39:R39,2)/100000000000000000+COUNTIF(N39:R39,1)/1000000000000000000</f>
        <v>1.0001000000000001E-9</v>
      </c>
      <c r="L39" s="457">
        <f t="shared" ref="L39:L61" si="12">COUNTIF(R39:T39,40)/1000+COUNTIF(R39:T39,34)/10000+COUNTIF(R39:T39,30)/100000+COUNTIF(R39:T39,26)/1000000+COUNTIF(R39:T39,24)/10000000+COUNTIF(R39:T39,22)/100000000+COUNTIF(R39:T39,20)/1000000000+COUNTIF(R39:T39,18)/10000000000+COUNTIF(R39:T39,16)/100000000000+COUNTIF(R39:T39,14)/1000000000000+COUNTIF(R39:T39,12)/10000000000000+COUNTIF(R39:T39,10)/100000000000000+COUNTIF(R39:T39,8)/1000000000000000+COUNTIF(R39:T39,6)/10000000000000000+COUNTIF(R39:T39,4)/10000000000000000+COUNTIF(R39:T39,2)/100000000000000000+COUNTIF(R39:T39,1)/1000000000000000000</f>
        <v>1.0001000000000001E-9</v>
      </c>
      <c r="M39" s="385">
        <f t="array" ref="M39">(IF(COUNT(N39,O39)&lt;1,SUM(N39,O39),SUM(LARGE((N39,O39),{1}))))+(IF(COUNT(P39,Q39)&lt;1,SUM(P39,Q39),SUM(LARGE((P39,Q39),{1}))))+R39</f>
        <v>32</v>
      </c>
      <c r="N39" s="408" t="s">
        <v>104</v>
      </c>
      <c r="O39" s="122">
        <v>12</v>
      </c>
      <c r="P39" s="408" t="s">
        <v>104</v>
      </c>
      <c r="Q39" s="390"/>
      <c r="R39" s="454">
        <v>20</v>
      </c>
      <c r="S39" s="456">
        <f t="array" ref="S39">(IF(COUNT(N39,O39)&lt;1,SUM(N39,O39),SUM(LARGE((N39,O39),{1}))))</f>
        <v>12</v>
      </c>
      <c r="T39" s="456">
        <f t="array" ref="T39">IF(COUNT(P39,Q39)&lt;1,SUM(P39,Q39),SUM(LARGE((P39,Q39),{1})))</f>
        <v>0</v>
      </c>
      <c r="U39" s="141">
        <f t="shared" ref="U39:U61" si="13">COUNTIF(N39:R39,"&gt;=0")</f>
        <v>2</v>
      </c>
      <c r="V39" s="108">
        <f t="shared" ref="V39:V61" si="14">COUNTIF(N39:R39,"&gt;=30")</f>
        <v>0</v>
      </c>
      <c r="W39" s="108">
        <f t="shared" ref="W39:W61" si="15">COUNTIF(N39:R39,"=40")</f>
        <v>0</v>
      </c>
    </row>
    <row r="40" spans="1:23" x14ac:dyDescent="0.2">
      <c r="A40" s="388">
        <f t="shared" si="8"/>
        <v>34</v>
      </c>
      <c r="B40" s="453">
        <v>34</v>
      </c>
      <c r="C40" s="423">
        <v>30</v>
      </c>
      <c r="D40" s="119"/>
      <c r="E40" s="120"/>
      <c r="F40" s="121"/>
      <c r="G40" s="415" t="s">
        <v>176</v>
      </c>
      <c r="H40" s="452">
        <v>32.000000100000001</v>
      </c>
      <c r="I40" s="385">
        <f t="shared" si="9"/>
        <v>32.000000100000001</v>
      </c>
      <c r="J40" s="386">
        <f t="shared" si="10"/>
        <v>0</v>
      </c>
      <c r="K40" s="457">
        <f t="shared" si="11"/>
        <v>1.0100000099999999E-7</v>
      </c>
      <c r="L40" s="457">
        <f t="shared" si="12"/>
        <v>1.00000001E-7</v>
      </c>
      <c r="M40" s="385">
        <f t="array" ref="M40">(IF(COUNT(N40,O40)&lt;1,SUM(N40,O40),SUM(LARGE((N40,O40),{1}))))+(IF(COUNT(P40,Q40)&lt;1,SUM(P40,Q40),SUM(LARGE((P40,Q40),{1}))))+R40</f>
        <v>32</v>
      </c>
      <c r="N40" s="408" t="s">
        <v>104</v>
      </c>
      <c r="O40" s="122">
        <v>8</v>
      </c>
      <c r="P40" s="407">
        <v>20</v>
      </c>
      <c r="Q40" s="389">
        <v>24</v>
      </c>
      <c r="R40" s="454"/>
      <c r="S40" s="456">
        <f t="array" ref="S40">(IF(COUNT(N40,O40)&lt;1,SUM(N40,O40),SUM(LARGE((N40,O40),{1}))))</f>
        <v>8</v>
      </c>
      <c r="T40" s="456">
        <f t="array" ref="T40">IF(COUNT(P40,Q40)&lt;1,SUM(P40,Q40),SUM(LARGE((P40,Q40),{1})))</f>
        <v>24</v>
      </c>
      <c r="U40" s="141">
        <f t="shared" si="13"/>
        <v>3</v>
      </c>
      <c r="V40" s="108">
        <f t="shared" si="14"/>
        <v>0</v>
      </c>
      <c r="W40" s="108">
        <f t="shared" si="15"/>
        <v>0</v>
      </c>
    </row>
    <row r="41" spans="1:23" x14ac:dyDescent="0.2">
      <c r="A41" s="388">
        <f t="shared" si="8"/>
        <v>34</v>
      </c>
      <c r="B41" s="453">
        <v>34</v>
      </c>
      <c r="C41" s="423"/>
      <c r="D41" s="124">
        <v>4</v>
      </c>
      <c r="E41" s="125">
        <v>2</v>
      </c>
      <c r="F41" s="121"/>
      <c r="G41" s="420" t="s">
        <v>153</v>
      </c>
      <c r="H41" s="452">
        <v>32.000000100000001</v>
      </c>
      <c r="I41" s="385">
        <f t="shared" si="9"/>
        <v>32.000000100000001</v>
      </c>
      <c r="J41" s="386">
        <f t="shared" si="10"/>
        <v>0</v>
      </c>
      <c r="K41" s="457">
        <f t="shared" si="11"/>
        <v>1.00000001E-7</v>
      </c>
      <c r="L41" s="457">
        <f t="shared" si="12"/>
        <v>1.00000001E-7</v>
      </c>
      <c r="M41" s="385">
        <f t="array" ref="M41">(IF(COUNT(N41,O41)&lt;1,SUM(N41,O41),SUM(LARGE((N41,O41),{1}))))+(IF(COUNT(P41,Q41)&lt;1,SUM(P41,Q41),SUM(LARGE((P41,Q41),{1}))))+R41</f>
        <v>32</v>
      </c>
      <c r="N41" s="122">
        <v>8</v>
      </c>
      <c r="O41" s="408" t="s">
        <v>104</v>
      </c>
      <c r="P41" s="408" t="s">
        <v>104</v>
      </c>
      <c r="Q41" s="389">
        <v>24</v>
      </c>
      <c r="R41" s="454"/>
      <c r="S41" s="456">
        <f t="array" ref="S41">(IF(COUNT(N41,O41)&lt;1,SUM(N41,O41),SUM(LARGE((N41,O41),{1}))))</f>
        <v>8</v>
      </c>
      <c r="T41" s="456">
        <f t="array" ref="T41">IF(COUNT(P41,Q41)&lt;1,SUM(P41,Q41),SUM(LARGE((P41,Q41),{1})))</f>
        <v>24</v>
      </c>
      <c r="U41" s="141">
        <f t="shared" si="13"/>
        <v>2</v>
      </c>
      <c r="V41" s="108">
        <f t="shared" si="14"/>
        <v>0</v>
      </c>
      <c r="W41" s="108">
        <f t="shared" si="15"/>
        <v>0</v>
      </c>
    </row>
    <row r="42" spans="1:23" x14ac:dyDescent="0.2">
      <c r="A42" s="388">
        <f t="shared" si="8"/>
        <v>36</v>
      </c>
      <c r="B42" s="453">
        <v>36</v>
      </c>
      <c r="C42" s="423"/>
      <c r="D42" s="124">
        <v>5</v>
      </c>
      <c r="E42" s="125"/>
      <c r="F42" s="121"/>
      <c r="G42" s="416" t="s">
        <v>116</v>
      </c>
      <c r="H42" s="452">
        <v>30.000000000010999</v>
      </c>
      <c r="I42" s="385">
        <f t="shared" si="9"/>
        <v>30.000000000010999</v>
      </c>
      <c r="J42" s="386">
        <f t="shared" si="10"/>
        <v>0</v>
      </c>
      <c r="K42" s="457">
        <f t="shared" si="11"/>
        <v>1.1999999999999999E-11</v>
      </c>
      <c r="L42" s="457">
        <f t="shared" si="12"/>
        <v>1.0999999999999999E-11</v>
      </c>
      <c r="M42" s="385">
        <f t="array" ref="M42">(IF(COUNT(N42,O42)&lt;1,SUM(N42,O42),SUM(LARGE((N42,O42),{1}))))+(IF(COUNT(P42,Q42)&lt;1,SUM(P42,Q42),SUM(LARGE((P42,Q42),{1}))))+R42</f>
        <v>30</v>
      </c>
      <c r="N42" s="407">
        <v>14</v>
      </c>
      <c r="O42" s="122">
        <v>16</v>
      </c>
      <c r="P42" s="408" t="s">
        <v>104</v>
      </c>
      <c r="Q42" s="389">
        <v>14</v>
      </c>
      <c r="R42" s="454"/>
      <c r="S42" s="456">
        <f t="array" ref="S42">(IF(COUNT(N42,O42)&lt;1,SUM(N42,O42),SUM(LARGE((N42,O42),{1}))))</f>
        <v>16</v>
      </c>
      <c r="T42" s="456">
        <f t="array" ref="T42">IF(COUNT(P42,Q42)&lt;1,SUM(P42,Q42),SUM(LARGE((P42,Q42),{1})))</f>
        <v>14</v>
      </c>
      <c r="U42" s="141">
        <f t="shared" si="13"/>
        <v>3</v>
      </c>
      <c r="V42" s="108">
        <f t="shared" si="14"/>
        <v>0</v>
      </c>
      <c r="W42" s="108">
        <f t="shared" si="15"/>
        <v>0</v>
      </c>
    </row>
    <row r="43" spans="1:23" x14ac:dyDescent="0.2">
      <c r="A43" s="388">
        <f t="shared" si="8"/>
        <v>36</v>
      </c>
      <c r="B43" s="453">
        <v>36</v>
      </c>
      <c r="C43" s="423">
        <v>32</v>
      </c>
      <c r="D43" s="119"/>
      <c r="E43" s="120"/>
      <c r="F43" s="121"/>
      <c r="G43" s="415" t="s">
        <v>111</v>
      </c>
      <c r="H43" s="452">
        <v>30.000000000010999</v>
      </c>
      <c r="I43" s="385">
        <f t="shared" si="9"/>
        <v>30.000000000010999</v>
      </c>
      <c r="J43" s="386">
        <f t="shared" si="10"/>
        <v>0</v>
      </c>
      <c r="K43" s="457">
        <f t="shared" si="11"/>
        <v>1.1999999999999999E-11</v>
      </c>
      <c r="L43" s="457">
        <f t="shared" si="12"/>
        <v>1.0999999999999999E-11</v>
      </c>
      <c r="M43" s="385">
        <f t="array" ref="M43">(IF(COUNT(N43,O43)&lt;1,SUM(N43,O43),SUM(LARGE((N43,O43),{1}))))+(IF(COUNT(P43,Q43)&lt;1,SUM(P43,Q43),SUM(LARGE((P43,Q43),{1}))))+R43</f>
        <v>30</v>
      </c>
      <c r="N43" s="407">
        <v>14</v>
      </c>
      <c r="O43" s="122">
        <v>16</v>
      </c>
      <c r="P43" s="408" t="s">
        <v>104</v>
      </c>
      <c r="Q43" s="389">
        <v>14</v>
      </c>
      <c r="R43" s="454"/>
      <c r="S43" s="456">
        <f t="array" ref="S43">(IF(COUNT(N43,O43)&lt;1,SUM(N43,O43),SUM(LARGE((N43,O43),{1}))))</f>
        <v>16</v>
      </c>
      <c r="T43" s="456">
        <f t="array" ref="T43">IF(COUNT(P43,Q43)&lt;1,SUM(P43,Q43),SUM(LARGE((P43,Q43),{1})))</f>
        <v>14</v>
      </c>
      <c r="U43" s="141">
        <f t="shared" si="13"/>
        <v>3</v>
      </c>
      <c r="V43" s="108">
        <f t="shared" si="14"/>
        <v>0</v>
      </c>
      <c r="W43" s="108">
        <f t="shared" si="15"/>
        <v>0</v>
      </c>
    </row>
    <row r="44" spans="1:23" x14ac:dyDescent="0.2">
      <c r="A44" s="388">
        <f t="shared" si="8"/>
        <v>38</v>
      </c>
      <c r="B44" s="453">
        <v>38</v>
      </c>
      <c r="C44" s="423"/>
      <c r="D44" s="124">
        <v>6</v>
      </c>
      <c r="E44" s="125">
        <v>3</v>
      </c>
      <c r="F44" s="118">
        <v>5</v>
      </c>
      <c r="G44" s="411" t="s">
        <v>143</v>
      </c>
      <c r="H44" s="452">
        <v>27.010000009999999</v>
      </c>
      <c r="I44" s="385">
        <f t="shared" si="9"/>
        <v>27.010000009999999</v>
      </c>
      <c r="J44" s="386">
        <f t="shared" si="10"/>
        <v>0.01</v>
      </c>
      <c r="K44" s="457">
        <f t="shared" si="11"/>
        <v>1.0000000101E-8</v>
      </c>
      <c r="L44" s="457">
        <f t="shared" si="12"/>
        <v>1.0000000101E-8</v>
      </c>
      <c r="M44" s="385">
        <f t="array" ref="M44">(IF(COUNT(N44,O44)&lt;1,SUM(N44,O44),SUM(LARGE((N44,O44),{1}))))+(IF(COUNT(P44,Q44)&lt;1,SUM(P44,Q44),SUM(LARGE((P44,Q44),{1}))))+R44</f>
        <v>27</v>
      </c>
      <c r="N44" s="122">
        <v>4</v>
      </c>
      <c r="O44" s="408" t="s">
        <v>104</v>
      </c>
      <c r="P44" s="408" t="s">
        <v>104</v>
      </c>
      <c r="Q44" s="389">
        <v>22</v>
      </c>
      <c r="R44" s="454">
        <v>1</v>
      </c>
      <c r="S44" s="456">
        <f t="array" ref="S44">(IF(COUNT(N44,O44)&lt;1,SUM(N44,O44),SUM(LARGE((N44,O44),{1}))))</f>
        <v>4</v>
      </c>
      <c r="T44" s="456">
        <f t="array" ref="T44">IF(COUNT(P44,Q44)&lt;1,SUM(P44,Q44),SUM(LARGE((P44,Q44),{1})))</f>
        <v>22</v>
      </c>
      <c r="U44" s="141">
        <f t="shared" si="13"/>
        <v>3</v>
      </c>
      <c r="V44" s="108">
        <f t="shared" si="14"/>
        <v>0</v>
      </c>
      <c r="W44" s="108">
        <f t="shared" si="15"/>
        <v>0</v>
      </c>
    </row>
    <row r="45" spans="1:23" x14ac:dyDescent="0.2">
      <c r="A45" s="388">
        <f t="shared" si="8"/>
        <v>38</v>
      </c>
      <c r="B45" s="453">
        <v>38</v>
      </c>
      <c r="C45" s="423"/>
      <c r="D45" s="124">
        <v>6</v>
      </c>
      <c r="E45" s="125">
        <v>3</v>
      </c>
      <c r="F45" s="118">
        <v>5</v>
      </c>
      <c r="G45" s="411" t="s">
        <v>158</v>
      </c>
      <c r="H45" s="452">
        <v>27.010000009999999</v>
      </c>
      <c r="I45" s="385">
        <f t="shared" si="9"/>
        <v>27.010000009999999</v>
      </c>
      <c r="J45" s="386">
        <f t="shared" si="10"/>
        <v>0.01</v>
      </c>
      <c r="K45" s="457">
        <f t="shared" si="11"/>
        <v>1.0000000101E-8</v>
      </c>
      <c r="L45" s="457">
        <f t="shared" si="12"/>
        <v>1.0000000101E-8</v>
      </c>
      <c r="M45" s="385">
        <f t="array" ref="M45">(IF(COUNT(N45,O45)&lt;1,SUM(N45,O45),SUM(LARGE((N45,O45),{1}))))+(IF(COUNT(P45,Q45)&lt;1,SUM(P45,Q45),SUM(LARGE((P45,Q45),{1}))))+R45</f>
        <v>27</v>
      </c>
      <c r="N45" s="122">
        <v>4</v>
      </c>
      <c r="O45" s="408" t="s">
        <v>104</v>
      </c>
      <c r="P45" s="408" t="s">
        <v>104</v>
      </c>
      <c r="Q45" s="389">
        <v>22</v>
      </c>
      <c r="R45" s="454">
        <v>1</v>
      </c>
      <c r="S45" s="456">
        <f t="array" ref="S45">(IF(COUNT(N45,O45)&lt;1,SUM(N45,O45),SUM(LARGE((N45,O45),{1}))))</f>
        <v>4</v>
      </c>
      <c r="T45" s="456">
        <f t="array" ref="T45">IF(COUNT(P45,Q45)&lt;1,SUM(P45,Q45),SUM(LARGE((P45,Q45),{1})))</f>
        <v>22</v>
      </c>
      <c r="U45" s="141">
        <f t="shared" si="13"/>
        <v>3</v>
      </c>
      <c r="V45" s="108">
        <f t="shared" si="14"/>
        <v>0</v>
      </c>
      <c r="W45" s="108">
        <f t="shared" si="15"/>
        <v>0</v>
      </c>
    </row>
    <row r="46" spans="1:23" x14ac:dyDescent="0.2">
      <c r="A46" s="388">
        <f t="shared" si="8"/>
        <v>40</v>
      </c>
      <c r="B46" s="453">
        <v>40</v>
      </c>
      <c r="C46" s="423">
        <v>33</v>
      </c>
      <c r="D46" s="119"/>
      <c r="E46" s="120"/>
      <c r="F46" s="121"/>
      <c r="G46" s="415" t="s">
        <v>142</v>
      </c>
      <c r="H46" s="452">
        <v>26.000001000000001</v>
      </c>
      <c r="I46" s="385">
        <f t="shared" si="9"/>
        <v>26.000001000000001</v>
      </c>
      <c r="J46" s="386">
        <f t="shared" si="10"/>
        <v>0</v>
      </c>
      <c r="K46" s="457">
        <f t="shared" si="11"/>
        <v>9.9999999999999995E-7</v>
      </c>
      <c r="L46" s="457">
        <f t="shared" si="12"/>
        <v>9.9999999999999995E-7</v>
      </c>
      <c r="M46" s="385">
        <f t="array" ref="M46">(IF(COUNT(N46,O46)&lt;1,SUM(N46,O46),SUM(LARGE((N46,O46),{1}))))+(IF(COUNT(P46,Q46)&lt;1,SUM(P46,Q46),SUM(LARGE((P46,Q46),{1}))))+R46</f>
        <v>26</v>
      </c>
      <c r="N46" s="408" t="s">
        <v>104</v>
      </c>
      <c r="O46" s="408" t="s">
        <v>104</v>
      </c>
      <c r="P46" s="122">
        <v>26</v>
      </c>
      <c r="Q46" s="390"/>
      <c r="R46" s="454"/>
      <c r="S46" s="456">
        <f t="array" ref="S46">(IF(COUNT(N46,O46)&lt;1,SUM(N46,O46),SUM(LARGE((N46,O46),{1}))))</f>
        <v>0</v>
      </c>
      <c r="T46" s="456">
        <f t="array" ref="T46">IF(COUNT(P46,Q46)&lt;1,SUM(P46,Q46),SUM(LARGE((P46,Q46),{1})))</f>
        <v>26</v>
      </c>
      <c r="U46" s="141">
        <f t="shared" si="13"/>
        <v>1</v>
      </c>
      <c r="V46" s="108">
        <f t="shared" si="14"/>
        <v>0</v>
      </c>
      <c r="W46" s="108">
        <f t="shared" si="15"/>
        <v>0</v>
      </c>
    </row>
    <row r="47" spans="1:23" x14ac:dyDescent="0.2">
      <c r="A47" s="388">
        <f t="shared" si="8"/>
        <v>40</v>
      </c>
      <c r="B47" s="453">
        <v>40</v>
      </c>
      <c r="C47" s="423">
        <v>34</v>
      </c>
      <c r="D47" s="119"/>
      <c r="E47" s="120">
        <v>5</v>
      </c>
      <c r="F47" s="121"/>
      <c r="G47" s="421" t="s">
        <v>148</v>
      </c>
      <c r="H47" s="452">
        <v>26.000001000000001</v>
      </c>
      <c r="I47" s="385">
        <f t="shared" si="9"/>
        <v>26.000001000000001</v>
      </c>
      <c r="J47" s="386">
        <f t="shared" si="10"/>
        <v>0</v>
      </c>
      <c r="K47" s="457">
        <f t="shared" si="11"/>
        <v>9.9999999999999995E-7</v>
      </c>
      <c r="L47" s="457">
        <f t="shared" si="12"/>
        <v>9.9999999999999995E-7</v>
      </c>
      <c r="M47" s="385">
        <f t="array" ref="M47">(IF(COUNT(N47,O47)&lt;1,SUM(N47,O47),SUM(LARGE((N47,O47),{1}))))+(IF(COUNT(P47,Q47)&lt;1,SUM(P47,Q47),SUM(LARGE((P47,Q47),{1}))))+R47</f>
        <v>26</v>
      </c>
      <c r="N47" s="408" t="s">
        <v>104</v>
      </c>
      <c r="O47" s="408" t="s">
        <v>104</v>
      </c>
      <c r="P47" s="122">
        <v>26</v>
      </c>
      <c r="Q47" s="390"/>
      <c r="R47" s="454"/>
      <c r="S47" s="456">
        <f t="array" ref="S47">(IF(COUNT(N47,O47)&lt;1,SUM(N47,O47),SUM(LARGE((N47,O47),{1}))))</f>
        <v>0</v>
      </c>
      <c r="T47" s="456">
        <f t="array" ref="T47">IF(COUNT(P47,Q47)&lt;1,SUM(P47,Q47),SUM(LARGE((P47,Q47),{1})))</f>
        <v>26</v>
      </c>
      <c r="U47" s="141">
        <f t="shared" si="13"/>
        <v>1</v>
      </c>
      <c r="V47" s="108">
        <f t="shared" si="14"/>
        <v>0</v>
      </c>
      <c r="W47" s="108">
        <f t="shared" si="15"/>
        <v>0</v>
      </c>
    </row>
    <row r="48" spans="1:23" x14ac:dyDescent="0.2">
      <c r="A48" s="388">
        <f t="shared" si="8"/>
        <v>40</v>
      </c>
      <c r="B48" s="453">
        <v>40</v>
      </c>
      <c r="C48" s="423">
        <v>35</v>
      </c>
      <c r="D48" s="119"/>
      <c r="E48" s="120"/>
      <c r="F48" s="121"/>
      <c r="G48" s="415" t="s">
        <v>161</v>
      </c>
      <c r="H48" s="452">
        <v>26.000001000000001</v>
      </c>
      <c r="I48" s="385">
        <f t="shared" si="9"/>
        <v>26.000001000000001</v>
      </c>
      <c r="J48" s="386">
        <f t="shared" si="10"/>
        <v>0</v>
      </c>
      <c r="K48" s="457">
        <f t="shared" si="11"/>
        <v>9.9999999999999995E-7</v>
      </c>
      <c r="L48" s="457">
        <f t="shared" si="12"/>
        <v>9.9999999999999995E-7</v>
      </c>
      <c r="M48" s="385">
        <f t="array" ref="M48">(IF(COUNT(N48,O48)&lt;1,SUM(N48,O48),SUM(LARGE((N48,O48),{1}))))+(IF(COUNT(P48,Q48)&lt;1,SUM(P48,Q48),SUM(LARGE((P48,Q48),{1}))))+R48</f>
        <v>26</v>
      </c>
      <c r="N48" s="408" t="s">
        <v>104</v>
      </c>
      <c r="O48" s="408" t="s">
        <v>104</v>
      </c>
      <c r="P48" s="122">
        <v>26</v>
      </c>
      <c r="Q48" s="390"/>
      <c r="R48" s="454"/>
      <c r="S48" s="456">
        <f t="array" ref="S48">(IF(COUNT(N48,O48)&lt;1,SUM(N48,O48),SUM(LARGE((N48,O48),{1}))))</f>
        <v>0</v>
      </c>
      <c r="T48" s="456">
        <f t="array" ref="T48">IF(COUNT(P48,Q48)&lt;1,SUM(P48,Q48),SUM(LARGE((P48,Q48),{1})))</f>
        <v>26</v>
      </c>
      <c r="U48" s="141">
        <f t="shared" si="13"/>
        <v>1</v>
      </c>
      <c r="V48" s="108">
        <f t="shared" si="14"/>
        <v>0</v>
      </c>
      <c r="W48" s="108">
        <f t="shared" si="15"/>
        <v>0</v>
      </c>
    </row>
    <row r="49" spans="1:23" x14ac:dyDescent="0.2">
      <c r="A49" s="388">
        <f t="shared" si="8"/>
        <v>43</v>
      </c>
      <c r="B49" s="453">
        <v>43</v>
      </c>
      <c r="C49" s="423">
        <v>37</v>
      </c>
      <c r="D49" s="119"/>
      <c r="E49" s="120"/>
      <c r="F49" s="121"/>
      <c r="G49" s="415" t="s">
        <v>130</v>
      </c>
      <c r="H49" s="452">
        <v>25.0100000001</v>
      </c>
      <c r="I49" s="385">
        <f t="shared" si="9"/>
        <v>25.0100000001</v>
      </c>
      <c r="J49" s="386">
        <f t="shared" si="10"/>
        <v>0.01</v>
      </c>
      <c r="K49" s="457">
        <f t="shared" si="11"/>
        <v>1.00000101E-10</v>
      </c>
      <c r="L49" s="457">
        <f t="shared" si="12"/>
        <v>1.00000101E-10</v>
      </c>
      <c r="M49" s="385">
        <f t="array" ref="M49">(IF(COUNT(N49,O49)&lt;1,SUM(N49,O49),SUM(LARGE((N49,O49),{1}))))+(IF(COUNT(P49,Q49)&lt;1,SUM(P49,Q49),SUM(LARGE((P49,Q49),{1}))))+R49</f>
        <v>25</v>
      </c>
      <c r="N49" s="408" t="s">
        <v>104</v>
      </c>
      <c r="O49" s="122">
        <v>6</v>
      </c>
      <c r="P49" s="408" t="s">
        <v>104</v>
      </c>
      <c r="Q49" s="389">
        <v>18</v>
      </c>
      <c r="R49" s="454">
        <v>1</v>
      </c>
      <c r="S49" s="456">
        <f t="array" ref="S49">(IF(COUNT(N49,O49)&lt;1,SUM(N49,O49),SUM(LARGE((N49,O49),{1}))))</f>
        <v>6</v>
      </c>
      <c r="T49" s="456">
        <f t="array" ref="T49">IF(COUNT(P49,Q49)&lt;1,SUM(P49,Q49),SUM(LARGE((P49,Q49),{1})))</f>
        <v>18</v>
      </c>
      <c r="U49" s="141">
        <f t="shared" si="13"/>
        <v>3</v>
      </c>
      <c r="V49" s="108">
        <f t="shared" si="14"/>
        <v>0</v>
      </c>
      <c r="W49" s="108">
        <f t="shared" si="15"/>
        <v>0</v>
      </c>
    </row>
    <row r="50" spans="1:23" x14ac:dyDescent="0.2">
      <c r="A50" s="388">
        <f t="shared" si="8"/>
        <v>44</v>
      </c>
      <c r="B50" s="453">
        <v>44</v>
      </c>
      <c r="C50" s="423"/>
      <c r="D50" s="124">
        <v>8</v>
      </c>
      <c r="E50" s="125"/>
      <c r="F50" s="121"/>
      <c r="G50" s="416" t="s">
        <v>140</v>
      </c>
      <c r="H50" s="452">
        <v>24.000000100000001</v>
      </c>
      <c r="I50" s="385">
        <f t="shared" si="9"/>
        <v>24.000000100000001</v>
      </c>
      <c r="J50" s="386">
        <f t="shared" si="10"/>
        <v>0</v>
      </c>
      <c r="K50" s="457">
        <f t="shared" si="11"/>
        <v>9.9999999999999995E-8</v>
      </c>
      <c r="L50" s="457">
        <f t="shared" si="12"/>
        <v>9.9999999999999995E-8</v>
      </c>
      <c r="M50" s="385">
        <f t="array" ref="M50">(IF(COUNT(N50,O50)&lt;1,SUM(N50,O50),SUM(LARGE((N50,O50),{1}))))+(IF(COUNT(P50,Q50)&lt;1,SUM(P50,Q50),SUM(LARGE((P50,Q50),{1}))))+R50</f>
        <v>24</v>
      </c>
      <c r="N50" s="408" t="s">
        <v>104</v>
      </c>
      <c r="O50" s="408" t="s">
        <v>104</v>
      </c>
      <c r="P50" s="122">
        <v>24</v>
      </c>
      <c r="Q50" s="390"/>
      <c r="R50" s="123"/>
      <c r="S50" s="456">
        <f t="array" ref="S50">(IF(COUNT(N50,O50)&lt;1,SUM(N50,O50),SUM(LARGE((N50,O50),{1}))))</f>
        <v>0</v>
      </c>
      <c r="T50" s="456">
        <f t="array" ref="T50">IF(COUNT(P50,Q50)&lt;1,SUM(P50,Q50),SUM(LARGE((P50,Q50),{1})))</f>
        <v>24</v>
      </c>
      <c r="U50" s="141">
        <f t="shared" si="13"/>
        <v>1</v>
      </c>
      <c r="V50" s="108">
        <f t="shared" si="14"/>
        <v>0</v>
      </c>
      <c r="W50" s="108">
        <f t="shared" si="15"/>
        <v>0</v>
      </c>
    </row>
    <row r="51" spans="1:23" x14ac:dyDescent="0.2">
      <c r="A51" s="388">
        <f t="shared" si="8"/>
        <v>45</v>
      </c>
      <c r="B51" s="453">
        <v>45</v>
      </c>
      <c r="C51" s="423">
        <v>38</v>
      </c>
      <c r="D51" s="119"/>
      <c r="E51" s="120"/>
      <c r="F51" s="121"/>
      <c r="G51" s="415" t="s">
        <v>139</v>
      </c>
      <c r="H51" s="452">
        <v>24.000000000100002</v>
      </c>
      <c r="I51" s="385">
        <f t="shared" si="9"/>
        <v>24.000000000100002</v>
      </c>
      <c r="J51" s="386">
        <f t="shared" si="10"/>
        <v>0</v>
      </c>
      <c r="K51" s="457">
        <f t="shared" si="11"/>
        <v>1.0000010000000001E-10</v>
      </c>
      <c r="L51" s="457">
        <f t="shared" si="12"/>
        <v>1.0000010000000001E-10</v>
      </c>
      <c r="M51" s="385">
        <f t="array" ref="M51">(IF(COUNT(N51,O51)&lt;1,SUM(N51,O51),SUM(LARGE((N51,O51),{1}))))+(IF(COUNT(P51,Q51)&lt;1,SUM(P51,Q51),SUM(LARGE((P51,Q51),{1}))))+R51</f>
        <v>24</v>
      </c>
      <c r="N51" s="408" t="s">
        <v>104</v>
      </c>
      <c r="O51" s="122">
        <v>6</v>
      </c>
      <c r="P51" s="408" t="s">
        <v>104</v>
      </c>
      <c r="Q51" s="389">
        <v>18</v>
      </c>
      <c r="R51" s="123"/>
      <c r="S51" s="456">
        <f t="array" ref="S51">(IF(COUNT(N51,O51)&lt;1,SUM(N51,O51),SUM(LARGE((N51,O51),{1}))))</f>
        <v>6</v>
      </c>
      <c r="T51" s="456">
        <f t="array" ref="T51">IF(COUNT(P51,Q51)&lt;1,SUM(P51,Q51),SUM(LARGE((P51,Q51),{1})))</f>
        <v>18</v>
      </c>
      <c r="U51" s="141">
        <f t="shared" si="13"/>
        <v>2</v>
      </c>
      <c r="V51" s="108">
        <f t="shared" si="14"/>
        <v>0</v>
      </c>
      <c r="W51" s="108">
        <f t="shared" si="15"/>
        <v>0</v>
      </c>
    </row>
    <row r="52" spans="1:23" x14ac:dyDescent="0.2">
      <c r="A52" s="388">
        <f t="shared" si="8"/>
        <v>46</v>
      </c>
      <c r="B52" s="453">
        <v>46</v>
      </c>
      <c r="C52" s="423">
        <v>39</v>
      </c>
      <c r="D52" s="119"/>
      <c r="E52" s="120"/>
      <c r="F52" s="121"/>
      <c r="G52" s="415" t="s">
        <v>177</v>
      </c>
      <c r="H52" s="452">
        <v>18.000000000099998</v>
      </c>
      <c r="I52" s="385">
        <f t="shared" si="9"/>
        <v>18.000000000099998</v>
      </c>
      <c r="J52" s="386">
        <f t="shared" si="10"/>
        <v>0</v>
      </c>
      <c r="K52" s="457">
        <f t="shared" si="11"/>
        <v>1E-10</v>
      </c>
      <c r="L52" s="457">
        <f t="shared" si="12"/>
        <v>1E-10</v>
      </c>
      <c r="M52" s="385">
        <f t="array" ref="M52">(IF(COUNT(N52,O52)&lt;1,SUM(N52,O52),SUM(LARGE((N52,O52),{1}))))+(IF(COUNT(P52,Q52)&lt;1,SUM(P52,Q52),SUM(LARGE((P52,Q52),{1}))))+R52</f>
        <v>18</v>
      </c>
      <c r="N52" s="408" t="s">
        <v>104</v>
      </c>
      <c r="O52" s="122">
        <v>18</v>
      </c>
      <c r="P52" s="408" t="s">
        <v>104</v>
      </c>
      <c r="Q52" s="390"/>
      <c r="R52" s="123"/>
      <c r="S52" s="456">
        <f t="array" ref="S52">(IF(COUNT(N52,O52)&lt;1,SUM(N52,O52),SUM(LARGE((N52,O52),{1}))))</f>
        <v>18</v>
      </c>
      <c r="T52" s="456">
        <f t="array" ref="T52">IF(COUNT(P52,Q52)&lt;1,SUM(P52,Q52),SUM(LARGE((P52,Q52),{1})))</f>
        <v>0</v>
      </c>
      <c r="U52" s="141">
        <f t="shared" si="13"/>
        <v>1</v>
      </c>
      <c r="V52" s="108">
        <f t="shared" si="14"/>
        <v>0</v>
      </c>
      <c r="W52" s="108">
        <f t="shared" si="15"/>
        <v>0</v>
      </c>
    </row>
    <row r="53" spans="1:23" x14ac:dyDescent="0.2">
      <c r="A53" s="388">
        <f t="shared" si="8"/>
        <v>46</v>
      </c>
      <c r="B53" s="453">
        <v>46</v>
      </c>
      <c r="C53" s="423"/>
      <c r="D53" s="124">
        <v>9</v>
      </c>
      <c r="E53" s="125"/>
      <c r="F53" s="121"/>
      <c r="G53" s="416" t="s">
        <v>149</v>
      </c>
      <c r="H53" s="452">
        <v>18.000000000099998</v>
      </c>
      <c r="I53" s="385">
        <f t="shared" si="9"/>
        <v>18.000000000099998</v>
      </c>
      <c r="J53" s="386">
        <f t="shared" si="10"/>
        <v>0</v>
      </c>
      <c r="K53" s="457">
        <f t="shared" si="11"/>
        <v>1E-10</v>
      </c>
      <c r="L53" s="457">
        <f t="shared" si="12"/>
        <v>1E-10</v>
      </c>
      <c r="M53" s="385">
        <f t="array" ref="M53">(IF(COUNT(N53,O53)&lt;1,SUM(N53,O53),SUM(LARGE((N53,O53),{1}))))+(IF(COUNT(P53,Q53)&lt;1,SUM(P53,Q53),SUM(LARGE((P53,Q53),{1}))))+R53</f>
        <v>18</v>
      </c>
      <c r="N53" s="408" t="s">
        <v>104</v>
      </c>
      <c r="O53" s="123"/>
      <c r="P53" s="408" t="s">
        <v>104</v>
      </c>
      <c r="Q53" s="389">
        <v>18</v>
      </c>
      <c r="R53" s="123"/>
      <c r="S53" s="456">
        <f t="array" ref="S53">(IF(COUNT(N53,O53)&lt;1,SUM(N53,O53),SUM(LARGE((N53,O53),{1}))))</f>
        <v>0</v>
      </c>
      <c r="T53" s="456">
        <f t="array" ref="T53">IF(COUNT(P53,Q53)&lt;1,SUM(P53,Q53),SUM(LARGE((P53,Q53),{1})))</f>
        <v>18</v>
      </c>
      <c r="U53" s="141">
        <f t="shared" si="13"/>
        <v>1</v>
      </c>
      <c r="V53" s="108">
        <f t="shared" si="14"/>
        <v>0</v>
      </c>
      <c r="W53" s="108">
        <f t="shared" si="15"/>
        <v>0</v>
      </c>
    </row>
    <row r="54" spans="1:23" x14ac:dyDescent="0.2">
      <c r="A54" s="388">
        <f t="shared" si="8"/>
        <v>48</v>
      </c>
      <c r="B54" s="453">
        <v>48</v>
      </c>
      <c r="C54" s="423"/>
      <c r="D54" s="124">
        <v>10</v>
      </c>
      <c r="E54" s="125"/>
      <c r="F54" s="121"/>
      <c r="G54" s="416" t="s">
        <v>150</v>
      </c>
      <c r="H54" s="452">
        <v>14.000000000001</v>
      </c>
      <c r="I54" s="385">
        <f t="shared" si="9"/>
        <v>14.000000000001</v>
      </c>
      <c r="J54" s="386">
        <f t="shared" si="10"/>
        <v>0</v>
      </c>
      <c r="K54" s="457">
        <f t="shared" si="11"/>
        <v>9.9999999999999998E-13</v>
      </c>
      <c r="L54" s="457">
        <f t="shared" si="12"/>
        <v>9.9999999999999998E-13</v>
      </c>
      <c r="M54" s="385">
        <f t="array" ref="M54">(IF(COUNT(N54,O54)&lt;1,SUM(N54,O54),SUM(LARGE((N54,O54),{1}))))+(IF(COUNT(P54,Q54)&lt;1,SUM(P54,Q54),SUM(LARGE((P54,Q54),{1}))))+R54</f>
        <v>14</v>
      </c>
      <c r="N54" s="408" t="s">
        <v>104</v>
      </c>
      <c r="O54" s="122">
        <v>14</v>
      </c>
      <c r="P54" s="408" t="s">
        <v>104</v>
      </c>
      <c r="Q54" s="390"/>
      <c r="R54" s="123"/>
      <c r="S54" s="456">
        <f t="array" ref="S54">(IF(COUNT(N54,O54)&lt;1,SUM(N54,O54),SUM(LARGE((N54,O54),{1}))))</f>
        <v>14</v>
      </c>
      <c r="T54" s="456">
        <f t="array" ref="T54">IF(COUNT(P54,Q54)&lt;1,SUM(P54,Q54),SUM(LARGE((P54,Q54),{1})))</f>
        <v>0</v>
      </c>
      <c r="U54" s="141">
        <f t="shared" si="13"/>
        <v>1</v>
      </c>
      <c r="V54" s="108">
        <f t="shared" si="14"/>
        <v>0</v>
      </c>
      <c r="W54" s="108">
        <f t="shared" si="15"/>
        <v>0</v>
      </c>
    </row>
    <row r="55" spans="1:23" x14ac:dyDescent="0.2">
      <c r="A55" s="388">
        <f t="shared" si="8"/>
        <v>49</v>
      </c>
      <c r="B55" s="453">
        <v>49</v>
      </c>
      <c r="C55" s="423">
        <v>36</v>
      </c>
      <c r="D55" s="119"/>
      <c r="E55" s="120"/>
      <c r="F55" s="118">
        <v>7</v>
      </c>
      <c r="G55" s="417" t="s">
        <v>152</v>
      </c>
      <c r="H55" s="452">
        <v>14.000000000000099</v>
      </c>
      <c r="I55" s="385">
        <f t="shared" si="9"/>
        <v>14.000000000000099</v>
      </c>
      <c r="J55" s="386">
        <f t="shared" si="10"/>
        <v>0</v>
      </c>
      <c r="K55" s="457">
        <f t="shared" si="11"/>
        <v>1.0001000000000001E-13</v>
      </c>
      <c r="L55" s="457">
        <f t="shared" si="12"/>
        <v>1.0001000000000001E-13</v>
      </c>
      <c r="M55" s="385">
        <f t="array" ref="M55">(IF(COUNT(N55,O55)&lt;1,SUM(N55,O55),SUM(LARGE((N55,O55),{1}))))+(IF(COUNT(P55,Q55)&lt;1,SUM(P55,Q55),SUM(LARGE((P55,Q55),{1}))))+R55</f>
        <v>14</v>
      </c>
      <c r="N55" s="122">
        <v>2</v>
      </c>
      <c r="O55" s="408" t="s">
        <v>104</v>
      </c>
      <c r="P55" s="408" t="s">
        <v>104</v>
      </c>
      <c r="Q55" s="389">
        <v>12</v>
      </c>
      <c r="R55" s="454"/>
      <c r="S55" s="456">
        <f t="array" ref="S55">(IF(COUNT(N55,O55)&lt;1,SUM(N55,O55),SUM(LARGE((N55,O55),{1}))))</f>
        <v>2</v>
      </c>
      <c r="T55" s="456">
        <f t="array" ref="T55">IF(COUNT(P55,Q55)&lt;1,SUM(P55,Q55),SUM(LARGE((P55,Q55),{1})))</f>
        <v>12</v>
      </c>
      <c r="U55" s="141">
        <f t="shared" si="13"/>
        <v>2</v>
      </c>
      <c r="V55" s="108">
        <f t="shared" si="14"/>
        <v>0</v>
      </c>
      <c r="W55" s="108">
        <f t="shared" si="15"/>
        <v>0</v>
      </c>
    </row>
    <row r="56" spans="1:23" x14ac:dyDescent="0.2">
      <c r="A56" s="388">
        <f t="shared" si="8"/>
        <v>50</v>
      </c>
      <c r="B56" s="453">
        <v>50</v>
      </c>
      <c r="C56" s="423">
        <v>40</v>
      </c>
      <c r="D56" s="119"/>
      <c r="E56" s="120"/>
      <c r="F56" s="118">
        <v>8</v>
      </c>
      <c r="G56" s="417" t="s">
        <v>178</v>
      </c>
      <c r="H56" s="452">
        <v>12.000000000000099</v>
      </c>
      <c r="I56" s="385">
        <f t="shared" si="9"/>
        <v>12.000000000000099</v>
      </c>
      <c r="J56" s="386">
        <f t="shared" si="10"/>
        <v>0</v>
      </c>
      <c r="K56" s="457">
        <f t="shared" si="11"/>
        <v>1E-13</v>
      </c>
      <c r="L56" s="457">
        <f t="shared" si="12"/>
        <v>1E-13</v>
      </c>
      <c r="M56" s="385">
        <f t="array" ref="M56">(IF(COUNT(N56,O56)&lt;1,SUM(N56,O56),SUM(LARGE((N56,O56),{1}))))+(IF(COUNT(P56,Q56)&lt;1,SUM(P56,Q56),SUM(LARGE((P56,Q56),{1}))))+R56</f>
        <v>12</v>
      </c>
      <c r="N56" s="408" t="s">
        <v>104</v>
      </c>
      <c r="O56" s="123"/>
      <c r="P56" s="408" t="s">
        <v>104</v>
      </c>
      <c r="Q56" s="389">
        <v>12</v>
      </c>
      <c r="R56" s="123"/>
      <c r="S56" s="456">
        <f t="array" ref="S56">(IF(COUNT(N56,O56)&lt;1,SUM(N56,O56),SUM(LARGE((N56,O56),{1}))))</f>
        <v>0</v>
      </c>
      <c r="T56" s="456">
        <f t="array" ref="T56">IF(COUNT(P56,Q56)&lt;1,SUM(P56,Q56),SUM(LARGE((P56,Q56),{1})))</f>
        <v>12</v>
      </c>
      <c r="U56" s="141">
        <f t="shared" si="13"/>
        <v>1</v>
      </c>
      <c r="V56" s="108">
        <f t="shared" si="14"/>
        <v>0</v>
      </c>
      <c r="W56" s="108">
        <f t="shared" si="15"/>
        <v>0</v>
      </c>
    </row>
    <row r="57" spans="1:23" x14ac:dyDescent="0.2">
      <c r="A57" s="388">
        <f t="shared" si="8"/>
        <v>50</v>
      </c>
      <c r="B57" s="453">
        <v>50</v>
      </c>
      <c r="C57" s="423">
        <v>41</v>
      </c>
      <c r="D57" s="119"/>
      <c r="E57" s="120"/>
      <c r="F57" s="118">
        <v>8</v>
      </c>
      <c r="G57" s="417" t="s">
        <v>179</v>
      </c>
      <c r="H57" s="452">
        <v>12.000000000000099</v>
      </c>
      <c r="I57" s="385">
        <f t="shared" si="9"/>
        <v>12.000000000000099</v>
      </c>
      <c r="J57" s="386">
        <f t="shared" si="10"/>
        <v>0</v>
      </c>
      <c r="K57" s="457">
        <f t="shared" si="11"/>
        <v>1E-13</v>
      </c>
      <c r="L57" s="457">
        <f t="shared" si="12"/>
        <v>1E-13</v>
      </c>
      <c r="M57" s="385">
        <f t="array" ref="M57">(IF(COUNT(N57,O57)&lt;1,SUM(N57,O57),SUM(LARGE((N57,O57),{1}))))+(IF(COUNT(P57,Q57)&lt;1,SUM(P57,Q57),SUM(LARGE((P57,Q57),{1}))))+R57</f>
        <v>12</v>
      </c>
      <c r="N57" s="408" t="s">
        <v>104</v>
      </c>
      <c r="O57" s="123"/>
      <c r="P57" s="408" t="s">
        <v>104</v>
      </c>
      <c r="Q57" s="389">
        <v>12</v>
      </c>
      <c r="R57" s="123"/>
      <c r="S57" s="456">
        <f t="array" ref="S57">(IF(COUNT(N57,O57)&lt;1,SUM(N57,O57),SUM(LARGE((N57,O57),{1}))))</f>
        <v>0</v>
      </c>
      <c r="T57" s="456">
        <f t="array" ref="T57">IF(COUNT(P57,Q57)&lt;1,SUM(P57,Q57),SUM(LARGE((P57,Q57),{1})))</f>
        <v>12</v>
      </c>
      <c r="U57" s="141">
        <f t="shared" si="13"/>
        <v>1</v>
      </c>
      <c r="V57" s="108">
        <f t="shared" si="14"/>
        <v>0</v>
      </c>
      <c r="W57" s="108">
        <f t="shared" si="15"/>
        <v>0</v>
      </c>
    </row>
    <row r="58" spans="1:23" x14ac:dyDescent="0.2">
      <c r="A58" s="388">
        <f t="shared" si="8"/>
        <v>52</v>
      </c>
      <c r="B58" s="453">
        <v>52</v>
      </c>
      <c r="C58" s="423">
        <v>42</v>
      </c>
      <c r="D58" s="119"/>
      <c r="E58" s="120"/>
      <c r="F58" s="121"/>
      <c r="G58" s="415" t="s">
        <v>180</v>
      </c>
      <c r="H58" s="452">
        <v>10.000000000000011</v>
      </c>
      <c r="I58" s="385">
        <f t="shared" si="9"/>
        <v>10.000000000000011</v>
      </c>
      <c r="J58" s="386">
        <f t="shared" si="10"/>
        <v>0</v>
      </c>
      <c r="K58" s="457">
        <f t="shared" si="11"/>
        <v>1E-14</v>
      </c>
      <c r="L58" s="457">
        <f t="shared" si="12"/>
        <v>1E-14</v>
      </c>
      <c r="M58" s="385">
        <f t="array" ref="M58">(IF(COUNT(N58,O58)&lt;1,SUM(N58,O58),SUM(LARGE((N58,O58),{1}))))+(IF(COUNT(P58,Q58)&lt;1,SUM(P58,Q58),SUM(LARGE((P58,Q58),{1}))))+R58</f>
        <v>10</v>
      </c>
      <c r="N58" s="408" t="s">
        <v>104</v>
      </c>
      <c r="O58" s="123"/>
      <c r="P58" s="408" t="s">
        <v>104</v>
      </c>
      <c r="Q58" s="389">
        <v>10</v>
      </c>
      <c r="R58" s="123"/>
      <c r="S58" s="456">
        <f t="array" ref="S58">(IF(COUNT(N58,O58)&lt;1,SUM(N58,O58),SUM(LARGE((N58,O58),{1}))))</f>
        <v>0</v>
      </c>
      <c r="T58" s="456">
        <f t="array" ref="T58">IF(COUNT(P58,Q58)&lt;1,SUM(P58,Q58),SUM(LARGE((P58,Q58),{1})))</f>
        <v>10</v>
      </c>
      <c r="U58" s="141">
        <f t="shared" si="13"/>
        <v>1</v>
      </c>
      <c r="V58" s="108">
        <f t="shared" si="14"/>
        <v>0</v>
      </c>
      <c r="W58" s="108">
        <f t="shared" si="15"/>
        <v>0</v>
      </c>
    </row>
    <row r="59" spans="1:23" x14ac:dyDescent="0.2">
      <c r="A59" s="388">
        <f t="shared" si="8"/>
        <v>53</v>
      </c>
      <c r="B59" s="453">
        <v>53</v>
      </c>
      <c r="C59" s="423">
        <v>43</v>
      </c>
      <c r="D59" s="119"/>
      <c r="E59" s="120"/>
      <c r="F59" s="118">
        <v>10</v>
      </c>
      <c r="G59" s="417" t="s">
        <v>181</v>
      </c>
      <c r="H59" s="452">
        <v>1</v>
      </c>
      <c r="I59" s="385">
        <f t="shared" si="9"/>
        <v>1</v>
      </c>
      <c r="J59" s="386">
        <f t="shared" si="10"/>
        <v>0</v>
      </c>
      <c r="K59" s="457">
        <f t="shared" si="11"/>
        <v>1.0000000000000001E-18</v>
      </c>
      <c r="L59" s="457">
        <f t="shared" si="12"/>
        <v>1.0000000000000001E-18</v>
      </c>
      <c r="M59" s="385">
        <f t="array" ref="M59">(IF(COUNT(N59,O59)&lt;1,SUM(N59,O59),SUM(LARGE((N59,O59),{1}))))+(IF(COUNT(P59,Q59)&lt;1,SUM(P59,Q59),SUM(LARGE((P59,Q59),{1}))))+R59</f>
        <v>1</v>
      </c>
      <c r="N59" s="122">
        <v>1</v>
      </c>
      <c r="O59" s="408" t="s">
        <v>104</v>
      </c>
      <c r="P59" s="408" t="s">
        <v>104</v>
      </c>
      <c r="Q59" s="390"/>
      <c r="R59" s="123"/>
      <c r="S59" s="456">
        <f t="array" ref="S59">(IF(COUNT(N59,O59)&lt;1,SUM(N59,O59),SUM(LARGE((N59,O59),{1}))))</f>
        <v>1</v>
      </c>
      <c r="T59" s="456">
        <f t="array" ref="T59">IF(COUNT(P59,Q59)&lt;1,SUM(P59,Q59),SUM(LARGE((P59,Q59),{1})))</f>
        <v>0</v>
      </c>
      <c r="U59" s="141">
        <f t="shared" si="13"/>
        <v>1</v>
      </c>
      <c r="V59" s="108">
        <f t="shared" si="14"/>
        <v>0</v>
      </c>
      <c r="W59" s="108">
        <f t="shared" si="15"/>
        <v>0</v>
      </c>
    </row>
    <row r="60" spans="1:23" x14ac:dyDescent="0.2">
      <c r="A60" s="388">
        <f t="shared" si="8"/>
        <v>53</v>
      </c>
      <c r="B60" s="453">
        <v>53</v>
      </c>
      <c r="C60" s="423">
        <v>44</v>
      </c>
      <c r="D60" s="119"/>
      <c r="E60" s="120"/>
      <c r="F60" s="118">
        <v>10</v>
      </c>
      <c r="G60" s="417" t="s">
        <v>182</v>
      </c>
      <c r="H60" s="452">
        <v>1</v>
      </c>
      <c r="I60" s="385">
        <f t="shared" si="9"/>
        <v>1</v>
      </c>
      <c r="J60" s="386">
        <f t="shared" si="10"/>
        <v>0</v>
      </c>
      <c r="K60" s="457">
        <f t="shared" si="11"/>
        <v>1.0000000000000001E-18</v>
      </c>
      <c r="L60" s="457">
        <f t="shared" si="12"/>
        <v>1.0000000000000001E-18</v>
      </c>
      <c r="M60" s="385">
        <f t="array" ref="M60">(IF(COUNT(N60,O60)&lt;1,SUM(N60,O60),SUM(LARGE((N60,O60),{1}))))+(IF(COUNT(P60,Q60)&lt;1,SUM(P60,Q60),SUM(LARGE((P60,Q60),{1}))))+R60</f>
        <v>1</v>
      </c>
      <c r="N60" s="122">
        <v>1</v>
      </c>
      <c r="O60" s="408" t="s">
        <v>104</v>
      </c>
      <c r="P60" s="408" t="s">
        <v>104</v>
      </c>
      <c r="Q60" s="390"/>
      <c r="R60" s="123"/>
      <c r="S60" s="456">
        <f t="array" ref="S60">(IF(COUNT(N60,O60)&lt;1,SUM(N60,O60),SUM(LARGE((N60,O60),{1}))))</f>
        <v>1</v>
      </c>
      <c r="T60" s="456">
        <f t="array" ref="T60">IF(COUNT(P60,Q60)&lt;1,SUM(P60,Q60),SUM(LARGE((P60,Q60),{1})))</f>
        <v>0</v>
      </c>
      <c r="U60" s="141">
        <f t="shared" si="13"/>
        <v>1</v>
      </c>
      <c r="V60" s="108">
        <f t="shared" si="14"/>
        <v>0</v>
      </c>
      <c r="W60" s="108">
        <f t="shared" si="15"/>
        <v>0</v>
      </c>
    </row>
    <row r="61" spans="1:23" x14ac:dyDescent="0.2">
      <c r="A61" s="388">
        <f t="shared" si="8"/>
        <v>53</v>
      </c>
      <c r="B61" s="453">
        <v>53</v>
      </c>
      <c r="C61" s="423"/>
      <c r="D61" s="124">
        <v>11</v>
      </c>
      <c r="E61" s="125"/>
      <c r="F61" s="118">
        <v>10</v>
      </c>
      <c r="G61" s="422" t="s">
        <v>183</v>
      </c>
      <c r="H61" s="452">
        <v>1</v>
      </c>
      <c r="I61" s="385">
        <f t="shared" si="9"/>
        <v>1</v>
      </c>
      <c r="J61" s="386">
        <f t="shared" si="10"/>
        <v>0</v>
      </c>
      <c r="K61" s="457">
        <f t="shared" si="11"/>
        <v>1.0000000000000001E-18</v>
      </c>
      <c r="L61" s="457">
        <f t="shared" si="12"/>
        <v>1.0000000000000001E-18</v>
      </c>
      <c r="M61" s="385">
        <f t="array" ref="M61">(IF(COUNT(N61,O61)&lt;1,SUM(N61,O61),SUM(LARGE((N61,O61),{1}))))+(IF(COUNT(P61,Q61)&lt;1,SUM(P61,Q61),SUM(LARGE((P61,Q61),{1}))))+R61</f>
        <v>1</v>
      </c>
      <c r="N61" s="122">
        <v>1</v>
      </c>
      <c r="O61" s="408" t="s">
        <v>104</v>
      </c>
      <c r="P61" s="408" t="s">
        <v>104</v>
      </c>
      <c r="Q61" s="390"/>
      <c r="R61" s="13"/>
      <c r="S61" s="456">
        <f t="array" ref="S61">(IF(COUNT(N61,O61)&lt;1,SUM(N61,O61),SUM(LARGE((N61,O61),{1}))))</f>
        <v>1</v>
      </c>
      <c r="T61" s="456">
        <f t="array" ref="T61">IF(COUNT(P61,Q61)&lt;1,SUM(P61,Q61),SUM(LARGE((P61,Q61),{1})))</f>
        <v>0</v>
      </c>
      <c r="U61" s="141">
        <f t="shared" si="13"/>
        <v>1</v>
      </c>
      <c r="V61" s="108">
        <f t="shared" si="14"/>
        <v>0</v>
      </c>
      <c r="W61" s="108">
        <f t="shared" si="15"/>
        <v>0</v>
      </c>
    </row>
    <row r="62" spans="1:23" x14ac:dyDescent="0.2">
      <c r="A62" s="113">
        <f>COUNT(A7:A61)</f>
        <v>55</v>
      </c>
      <c r="B62" s="113"/>
      <c r="C62" s="424">
        <f>COUNT(C7:C61)</f>
        <v>44</v>
      </c>
      <c r="D62" s="127">
        <f>COUNT(D7:D61)</f>
        <v>11</v>
      </c>
      <c r="E62" s="128">
        <f>COUNT(E7:E61)</f>
        <v>5</v>
      </c>
      <c r="F62" s="113">
        <f>COUNT(F7:F61)</f>
        <v>12</v>
      </c>
      <c r="G62" s="93" t="s">
        <v>165</v>
      </c>
      <c r="H62" s="129"/>
      <c r="I62" s="129"/>
      <c r="J62" s="129"/>
      <c r="K62" s="129"/>
      <c r="L62" s="129"/>
      <c r="M62" s="129"/>
      <c r="N62" s="130">
        <f>COUNTIF(N7:N61,"&gt;=0")</f>
        <v>36</v>
      </c>
      <c r="O62" s="130">
        <f>COUNTIF(O7:O61,"&gt;=0")</f>
        <v>30</v>
      </c>
      <c r="P62" s="130">
        <f>COUNTIF(P7:P61,"&gt;=0")</f>
        <v>24</v>
      </c>
      <c r="Q62" s="130">
        <f>COUNTIF(Q7:Q61,"&gt;=0")</f>
        <v>39</v>
      </c>
      <c r="R62" s="130">
        <f>COUNTIF(R7:R61,"&gt;=0")</f>
        <v>28</v>
      </c>
      <c r="S62" s="129"/>
      <c r="T62" s="129"/>
      <c r="U62" s="130"/>
      <c r="V62" s="115">
        <f>SUM(V7:V61)</f>
        <v>33</v>
      </c>
      <c r="W62" s="115">
        <f>SUM(W7:W61)</f>
        <v>12</v>
      </c>
    </row>
    <row r="63" spans="1:23" x14ac:dyDescent="0.2">
      <c r="A63" s="114"/>
      <c r="B63" s="114"/>
      <c r="C63" s="114"/>
      <c r="D63" s="114"/>
      <c r="E63" s="114"/>
      <c r="F63" s="114"/>
      <c r="G63" s="93" t="s">
        <v>166</v>
      </c>
      <c r="H63" s="129"/>
      <c r="I63" s="129"/>
      <c r="J63" s="129"/>
      <c r="K63" s="129"/>
      <c r="L63" s="129"/>
      <c r="M63" s="129"/>
      <c r="N63" s="131">
        <v>18</v>
      </c>
      <c r="O63" s="131">
        <v>15</v>
      </c>
      <c r="P63" s="131">
        <v>8</v>
      </c>
      <c r="Q63" s="131">
        <v>13</v>
      </c>
      <c r="R63" s="131"/>
      <c r="S63" s="129"/>
      <c r="T63" s="129"/>
      <c r="U63" s="131"/>
      <c r="V63" s="114"/>
      <c r="W63" s="114"/>
    </row>
  </sheetData>
  <sheetProtection selectLockedCells="1" selectUnlockedCells="1"/>
  <autoFilter ref="U6:W6"/>
  <sortState ref="A6:W63">
    <sortCondition descending="1" ref="H7"/>
  </sortState>
  <mergeCells count="3">
    <mergeCell ref="U3:U5"/>
    <mergeCell ref="V3:V5"/>
    <mergeCell ref="W4:W5"/>
  </mergeCells>
  <conditionalFormatting sqref="V7:V61">
    <cfRule type="top10" dxfId="9" priority="9" stopIfTrue="1" rank="1"/>
  </conditionalFormatting>
  <conditionalFormatting sqref="W7:W61">
    <cfRule type="top10" dxfId="8" priority="10" stopIfTrue="1" rank="1"/>
  </conditionalFormatting>
  <conditionalFormatting sqref="N62:R62 U62">
    <cfRule type="top10" dxfId="7" priority="8" stopIfTrue="1" rank="1"/>
  </conditionalFormatting>
  <conditionalFormatting sqref="N7:R61 U7:U61">
    <cfRule type="cellIs" dxfId="6" priority="5" stopIfTrue="1" operator="equal">
      <formula>30</formula>
    </cfRule>
    <cfRule type="cellIs" dxfId="5" priority="6" stopIfTrue="1" operator="equal">
      <formula>34</formula>
    </cfRule>
    <cfRule type="cellIs" dxfId="4" priority="7" stopIfTrue="1" operator="equal">
      <formula>40</formula>
    </cfRule>
  </conditionalFormatting>
  <conditionalFormatting sqref="U7:U61">
    <cfRule type="top10" dxfId="3" priority="4" stopIfTrue="1" rank="1"/>
  </conditionalFormatting>
  <conditionalFormatting sqref="I7:I61">
    <cfRule type="duplicateValues" dxfId="2" priority="3" stopIfTrue="1"/>
  </conditionalFormatting>
  <conditionalFormatting sqref="A7:A61">
    <cfRule type="duplicateValues" dxfId="1" priority="1"/>
  </conditionalFormatting>
  <pageMargins left="0.78740157480314965" right="0.39370078740157483" top="0.31496062992125984" bottom="0.19685039370078741" header="0.19685039370078741" footer="0"/>
  <pageSetup paperSize="9" firstPageNumber="0" fitToHeight="0" orientation="portrait" verticalDpi="300" r:id="rId1"/>
  <headerFooter alignWithMargins="0">
    <oddHeader>&amp;R&amp;"Arial,Regular"&amp;9Page &amp;P of &amp;N</oddHead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L98"/>
  <sheetViews>
    <sheetView showGridLines="0" showRowColHeaders="0" zoomScaleNormal="100" workbookViewId="0">
      <pane ySplit="2" topLeftCell="A3" activePane="bottomLeft" state="frozen"/>
      <selection pane="bottomLeft" activeCell="K1" sqref="K1"/>
    </sheetView>
  </sheetViews>
  <sheetFormatPr defaultRowHeight="12.75" x14ac:dyDescent="0.2"/>
  <cols>
    <col min="1" max="1" width="3.28515625" style="160" customWidth="1"/>
    <col min="2" max="2" width="49.140625" style="160" customWidth="1"/>
    <col min="3" max="8" width="3.7109375" style="160" customWidth="1"/>
    <col min="9" max="10" width="5.7109375" style="160" customWidth="1"/>
    <col min="11" max="11" width="3.7109375" style="160" customWidth="1"/>
    <col min="12" max="12" width="17.85546875" style="160" customWidth="1"/>
    <col min="13" max="13" width="30.7109375" style="160" customWidth="1"/>
    <col min="14" max="191" width="9.140625" style="160"/>
    <col min="192" max="192" width="3" style="160" customWidth="1"/>
    <col min="193" max="193" width="18.7109375" style="160" bestFit="1" customWidth="1"/>
    <col min="194" max="194" width="6.28515625" style="160" customWidth="1"/>
    <col min="195" max="195" width="6.5703125" style="160" bestFit="1" customWidth="1"/>
    <col min="196" max="216" width="4.42578125" style="160" customWidth="1"/>
    <col min="217" max="447" width="9.140625" style="160"/>
    <col min="448" max="448" width="3" style="160" customWidth="1"/>
    <col min="449" max="449" width="18.7109375" style="160" bestFit="1" customWidth="1"/>
    <col min="450" max="450" width="6.28515625" style="160" customWidth="1"/>
    <col min="451" max="451" width="6.5703125" style="160" bestFit="1" customWidth="1"/>
    <col min="452" max="472" width="4.42578125" style="160" customWidth="1"/>
    <col min="473" max="703" width="9.140625" style="160"/>
    <col min="704" max="704" width="3" style="160" customWidth="1"/>
    <col min="705" max="705" width="18.7109375" style="160" bestFit="1" customWidth="1"/>
    <col min="706" max="706" width="6.28515625" style="160" customWidth="1"/>
    <col min="707" max="707" width="6.5703125" style="160" bestFit="1" customWidth="1"/>
    <col min="708" max="728" width="4.42578125" style="160" customWidth="1"/>
    <col min="729" max="959" width="9.140625" style="160"/>
    <col min="960" max="960" width="3" style="160" customWidth="1"/>
    <col min="961" max="961" width="18.7109375" style="160" bestFit="1" customWidth="1"/>
    <col min="962" max="962" width="6.28515625" style="160" customWidth="1"/>
    <col min="963" max="963" width="6.5703125" style="160" bestFit="1" customWidth="1"/>
    <col min="964" max="984" width="4.42578125" style="160" customWidth="1"/>
    <col min="985" max="1215" width="9.140625" style="160"/>
    <col min="1216" max="1216" width="3" style="160" customWidth="1"/>
    <col min="1217" max="1217" width="18.7109375" style="160" bestFit="1" customWidth="1"/>
    <col min="1218" max="1218" width="6.28515625" style="160" customWidth="1"/>
    <col min="1219" max="1219" width="6.5703125" style="160" bestFit="1" customWidth="1"/>
    <col min="1220" max="1240" width="4.42578125" style="160" customWidth="1"/>
    <col min="1241" max="1471" width="9.140625" style="160"/>
    <col min="1472" max="1472" width="3" style="160" customWidth="1"/>
    <col min="1473" max="1473" width="18.7109375" style="160" bestFit="1" customWidth="1"/>
    <col min="1474" max="1474" width="6.28515625" style="160" customWidth="1"/>
    <col min="1475" max="1475" width="6.5703125" style="160" bestFit="1" customWidth="1"/>
    <col min="1476" max="1496" width="4.42578125" style="160" customWidth="1"/>
    <col min="1497" max="1727" width="9.140625" style="160"/>
    <col min="1728" max="1728" width="3" style="160" customWidth="1"/>
    <col min="1729" max="1729" width="18.7109375" style="160" bestFit="1" customWidth="1"/>
    <col min="1730" max="1730" width="6.28515625" style="160" customWidth="1"/>
    <col min="1731" max="1731" width="6.5703125" style="160" bestFit="1" customWidth="1"/>
    <col min="1732" max="1752" width="4.42578125" style="160" customWidth="1"/>
    <col min="1753" max="1983" width="9.140625" style="160"/>
    <col min="1984" max="1984" width="3" style="160" customWidth="1"/>
    <col min="1985" max="1985" width="18.7109375" style="160" bestFit="1" customWidth="1"/>
    <col min="1986" max="1986" width="6.28515625" style="160" customWidth="1"/>
    <col min="1987" max="1987" width="6.5703125" style="160" bestFit="1" customWidth="1"/>
    <col min="1988" max="2008" width="4.42578125" style="160" customWidth="1"/>
    <col min="2009" max="2239" width="9.140625" style="160"/>
    <col min="2240" max="2240" width="3" style="160" customWidth="1"/>
    <col min="2241" max="2241" width="18.7109375" style="160" bestFit="1" customWidth="1"/>
    <col min="2242" max="2242" width="6.28515625" style="160" customWidth="1"/>
    <col min="2243" max="2243" width="6.5703125" style="160" bestFit="1" customWidth="1"/>
    <col min="2244" max="2264" width="4.42578125" style="160" customWidth="1"/>
    <col min="2265" max="2495" width="9.140625" style="160"/>
    <col min="2496" max="2496" width="3" style="160" customWidth="1"/>
    <col min="2497" max="2497" width="18.7109375" style="160" bestFit="1" customWidth="1"/>
    <col min="2498" max="2498" width="6.28515625" style="160" customWidth="1"/>
    <col min="2499" max="2499" width="6.5703125" style="160" bestFit="1" customWidth="1"/>
    <col min="2500" max="2520" width="4.42578125" style="160" customWidth="1"/>
    <col min="2521" max="2751" width="9.140625" style="160"/>
    <col min="2752" max="2752" width="3" style="160" customWidth="1"/>
    <col min="2753" max="2753" width="18.7109375" style="160" bestFit="1" customWidth="1"/>
    <col min="2754" max="2754" width="6.28515625" style="160" customWidth="1"/>
    <col min="2755" max="2755" width="6.5703125" style="160" bestFit="1" customWidth="1"/>
    <col min="2756" max="2776" width="4.42578125" style="160" customWidth="1"/>
    <col min="2777" max="3007" width="9.140625" style="160"/>
    <col min="3008" max="3008" width="3" style="160" customWidth="1"/>
    <col min="3009" max="3009" width="18.7109375" style="160" bestFit="1" customWidth="1"/>
    <col min="3010" max="3010" width="6.28515625" style="160" customWidth="1"/>
    <col min="3011" max="3011" width="6.5703125" style="160" bestFit="1" customWidth="1"/>
    <col min="3012" max="3032" width="4.42578125" style="160" customWidth="1"/>
    <col min="3033" max="3263" width="9.140625" style="160"/>
    <col min="3264" max="3264" width="3" style="160" customWidth="1"/>
    <col min="3265" max="3265" width="18.7109375" style="160" bestFit="1" customWidth="1"/>
    <col min="3266" max="3266" width="6.28515625" style="160" customWidth="1"/>
    <col min="3267" max="3267" width="6.5703125" style="160" bestFit="1" customWidth="1"/>
    <col min="3268" max="3288" width="4.42578125" style="160" customWidth="1"/>
    <col min="3289" max="3519" width="9.140625" style="160"/>
    <col min="3520" max="3520" width="3" style="160" customWidth="1"/>
    <col min="3521" max="3521" width="18.7109375" style="160" bestFit="1" customWidth="1"/>
    <col min="3522" max="3522" width="6.28515625" style="160" customWidth="1"/>
    <col min="3523" max="3523" width="6.5703125" style="160" bestFit="1" customWidth="1"/>
    <col min="3524" max="3544" width="4.42578125" style="160" customWidth="1"/>
    <col min="3545" max="3775" width="9.140625" style="160"/>
    <col min="3776" max="3776" width="3" style="160" customWidth="1"/>
    <col min="3777" max="3777" width="18.7109375" style="160" bestFit="1" customWidth="1"/>
    <col min="3778" max="3778" width="6.28515625" style="160" customWidth="1"/>
    <col min="3779" max="3779" width="6.5703125" style="160" bestFit="1" customWidth="1"/>
    <col min="3780" max="3800" width="4.42578125" style="160" customWidth="1"/>
    <col min="3801" max="4031" width="9.140625" style="160"/>
    <col min="4032" max="4032" width="3" style="160" customWidth="1"/>
    <col min="4033" max="4033" width="18.7109375" style="160" bestFit="1" customWidth="1"/>
    <col min="4034" max="4034" width="6.28515625" style="160" customWidth="1"/>
    <col min="4035" max="4035" width="6.5703125" style="160" bestFit="1" customWidth="1"/>
    <col min="4036" max="4056" width="4.42578125" style="160" customWidth="1"/>
    <col min="4057" max="4287" width="9.140625" style="160"/>
    <col min="4288" max="4288" width="3" style="160" customWidth="1"/>
    <col min="4289" max="4289" width="18.7109375" style="160" bestFit="1" customWidth="1"/>
    <col min="4290" max="4290" width="6.28515625" style="160" customWidth="1"/>
    <col min="4291" max="4291" width="6.5703125" style="160" bestFit="1" customWidth="1"/>
    <col min="4292" max="4312" width="4.42578125" style="160" customWidth="1"/>
    <col min="4313" max="4543" width="9.140625" style="160"/>
    <col min="4544" max="4544" width="3" style="160" customWidth="1"/>
    <col min="4545" max="4545" width="18.7109375" style="160" bestFit="1" customWidth="1"/>
    <col min="4546" max="4546" width="6.28515625" style="160" customWidth="1"/>
    <col min="4547" max="4547" width="6.5703125" style="160" bestFit="1" customWidth="1"/>
    <col min="4548" max="4568" width="4.42578125" style="160" customWidth="1"/>
    <col min="4569" max="4799" width="9.140625" style="160"/>
    <col min="4800" max="4800" width="3" style="160" customWidth="1"/>
    <col min="4801" max="4801" width="18.7109375" style="160" bestFit="1" customWidth="1"/>
    <col min="4802" max="4802" width="6.28515625" style="160" customWidth="1"/>
    <col min="4803" max="4803" width="6.5703125" style="160" bestFit="1" customWidth="1"/>
    <col min="4804" max="4824" width="4.42578125" style="160" customWidth="1"/>
    <col min="4825" max="5055" width="9.140625" style="160"/>
    <col min="5056" max="5056" width="3" style="160" customWidth="1"/>
    <col min="5057" max="5057" width="18.7109375" style="160" bestFit="1" customWidth="1"/>
    <col min="5058" max="5058" width="6.28515625" style="160" customWidth="1"/>
    <col min="5059" max="5059" width="6.5703125" style="160" bestFit="1" customWidth="1"/>
    <col min="5060" max="5080" width="4.42578125" style="160" customWidth="1"/>
    <col min="5081" max="5311" width="9.140625" style="160"/>
    <col min="5312" max="5312" width="3" style="160" customWidth="1"/>
    <col min="5313" max="5313" width="18.7109375" style="160" bestFit="1" customWidth="1"/>
    <col min="5314" max="5314" width="6.28515625" style="160" customWidth="1"/>
    <col min="5315" max="5315" width="6.5703125" style="160" bestFit="1" customWidth="1"/>
    <col min="5316" max="5336" width="4.42578125" style="160" customWidth="1"/>
    <col min="5337" max="5567" width="9.140625" style="160"/>
    <col min="5568" max="5568" width="3" style="160" customWidth="1"/>
    <col min="5569" max="5569" width="18.7109375" style="160" bestFit="1" customWidth="1"/>
    <col min="5570" max="5570" width="6.28515625" style="160" customWidth="1"/>
    <col min="5571" max="5571" width="6.5703125" style="160" bestFit="1" customWidth="1"/>
    <col min="5572" max="5592" width="4.42578125" style="160" customWidth="1"/>
    <col min="5593" max="5823" width="9.140625" style="160"/>
    <col min="5824" max="5824" width="3" style="160" customWidth="1"/>
    <col min="5825" max="5825" width="18.7109375" style="160" bestFit="1" customWidth="1"/>
    <col min="5826" max="5826" width="6.28515625" style="160" customWidth="1"/>
    <col min="5827" max="5827" width="6.5703125" style="160" bestFit="1" customWidth="1"/>
    <col min="5828" max="5848" width="4.42578125" style="160" customWidth="1"/>
    <col min="5849" max="6079" width="9.140625" style="160"/>
    <col min="6080" max="6080" width="3" style="160" customWidth="1"/>
    <col min="6081" max="6081" width="18.7109375" style="160" bestFit="1" customWidth="1"/>
    <col min="6082" max="6082" width="6.28515625" style="160" customWidth="1"/>
    <col min="6083" max="6083" width="6.5703125" style="160" bestFit="1" customWidth="1"/>
    <col min="6084" max="6104" width="4.42578125" style="160" customWidth="1"/>
    <col min="6105" max="6335" width="9.140625" style="160"/>
    <col min="6336" max="6336" width="3" style="160" customWidth="1"/>
    <col min="6337" max="6337" width="18.7109375" style="160" bestFit="1" customWidth="1"/>
    <col min="6338" max="6338" width="6.28515625" style="160" customWidth="1"/>
    <col min="6339" max="6339" width="6.5703125" style="160" bestFit="1" customWidth="1"/>
    <col min="6340" max="6360" width="4.42578125" style="160" customWidth="1"/>
    <col min="6361" max="6591" width="9.140625" style="160"/>
    <col min="6592" max="6592" width="3" style="160" customWidth="1"/>
    <col min="6593" max="6593" width="18.7109375" style="160" bestFit="1" customWidth="1"/>
    <col min="6594" max="6594" width="6.28515625" style="160" customWidth="1"/>
    <col min="6595" max="6595" width="6.5703125" style="160" bestFit="1" customWidth="1"/>
    <col min="6596" max="6616" width="4.42578125" style="160" customWidth="1"/>
    <col min="6617" max="6847" width="9.140625" style="160"/>
    <col min="6848" max="6848" width="3" style="160" customWidth="1"/>
    <col min="6849" max="6849" width="18.7109375" style="160" bestFit="1" customWidth="1"/>
    <col min="6850" max="6850" width="6.28515625" style="160" customWidth="1"/>
    <col min="6851" max="6851" width="6.5703125" style="160" bestFit="1" customWidth="1"/>
    <col min="6852" max="6872" width="4.42578125" style="160" customWidth="1"/>
    <col min="6873" max="7103" width="9.140625" style="160"/>
    <col min="7104" max="7104" width="3" style="160" customWidth="1"/>
    <col min="7105" max="7105" width="18.7109375" style="160" bestFit="1" customWidth="1"/>
    <col min="7106" max="7106" width="6.28515625" style="160" customWidth="1"/>
    <col min="7107" max="7107" width="6.5703125" style="160" bestFit="1" customWidth="1"/>
    <col min="7108" max="7128" width="4.42578125" style="160" customWidth="1"/>
    <col min="7129" max="7359" width="9.140625" style="160"/>
    <col min="7360" max="7360" width="3" style="160" customWidth="1"/>
    <col min="7361" max="7361" width="18.7109375" style="160" bestFit="1" customWidth="1"/>
    <col min="7362" max="7362" width="6.28515625" style="160" customWidth="1"/>
    <col min="7363" max="7363" width="6.5703125" style="160" bestFit="1" customWidth="1"/>
    <col min="7364" max="7384" width="4.42578125" style="160" customWidth="1"/>
    <col min="7385" max="7615" width="9.140625" style="160"/>
    <col min="7616" max="7616" width="3" style="160" customWidth="1"/>
    <col min="7617" max="7617" width="18.7109375" style="160" bestFit="1" customWidth="1"/>
    <col min="7618" max="7618" width="6.28515625" style="160" customWidth="1"/>
    <col min="7619" max="7619" width="6.5703125" style="160" bestFit="1" customWidth="1"/>
    <col min="7620" max="7640" width="4.42578125" style="160" customWidth="1"/>
    <col min="7641" max="7871" width="9.140625" style="160"/>
    <col min="7872" max="7872" width="3" style="160" customWidth="1"/>
    <col min="7873" max="7873" width="18.7109375" style="160" bestFit="1" customWidth="1"/>
    <col min="7874" max="7874" width="6.28515625" style="160" customWidth="1"/>
    <col min="7875" max="7875" width="6.5703125" style="160" bestFit="1" customWidth="1"/>
    <col min="7876" max="7896" width="4.42578125" style="160" customWidth="1"/>
    <col min="7897" max="8127" width="9.140625" style="160"/>
    <col min="8128" max="8128" width="3" style="160" customWidth="1"/>
    <col min="8129" max="8129" width="18.7109375" style="160" bestFit="1" customWidth="1"/>
    <col min="8130" max="8130" width="6.28515625" style="160" customWidth="1"/>
    <col min="8131" max="8131" width="6.5703125" style="160" bestFit="1" customWidth="1"/>
    <col min="8132" max="8152" width="4.42578125" style="160" customWidth="1"/>
    <col min="8153" max="8383" width="9.140625" style="160"/>
    <col min="8384" max="8384" width="3" style="160" customWidth="1"/>
    <col min="8385" max="8385" width="18.7109375" style="160" bestFit="1" customWidth="1"/>
    <col min="8386" max="8386" width="6.28515625" style="160" customWidth="1"/>
    <col min="8387" max="8387" width="6.5703125" style="160" bestFit="1" customWidth="1"/>
    <col min="8388" max="8408" width="4.42578125" style="160" customWidth="1"/>
    <col min="8409" max="8639" width="9.140625" style="160"/>
    <col min="8640" max="8640" width="3" style="160" customWidth="1"/>
    <col min="8641" max="8641" width="18.7109375" style="160" bestFit="1" customWidth="1"/>
    <col min="8642" max="8642" width="6.28515625" style="160" customWidth="1"/>
    <col min="8643" max="8643" width="6.5703125" style="160" bestFit="1" customWidth="1"/>
    <col min="8644" max="8664" width="4.42578125" style="160" customWidth="1"/>
    <col min="8665" max="8895" width="9.140625" style="160"/>
    <col min="8896" max="8896" width="3" style="160" customWidth="1"/>
    <col min="8897" max="8897" width="18.7109375" style="160" bestFit="1" customWidth="1"/>
    <col min="8898" max="8898" width="6.28515625" style="160" customWidth="1"/>
    <col min="8899" max="8899" width="6.5703125" style="160" bestFit="1" customWidth="1"/>
    <col min="8900" max="8920" width="4.42578125" style="160" customWidth="1"/>
    <col min="8921" max="9151" width="9.140625" style="160"/>
    <col min="9152" max="9152" width="3" style="160" customWidth="1"/>
    <col min="9153" max="9153" width="18.7109375" style="160" bestFit="1" customWidth="1"/>
    <col min="9154" max="9154" width="6.28515625" style="160" customWidth="1"/>
    <col min="9155" max="9155" width="6.5703125" style="160" bestFit="1" customWidth="1"/>
    <col min="9156" max="9176" width="4.42578125" style="160" customWidth="1"/>
    <col min="9177" max="9407" width="9.140625" style="160"/>
    <col min="9408" max="9408" width="3" style="160" customWidth="1"/>
    <col min="9409" max="9409" width="18.7109375" style="160" bestFit="1" customWidth="1"/>
    <col min="9410" max="9410" width="6.28515625" style="160" customWidth="1"/>
    <col min="9411" max="9411" width="6.5703125" style="160" bestFit="1" customWidth="1"/>
    <col min="9412" max="9432" width="4.42578125" style="160" customWidth="1"/>
    <col min="9433" max="9663" width="9.140625" style="160"/>
    <col min="9664" max="9664" width="3" style="160" customWidth="1"/>
    <col min="9665" max="9665" width="18.7109375" style="160" bestFit="1" customWidth="1"/>
    <col min="9666" max="9666" width="6.28515625" style="160" customWidth="1"/>
    <col min="9667" max="9667" width="6.5703125" style="160" bestFit="1" customWidth="1"/>
    <col min="9668" max="9688" width="4.42578125" style="160" customWidth="1"/>
    <col min="9689" max="9919" width="9.140625" style="160"/>
    <col min="9920" max="9920" width="3" style="160" customWidth="1"/>
    <col min="9921" max="9921" width="18.7109375" style="160" bestFit="1" customWidth="1"/>
    <col min="9922" max="9922" width="6.28515625" style="160" customWidth="1"/>
    <col min="9923" max="9923" width="6.5703125" style="160" bestFit="1" customWidth="1"/>
    <col min="9924" max="9944" width="4.42578125" style="160" customWidth="1"/>
    <col min="9945" max="10175" width="9.140625" style="160"/>
    <col min="10176" max="10176" width="3" style="160" customWidth="1"/>
    <col min="10177" max="10177" width="18.7109375" style="160" bestFit="1" customWidth="1"/>
    <col min="10178" max="10178" width="6.28515625" style="160" customWidth="1"/>
    <col min="10179" max="10179" width="6.5703125" style="160" bestFit="1" customWidth="1"/>
    <col min="10180" max="10200" width="4.42578125" style="160" customWidth="1"/>
    <col min="10201" max="10431" width="9.140625" style="160"/>
    <col min="10432" max="10432" width="3" style="160" customWidth="1"/>
    <col min="10433" max="10433" width="18.7109375" style="160" bestFit="1" customWidth="1"/>
    <col min="10434" max="10434" width="6.28515625" style="160" customWidth="1"/>
    <col min="10435" max="10435" width="6.5703125" style="160" bestFit="1" customWidth="1"/>
    <col min="10436" max="10456" width="4.42578125" style="160" customWidth="1"/>
    <col min="10457" max="10687" width="9.140625" style="160"/>
    <col min="10688" max="10688" width="3" style="160" customWidth="1"/>
    <col min="10689" max="10689" width="18.7109375" style="160" bestFit="1" customWidth="1"/>
    <col min="10690" max="10690" width="6.28515625" style="160" customWidth="1"/>
    <col min="10691" max="10691" width="6.5703125" style="160" bestFit="1" customWidth="1"/>
    <col min="10692" max="10712" width="4.42578125" style="160" customWidth="1"/>
    <col min="10713" max="10943" width="9.140625" style="160"/>
    <col min="10944" max="10944" width="3" style="160" customWidth="1"/>
    <col min="10945" max="10945" width="18.7109375" style="160" bestFit="1" customWidth="1"/>
    <col min="10946" max="10946" width="6.28515625" style="160" customWidth="1"/>
    <col min="10947" max="10947" width="6.5703125" style="160" bestFit="1" customWidth="1"/>
    <col min="10948" max="10968" width="4.42578125" style="160" customWidth="1"/>
    <col min="10969" max="11199" width="9.140625" style="160"/>
    <col min="11200" max="11200" width="3" style="160" customWidth="1"/>
    <col min="11201" max="11201" width="18.7109375" style="160" bestFit="1" customWidth="1"/>
    <col min="11202" max="11202" width="6.28515625" style="160" customWidth="1"/>
    <col min="11203" max="11203" width="6.5703125" style="160" bestFit="1" customWidth="1"/>
    <col min="11204" max="11224" width="4.42578125" style="160" customWidth="1"/>
    <col min="11225" max="11455" width="9.140625" style="160"/>
    <col min="11456" max="11456" width="3" style="160" customWidth="1"/>
    <col min="11457" max="11457" width="18.7109375" style="160" bestFit="1" customWidth="1"/>
    <col min="11458" max="11458" width="6.28515625" style="160" customWidth="1"/>
    <col min="11459" max="11459" width="6.5703125" style="160" bestFit="1" customWidth="1"/>
    <col min="11460" max="11480" width="4.42578125" style="160" customWidth="1"/>
    <col min="11481" max="11711" width="9.140625" style="160"/>
    <col min="11712" max="11712" width="3" style="160" customWidth="1"/>
    <col min="11713" max="11713" width="18.7109375" style="160" bestFit="1" customWidth="1"/>
    <col min="11714" max="11714" width="6.28515625" style="160" customWidth="1"/>
    <col min="11715" max="11715" width="6.5703125" style="160" bestFit="1" customWidth="1"/>
    <col min="11716" max="11736" width="4.42578125" style="160" customWidth="1"/>
    <col min="11737" max="11967" width="9.140625" style="160"/>
    <col min="11968" max="11968" width="3" style="160" customWidth="1"/>
    <col min="11969" max="11969" width="18.7109375" style="160" bestFit="1" customWidth="1"/>
    <col min="11970" max="11970" width="6.28515625" style="160" customWidth="1"/>
    <col min="11971" max="11971" width="6.5703125" style="160" bestFit="1" customWidth="1"/>
    <col min="11972" max="11992" width="4.42578125" style="160" customWidth="1"/>
    <col min="11993" max="12223" width="9.140625" style="160"/>
    <col min="12224" max="12224" width="3" style="160" customWidth="1"/>
    <col min="12225" max="12225" width="18.7109375" style="160" bestFit="1" customWidth="1"/>
    <col min="12226" max="12226" width="6.28515625" style="160" customWidth="1"/>
    <col min="12227" max="12227" width="6.5703125" style="160" bestFit="1" customWidth="1"/>
    <col min="12228" max="12248" width="4.42578125" style="160" customWidth="1"/>
    <col min="12249" max="12479" width="9.140625" style="160"/>
    <col min="12480" max="12480" width="3" style="160" customWidth="1"/>
    <col min="12481" max="12481" width="18.7109375" style="160" bestFit="1" customWidth="1"/>
    <col min="12482" max="12482" width="6.28515625" style="160" customWidth="1"/>
    <col min="12483" max="12483" width="6.5703125" style="160" bestFit="1" customWidth="1"/>
    <col min="12484" max="12504" width="4.42578125" style="160" customWidth="1"/>
    <col min="12505" max="12735" width="9.140625" style="160"/>
    <col min="12736" max="12736" width="3" style="160" customWidth="1"/>
    <col min="12737" max="12737" width="18.7109375" style="160" bestFit="1" customWidth="1"/>
    <col min="12738" max="12738" width="6.28515625" style="160" customWidth="1"/>
    <col min="12739" max="12739" width="6.5703125" style="160" bestFit="1" customWidth="1"/>
    <col min="12740" max="12760" width="4.42578125" style="160" customWidth="1"/>
    <col min="12761" max="12991" width="9.140625" style="160"/>
    <col min="12992" max="12992" width="3" style="160" customWidth="1"/>
    <col min="12993" max="12993" width="18.7109375" style="160" bestFit="1" customWidth="1"/>
    <col min="12994" max="12994" width="6.28515625" style="160" customWidth="1"/>
    <col min="12995" max="12995" width="6.5703125" style="160" bestFit="1" customWidth="1"/>
    <col min="12996" max="13016" width="4.42578125" style="160" customWidth="1"/>
    <col min="13017" max="13247" width="9.140625" style="160"/>
    <col min="13248" max="13248" width="3" style="160" customWidth="1"/>
    <col min="13249" max="13249" width="18.7109375" style="160" bestFit="1" customWidth="1"/>
    <col min="13250" max="13250" width="6.28515625" style="160" customWidth="1"/>
    <col min="13251" max="13251" width="6.5703125" style="160" bestFit="1" customWidth="1"/>
    <col min="13252" max="13272" width="4.42578125" style="160" customWidth="1"/>
    <col min="13273" max="13503" width="9.140625" style="160"/>
    <col min="13504" max="13504" width="3" style="160" customWidth="1"/>
    <col min="13505" max="13505" width="18.7109375" style="160" bestFit="1" customWidth="1"/>
    <col min="13506" max="13506" width="6.28515625" style="160" customWidth="1"/>
    <col min="13507" max="13507" width="6.5703125" style="160" bestFit="1" customWidth="1"/>
    <col min="13508" max="13528" width="4.42578125" style="160" customWidth="1"/>
    <col min="13529" max="13759" width="9.140625" style="160"/>
    <col min="13760" max="13760" width="3" style="160" customWidth="1"/>
    <col min="13761" max="13761" width="18.7109375" style="160" bestFit="1" customWidth="1"/>
    <col min="13762" max="13762" width="6.28515625" style="160" customWidth="1"/>
    <col min="13763" max="13763" width="6.5703125" style="160" bestFit="1" customWidth="1"/>
    <col min="13764" max="13784" width="4.42578125" style="160" customWidth="1"/>
    <col min="13785" max="14015" width="9.140625" style="160"/>
    <col min="14016" max="14016" width="3" style="160" customWidth="1"/>
    <col min="14017" max="14017" width="18.7109375" style="160" bestFit="1" customWidth="1"/>
    <col min="14018" max="14018" width="6.28515625" style="160" customWidth="1"/>
    <col min="14019" max="14019" width="6.5703125" style="160" bestFit="1" customWidth="1"/>
    <col min="14020" max="14040" width="4.42578125" style="160" customWidth="1"/>
    <col min="14041" max="14271" width="9.140625" style="160"/>
    <col min="14272" max="14272" width="3" style="160" customWidth="1"/>
    <col min="14273" max="14273" width="18.7109375" style="160" bestFit="1" customWidth="1"/>
    <col min="14274" max="14274" width="6.28515625" style="160" customWidth="1"/>
    <col min="14275" max="14275" width="6.5703125" style="160" bestFit="1" customWidth="1"/>
    <col min="14276" max="14296" width="4.42578125" style="160" customWidth="1"/>
    <col min="14297" max="14527" width="9.140625" style="160"/>
    <col min="14528" max="14528" width="3" style="160" customWidth="1"/>
    <col min="14529" max="14529" width="18.7109375" style="160" bestFit="1" customWidth="1"/>
    <col min="14530" max="14530" width="6.28515625" style="160" customWidth="1"/>
    <col min="14531" max="14531" width="6.5703125" style="160" bestFit="1" customWidth="1"/>
    <col min="14532" max="14552" width="4.42578125" style="160" customWidth="1"/>
    <col min="14553" max="14783" width="9.140625" style="160"/>
    <col min="14784" max="14784" width="3" style="160" customWidth="1"/>
    <col min="14785" max="14785" width="18.7109375" style="160" bestFit="1" customWidth="1"/>
    <col min="14786" max="14786" width="6.28515625" style="160" customWidth="1"/>
    <col min="14787" max="14787" width="6.5703125" style="160" bestFit="1" customWidth="1"/>
    <col min="14788" max="14808" width="4.42578125" style="160" customWidth="1"/>
    <col min="14809" max="15039" width="9.140625" style="160"/>
    <col min="15040" max="15040" width="3" style="160" customWidth="1"/>
    <col min="15041" max="15041" width="18.7109375" style="160" bestFit="1" customWidth="1"/>
    <col min="15042" max="15042" width="6.28515625" style="160" customWidth="1"/>
    <col min="15043" max="15043" width="6.5703125" style="160" bestFit="1" customWidth="1"/>
    <col min="15044" max="15064" width="4.42578125" style="160" customWidth="1"/>
    <col min="15065" max="15295" width="9.140625" style="160"/>
    <col min="15296" max="15296" width="3" style="160" customWidth="1"/>
    <col min="15297" max="15297" width="18.7109375" style="160" bestFit="1" customWidth="1"/>
    <col min="15298" max="15298" width="6.28515625" style="160" customWidth="1"/>
    <col min="15299" max="15299" width="6.5703125" style="160" bestFit="1" customWidth="1"/>
    <col min="15300" max="15320" width="4.42578125" style="160" customWidth="1"/>
    <col min="15321" max="15551" width="9.140625" style="160"/>
    <col min="15552" max="15552" width="3" style="160" customWidth="1"/>
    <col min="15553" max="15553" width="18.7109375" style="160" bestFit="1" customWidth="1"/>
    <col min="15554" max="15554" width="6.28515625" style="160" customWidth="1"/>
    <col min="15555" max="15555" width="6.5703125" style="160" bestFit="1" customWidth="1"/>
    <col min="15556" max="15576" width="4.42578125" style="160" customWidth="1"/>
    <col min="15577" max="15807" width="9.140625" style="160"/>
    <col min="15808" max="15808" width="3" style="160" customWidth="1"/>
    <col min="15809" max="15809" width="18.7109375" style="160" bestFit="1" customWidth="1"/>
    <col min="15810" max="15810" width="6.28515625" style="160" customWidth="1"/>
    <col min="15811" max="15811" width="6.5703125" style="160" bestFit="1" customWidth="1"/>
    <col min="15812" max="15832" width="4.42578125" style="160" customWidth="1"/>
    <col min="15833" max="16063" width="9.140625" style="160"/>
    <col min="16064" max="16064" width="3" style="160" customWidth="1"/>
    <col min="16065" max="16065" width="18.7109375" style="160" bestFit="1" customWidth="1"/>
    <col min="16066" max="16066" width="6.28515625" style="160" customWidth="1"/>
    <col min="16067" max="16067" width="6.5703125" style="160" bestFit="1" customWidth="1"/>
    <col min="16068" max="16088" width="4.42578125" style="160" customWidth="1"/>
    <col min="16089" max="16384" width="9.140625" style="160"/>
  </cols>
  <sheetData>
    <row r="1" spans="1:12" x14ac:dyDescent="0.2">
      <c r="A1" s="20" t="str">
        <f>UPPER((Kalend!D34)&amp;" - "&amp;(Kalend!C34)&amp;" - "&amp;(Kalend!E34))</f>
        <v>M4 - MÄETAGUSE 3. KV 4. ETAPP - TRIO</v>
      </c>
    </row>
    <row r="2" spans="1:12" x14ac:dyDescent="0.2">
      <c r="A2" s="160" t="str">
        <f>"Toimumisaeg: "&amp;(Kalend!A34)&amp;" kell "&amp;(Kalend!B34)</f>
        <v>Toimumisaeg: T, 28.08.2012 kell 18:00</v>
      </c>
    </row>
    <row r="3" spans="1:12" x14ac:dyDescent="0.2">
      <c r="A3" s="160" t="str">
        <f>"Toimumiskoht: "&amp;(Kalend!F34)</f>
        <v>Toimumiskoht: Mäetaguse Põhikooli staadion</v>
      </c>
    </row>
    <row r="4" spans="1:12" x14ac:dyDescent="0.2">
      <c r="A4" s="160" t="str">
        <f>"Korraldaja: "&amp;(Kalend!G34)</f>
        <v>Korraldaja: Mäetaguse SK</v>
      </c>
    </row>
    <row r="5" spans="1:12" x14ac:dyDescent="0.2">
      <c r="B5" s="240"/>
      <c r="C5" s="241"/>
      <c r="D5" s="252"/>
    </row>
    <row r="6" spans="1:12" x14ac:dyDescent="0.2">
      <c r="A6" s="313" t="s">
        <v>419</v>
      </c>
      <c r="B6" s="314"/>
      <c r="C6" s="253"/>
      <c r="D6" s="253"/>
      <c r="E6" s="253"/>
      <c r="F6" s="315"/>
      <c r="G6" s="251"/>
      <c r="H6" s="316"/>
      <c r="I6" s="316"/>
      <c r="J6" s="316"/>
      <c r="K6" s="316"/>
      <c r="L6" s="316"/>
    </row>
    <row r="7" spans="1:12" hidden="1" x14ac:dyDescent="0.2">
      <c r="A7" s="316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</row>
    <row r="8" spans="1:12" x14ac:dyDescent="0.2">
      <c r="A8" s="317"/>
      <c r="B8" s="365" t="s">
        <v>451</v>
      </c>
      <c r="C8" s="318">
        <v>13</v>
      </c>
      <c r="D8" s="316"/>
      <c r="E8" s="316"/>
      <c r="F8" s="316"/>
      <c r="G8" s="316"/>
      <c r="H8" s="316"/>
      <c r="I8" s="316"/>
      <c r="J8" s="316"/>
      <c r="K8" s="316"/>
      <c r="L8" s="316"/>
    </row>
    <row r="9" spans="1:12" x14ac:dyDescent="0.2">
      <c r="A9" s="319"/>
      <c r="B9" s="320"/>
      <c r="C9" s="366" t="s">
        <v>451</v>
      </c>
      <c r="D9" s="322"/>
      <c r="E9" s="316"/>
      <c r="F9" s="318">
        <v>13</v>
      </c>
      <c r="G9" s="316"/>
      <c r="H9" s="316"/>
      <c r="I9" s="316"/>
      <c r="J9" s="316"/>
      <c r="K9" s="316"/>
      <c r="L9" s="316"/>
    </row>
    <row r="10" spans="1:12" x14ac:dyDescent="0.2">
      <c r="A10" s="319"/>
      <c r="B10" s="322" t="s">
        <v>455</v>
      </c>
      <c r="C10" s="323">
        <v>3</v>
      </c>
      <c r="D10" s="316"/>
      <c r="E10" s="324"/>
      <c r="F10" s="316"/>
      <c r="G10" s="316"/>
      <c r="H10" s="316"/>
      <c r="I10" s="316"/>
      <c r="J10" s="316"/>
      <c r="K10" s="316"/>
      <c r="L10" s="316"/>
    </row>
    <row r="11" spans="1:12" x14ac:dyDescent="0.2">
      <c r="A11" s="319"/>
      <c r="B11" s="316"/>
      <c r="C11" s="316"/>
      <c r="D11" s="314"/>
      <c r="E11" s="325"/>
      <c r="F11" s="326" t="s">
        <v>451</v>
      </c>
      <c r="G11" s="316"/>
      <c r="H11" s="316"/>
      <c r="I11" s="318">
        <v>13</v>
      </c>
      <c r="J11" s="316"/>
      <c r="K11" s="316"/>
      <c r="L11" s="316"/>
    </row>
    <row r="12" spans="1:12" x14ac:dyDescent="0.2">
      <c r="A12" s="319"/>
      <c r="B12" s="365" t="s">
        <v>406</v>
      </c>
      <c r="C12" s="327">
        <v>13</v>
      </c>
      <c r="D12" s="316"/>
      <c r="E12" s="325"/>
      <c r="F12" s="328"/>
      <c r="G12" s="320"/>
      <c r="H12" s="324"/>
      <c r="I12" s="316"/>
      <c r="J12" s="316"/>
      <c r="K12" s="316"/>
      <c r="L12" s="316"/>
    </row>
    <row r="13" spans="1:12" x14ac:dyDescent="0.2">
      <c r="A13" s="319"/>
      <c r="B13" s="320"/>
      <c r="C13" s="326" t="s">
        <v>406</v>
      </c>
      <c r="D13" s="316"/>
      <c r="E13" s="329"/>
      <c r="F13" s="327">
        <v>11</v>
      </c>
      <c r="G13" s="314"/>
      <c r="H13" s="325"/>
      <c r="I13" s="316"/>
      <c r="J13" s="316"/>
      <c r="K13" s="316"/>
      <c r="L13" s="316"/>
    </row>
    <row r="14" spans="1:12" x14ac:dyDescent="0.2">
      <c r="A14" s="319"/>
      <c r="B14" s="374" t="s">
        <v>212</v>
      </c>
      <c r="C14" s="330">
        <v>0</v>
      </c>
      <c r="D14" s="320"/>
      <c r="E14" s="316"/>
      <c r="F14" s="314"/>
      <c r="G14" s="314"/>
      <c r="H14" s="325"/>
      <c r="I14" s="316"/>
      <c r="J14" s="316"/>
      <c r="K14" s="316"/>
      <c r="L14" s="316"/>
    </row>
    <row r="15" spans="1:12" x14ac:dyDescent="0.2">
      <c r="A15" s="331"/>
      <c r="B15" s="316"/>
      <c r="C15" s="316"/>
      <c r="D15" s="316"/>
      <c r="E15" s="316"/>
      <c r="F15" s="314"/>
      <c r="G15" s="314"/>
      <c r="H15" s="325"/>
      <c r="I15" s="378" t="s">
        <v>451</v>
      </c>
      <c r="J15" s="316"/>
      <c r="K15" s="318">
        <v>13</v>
      </c>
      <c r="L15" s="316"/>
    </row>
    <row r="16" spans="1:12" x14ac:dyDescent="0.2">
      <c r="A16" s="317"/>
      <c r="B16" s="316" t="s">
        <v>412</v>
      </c>
      <c r="C16" s="318">
        <v>13</v>
      </c>
      <c r="D16" s="316"/>
      <c r="E16" s="316"/>
      <c r="F16" s="314"/>
      <c r="G16" s="314"/>
      <c r="H16" s="325"/>
      <c r="I16" s="320"/>
      <c r="J16" s="324"/>
      <c r="K16" s="316"/>
      <c r="L16" s="316"/>
    </row>
    <row r="17" spans="1:12" x14ac:dyDescent="0.2">
      <c r="A17" s="319"/>
      <c r="B17" s="320"/>
      <c r="C17" s="321" t="s">
        <v>412</v>
      </c>
      <c r="D17" s="322"/>
      <c r="E17" s="316"/>
      <c r="F17" s="327">
        <v>13</v>
      </c>
      <c r="G17" s="314"/>
      <c r="H17" s="325"/>
      <c r="I17" s="314"/>
      <c r="J17" s="325"/>
      <c r="K17" s="316"/>
      <c r="L17" s="316"/>
    </row>
    <row r="18" spans="1:12" x14ac:dyDescent="0.2">
      <c r="A18" s="319"/>
      <c r="B18" s="322" t="s">
        <v>453</v>
      </c>
      <c r="C18" s="323">
        <v>8</v>
      </c>
      <c r="D18" s="316"/>
      <c r="E18" s="324"/>
      <c r="F18" s="314"/>
      <c r="G18" s="314"/>
      <c r="H18" s="325"/>
      <c r="I18" s="314"/>
      <c r="J18" s="325"/>
      <c r="K18" s="316"/>
      <c r="L18" s="316"/>
    </row>
    <row r="19" spans="1:12" x14ac:dyDescent="0.2">
      <c r="A19" s="319"/>
      <c r="B19" s="316"/>
      <c r="C19" s="316"/>
      <c r="D19" s="314"/>
      <c r="E19" s="325"/>
      <c r="F19" s="322" t="s">
        <v>412</v>
      </c>
      <c r="G19" s="322"/>
      <c r="H19" s="329"/>
      <c r="I19" s="327">
        <v>10</v>
      </c>
      <c r="J19" s="325"/>
      <c r="K19" s="316"/>
      <c r="L19" s="316"/>
    </row>
    <row r="20" spans="1:12" x14ac:dyDescent="0.2">
      <c r="A20" s="319"/>
      <c r="B20" s="365" t="s">
        <v>212</v>
      </c>
      <c r="C20" s="369">
        <v>0</v>
      </c>
      <c r="D20" s="316"/>
      <c r="E20" s="325"/>
      <c r="F20" s="326"/>
      <c r="G20" s="314"/>
      <c r="H20" s="314"/>
      <c r="I20" s="314"/>
      <c r="J20" s="325"/>
      <c r="K20" s="316"/>
      <c r="L20" s="316"/>
    </row>
    <row r="21" spans="1:12" x14ac:dyDescent="0.2">
      <c r="A21" s="319"/>
      <c r="B21" s="320"/>
      <c r="C21" s="326" t="s">
        <v>399</v>
      </c>
      <c r="D21" s="316"/>
      <c r="E21" s="329"/>
      <c r="F21" s="369" t="s">
        <v>228</v>
      </c>
      <c r="G21" s="316"/>
      <c r="H21" s="316"/>
      <c r="I21" s="314"/>
      <c r="J21" s="325"/>
      <c r="K21" s="316"/>
      <c r="L21" s="316"/>
    </row>
    <row r="22" spans="1:12" x14ac:dyDescent="0.2">
      <c r="A22" s="370"/>
      <c r="B22" s="322" t="s">
        <v>399</v>
      </c>
      <c r="C22" s="330">
        <v>13</v>
      </c>
      <c r="D22" s="320"/>
      <c r="E22" s="316"/>
      <c r="F22" s="314"/>
      <c r="G22" s="314"/>
      <c r="H22" s="314"/>
      <c r="I22" s="314"/>
      <c r="J22" s="325"/>
      <c r="K22" s="316"/>
      <c r="L22" s="316"/>
    </row>
    <row r="23" spans="1:12" ht="13.5" thickBot="1" x14ac:dyDescent="0.25">
      <c r="A23" s="371"/>
      <c r="B23" s="316"/>
      <c r="C23" s="316"/>
      <c r="D23" s="316"/>
      <c r="E23" s="316"/>
      <c r="F23" s="316"/>
      <c r="G23" s="316"/>
      <c r="H23" s="316"/>
      <c r="I23" s="314"/>
      <c r="J23" s="325"/>
      <c r="K23" s="316"/>
      <c r="L23" s="491" t="s">
        <v>451</v>
      </c>
    </row>
    <row r="24" spans="1:12" x14ac:dyDescent="0.2">
      <c r="A24" s="317"/>
      <c r="B24" s="316" t="s">
        <v>452</v>
      </c>
      <c r="C24" s="318">
        <v>13</v>
      </c>
      <c r="D24" s="316"/>
      <c r="E24" s="316"/>
      <c r="F24" s="316"/>
      <c r="G24" s="316"/>
      <c r="H24" s="316"/>
      <c r="I24" s="314"/>
      <c r="J24" s="325"/>
      <c r="K24" s="332"/>
      <c r="L24" s="333" t="s">
        <v>417</v>
      </c>
    </row>
    <row r="25" spans="1:12" x14ac:dyDescent="0.2">
      <c r="A25" s="319"/>
      <c r="B25" s="320"/>
      <c r="C25" s="321" t="s">
        <v>452</v>
      </c>
      <c r="D25" s="322"/>
      <c r="E25" s="316"/>
      <c r="F25" s="318">
        <v>8</v>
      </c>
      <c r="G25" s="316"/>
      <c r="H25" s="316"/>
      <c r="I25" s="314"/>
      <c r="J25" s="325"/>
      <c r="K25" s="316"/>
      <c r="L25" s="316"/>
    </row>
    <row r="26" spans="1:12" x14ac:dyDescent="0.2">
      <c r="A26" s="319"/>
      <c r="B26" s="374" t="s">
        <v>212</v>
      </c>
      <c r="C26" s="323">
        <v>0</v>
      </c>
      <c r="D26" s="316"/>
      <c r="E26" s="324"/>
      <c r="F26" s="316"/>
      <c r="G26" s="316"/>
      <c r="H26" s="316"/>
      <c r="I26" s="314"/>
      <c r="J26" s="325"/>
      <c r="K26" s="316"/>
      <c r="L26" s="316"/>
    </row>
    <row r="27" spans="1:12" x14ac:dyDescent="0.2">
      <c r="A27" s="319"/>
      <c r="B27" s="316"/>
      <c r="C27" s="316"/>
      <c r="D27" s="314"/>
      <c r="E27" s="325"/>
      <c r="F27" s="316" t="s">
        <v>411</v>
      </c>
      <c r="G27" s="316"/>
      <c r="H27" s="316"/>
      <c r="I27" s="327">
        <v>7</v>
      </c>
      <c r="J27" s="325"/>
      <c r="K27" s="316"/>
      <c r="L27" s="316"/>
    </row>
    <row r="28" spans="1:12" x14ac:dyDescent="0.2">
      <c r="A28" s="319"/>
      <c r="B28" s="316" t="s">
        <v>454</v>
      </c>
      <c r="C28" s="327">
        <v>6</v>
      </c>
      <c r="D28" s="316"/>
      <c r="E28" s="325"/>
      <c r="F28" s="328"/>
      <c r="G28" s="320"/>
      <c r="H28" s="324"/>
      <c r="I28" s="314"/>
      <c r="J28" s="325"/>
      <c r="K28" s="316"/>
      <c r="L28" s="316"/>
    </row>
    <row r="29" spans="1:12" x14ac:dyDescent="0.2">
      <c r="A29" s="319"/>
      <c r="B29" s="320"/>
      <c r="C29" s="326" t="s">
        <v>411</v>
      </c>
      <c r="D29" s="316"/>
      <c r="E29" s="329"/>
      <c r="F29" s="327">
        <v>13</v>
      </c>
      <c r="G29" s="314"/>
      <c r="H29" s="325"/>
      <c r="I29" s="314"/>
      <c r="J29" s="325"/>
      <c r="K29" s="316"/>
      <c r="L29" s="316"/>
    </row>
    <row r="30" spans="1:12" x14ac:dyDescent="0.2">
      <c r="A30" s="319"/>
      <c r="B30" s="322" t="s">
        <v>411</v>
      </c>
      <c r="C30" s="330">
        <v>13</v>
      </c>
      <c r="D30" s="320"/>
      <c r="E30" s="316"/>
      <c r="F30" s="314"/>
      <c r="G30" s="314"/>
      <c r="H30" s="325"/>
      <c r="I30" s="314"/>
      <c r="J30" s="325"/>
      <c r="K30" s="316"/>
      <c r="L30" s="316"/>
    </row>
    <row r="31" spans="1:12" x14ac:dyDescent="0.2">
      <c r="A31" s="316"/>
      <c r="B31" s="316"/>
      <c r="C31" s="316"/>
      <c r="D31" s="316"/>
      <c r="E31" s="316"/>
      <c r="F31" s="314"/>
      <c r="G31" s="314"/>
      <c r="H31" s="325"/>
      <c r="I31" s="322" t="s">
        <v>407</v>
      </c>
      <c r="J31" s="329"/>
      <c r="K31" s="368" t="s">
        <v>228</v>
      </c>
      <c r="L31" s="316"/>
    </row>
    <row r="32" spans="1:12" ht="13.5" thickBot="1" x14ac:dyDescent="0.25">
      <c r="A32" s="317"/>
      <c r="B32" s="365" t="s">
        <v>407</v>
      </c>
      <c r="C32" s="318">
        <v>13</v>
      </c>
      <c r="D32" s="316"/>
      <c r="E32" s="316"/>
      <c r="F32" s="314"/>
      <c r="G32" s="314"/>
      <c r="H32" s="325"/>
      <c r="I32" s="316"/>
      <c r="J32" s="316"/>
      <c r="K32" s="316"/>
      <c r="L32" s="372" t="s">
        <v>407</v>
      </c>
    </row>
    <row r="33" spans="1:12" x14ac:dyDescent="0.2">
      <c r="A33" s="319"/>
      <c r="B33" s="320"/>
      <c r="C33" s="321" t="s">
        <v>407</v>
      </c>
      <c r="D33" s="322"/>
      <c r="E33" s="316"/>
      <c r="F33" s="327">
        <v>13</v>
      </c>
      <c r="G33" s="314"/>
      <c r="H33" s="325"/>
      <c r="I33" s="316"/>
      <c r="J33" s="316"/>
      <c r="K33" s="316"/>
      <c r="L33" s="333" t="s">
        <v>418</v>
      </c>
    </row>
    <row r="34" spans="1:12" x14ac:dyDescent="0.2">
      <c r="A34" s="319"/>
      <c r="B34" s="322" t="s">
        <v>456</v>
      </c>
      <c r="C34" s="323">
        <v>8</v>
      </c>
      <c r="D34" s="316"/>
      <c r="E34" s="324"/>
      <c r="F34" s="314"/>
      <c r="G34" s="314"/>
      <c r="H34" s="325"/>
      <c r="I34" s="316"/>
      <c r="J34" s="316"/>
      <c r="K34" s="316"/>
      <c r="L34" s="316"/>
    </row>
    <row r="35" spans="1:12" x14ac:dyDescent="0.2">
      <c r="A35" s="319"/>
      <c r="B35" s="316"/>
      <c r="C35" s="316"/>
      <c r="D35" s="314"/>
      <c r="E35" s="325"/>
      <c r="F35" s="322" t="s">
        <v>407</v>
      </c>
      <c r="G35" s="322"/>
      <c r="H35" s="329"/>
      <c r="I35" s="318">
        <v>13</v>
      </c>
      <c r="J35" s="316"/>
      <c r="K35" s="316"/>
      <c r="L35" s="316"/>
    </row>
    <row r="36" spans="1:12" x14ac:dyDescent="0.2">
      <c r="A36" s="319"/>
      <c r="B36" s="316" t="s">
        <v>401</v>
      </c>
      <c r="C36" s="327">
        <v>13</v>
      </c>
      <c r="D36" s="316"/>
      <c r="E36" s="325"/>
      <c r="F36" s="326"/>
      <c r="G36" s="314"/>
      <c r="H36" s="314"/>
      <c r="I36" s="316"/>
      <c r="J36" s="316"/>
      <c r="K36" s="316"/>
      <c r="L36" s="316"/>
    </row>
    <row r="37" spans="1:12" x14ac:dyDescent="0.2">
      <c r="A37" s="319"/>
      <c r="B37" s="320"/>
      <c r="C37" s="326" t="s">
        <v>401</v>
      </c>
      <c r="D37" s="316"/>
      <c r="E37" s="329"/>
      <c r="F37" s="327">
        <v>5</v>
      </c>
      <c r="G37" s="316"/>
      <c r="H37" s="316"/>
      <c r="I37" s="316" t="s">
        <v>412</v>
      </c>
      <c r="J37" s="316"/>
      <c r="K37" s="327">
        <v>13</v>
      </c>
      <c r="L37" s="316"/>
    </row>
    <row r="38" spans="1:12" ht="13.5" thickBot="1" x14ac:dyDescent="0.25">
      <c r="A38" s="319"/>
      <c r="B38" s="322" t="s">
        <v>403</v>
      </c>
      <c r="C38" s="330">
        <v>4</v>
      </c>
      <c r="D38" s="320"/>
      <c r="E38" s="316"/>
      <c r="F38" s="314"/>
      <c r="G38" s="314"/>
      <c r="H38" s="314"/>
      <c r="I38" s="320"/>
      <c r="J38" s="324"/>
      <c r="K38" s="335"/>
      <c r="L38" s="379" t="s">
        <v>412</v>
      </c>
    </row>
    <row r="39" spans="1:12" x14ac:dyDescent="0.2">
      <c r="A39" s="316"/>
      <c r="B39" s="316"/>
      <c r="C39" s="316"/>
      <c r="D39" s="316"/>
      <c r="E39" s="316"/>
      <c r="F39" s="316"/>
      <c r="G39" s="316"/>
      <c r="H39" s="314"/>
      <c r="I39" s="322" t="s">
        <v>411</v>
      </c>
      <c r="J39" s="329"/>
      <c r="K39" s="318">
        <v>6</v>
      </c>
      <c r="L39" s="336" t="s">
        <v>416</v>
      </c>
    </row>
    <row r="40" spans="1:12" x14ac:dyDescent="0.2">
      <c r="A40" s="316"/>
      <c r="B40" s="316"/>
      <c r="C40" s="316"/>
      <c r="D40" s="316"/>
      <c r="E40" s="316"/>
      <c r="F40" s="316"/>
      <c r="G40" s="316"/>
      <c r="H40" s="314"/>
      <c r="I40" s="316"/>
      <c r="J40" s="316"/>
      <c r="K40" s="316"/>
      <c r="L40" s="314"/>
    </row>
    <row r="41" spans="1:12" ht="13.5" thickBot="1" x14ac:dyDescent="0.25">
      <c r="A41" s="316"/>
      <c r="B41" s="316"/>
      <c r="C41" s="316"/>
      <c r="D41" s="316"/>
      <c r="E41" s="316"/>
      <c r="F41" s="316"/>
      <c r="G41" s="316"/>
      <c r="H41" s="314"/>
      <c r="I41" s="314"/>
      <c r="J41" s="314"/>
      <c r="K41" s="316"/>
      <c r="L41" s="335" t="s">
        <v>411</v>
      </c>
    </row>
    <row r="42" spans="1:12" x14ac:dyDescent="0.2">
      <c r="A42" s="316"/>
      <c r="B42" s="316"/>
      <c r="C42" s="316"/>
      <c r="D42" s="316"/>
      <c r="E42" s="316"/>
      <c r="F42" s="316"/>
      <c r="G42" s="316"/>
      <c r="H42" s="316"/>
      <c r="I42" s="314"/>
      <c r="J42" s="314"/>
      <c r="K42" s="316"/>
      <c r="L42" s="331" t="s">
        <v>229</v>
      </c>
    </row>
    <row r="43" spans="1:12" x14ac:dyDescent="0.2">
      <c r="A43" s="316"/>
      <c r="B43" s="316"/>
      <c r="C43" s="316"/>
      <c r="D43" s="316"/>
      <c r="E43" s="316"/>
      <c r="F43" s="316"/>
      <c r="G43" s="316"/>
      <c r="H43" s="316"/>
      <c r="I43" s="314"/>
      <c r="J43" s="314"/>
      <c r="K43" s="316"/>
      <c r="L43" s="331"/>
    </row>
    <row r="44" spans="1:12" x14ac:dyDescent="0.2">
      <c r="A44" s="337" t="s">
        <v>428</v>
      </c>
      <c r="B44" s="316"/>
      <c r="C44" s="316"/>
      <c r="D44" s="316"/>
      <c r="E44" s="316"/>
      <c r="F44" s="316"/>
      <c r="G44" s="316"/>
      <c r="H44" s="316"/>
      <c r="I44" s="314"/>
      <c r="J44" s="314"/>
      <c r="K44" s="316"/>
      <c r="L44" s="331"/>
    </row>
    <row r="45" spans="1:12" x14ac:dyDescent="0.2">
      <c r="A45" s="337"/>
      <c r="B45" s="316"/>
      <c r="C45" s="316"/>
      <c r="D45" s="316"/>
      <c r="E45" s="316"/>
      <c r="F45" s="316"/>
      <c r="G45" s="316"/>
      <c r="H45" s="316"/>
      <c r="I45" s="314"/>
      <c r="J45" s="314"/>
      <c r="K45" s="316"/>
      <c r="L45" s="331"/>
    </row>
    <row r="46" spans="1:12" x14ac:dyDescent="0.2">
      <c r="A46" s="316"/>
      <c r="B46" s="316"/>
      <c r="C46" s="316"/>
      <c r="D46" s="316"/>
      <c r="E46" s="316"/>
      <c r="F46" s="367" t="s">
        <v>406</v>
      </c>
      <c r="G46" s="318"/>
      <c r="H46" s="318"/>
      <c r="I46" s="318">
        <v>7</v>
      </c>
      <c r="J46" s="318"/>
      <c r="K46" s="318"/>
      <c r="L46" s="316"/>
    </row>
    <row r="47" spans="1:12" x14ac:dyDescent="0.2">
      <c r="A47" s="316"/>
      <c r="B47" s="316"/>
      <c r="C47" s="316"/>
      <c r="D47" s="316"/>
      <c r="E47" s="316"/>
      <c r="F47" s="338"/>
      <c r="G47" s="338"/>
      <c r="H47" s="339"/>
      <c r="I47" s="340" t="s">
        <v>399</v>
      </c>
      <c r="J47" s="318"/>
      <c r="K47" s="318">
        <v>13</v>
      </c>
      <c r="L47" s="316"/>
    </row>
    <row r="48" spans="1:12" x14ac:dyDescent="0.2">
      <c r="A48" s="316"/>
      <c r="B48" s="316"/>
      <c r="C48" s="316"/>
      <c r="D48" s="316"/>
      <c r="E48" s="316"/>
      <c r="F48" s="340" t="s">
        <v>399</v>
      </c>
      <c r="G48" s="340"/>
      <c r="H48" s="341"/>
      <c r="I48" s="318">
        <v>13</v>
      </c>
      <c r="J48" s="339"/>
      <c r="K48" s="318"/>
      <c r="L48" s="316"/>
    </row>
    <row r="49" spans="1:12" ht="13.5" thickBot="1" x14ac:dyDescent="0.25">
      <c r="A49" s="316"/>
      <c r="B49" s="316"/>
      <c r="C49" s="316"/>
      <c r="D49" s="316"/>
      <c r="E49" s="316"/>
      <c r="F49" s="318"/>
      <c r="G49" s="318"/>
      <c r="H49" s="318"/>
      <c r="I49" s="327"/>
      <c r="J49" s="342"/>
      <c r="K49" s="318"/>
      <c r="L49" s="365" t="s">
        <v>399</v>
      </c>
    </row>
    <row r="50" spans="1:12" x14ac:dyDescent="0.2">
      <c r="A50" s="316"/>
      <c r="B50" s="316"/>
      <c r="C50" s="316"/>
      <c r="D50" s="316"/>
      <c r="E50" s="316"/>
      <c r="F50" s="318" t="s">
        <v>452</v>
      </c>
      <c r="G50" s="318"/>
      <c r="H50" s="318"/>
      <c r="I50" s="318">
        <v>13</v>
      </c>
      <c r="J50" s="342"/>
      <c r="K50" s="343"/>
      <c r="L50" s="333" t="s">
        <v>231</v>
      </c>
    </row>
    <row r="51" spans="1:12" x14ac:dyDescent="0.2">
      <c r="A51" s="316"/>
      <c r="B51" s="316"/>
      <c r="C51" s="316"/>
      <c r="D51" s="316"/>
      <c r="E51" s="316"/>
      <c r="F51" s="338"/>
      <c r="G51" s="338"/>
      <c r="H51" s="339"/>
      <c r="I51" s="318" t="s">
        <v>452</v>
      </c>
      <c r="J51" s="341"/>
      <c r="K51" s="381" t="s">
        <v>228</v>
      </c>
      <c r="L51" s="316"/>
    </row>
    <row r="52" spans="1:12" ht="13.5" thickBot="1" x14ac:dyDescent="0.25">
      <c r="A52" s="316"/>
      <c r="B52" s="316"/>
      <c r="C52" s="316"/>
      <c r="D52" s="316"/>
      <c r="E52" s="316"/>
      <c r="F52" s="340" t="s">
        <v>401</v>
      </c>
      <c r="G52" s="340"/>
      <c r="H52" s="341"/>
      <c r="I52" s="380" t="s">
        <v>228</v>
      </c>
      <c r="J52" s="318"/>
      <c r="K52" s="327"/>
      <c r="L52" s="372" t="s">
        <v>452</v>
      </c>
    </row>
    <row r="53" spans="1:12" x14ac:dyDescent="0.2">
      <c r="A53" s="316"/>
      <c r="B53" s="316"/>
      <c r="C53" s="316"/>
      <c r="D53" s="316"/>
      <c r="E53" s="316"/>
      <c r="F53" s="318"/>
      <c r="G53" s="318"/>
      <c r="H53" s="318"/>
      <c r="I53" s="318"/>
      <c r="J53" s="318"/>
      <c r="K53" s="327"/>
      <c r="L53" s="333" t="s">
        <v>232</v>
      </c>
    </row>
    <row r="54" spans="1:12" x14ac:dyDescent="0.2">
      <c r="A54" s="316"/>
      <c r="B54" s="316"/>
      <c r="C54" s="316"/>
      <c r="D54" s="316"/>
      <c r="E54" s="316"/>
      <c r="F54" s="318"/>
      <c r="G54" s="318"/>
      <c r="H54" s="327"/>
      <c r="I54" s="318" t="s">
        <v>406</v>
      </c>
      <c r="J54" s="318"/>
      <c r="K54" s="327">
        <v>13</v>
      </c>
      <c r="L54" s="314"/>
    </row>
    <row r="55" spans="1:12" ht="13.5" thickBot="1" x14ac:dyDescent="0.25">
      <c r="A55" s="316"/>
      <c r="B55" s="316"/>
      <c r="C55" s="316"/>
      <c r="D55" s="316"/>
      <c r="E55" s="316"/>
      <c r="F55" s="318"/>
      <c r="G55" s="318"/>
      <c r="H55" s="327"/>
      <c r="I55" s="338"/>
      <c r="J55" s="339"/>
      <c r="K55" s="344"/>
      <c r="L55" s="335" t="s">
        <v>406</v>
      </c>
    </row>
    <row r="56" spans="1:12" x14ac:dyDescent="0.2">
      <c r="A56" s="316"/>
      <c r="B56" s="316"/>
      <c r="C56" s="316"/>
      <c r="D56" s="316"/>
      <c r="E56" s="316"/>
      <c r="F56" s="318"/>
      <c r="G56" s="318"/>
      <c r="H56" s="327"/>
      <c r="I56" s="340" t="s">
        <v>401</v>
      </c>
      <c r="J56" s="341"/>
      <c r="K56" s="318">
        <v>5</v>
      </c>
      <c r="L56" s="336" t="s">
        <v>234</v>
      </c>
    </row>
    <row r="57" spans="1:12" x14ac:dyDescent="0.2">
      <c r="A57" s="316"/>
      <c r="B57" s="316"/>
      <c r="C57" s="316"/>
      <c r="D57" s="316"/>
      <c r="E57" s="316"/>
      <c r="F57" s="316"/>
      <c r="G57" s="316"/>
      <c r="H57" s="314"/>
      <c r="I57" s="316"/>
      <c r="J57" s="316"/>
      <c r="K57" s="316"/>
      <c r="L57" s="314"/>
    </row>
    <row r="58" spans="1:12" ht="13.5" thickBot="1" x14ac:dyDescent="0.25">
      <c r="A58" s="316"/>
      <c r="B58" s="316"/>
      <c r="C58" s="316"/>
      <c r="D58" s="316"/>
      <c r="E58" s="316"/>
      <c r="F58" s="331"/>
      <c r="G58" s="316"/>
      <c r="H58" s="316"/>
      <c r="I58" s="314"/>
      <c r="J58" s="314"/>
      <c r="K58" s="316"/>
      <c r="L58" s="379" t="s">
        <v>401</v>
      </c>
    </row>
    <row r="59" spans="1:12" x14ac:dyDescent="0.2">
      <c r="A59" s="316"/>
      <c r="B59" s="316"/>
      <c r="C59" s="316"/>
      <c r="D59" s="316"/>
      <c r="E59" s="316"/>
      <c r="F59" s="331"/>
      <c r="G59" s="316"/>
      <c r="H59" s="316"/>
      <c r="I59" s="314"/>
      <c r="J59" s="314"/>
      <c r="K59" s="316"/>
      <c r="L59" s="336" t="s">
        <v>235</v>
      </c>
    </row>
    <row r="60" spans="1:12" x14ac:dyDescent="0.2">
      <c r="A60" s="316"/>
      <c r="B60" s="316"/>
      <c r="C60" s="316"/>
      <c r="D60" s="316"/>
      <c r="E60" s="316"/>
      <c r="F60" s="331"/>
      <c r="G60" s="316"/>
      <c r="H60" s="316"/>
      <c r="I60" s="314"/>
      <c r="J60" s="314"/>
      <c r="K60" s="316"/>
      <c r="L60" s="336"/>
    </row>
    <row r="61" spans="1:12" x14ac:dyDescent="0.2">
      <c r="A61" s="345" t="s">
        <v>450</v>
      </c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</row>
    <row r="62" spans="1:12" x14ac:dyDescent="0.2">
      <c r="A62" s="346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</row>
    <row r="63" spans="1:12" x14ac:dyDescent="0.2">
      <c r="A63" s="316"/>
      <c r="B63" s="314"/>
      <c r="C63" s="322" t="s">
        <v>455</v>
      </c>
      <c r="D63" s="314"/>
      <c r="E63" s="316"/>
      <c r="F63" s="318">
        <v>13</v>
      </c>
      <c r="G63" s="316"/>
      <c r="H63" s="316"/>
      <c r="I63" s="316"/>
      <c r="J63" s="316"/>
      <c r="K63" s="316"/>
      <c r="L63" s="316"/>
    </row>
    <row r="64" spans="1:12" x14ac:dyDescent="0.2">
      <c r="A64" s="316"/>
      <c r="B64" s="314"/>
      <c r="C64" s="320"/>
      <c r="D64" s="320"/>
      <c r="E64" s="324"/>
      <c r="F64" s="326" t="s">
        <v>455</v>
      </c>
      <c r="G64" s="316"/>
      <c r="H64" s="316"/>
      <c r="I64" s="368" t="s">
        <v>228</v>
      </c>
      <c r="J64" s="316"/>
      <c r="K64" s="316"/>
      <c r="L64" s="316"/>
    </row>
    <row r="65" spans="1:12" x14ac:dyDescent="0.2">
      <c r="A65" s="316"/>
      <c r="B65" s="314"/>
      <c r="C65" s="374" t="s">
        <v>212</v>
      </c>
      <c r="D65" s="322"/>
      <c r="E65" s="329"/>
      <c r="F65" s="338">
        <v>0</v>
      </c>
      <c r="G65" s="320"/>
      <c r="H65" s="324"/>
      <c r="I65" s="316"/>
      <c r="J65" s="316"/>
      <c r="K65" s="316"/>
      <c r="L65" s="316"/>
    </row>
    <row r="66" spans="1:12" x14ac:dyDescent="0.2">
      <c r="A66" s="316"/>
      <c r="B66" s="314"/>
      <c r="C66" s="316"/>
      <c r="D66" s="316"/>
      <c r="E66" s="316"/>
      <c r="F66" s="314"/>
      <c r="G66" s="314"/>
      <c r="H66" s="325"/>
      <c r="I66" s="326" t="s">
        <v>453</v>
      </c>
      <c r="J66" s="316"/>
      <c r="K66" s="318">
        <v>9</v>
      </c>
      <c r="L66" s="316"/>
    </row>
    <row r="67" spans="1:12" x14ac:dyDescent="0.2">
      <c r="A67" s="316"/>
      <c r="B67" s="314"/>
      <c r="C67" s="322" t="s">
        <v>453</v>
      </c>
      <c r="D67" s="322"/>
      <c r="E67" s="316"/>
      <c r="F67" s="369">
        <v>13</v>
      </c>
      <c r="G67" s="314"/>
      <c r="H67" s="325"/>
      <c r="I67" s="328"/>
      <c r="J67" s="324"/>
      <c r="K67" s="316"/>
      <c r="L67" s="316"/>
    </row>
    <row r="68" spans="1:12" x14ac:dyDescent="0.2">
      <c r="A68" s="316"/>
      <c r="B68" s="314"/>
      <c r="C68" s="316"/>
      <c r="D68" s="314"/>
      <c r="E68" s="324"/>
      <c r="F68" s="322" t="s">
        <v>453</v>
      </c>
      <c r="G68" s="322"/>
      <c r="H68" s="329"/>
      <c r="I68" s="327">
        <v>13</v>
      </c>
      <c r="J68" s="325"/>
      <c r="K68" s="316"/>
      <c r="L68" s="316"/>
    </row>
    <row r="69" spans="1:12" x14ac:dyDescent="0.2">
      <c r="A69" s="316"/>
      <c r="B69" s="314"/>
      <c r="C69" s="372" t="s">
        <v>212</v>
      </c>
      <c r="D69" s="316"/>
      <c r="E69" s="329"/>
      <c r="F69" s="327">
        <v>0</v>
      </c>
      <c r="G69" s="316"/>
      <c r="H69" s="316"/>
      <c r="I69" s="314"/>
      <c r="J69" s="325"/>
      <c r="K69" s="316"/>
      <c r="L69" s="316"/>
    </row>
    <row r="70" spans="1:12" ht="13.5" thickBot="1" x14ac:dyDescent="0.25">
      <c r="A70" s="316"/>
      <c r="B70" s="314"/>
      <c r="C70" s="338"/>
      <c r="D70" s="320"/>
      <c r="E70" s="316"/>
      <c r="F70" s="314"/>
      <c r="G70" s="314"/>
      <c r="H70" s="314"/>
      <c r="I70" s="314"/>
      <c r="J70" s="325"/>
      <c r="K70" s="316"/>
      <c r="L70" s="365" t="s">
        <v>403</v>
      </c>
    </row>
    <row r="71" spans="1:12" x14ac:dyDescent="0.2">
      <c r="A71" s="316"/>
      <c r="B71" s="314"/>
      <c r="C71" s="372" t="s">
        <v>212</v>
      </c>
      <c r="D71" s="314"/>
      <c r="E71" s="316"/>
      <c r="F71" s="368">
        <v>0</v>
      </c>
      <c r="G71" s="316"/>
      <c r="H71" s="316"/>
      <c r="I71" s="316"/>
      <c r="J71" s="325"/>
      <c r="K71" s="334"/>
      <c r="L71" s="333" t="s">
        <v>237</v>
      </c>
    </row>
    <row r="72" spans="1:12" x14ac:dyDescent="0.2">
      <c r="A72" s="316"/>
      <c r="B72" s="314"/>
      <c r="C72" s="320"/>
      <c r="D72" s="320"/>
      <c r="E72" s="324"/>
      <c r="F72" s="326" t="s">
        <v>454</v>
      </c>
      <c r="G72" s="316"/>
      <c r="H72" s="316"/>
      <c r="I72" s="318">
        <v>6</v>
      </c>
      <c r="J72" s="325"/>
    </row>
    <row r="73" spans="1:12" x14ac:dyDescent="0.2">
      <c r="A73" s="316"/>
      <c r="B73" s="314"/>
      <c r="C73" s="322" t="s">
        <v>454</v>
      </c>
      <c r="D73" s="322"/>
      <c r="E73" s="329"/>
      <c r="F73" s="338">
        <v>13</v>
      </c>
      <c r="G73" s="320"/>
      <c r="H73" s="324"/>
      <c r="I73" s="316"/>
      <c r="J73" s="325"/>
      <c r="K73" s="316"/>
      <c r="L73" s="316"/>
    </row>
    <row r="74" spans="1:12" ht="13.5" thickBot="1" x14ac:dyDescent="0.25">
      <c r="A74" s="316"/>
      <c r="B74" s="314"/>
      <c r="C74" s="316"/>
      <c r="D74" s="316"/>
      <c r="E74" s="316"/>
      <c r="F74" s="314"/>
      <c r="G74" s="314"/>
      <c r="H74" s="325"/>
      <c r="I74" s="326" t="s">
        <v>403</v>
      </c>
      <c r="J74" s="329"/>
      <c r="K74" s="318">
        <v>13</v>
      </c>
      <c r="L74" s="372" t="s">
        <v>453</v>
      </c>
    </row>
    <row r="75" spans="1:12" x14ac:dyDescent="0.2">
      <c r="A75" s="316"/>
      <c r="B75" s="314"/>
      <c r="C75" s="322" t="s">
        <v>456</v>
      </c>
      <c r="D75" s="322"/>
      <c r="E75" s="316"/>
      <c r="F75" s="369" t="s">
        <v>228</v>
      </c>
      <c r="G75" s="314"/>
      <c r="H75" s="325"/>
      <c r="I75" s="328"/>
      <c r="J75" s="320"/>
      <c r="K75" s="316"/>
      <c r="L75" s="333" t="s">
        <v>238</v>
      </c>
    </row>
    <row r="76" spans="1:12" x14ac:dyDescent="0.2">
      <c r="A76" s="316"/>
      <c r="B76" s="314"/>
      <c r="C76" s="316"/>
      <c r="D76" s="314"/>
      <c r="E76" s="324"/>
      <c r="F76" s="322" t="s">
        <v>403</v>
      </c>
      <c r="G76" s="322"/>
      <c r="H76" s="329"/>
      <c r="I76" s="327">
        <v>13</v>
      </c>
      <c r="J76" s="314"/>
      <c r="K76" s="316"/>
      <c r="L76" s="316"/>
    </row>
    <row r="77" spans="1:12" x14ac:dyDescent="0.2">
      <c r="A77" s="316"/>
      <c r="B77" s="314"/>
      <c r="C77" s="314" t="s">
        <v>403</v>
      </c>
      <c r="D77" s="316"/>
      <c r="E77" s="329"/>
      <c r="F77" s="327">
        <v>13</v>
      </c>
      <c r="G77" s="316"/>
      <c r="H77" s="316"/>
      <c r="I77" s="314"/>
      <c r="J77" s="314"/>
      <c r="K77" s="316"/>
      <c r="L77" s="316"/>
    </row>
    <row r="78" spans="1:12" x14ac:dyDescent="0.2">
      <c r="A78" s="316"/>
      <c r="B78" s="314"/>
      <c r="C78" s="338"/>
      <c r="D78" s="320"/>
      <c r="E78" s="316"/>
      <c r="F78" s="314"/>
      <c r="G78" s="314"/>
      <c r="H78" s="314"/>
      <c r="I78" s="316" t="s">
        <v>455</v>
      </c>
      <c r="J78" s="316"/>
      <c r="K78" s="369">
        <v>6</v>
      </c>
      <c r="L78" s="316"/>
    </row>
    <row r="79" spans="1:12" ht="13.5" thickBot="1" x14ac:dyDescent="0.25">
      <c r="A79" s="316"/>
      <c r="B79" s="314"/>
      <c r="C79" s="316"/>
      <c r="D79" s="316"/>
      <c r="E79" s="316"/>
      <c r="F79" s="314"/>
      <c r="G79" s="314"/>
      <c r="H79" s="314"/>
      <c r="I79" s="320"/>
      <c r="J79" s="324"/>
      <c r="K79" s="335"/>
      <c r="L79" s="379" t="s">
        <v>454</v>
      </c>
    </row>
    <row r="80" spans="1:12" x14ac:dyDescent="0.2">
      <c r="A80" s="316"/>
      <c r="B80" s="314"/>
      <c r="C80" s="318"/>
      <c r="D80" s="316"/>
      <c r="E80" s="316"/>
      <c r="F80" s="314"/>
      <c r="G80" s="314"/>
      <c r="H80" s="314"/>
      <c r="I80" s="322" t="s">
        <v>454</v>
      </c>
      <c r="J80" s="329"/>
      <c r="K80" s="318">
        <v>13</v>
      </c>
      <c r="L80" s="336" t="s">
        <v>239</v>
      </c>
    </row>
    <row r="81" spans="1:12" x14ac:dyDescent="0.2">
      <c r="A81" s="316"/>
      <c r="B81" s="314"/>
      <c r="C81" s="314"/>
      <c r="D81" s="314"/>
      <c r="E81" s="314"/>
      <c r="F81" s="327"/>
      <c r="G81" s="314"/>
      <c r="H81" s="314"/>
      <c r="I81" s="316"/>
      <c r="J81" s="316"/>
      <c r="K81" s="316"/>
      <c r="L81" s="314"/>
    </row>
    <row r="82" spans="1:12" ht="13.5" thickBot="1" x14ac:dyDescent="0.25">
      <c r="A82" s="316"/>
      <c r="B82" s="314"/>
      <c r="C82" s="314"/>
      <c r="D82" s="314"/>
      <c r="E82" s="314"/>
      <c r="F82" s="372" t="s">
        <v>212</v>
      </c>
      <c r="G82" s="314"/>
      <c r="H82" s="314"/>
      <c r="I82" s="327"/>
      <c r="J82" s="314"/>
      <c r="K82" s="316"/>
      <c r="L82" s="304" t="s">
        <v>455</v>
      </c>
    </row>
    <row r="83" spans="1:12" x14ac:dyDescent="0.2">
      <c r="A83" s="316"/>
      <c r="B83" s="314"/>
      <c r="C83" s="314"/>
      <c r="D83" s="314"/>
      <c r="E83" s="314"/>
      <c r="F83" s="320"/>
      <c r="G83" s="320"/>
      <c r="H83" s="324"/>
      <c r="I83" s="378" t="s">
        <v>212</v>
      </c>
      <c r="J83" s="316"/>
      <c r="K83" s="318">
        <v>0</v>
      </c>
      <c r="L83" s="333" t="s">
        <v>240</v>
      </c>
    </row>
    <row r="84" spans="1:12" x14ac:dyDescent="0.2">
      <c r="A84" s="316"/>
      <c r="B84" s="314"/>
      <c r="C84" s="316"/>
      <c r="D84" s="316"/>
      <c r="E84" s="314"/>
      <c r="F84" s="374" t="s">
        <v>212</v>
      </c>
      <c r="G84" s="322"/>
      <c r="H84" s="329"/>
      <c r="I84" s="330"/>
      <c r="J84" s="324"/>
      <c r="K84" s="316"/>
      <c r="L84" s="316"/>
    </row>
    <row r="85" spans="1:12" ht="13.5" thickBot="1" x14ac:dyDescent="0.25">
      <c r="A85" s="316"/>
      <c r="B85" s="316"/>
      <c r="C85" s="316"/>
      <c r="D85" s="316"/>
      <c r="E85" s="314"/>
      <c r="F85" s="318"/>
      <c r="G85" s="316"/>
      <c r="H85" s="316"/>
      <c r="I85" s="316"/>
      <c r="J85" s="325"/>
      <c r="K85" s="316"/>
      <c r="L85" s="316" t="s">
        <v>456</v>
      </c>
    </row>
    <row r="86" spans="1:12" x14ac:dyDescent="0.2">
      <c r="A86" s="232">
        <v>1</v>
      </c>
      <c r="B86" s="284" t="s">
        <v>451</v>
      </c>
      <c r="C86" s="316"/>
      <c r="D86" s="316"/>
      <c r="E86" s="314"/>
      <c r="F86" s="372" t="s">
        <v>212</v>
      </c>
      <c r="G86" s="316"/>
      <c r="H86" s="316"/>
      <c r="I86" s="318">
        <v>0</v>
      </c>
      <c r="J86" s="325"/>
      <c r="K86" s="334"/>
      <c r="L86" s="333" t="s">
        <v>242</v>
      </c>
    </row>
    <row r="87" spans="1:12" x14ac:dyDescent="0.2">
      <c r="A87" s="232">
        <v>2</v>
      </c>
      <c r="B87" s="285" t="s">
        <v>407</v>
      </c>
      <c r="C87" s="316"/>
      <c r="D87" s="316"/>
      <c r="E87" s="314"/>
      <c r="F87" s="320"/>
      <c r="G87" s="320"/>
      <c r="H87" s="324"/>
      <c r="I87" s="326"/>
      <c r="J87" s="329"/>
      <c r="K87" s="318">
        <v>13</v>
      </c>
      <c r="L87" s="316"/>
    </row>
    <row r="88" spans="1:12" ht="13.5" thickBot="1" x14ac:dyDescent="0.25">
      <c r="A88" s="232">
        <v>3</v>
      </c>
      <c r="B88" s="286" t="s">
        <v>412</v>
      </c>
      <c r="C88" s="316"/>
      <c r="D88" s="316"/>
      <c r="E88" s="314"/>
      <c r="F88" s="322" t="s">
        <v>456</v>
      </c>
      <c r="G88" s="322"/>
      <c r="H88" s="329"/>
      <c r="I88" s="373">
        <v>13</v>
      </c>
      <c r="J88" s="314"/>
      <c r="K88" s="316"/>
      <c r="L88" s="314"/>
    </row>
    <row r="89" spans="1:12" x14ac:dyDescent="0.2">
      <c r="A89" s="232">
        <v>4</v>
      </c>
      <c r="B89" s="257" t="s">
        <v>411</v>
      </c>
      <c r="C89" s="316"/>
      <c r="D89" s="316"/>
      <c r="E89" s="314"/>
      <c r="F89" s="327"/>
      <c r="G89" s="316"/>
      <c r="H89" s="316"/>
      <c r="I89" s="314"/>
      <c r="J89" s="314"/>
      <c r="K89" s="316"/>
      <c r="L89" s="333" t="s">
        <v>243</v>
      </c>
    </row>
    <row r="90" spans="1:12" x14ac:dyDescent="0.2">
      <c r="A90" s="232">
        <v>5</v>
      </c>
      <c r="B90" s="257" t="s">
        <v>399</v>
      </c>
      <c r="C90" s="316"/>
      <c r="D90" s="316"/>
      <c r="E90" s="314"/>
      <c r="F90" s="314"/>
      <c r="G90" s="314"/>
      <c r="H90" s="314"/>
      <c r="I90" s="316"/>
      <c r="J90" s="316"/>
      <c r="K90" s="327"/>
      <c r="L90" s="316"/>
    </row>
    <row r="91" spans="1:12" ht="13.5" thickBot="1" x14ac:dyDescent="0.25">
      <c r="A91" s="232">
        <v>6</v>
      </c>
      <c r="B91" s="257" t="s">
        <v>452</v>
      </c>
      <c r="C91" s="316"/>
      <c r="D91" s="316"/>
      <c r="E91" s="316"/>
      <c r="F91" s="314"/>
      <c r="G91" s="314"/>
      <c r="H91" s="314"/>
      <c r="I91" s="320"/>
      <c r="J91" s="324"/>
      <c r="K91" s="335"/>
      <c r="L91" s="335"/>
    </row>
    <row r="92" spans="1:12" x14ac:dyDescent="0.2">
      <c r="A92" s="232">
        <v>7</v>
      </c>
      <c r="B92" s="257" t="s">
        <v>406</v>
      </c>
      <c r="C92" s="316"/>
      <c r="D92" s="316"/>
      <c r="E92" s="316"/>
      <c r="F92" s="314"/>
      <c r="G92" s="314"/>
      <c r="H92" s="314"/>
      <c r="I92" s="322"/>
      <c r="J92" s="329"/>
      <c r="K92" s="318"/>
      <c r="L92" s="336" t="s">
        <v>244</v>
      </c>
    </row>
    <row r="93" spans="1:12" x14ac:dyDescent="0.2">
      <c r="A93" s="232">
        <v>8</v>
      </c>
      <c r="B93" s="258" t="s">
        <v>401</v>
      </c>
      <c r="C93" s="316"/>
      <c r="D93" s="316"/>
      <c r="E93" s="316"/>
      <c r="F93" s="327"/>
      <c r="G93" s="314"/>
      <c r="H93" s="314"/>
      <c r="I93" s="316"/>
      <c r="J93" s="316"/>
      <c r="K93" s="316"/>
      <c r="L93" s="314"/>
    </row>
    <row r="94" spans="1:12" ht="13.5" thickBot="1" x14ac:dyDescent="0.25">
      <c r="A94" s="232">
        <v>9</v>
      </c>
      <c r="B94" s="257" t="s">
        <v>403</v>
      </c>
      <c r="C94" s="316"/>
      <c r="D94" s="316"/>
      <c r="E94" s="316"/>
      <c r="F94" s="314"/>
      <c r="G94" s="314"/>
      <c r="H94" s="314"/>
      <c r="I94" s="314"/>
      <c r="J94" s="314"/>
      <c r="K94" s="316"/>
      <c r="L94" s="335"/>
    </row>
    <row r="95" spans="1:12" x14ac:dyDescent="0.2">
      <c r="A95" s="232">
        <v>10</v>
      </c>
      <c r="B95" s="257" t="s">
        <v>453</v>
      </c>
      <c r="C95" s="316"/>
      <c r="D95" s="316"/>
      <c r="E95" s="316"/>
      <c r="F95" s="314"/>
      <c r="G95" s="314"/>
      <c r="H95" s="314"/>
      <c r="I95" s="314"/>
      <c r="J95" s="314"/>
      <c r="K95" s="316"/>
      <c r="L95" s="331" t="s">
        <v>245</v>
      </c>
    </row>
    <row r="96" spans="1:12" x14ac:dyDescent="0.2">
      <c r="A96" s="232">
        <v>11</v>
      </c>
      <c r="B96" s="257" t="s">
        <v>454</v>
      </c>
      <c r="C96" s="241"/>
      <c r="D96" s="252"/>
      <c r="L96" s="354"/>
    </row>
    <row r="97" spans="1:11" x14ac:dyDescent="0.2">
      <c r="A97" s="232">
        <v>12</v>
      </c>
      <c r="B97" s="257" t="s">
        <v>455</v>
      </c>
      <c r="K97" s="347"/>
    </row>
    <row r="98" spans="1:11" x14ac:dyDescent="0.2">
      <c r="A98" s="232">
        <v>13</v>
      </c>
      <c r="B98" s="257" t="s">
        <v>456</v>
      </c>
      <c r="K98" s="347"/>
    </row>
  </sheetData>
  <conditionalFormatting sqref="C5:K69 C70:J72 K70:K71 C73:K95">
    <cfRule type="cellIs" dxfId="0" priority="4" operator="equal">
      <formula>13</formula>
    </cfRule>
  </conditionalFormatting>
  <pageMargins left="0.39370078740157483" right="0.39370078740157483" top="0.59055118110236227" bottom="0.27559055118110237" header="0.39370078740157483" footer="0"/>
  <pageSetup paperSize="9" fitToHeight="0" orientation="landscape" r:id="rId1"/>
  <headerFooter>
    <oddHeader>&amp;R&amp;"Arial,Regular"&amp;9Page &amp;P of &amp;N</oddHeader>
  </headerFooter>
  <rowBreaks count="2" manualBreakCount="2">
    <brk id="42" max="16383" man="1"/>
    <brk id="5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showGridLines="0" showRowColHeaders="0" workbookViewId="0">
      <pane ySplit="2" topLeftCell="A3" activePane="bottomLeft" state="frozen"/>
      <selection pane="bottomLeft" activeCell="I1" sqref="I1"/>
    </sheetView>
  </sheetViews>
  <sheetFormatPr defaultRowHeight="12.75" x14ac:dyDescent="0.2"/>
  <cols>
    <col min="1" max="1" width="3" style="160" customWidth="1"/>
    <col min="2" max="2" width="18.7109375" style="160" bestFit="1" customWidth="1"/>
    <col min="3" max="3" width="6.28515625" style="160" customWidth="1"/>
    <col min="4" max="4" width="7.5703125" style="160" bestFit="1" customWidth="1"/>
    <col min="5" max="25" width="4.42578125" style="160" customWidth="1"/>
    <col min="26" max="256" width="9.140625" style="160"/>
    <col min="257" max="257" width="3" style="160" customWidth="1"/>
    <col min="258" max="258" width="18.7109375" style="160" bestFit="1" customWidth="1"/>
    <col min="259" max="259" width="6.28515625" style="160" customWidth="1"/>
    <col min="260" max="260" width="6.5703125" style="160" bestFit="1" customWidth="1"/>
    <col min="261" max="281" width="4.42578125" style="160" customWidth="1"/>
    <col min="282" max="512" width="9.140625" style="160"/>
    <col min="513" max="513" width="3" style="160" customWidth="1"/>
    <col min="514" max="514" width="18.7109375" style="160" bestFit="1" customWidth="1"/>
    <col min="515" max="515" width="6.28515625" style="160" customWidth="1"/>
    <col min="516" max="516" width="6.5703125" style="160" bestFit="1" customWidth="1"/>
    <col min="517" max="537" width="4.42578125" style="160" customWidth="1"/>
    <col min="538" max="768" width="9.140625" style="160"/>
    <col min="769" max="769" width="3" style="160" customWidth="1"/>
    <col min="770" max="770" width="18.7109375" style="160" bestFit="1" customWidth="1"/>
    <col min="771" max="771" width="6.28515625" style="160" customWidth="1"/>
    <col min="772" max="772" width="6.5703125" style="160" bestFit="1" customWidth="1"/>
    <col min="773" max="793" width="4.42578125" style="160" customWidth="1"/>
    <col min="794" max="1024" width="9.140625" style="160"/>
    <col min="1025" max="1025" width="3" style="160" customWidth="1"/>
    <col min="1026" max="1026" width="18.7109375" style="160" bestFit="1" customWidth="1"/>
    <col min="1027" max="1027" width="6.28515625" style="160" customWidth="1"/>
    <col min="1028" max="1028" width="6.5703125" style="160" bestFit="1" customWidth="1"/>
    <col min="1029" max="1049" width="4.42578125" style="160" customWidth="1"/>
    <col min="1050" max="1280" width="9.140625" style="160"/>
    <col min="1281" max="1281" width="3" style="160" customWidth="1"/>
    <col min="1282" max="1282" width="18.7109375" style="160" bestFit="1" customWidth="1"/>
    <col min="1283" max="1283" width="6.28515625" style="160" customWidth="1"/>
    <col min="1284" max="1284" width="6.5703125" style="160" bestFit="1" customWidth="1"/>
    <col min="1285" max="1305" width="4.42578125" style="160" customWidth="1"/>
    <col min="1306" max="1536" width="9.140625" style="160"/>
    <col min="1537" max="1537" width="3" style="160" customWidth="1"/>
    <col min="1538" max="1538" width="18.7109375" style="160" bestFit="1" customWidth="1"/>
    <col min="1539" max="1539" width="6.28515625" style="160" customWidth="1"/>
    <col min="1540" max="1540" width="6.5703125" style="160" bestFit="1" customWidth="1"/>
    <col min="1541" max="1561" width="4.42578125" style="160" customWidth="1"/>
    <col min="1562" max="1792" width="9.140625" style="160"/>
    <col min="1793" max="1793" width="3" style="160" customWidth="1"/>
    <col min="1794" max="1794" width="18.7109375" style="160" bestFit="1" customWidth="1"/>
    <col min="1795" max="1795" width="6.28515625" style="160" customWidth="1"/>
    <col min="1796" max="1796" width="6.5703125" style="160" bestFit="1" customWidth="1"/>
    <col min="1797" max="1817" width="4.42578125" style="160" customWidth="1"/>
    <col min="1818" max="2048" width="9.140625" style="160"/>
    <col min="2049" max="2049" width="3" style="160" customWidth="1"/>
    <col min="2050" max="2050" width="18.7109375" style="160" bestFit="1" customWidth="1"/>
    <col min="2051" max="2051" width="6.28515625" style="160" customWidth="1"/>
    <col min="2052" max="2052" width="6.5703125" style="160" bestFit="1" customWidth="1"/>
    <col min="2053" max="2073" width="4.42578125" style="160" customWidth="1"/>
    <col min="2074" max="2304" width="9.140625" style="160"/>
    <col min="2305" max="2305" width="3" style="160" customWidth="1"/>
    <col min="2306" max="2306" width="18.7109375" style="160" bestFit="1" customWidth="1"/>
    <col min="2307" max="2307" width="6.28515625" style="160" customWidth="1"/>
    <col min="2308" max="2308" width="6.5703125" style="160" bestFit="1" customWidth="1"/>
    <col min="2309" max="2329" width="4.42578125" style="160" customWidth="1"/>
    <col min="2330" max="2560" width="9.140625" style="160"/>
    <col min="2561" max="2561" width="3" style="160" customWidth="1"/>
    <col min="2562" max="2562" width="18.7109375" style="160" bestFit="1" customWidth="1"/>
    <col min="2563" max="2563" width="6.28515625" style="160" customWidth="1"/>
    <col min="2564" max="2564" width="6.5703125" style="160" bestFit="1" customWidth="1"/>
    <col min="2565" max="2585" width="4.42578125" style="160" customWidth="1"/>
    <col min="2586" max="2816" width="9.140625" style="160"/>
    <col min="2817" max="2817" width="3" style="160" customWidth="1"/>
    <col min="2818" max="2818" width="18.7109375" style="160" bestFit="1" customWidth="1"/>
    <col min="2819" max="2819" width="6.28515625" style="160" customWidth="1"/>
    <col min="2820" max="2820" width="6.5703125" style="160" bestFit="1" customWidth="1"/>
    <col min="2821" max="2841" width="4.42578125" style="160" customWidth="1"/>
    <col min="2842" max="3072" width="9.140625" style="160"/>
    <col min="3073" max="3073" width="3" style="160" customWidth="1"/>
    <col min="3074" max="3074" width="18.7109375" style="160" bestFit="1" customWidth="1"/>
    <col min="3075" max="3075" width="6.28515625" style="160" customWidth="1"/>
    <col min="3076" max="3076" width="6.5703125" style="160" bestFit="1" customWidth="1"/>
    <col min="3077" max="3097" width="4.42578125" style="160" customWidth="1"/>
    <col min="3098" max="3328" width="9.140625" style="160"/>
    <col min="3329" max="3329" width="3" style="160" customWidth="1"/>
    <col min="3330" max="3330" width="18.7109375" style="160" bestFit="1" customWidth="1"/>
    <col min="3331" max="3331" width="6.28515625" style="160" customWidth="1"/>
    <col min="3332" max="3332" width="6.5703125" style="160" bestFit="1" customWidth="1"/>
    <col min="3333" max="3353" width="4.42578125" style="160" customWidth="1"/>
    <col min="3354" max="3584" width="9.140625" style="160"/>
    <col min="3585" max="3585" width="3" style="160" customWidth="1"/>
    <col min="3586" max="3586" width="18.7109375" style="160" bestFit="1" customWidth="1"/>
    <col min="3587" max="3587" width="6.28515625" style="160" customWidth="1"/>
    <col min="3588" max="3588" width="6.5703125" style="160" bestFit="1" customWidth="1"/>
    <col min="3589" max="3609" width="4.42578125" style="160" customWidth="1"/>
    <col min="3610" max="3840" width="9.140625" style="160"/>
    <col min="3841" max="3841" width="3" style="160" customWidth="1"/>
    <col min="3842" max="3842" width="18.7109375" style="160" bestFit="1" customWidth="1"/>
    <col min="3843" max="3843" width="6.28515625" style="160" customWidth="1"/>
    <col min="3844" max="3844" width="6.5703125" style="160" bestFit="1" customWidth="1"/>
    <col min="3845" max="3865" width="4.42578125" style="160" customWidth="1"/>
    <col min="3866" max="4096" width="9.140625" style="160"/>
    <col min="4097" max="4097" width="3" style="160" customWidth="1"/>
    <col min="4098" max="4098" width="18.7109375" style="160" bestFit="1" customWidth="1"/>
    <col min="4099" max="4099" width="6.28515625" style="160" customWidth="1"/>
    <col min="4100" max="4100" width="6.5703125" style="160" bestFit="1" customWidth="1"/>
    <col min="4101" max="4121" width="4.42578125" style="160" customWidth="1"/>
    <col min="4122" max="4352" width="9.140625" style="160"/>
    <col min="4353" max="4353" width="3" style="160" customWidth="1"/>
    <col min="4354" max="4354" width="18.7109375" style="160" bestFit="1" customWidth="1"/>
    <col min="4355" max="4355" width="6.28515625" style="160" customWidth="1"/>
    <col min="4356" max="4356" width="6.5703125" style="160" bestFit="1" customWidth="1"/>
    <col min="4357" max="4377" width="4.42578125" style="160" customWidth="1"/>
    <col min="4378" max="4608" width="9.140625" style="160"/>
    <col min="4609" max="4609" width="3" style="160" customWidth="1"/>
    <col min="4610" max="4610" width="18.7109375" style="160" bestFit="1" customWidth="1"/>
    <col min="4611" max="4611" width="6.28515625" style="160" customWidth="1"/>
    <col min="4612" max="4612" width="6.5703125" style="160" bestFit="1" customWidth="1"/>
    <col min="4613" max="4633" width="4.42578125" style="160" customWidth="1"/>
    <col min="4634" max="4864" width="9.140625" style="160"/>
    <col min="4865" max="4865" width="3" style="160" customWidth="1"/>
    <col min="4866" max="4866" width="18.7109375" style="160" bestFit="1" customWidth="1"/>
    <col min="4867" max="4867" width="6.28515625" style="160" customWidth="1"/>
    <col min="4868" max="4868" width="6.5703125" style="160" bestFit="1" customWidth="1"/>
    <col min="4869" max="4889" width="4.42578125" style="160" customWidth="1"/>
    <col min="4890" max="5120" width="9.140625" style="160"/>
    <col min="5121" max="5121" width="3" style="160" customWidth="1"/>
    <col min="5122" max="5122" width="18.7109375" style="160" bestFit="1" customWidth="1"/>
    <col min="5123" max="5123" width="6.28515625" style="160" customWidth="1"/>
    <col min="5124" max="5124" width="6.5703125" style="160" bestFit="1" customWidth="1"/>
    <col min="5125" max="5145" width="4.42578125" style="160" customWidth="1"/>
    <col min="5146" max="5376" width="9.140625" style="160"/>
    <col min="5377" max="5377" width="3" style="160" customWidth="1"/>
    <col min="5378" max="5378" width="18.7109375" style="160" bestFit="1" customWidth="1"/>
    <col min="5379" max="5379" width="6.28515625" style="160" customWidth="1"/>
    <col min="5380" max="5380" width="6.5703125" style="160" bestFit="1" customWidth="1"/>
    <col min="5381" max="5401" width="4.42578125" style="160" customWidth="1"/>
    <col min="5402" max="5632" width="9.140625" style="160"/>
    <col min="5633" max="5633" width="3" style="160" customWidth="1"/>
    <col min="5634" max="5634" width="18.7109375" style="160" bestFit="1" customWidth="1"/>
    <col min="5635" max="5635" width="6.28515625" style="160" customWidth="1"/>
    <col min="5636" max="5636" width="6.5703125" style="160" bestFit="1" customWidth="1"/>
    <col min="5637" max="5657" width="4.42578125" style="160" customWidth="1"/>
    <col min="5658" max="5888" width="9.140625" style="160"/>
    <col min="5889" max="5889" width="3" style="160" customWidth="1"/>
    <col min="5890" max="5890" width="18.7109375" style="160" bestFit="1" customWidth="1"/>
    <col min="5891" max="5891" width="6.28515625" style="160" customWidth="1"/>
    <col min="5892" max="5892" width="6.5703125" style="160" bestFit="1" customWidth="1"/>
    <col min="5893" max="5913" width="4.42578125" style="160" customWidth="1"/>
    <col min="5914" max="6144" width="9.140625" style="160"/>
    <col min="6145" max="6145" width="3" style="160" customWidth="1"/>
    <col min="6146" max="6146" width="18.7109375" style="160" bestFit="1" customWidth="1"/>
    <col min="6147" max="6147" width="6.28515625" style="160" customWidth="1"/>
    <col min="6148" max="6148" width="6.5703125" style="160" bestFit="1" customWidth="1"/>
    <col min="6149" max="6169" width="4.42578125" style="160" customWidth="1"/>
    <col min="6170" max="6400" width="9.140625" style="160"/>
    <col min="6401" max="6401" width="3" style="160" customWidth="1"/>
    <col min="6402" max="6402" width="18.7109375" style="160" bestFit="1" customWidth="1"/>
    <col min="6403" max="6403" width="6.28515625" style="160" customWidth="1"/>
    <col min="6404" max="6404" width="6.5703125" style="160" bestFit="1" customWidth="1"/>
    <col min="6405" max="6425" width="4.42578125" style="160" customWidth="1"/>
    <col min="6426" max="6656" width="9.140625" style="160"/>
    <col min="6657" max="6657" width="3" style="160" customWidth="1"/>
    <col min="6658" max="6658" width="18.7109375" style="160" bestFit="1" customWidth="1"/>
    <col min="6659" max="6659" width="6.28515625" style="160" customWidth="1"/>
    <col min="6660" max="6660" width="6.5703125" style="160" bestFit="1" customWidth="1"/>
    <col min="6661" max="6681" width="4.42578125" style="160" customWidth="1"/>
    <col min="6682" max="6912" width="9.140625" style="160"/>
    <col min="6913" max="6913" width="3" style="160" customWidth="1"/>
    <col min="6914" max="6914" width="18.7109375" style="160" bestFit="1" customWidth="1"/>
    <col min="6915" max="6915" width="6.28515625" style="160" customWidth="1"/>
    <col min="6916" max="6916" width="6.5703125" style="160" bestFit="1" customWidth="1"/>
    <col min="6917" max="6937" width="4.42578125" style="160" customWidth="1"/>
    <col min="6938" max="7168" width="9.140625" style="160"/>
    <col min="7169" max="7169" width="3" style="160" customWidth="1"/>
    <col min="7170" max="7170" width="18.7109375" style="160" bestFit="1" customWidth="1"/>
    <col min="7171" max="7171" width="6.28515625" style="160" customWidth="1"/>
    <col min="7172" max="7172" width="6.5703125" style="160" bestFit="1" customWidth="1"/>
    <col min="7173" max="7193" width="4.42578125" style="160" customWidth="1"/>
    <col min="7194" max="7424" width="9.140625" style="160"/>
    <col min="7425" max="7425" width="3" style="160" customWidth="1"/>
    <col min="7426" max="7426" width="18.7109375" style="160" bestFit="1" customWidth="1"/>
    <col min="7427" max="7427" width="6.28515625" style="160" customWidth="1"/>
    <col min="7428" max="7428" width="6.5703125" style="160" bestFit="1" customWidth="1"/>
    <col min="7429" max="7449" width="4.42578125" style="160" customWidth="1"/>
    <col min="7450" max="7680" width="9.140625" style="160"/>
    <col min="7681" max="7681" width="3" style="160" customWidth="1"/>
    <col min="7682" max="7682" width="18.7109375" style="160" bestFit="1" customWidth="1"/>
    <col min="7683" max="7683" width="6.28515625" style="160" customWidth="1"/>
    <col min="7684" max="7684" width="6.5703125" style="160" bestFit="1" customWidth="1"/>
    <col min="7685" max="7705" width="4.42578125" style="160" customWidth="1"/>
    <col min="7706" max="7936" width="9.140625" style="160"/>
    <col min="7937" max="7937" width="3" style="160" customWidth="1"/>
    <col min="7938" max="7938" width="18.7109375" style="160" bestFit="1" customWidth="1"/>
    <col min="7939" max="7939" width="6.28515625" style="160" customWidth="1"/>
    <col min="7940" max="7940" width="6.5703125" style="160" bestFit="1" customWidth="1"/>
    <col min="7941" max="7961" width="4.42578125" style="160" customWidth="1"/>
    <col min="7962" max="8192" width="9.140625" style="160"/>
    <col min="8193" max="8193" width="3" style="160" customWidth="1"/>
    <col min="8194" max="8194" width="18.7109375" style="160" bestFit="1" customWidth="1"/>
    <col min="8195" max="8195" width="6.28515625" style="160" customWidth="1"/>
    <col min="8196" max="8196" width="6.5703125" style="160" bestFit="1" customWidth="1"/>
    <col min="8197" max="8217" width="4.42578125" style="160" customWidth="1"/>
    <col min="8218" max="8448" width="9.140625" style="160"/>
    <col min="8449" max="8449" width="3" style="160" customWidth="1"/>
    <col min="8450" max="8450" width="18.7109375" style="160" bestFit="1" customWidth="1"/>
    <col min="8451" max="8451" width="6.28515625" style="160" customWidth="1"/>
    <col min="8452" max="8452" width="6.5703125" style="160" bestFit="1" customWidth="1"/>
    <col min="8453" max="8473" width="4.42578125" style="160" customWidth="1"/>
    <col min="8474" max="8704" width="9.140625" style="160"/>
    <col min="8705" max="8705" width="3" style="160" customWidth="1"/>
    <col min="8706" max="8706" width="18.7109375" style="160" bestFit="1" customWidth="1"/>
    <col min="8707" max="8707" width="6.28515625" style="160" customWidth="1"/>
    <col min="8708" max="8708" width="6.5703125" style="160" bestFit="1" customWidth="1"/>
    <col min="8709" max="8729" width="4.42578125" style="160" customWidth="1"/>
    <col min="8730" max="8960" width="9.140625" style="160"/>
    <col min="8961" max="8961" width="3" style="160" customWidth="1"/>
    <col min="8962" max="8962" width="18.7109375" style="160" bestFit="1" customWidth="1"/>
    <col min="8963" max="8963" width="6.28515625" style="160" customWidth="1"/>
    <col min="8964" max="8964" width="6.5703125" style="160" bestFit="1" customWidth="1"/>
    <col min="8965" max="8985" width="4.42578125" style="160" customWidth="1"/>
    <col min="8986" max="9216" width="9.140625" style="160"/>
    <col min="9217" max="9217" width="3" style="160" customWidth="1"/>
    <col min="9218" max="9218" width="18.7109375" style="160" bestFit="1" customWidth="1"/>
    <col min="9219" max="9219" width="6.28515625" style="160" customWidth="1"/>
    <col min="9220" max="9220" width="6.5703125" style="160" bestFit="1" customWidth="1"/>
    <col min="9221" max="9241" width="4.42578125" style="160" customWidth="1"/>
    <col min="9242" max="9472" width="9.140625" style="160"/>
    <col min="9473" max="9473" width="3" style="160" customWidth="1"/>
    <col min="9474" max="9474" width="18.7109375" style="160" bestFit="1" customWidth="1"/>
    <col min="9475" max="9475" width="6.28515625" style="160" customWidth="1"/>
    <col min="9476" max="9476" width="6.5703125" style="160" bestFit="1" customWidth="1"/>
    <col min="9477" max="9497" width="4.42578125" style="160" customWidth="1"/>
    <col min="9498" max="9728" width="9.140625" style="160"/>
    <col min="9729" max="9729" width="3" style="160" customWidth="1"/>
    <col min="9730" max="9730" width="18.7109375" style="160" bestFit="1" customWidth="1"/>
    <col min="9731" max="9731" width="6.28515625" style="160" customWidth="1"/>
    <col min="9732" max="9732" width="6.5703125" style="160" bestFit="1" customWidth="1"/>
    <col min="9733" max="9753" width="4.42578125" style="160" customWidth="1"/>
    <col min="9754" max="9984" width="9.140625" style="160"/>
    <col min="9985" max="9985" width="3" style="160" customWidth="1"/>
    <col min="9986" max="9986" width="18.7109375" style="160" bestFit="1" customWidth="1"/>
    <col min="9987" max="9987" width="6.28515625" style="160" customWidth="1"/>
    <col min="9988" max="9988" width="6.5703125" style="160" bestFit="1" customWidth="1"/>
    <col min="9989" max="10009" width="4.42578125" style="160" customWidth="1"/>
    <col min="10010" max="10240" width="9.140625" style="160"/>
    <col min="10241" max="10241" width="3" style="160" customWidth="1"/>
    <col min="10242" max="10242" width="18.7109375" style="160" bestFit="1" customWidth="1"/>
    <col min="10243" max="10243" width="6.28515625" style="160" customWidth="1"/>
    <col min="10244" max="10244" width="6.5703125" style="160" bestFit="1" customWidth="1"/>
    <col min="10245" max="10265" width="4.42578125" style="160" customWidth="1"/>
    <col min="10266" max="10496" width="9.140625" style="160"/>
    <col min="10497" max="10497" width="3" style="160" customWidth="1"/>
    <col min="10498" max="10498" width="18.7109375" style="160" bestFit="1" customWidth="1"/>
    <col min="10499" max="10499" width="6.28515625" style="160" customWidth="1"/>
    <col min="10500" max="10500" width="6.5703125" style="160" bestFit="1" customWidth="1"/>
    <col min="10501" max="10521" width="4.42578125" style="160" customWidth="1"/>
    <col min="10522" max="10752" width="9.140625" style="160"/>
    <col min="10753" max="10753" width="3" style="160" customWidth="1"/>
    <col min="10754" max="10754" width="18.7109375" style="160" bestFit="1" customWidth="1"/>
    <col min="10755" max="10755" width="6.28515625" style="160" customWidth="1"/>
    <col min="10756" max="10756" width="6.5703125" style="160" bestFit="1" customWidth="1"/>
    <col min="10757" max="10777" width="4.42578125" style="160" customWidth="1"/>
    <col min="10778" max="11008" width="9.140625" style="160"/>
    <col min="11009" max="11009" width="3" style="160" customWidth="1"/>
    <col min="11010" max="11010" width="18.7109375" style="160" bestFit="1" customWidth="1"/>
    <col min="11011" max="11011" width="6.28515625" style="160" customWidth="1"/>
    <col min="11012" max="11012" width="6.5703125" style="160" bestFit="1" customWidth="1"/>
    <col min="11013" max="11033" width="4.42578125" style="160" customWidth="1"/>
    <col min="11034" max="11264" width="9.140625" style="160"/>
    <col min="11265" max="11265" width="3" style="160" customWidth="1"/>
    <col min="11266" max="11266" width="18.7109375" style="160" bestFit="1" customWidth="1"/>
    <col min="11267" max="11267" width="6.28515625" style="160" customWidth="1"/>
    <col min="11268" max="11268" width="6.5703125" style="160" bestFit="1" customWidth="1"/>
    <col min="11269" max="11289" width="4.42578125" style="160" customWidth="1"/>
    <col min="11290" max="11520" width="9.140625" style="160"/>
    <col min="11521" max="11521" width="3" style="160" customWidth="1"/>
    <col min="11522" max="11522" width="18.7109375" style="160" bestFit="1" customWidth="1"/>
    <col min="11523" max="11523" width="6.28515625" style="160" customWidth="1"/>
    <col min="11524" max="11524" width="6.5703125" style="160" bestFit="1" customWidth="1"/>
    <col min="11525" max="11545" width="4.42578125" style="160" customWidth="1"/>
    <col min="11546" max="11776" width="9.140625" style="160"/>
    <col min="11777" max="11777" width="3" style="160" customWidth="1"/>
    <col min="11778" max="11778" width="18.7109375" style="160" bestFit="1" customWidth="1"/>
    <col min="11779" max="11779" width="6.28515625" style="160" customWidth="1"/>
    <col min="11780" max="11780" width="6.5703125" style="160" bestFit="1" customWidth="1"/>
    <col min="11781" max="11801" width="4.42578125" style="160" customWidth="1"/>
    <col min="11802" max="12032" width="9.140625" style="160"/>
    <col min="12033" max="12033" width="3" style="160" customWidth="1"/>
    <col min="12034" max="12034" width="18.7109375" style="160" bestFit="1" customWidth="1"/>
    <col min="12035" max="12035" width="6.28515625" style="160" customWidth="1"/>
    <col min="12036" max="12036" width="6.5703125" style="160" bestFit="1" customWidth="1"/>
    <col min="12037" max="12057" width="4.42578125" style="160" customWidth="1"/>
    <col min="12058" max="12288" width="9.140625" style="160"/>
    <col min="12289" max="12289" width="3" style="160" customWidth="1"/>
    <col min="12290" max="12290" width="18.7109375" style="160" bestFit="1" customWidth="1"/>
    <col min="12291" max="12291" width="6.28515625" style="160" customWidth="1"/>
    <col min="12292" max="12292" width="6.5703125" style="160" bestFit="1" customWidth="1"/>
    <col min="12293" max="12313" width="4.42578125" style="160" customWidth="1"/>
    <col min="12314" max="12544" width="9.140625" style="160"/>
    <col min="12545" max="12545" width="3" style="160" customWidth="1"/>
    <col min="12546" max="12546" width="18.7109375" style="160" bestFit="1" customWidth="1"/>
    <col min="12547" max="12547" width="6.28515625" style="160" customWidth="1"/>
    <col min="12548" max="12548" width="6.5703125" style="160" bestFit="1" customWidth="1"/>
    <col min="12549" max="12569" width="4.42578125" style="160" customWidth="1"/>
    <col min="12570" max="12800" width="9.140625" style="160"/>
    <col min="12801" max="12801" width="3" style="160" customWidth="1"/>
    <col min="12802" max="12802" width="18.7109375" style="160" bestFit="1" customWidth="1"/>
    <col min="12803" max="12803" width="6.28515625" style="160" customWidth="1"/>
    <col min="12804" max="12804" width="6.5703125" style="160" bestFit="1" customWidth="1"/>
    <col min="12805" max="12825" width="4.42578125" style="160" customWidth="1"/>
    <col min="12826" max="13056" width="9.140625" style="160"/>
    <col min="13057" max="13057" width="3" style="160" customWidth="1"/>
    <col min="13058" max="13058" width="18.7109375" style="160" bestFit="1" customWidth="1"/>
    <col min="13059" max="13059" width="6.28515625" style="160" customWidth="1"/>
    <col min="13060" max="13060" width="6.5703125" style="160" bestFit="1" customWidth="1"/>
    <col min="13061" max="13081" width="4.42578125" style="160" customWidth="1"/>
    <col min="13082" max="13312" width="9.140625" style="160"/>
    <col min="13313" max="13313" width="3" style="160" customWidth="1"/>
    <col min="13314" max="13314" width="18.7109375" style="160" bestFit="1" customWidth="1"/>
    <col min="13315" max="13315" width="6.28515625" style="160" customWidth="1"/>
    <col min="13316" max="13316" width="6.5703125" style="160" bestFit="1" customWidth="1"/>
    <col min="13317" max="13337" width="4.42578125" style="160" customWidth="1"/>
    <col min="13338" max="13568" width="9.140625" style="160"/>
    <col min="13569" max="13569" width="3" style="160" customWidth="1"/>
    <col min="13570" max="13570" width="18.7109375" style="160" bestFit="1" customWidth="1"/>
    <col min="13571" max="13571" width="6.28515625" style="160" customWidth="1"/>
    <col min="13572" max="13572" width="6.5703125" style="160" bestFit="1" customWidth="1"/>
    <col min="13573" max="13593" width="4.42578125" style="160" customWidth="1"/>
    <col min="13594" max="13824" width="9.140625" style="160"/>
    <col min="13825" max="13825" width="3" style="160" customWidth="1"/>
    <col min="13826" max="13826" width="18.7109375" style="160" bestFit="1" customWidth="1"/>
    <col min="13827" max="13827" width="6.28515625" style="160" customWidth="1"/>
    <col min="13828" max="13828" width="6.5703125" style="160" bestFit="1" customWidth="1"/>
    <col min="13829" max="13849" width="4.42578125" style="160" customWidth="1"/>
    <col min="13850" max="14080" width="9.140625" style="160"/>
    <col min="14081" max="14081" width="3" style="160" customWidth="1"/>
    <col min="14082" max="14082" width="18.7109375" style="160" bestFit="1" customWidth="1"/>
    <col min="14083" max="14083" width="6.28515625" style="160" customWidth="1"/>
    <col min="14084" max="14084" width="6.5703125" style="160" bestFit="1" customWidth="1"/>
    <col min="14085" max="14105" width="4.42578125" style="160" customWidth="1"/>
    <col min="14106" max="14336" width="9.140625" style="160"/>
    <col min="14337" max="14337" width="3" style="160" customWidth="1"/>
    <col min="14338" max="14338" width="18.7109375" style="160" bestFit="1" customWidth="1"/>
    <col min="14339" max="14339" width="6.28515625" style="160" customWidth="1"/>
    <col min="14340" max="14340" width="6.5703125" style="160" bestFit="1" customWidth="1"/>
    <col min="14341" max="14361" width="4.42578125" style="160" customWidth="1"/>
    <col min="14362" max="14592" width="9.140625" style="160"/>
    <col min="14593" max="14593" width="3" style="160" customWidth="1"/>
    <col min="14594" max="14594" width="18.7109375" style="160" bestFit="1" customWidth="1"/>
    <col min="14595" max="14595" width="6.28515625" style="160" customWidth="1"/>
    <col min="14596" max="14596" width="6.5703125" style="160" bestFit="1" customWidth="1"/>
    <col min="14597" max="14617" width="4.42578125" style="160" customWidth="1"/>
    <col min="14618" max="14848" width="9.140625" style="160"/>
    <col min="14849" max="14849" width="3" style="160" customWidth="1"/>
    <col min="14850" max="14850" width="18.7109375" style="160" bestFit="1" customWidth="1"/>
    <col min="14851" max="14851" width="6.28515625" style="160" customWidth="1"/>
    <col min="14852" max="14852" width="6.5703125" style="160" bestFit="1" customWidth="1"/>
    <col min="14853" max="14873" width="4.42578125" style="160" customWidth="1"/>
    <col min="14874" max="15104" width="9.140625" style="160"/>
    <col min="15105" max="15105" width="3" style="160" customWidth="1"/>
    <col min="15106" max="15106" width="18.7109375" style="160" bestFit="1" customWidth="1"/>
    <col min="15107" max="15107" width="6.28515625" style="160" customWidth="1"/>
    <col min="15108" max="15108" width="6.5703125" style="160" bestFit="1" customWidth="1"/>
    <col min="15109" max="15129" width="4.42578125" style="160" customWidth="1"/>
    <col min="15130" max="15360" width="9.140625" style="160"/>
    <col min="15361" max="15361" width="3" style="160" customWidth="1"/>
    <col min="15362" max="15362" width="18.7109375" style="160" bestFit="1" customWidth="1"/>
    <col min="15363" max="15363" width="6.28515625" style="160" customWidth="1"/>
    <col min="15364" max="15364" width="6.5703125" style="160" bestFit="1" customWidth="1"/>
    <col min="15365" max="15385" width="4.42578125" style="160" customWidth="1"/>
    <col min="15386" max="15616" width="9.140625" style="160"/>
    <col min="15617" max="15617" width="3" style="160" customWidth="1"/>
    <col min="15618" max="15618" width="18.7109375" style="160" bestFit="1" customWidth="1"/>
    <col min="15619" max="15619" width="6.28515625" style="160" customWidth="1"/>
    <col min="15620" max="15620" width="6.5703125" style="160" bestFit="1" customWidth="1"/>
    <col min="15621" max="15641" width="4.42578125" style="160" customWidth="1"/>
    <col min="15642" max="15872" width="9.140625" style="160"/>
    <col min="15873" max="15873" width="3" style="160" customWidth="1"/>
    <col min="15874" max="15874" width="18.7109375" style="160" bestFit="1" customWidth="1"/>
    <col min="15875" max="15875" width="6.28515625" style="160" customWidth="1"/>
    <col min="15876" max="15876" width="6.5703125" style="160" bestFit="1" customWidth="1"/>
    <col min="15877" max="15897" width="4.42578125" style="160" customWidth="1"/>
    <col min="15898" max="16128" width="9.140625" style="160"/>
    <col min="16129" max="16129" width="3" style="160" customWidth="1"/>
    <col min="16130" max="16130" width="18.7109375" style="160" bestFit="1" customWidth="1"/>
    <col min="16131" max="16131" width="6.28515625" style="160" customWidth="1"/>
    <col min="16132" max="16132" width="6.5703125" style="160" bestFit="1" customWidth="1"/>
    <col min="16133" max="16153" width="4.42578125" style="160" customWidth="1"/>
    <col min="16154" max="16384" width="9.140625" style="160"/>
  </cols>
  <sheetData>
    <row r="1" spans="1:25" x14ac:dyDescent="0.2">
      <c r="A1" s="20" t="str">
        <f>UPPER((Kalend!D42)&amp;" - "&amp;(Kalend!C42)&amp;" - "&amp;(Kalend!E42))</f>
        <v>L - SÜGISVÄLK JA HOOAJA LÕPETAMINE - ÜKSIK</v>
      </c>
    </row>
    <row r="2" spans="1:25" x14ac:dyDescent="0.2">
      <c r="A2" s="160" t="str">
        <f>"Toimumisaeg: "&amp;(Kalend!A42)&amp;" kell "&amp;(Kalend!B42)</f>
        <v>Toimumisaeg: R, 12.10.2012 kell 17:00</v>
      </c>
    </row>
    <row r="3" spans="1:25" x14ac:dyDescent="0.2">
      <c r="A3" s="160" t="str">
        <f>"Toimumiskoht: "&amp;(Kalend!F42)</f>
        <v>Toimumiskoht: Jõhvi, PK Neptun petangiväljakud</v>
      </c>
    </row>
    <row r="4" spans="1:25" x14ac:dyDescent="0.2">
      <c r="A4" s="160" t="str">
        <f>"Korraldaja: "&amp;(Kalend!G42)</f>
        <v>Korraldaja: K-Järve SHK</v>
      </c>
    </row>
    <row r="6" spans="1:25" s="211" customFormat="1" x14ac:dyDescent="0.2">
      <c r="A6" s="494"/>
      <c r="B6" s="494" t="s">
        <v>98</v>
      </c>
      <c r="C6" s="494" t="s">
        <v>306</v>
      </c>
      <c r="D6" s="494" t="s">
        <v>480</v>
      </c>
      <c r="E6" s="494">
        <v>1</v>
      </c>
      <c r="F6" s="494">
        <v>2</v>
      </c>
      <c r="G6" s="494">
        <v>3</v>
      </c>
      <c r="H6" s="494">
        <v>4</v>
      </c>
      <c r="I6" s="494">
        <v>5</v>
      </c>
      <c r="J6" s="494">
        <v>6</v>
      </c>
      <c r="K6" s="494">
        <v>7</v>
      </c>
      <c r="L6" s="494">
        <v>8</v>
      </c>
      <c r="M6" s="494">
        <v>9</v>
      </c>
      <c r="N6" s="494">
        <v>10</v>
      </c>
      <c r="O6" s="494">
        <v>11</v>
      </c>
      <c r="P6" s="494">
        <v>12</v>
      </c>
      <c r="Q6" s="494">
        <v>13</v>
      </c>
      <c r="R6" s="494">
        <v>14</v>
      </c>
      <c r="S6" s="494">
        <v>15</v>
      </c>
      <c r="T6" s="494">
        <v>16</v>
      </c>
      <c r="U6" s="494">
        <v>17</v>
      </c>
      <c r="V6" s="494">
        <v>18</v>
      </c>
      <c r="W6" s="494">
        <v>19</v>
      </c>
      <c r="X6" s="494">
        <v>20</v>
      </c>
      <c r="Y6" s="494">
        <v>21</v>
      </c>
    </row>
    <row r="7" spans="1:25" x14ac:dyDescent="0.2">
      <c r="A7" s="212">
        <v>1</v>
      </c>
      <c r="B7" s="212" t="s">
        <v>114</v>
      </c>
      <c r="C7" s="213">
        <v>20</v>
      </c>
      <c r="D7" s="214">
        <f t="shared" ref="D7:D27" si="0">SUM(E7:Y7)</f>
        <v>15</v>
      </c>
      <c r="E7" s="215"/>
      <c r="F7" s="216">
        <v>2</v>
      </c>
      <c r="G7" s="216">
        <v>1</v>
      </c>
      <c r="H7" s="216">
        <v>0</v>
      </c>
      <c r="I7" s="216">
        <v>0</v>
      </c>
      <c r="J7" s="216">
        <v>0</v>
      </c>
      <c r="K7" s="216">
        <v>0</v>
      </c>
      <c r="L7" s="216">
        <v>0</v>
      </c>
      <c r="M7" s="216">
        <v>0</v>
      </c>
      <c r="N7" s="216">
        <v>2</v>
      </c>
      <c r="O7" s="216">
        <v>0</v>
      </c>
      <c r="P7" s="216">
        <v>2</v>
      </c>
      <c r="Q7" s="216">
        <v>1</v>
      </c>
      <c r="R7" s="216">
        <v>2</v>
      </c>
      <c r="S7" s="216">
        <v>1</v>
      </c>
      <c r="T7" s="216">
        <v>1</v>
      </c>
      <c r="U7" s="216">
        <v>0</v>
      </c>
      <c r="V7" s="216">
        <v>2</v>
      </c>
      <c r="W7" s="216">
        <v>0</v>
      </c>
      <c r="X7" s="216">
        <v>1</v>
      </c>
      <c r="Y7" s="216">
        <v>0</v>
      </c>
    </row>
    <row r="8" spans="1:25" x14ac:dyDescent="0.2">
      <c r="A8" s="212">
        <v>2</v>
      </c>
      <c r="B8" s="217" t="s">
        <v>103</v>
      </c>
      <c r="C8" s="218">
        <v>1</v>
      </c>
      <c r="D8" s="214">
        <f t="shared" si="0"/>
        <v>28</v>
      </c>
      <c r="E8" s="216">
        <v>0</v>
      </c>
      <c r="F8" s="215"/>
      <c r="G8" s="216">
        <v>2</v>
      </c>
      <c r="H8" s="216">
        <v>0</v>
      </c>
      <c r="I8" s="216">
        <v>2</v>
      </c>
      <c r="J8" s="216">
        <v>2</v>
      </c>
      <c r="K8" s="216">
        <v>0</v>
      </c>
      <c r="L8" s="216">
        <v>2</v>
      </c>
      <c r="M8" s="216">
        <v>2</v>
      </c>
      <c r="N8" s="216">
        <v>2</v>
      </c>
      <c r="O8" s="216">
        <v>2</v>
      </c>
      <c r="P8" s="216">
        <v>2</v>
      </c>
      <c r="Q8" s="216">
        <v>2</v>
      </c>
      <c r="R8" s="216">
        <v>2</v>
      </c>
      <c r="S8" s="216">
        <v>1</v>
      </c>
      <c r="T8" s="216">
        <v>2</v>
      </c>
      <c r="U8" s="216">
        <v>1</v>
      </c>
      <c r="V8" s="216">
        <v>0</v>
      </c>
      <c r="W8" s="216">
        <v>2</v>
      </c>
      <c r="X8" s="216">
        <v>2</v>
      </c>
      <c r="Y8" s="216">
        <v>0</v>
      </c>
    </row>
    <row r="9" spans="1:25" x14ac:dyDescent="0.2">
      <c r="A9" s="212">
        <v>3</v>
      </c>
      <c r="B9" s="492" t="s">
        <v>121</v>
      </c>
      <c r="C9" s="213" t="s">
        <v>307</v>
      </c>
      <c r="D9" s="214">
        <f t="shared" si="0"/>
        <v>16</v>
      </c>
      <c r="E9" s="216">
        <v>1</v>
      </c>
      <c r="F9" s="216">
        <v>0</v>
      </c>
      <c r="G9" s="215"/>
      <c r="H9" s="216">
        <v>1</v>
      </c>
      <c r="I9" s="216">
        <v>2</v>
      </c>
      <c r="J9" s="216">
        <v>0</v>
      </c>
      <c r="K9" s="216">
        <v>1</v>
      </c>
      <c r="L9" s="216">
        <v>2</v>
      </c>
      <c r="M9" s="216">
        <v>0</v>
      </c>
      <c r="N9" s="216">
        <v>2</v>
      </c>
      <c r="O9" s="216">
        <v>0</v>
      </c>
      <c r="P9" s="216">
        <v>0</v>
      </c>
      <c r="Q9" s="216">
        <v>0</v>
      </c>
      <c r="R9" s="216">
        <v>1</v>
      </c>
      <c r="S9" s="216">
        <v>2</v>
      </c>
      <c r="T9" s="216">
        <v>2</v>
      </c>
      <c r="U9" s="216">
        <v>0</v>
      </c>
      <c r="V9" s="216">
        <v>2</v>
      </c>
      <c r="W9" s="216">
        <v>0</v>
      </c>
      <c r="X9" s="216">
        <v>0</v>
      </c>
      <c r="Y9" s="216">
        <v>0</v>
      </c>
    </row>
    <row r="10" spans="1:25" x14ac:dyDescent="0.2">
      <c r="A10" s="212">
        <v>4</v>
      </c>
      <c r="B10" s="212" t="s">
        <v>131</v>
      </c>
      <c r="C10" s="213">
        <v>19</v>
      </c>
      <c r="D10" s="214">
        <f t="shared" si="0"/>
        <v>15</v>
      </c>
      <c r="E10" s="216">
        <v>2</v>
      </c>
      <c r="F10" s="216">
        <v>2</v>
      </c>
      <c r="G10" s="216">
        <v>1</v>
      </c>
      <c r="H10" s="215"/>
      <c r="I10" s="216">
        <v>0</v>
      </c>
      <c r="J10" s="216">
        <v>0</v>
      </c>
      <c r="K10" s="216">
        <v>0</v>
      </c>
      <c r="L10" s="216">
        <v>1</v>
      </c>
      <c r="M10" s="216">
        <v>1</v>
      </c>
      <c r="N10" s="216">
        <v>2</v>
      </c>
      <c r="O10" s="216">
        <v>0</v>
      </c>
      <c r="P10" s="216">
        <v>0</v>
      </c>
      <c r="Q10" s="216">
        <v>1</v>
      </c>
      <c r="R10" s="216">
        <v>0</v>
      </c>
      <c r="S10" s="216">
        <v>0</v>
      </c>
      <c r="T10" s="216">
        <v>2</v>
      </c>
      <c r="U10" s="216">
        <v>0</v>
      </c>
      <c r="V10" s="216">
        <v>1</v>
      </c>
      <c r="W10" s="216">
        <v>0</v>
      </c>
      <c r="X10" s="216">
        <v>0</v>
      </c>
      <c r="Y10" s="216">
        <v>2</v>
      </c>
    </row>
    <row r="11" spans="1:25" x14ac:dyDescent="0.2">
      <c r="A11" s="212">
        <v>5</v>
      </c>
      <c r="B11" s="212" t="s">
        <v>139</v>
      </c>
      <c r="C11" s="219">
        <v>13</v>
      </c>
      <c r="D11" s="214">
        <f t="shared" si="0"/>
        <v>19</v>
      </c>
      <c r="E11" s="216">
        <v>2</v>
      </c>
      <c r="F11" s="216">
        <v>0</v>
      </c>
      <c r="G11" s="216">
        <v>0</v>
      </c>
      <c r="H11" s="216">
        <v>2</v>
      </c>
      <c r="I11" s="215"/>
      <c r="J11" s="216">
        <v>1</v>
      </c>
      <c r="K11" s="216">
        <v>2</v>
      </c>
      <c r="L11" s="216">
        <v>0</v>
      </c>
      <c r="M11" s="216">
        <v>1</v>
      </c>
      <c r="N11" s="216">
        <v>0</v>
      </c>
      <c r="O11" s="216">
        <v>0</v>
      </c>
      <c r="P11" s="216">
        <v>2</v>
      </c>
      <c r="Q11" s="216">
        <v>0</v>
      </c>
      <c r="R11" s="216">
        <v>2</v>
      </c>
      <c r="S11" s="216">
        <v>1</v>
      </c>
      <c r="T11" s="216">
        <v>0</v>
      </c>
      <c r="U11" s="216">
        <v>1</v>
      </c>
      <c r="V11" s="216">
        <v>0</v>
      </c>
      <c r="W11" s="216">
        <v>2</v>
      </c>
      <c r="X11" s="216">
        <v>1</v>
      </c>
      <c r="Y11" s="216">
        <v>2</v>
      </c>
    </row>
    <row r="12" spans="1:25" x14ac:dyDescent="0.2">
      <c r="A12" s="212">
        <v>6</v>
      </c>
      <c r="B12" s="212" t="s">
        <v>130</v>
      </c>
      <c r="C12" s="220">
        <v>9</v>
      </c>
      <c r="D12" s="214">
        <f t="shared" si="0"/>
        <v>21</v>
      </c>
      <c r="E12" s="216">
        <v>2</v>
      </c>
      <c r="F12" s="216">
        <v>0</v>
      </c>
      <c r="G12" s="216">
        <v>2</v>
      </c>
      <c r="H12" s="216">
        <v>2</v>
      </c>
      <c r="I12" s="216">
        <v>1</v>
      </c>
      <c r="J12" s="215"/>
      <c r="K12" s="216">
        <v>1</v>
      </c>
      <c r="L12" s="216">
        <v>0</v>
      </c>
      <c r="M12" s="216">
        <v>0</v>
      </c>
      <c r="N12" s="216">
        <v>0</v>
      </c>
      <c r="O12" s="216">
        <v>1</v>
      </c>
      <c r="P12" s="216">
        <v>0</v>
      </c>
      <c r="Q12" s="216">
        <v>1</v>
      </c>
      <c r="R12" s="216">
        <v>2</v>
      </c>
      <c r="S12" s="216">
        <v>2</v>
      </c>
      <c r="T12" s="216">
        <v>2</v>
      </c>
      <c r="U12" s="216">
        <v>1</v>
      </c>
      <c r="V12" s="216">
        <v>1</v>
      </c>
      <c r="W12" s="216">
        <v>1</v>
      </c>
      <c r="X12" s="216">
        <v>0</v>
      </c>
      <c r="Y12" s="216">
        <v>2</v>
      </c>
    </row>
    <row r="13" spans="1:25" x14ac:dyDescent="0.2">
      <c r="A13" s="212">
        <v>7</v>
      </c>
      <c r="B13" s="492" t="s">
        <v>149</v>
      </c>
      <c r="C13" s="221">
        <v>14</v>
      </c>
      <c r="D13" s="214">
        <f t="shared" si="0"/>
        <v>17</v>
      </c>
      <c r="E13" s="216">
        <v>2</v>
      </c>
      <c r="F13" s="216">
        <v>2</v>
      </c>
      <c r="G13" s="216">
        <v>1</v>
      </c>
      <c r="H13" s="216">
        <v>2</v>
      </c>
      <c r="I13" s="216">
        <v>0</v>
      </c>
      <c r="J13" s="216">
        <v>1</v>
      </c>
      <c r="K13" s="215"/>
      <c r="L13" s="216">
        <v>0</v>
      </c>
      <c r="M13" s="216">
        <v>1</v>
      </c>
      <c r="N13" s="216">
        <v>2</v>
      </c>
      <c r="O13" s="216">
        <v>2</v>
      </c>
      <c r="P13" s="216">
        <v>0</v>
      </c>
      <c r="Q13" s="216">
        <v>0</v>
      </c>
      <c r="R13" s="216">
        <v>2</v>
      </c>
      <c r="S13" s="216">
        <v>2</v>
      </c>
      <c r="T13" s="216">
        <v>0</v>
      </c>
      <c r="U13" s="216">
        <v>0</v>
      </c>
      <c r="V13" s="216">
        <v>0</v>
      </c>
      <c r="W13" s="216">
        <v>0</v>
      </c>
      <c r="X13" s="216">
        <v>0</v>
      </c>
      <c r="Y13" s="216">
        <v>0</v>
      </c>
    </row>
    <row r="14" spans="1:25" x14ac:dyDescent="0.2">
      <c r="A14" s="212">
        <v>8</v>
      </c>
      <c r="B14" s="212" t="s">
        <v>129</v>
      </c>
      <c r="C14" s="220">
        <v>12</v>
      </c>
      <c r="D14" s="214">
        <f t="shared" si="0"/>
        <v>19</v>
      </c>
      <c r="E14" s="216">
        <v>2</v>
      </c>
      <c r="F14" s="216">
        <v>0</v>
      </c>
      <c r="G14" s="216">
        <v>0</v>
      </c>
      <c r="H14" s="216">
        <v>1</v>
      </c>
      <c r="I14" s="216">
        <v>2</v>
      </c>
      <c r="J14" s="216">
        <v>2</v>
      </c>
      <c r="K14" s="216">
        <v>2</v>
      </c>
      <c r="L14" s="215"/>
      <c r="M14" s="216">
        <v>1</v>
      </c>
      <c r="N14" s="216">
        <v>1</v>
      </c>
      <c r="O14" s="216">
        <v>2</v>
      </c>
      <c r="P14" s="216">
        <v>0</v>
      </c>
      <c r="Q14" s="216">
        <v>1</v>
      </c>
      <c r="R14" s="216">
        <v>2</v>
      </c>
      <c r="S14" s="216">
        <v>2</v>
      </c>
      <c r="T14" s="216">
        <v>0</v>
      </c>
      <c r="U14" s="216">
        <v>0</v>
      </c>
      <c r="V14" s="216">
        <v>0</v>
      </c>
      <c r="W14" s="216">
        <v>1</v>
      </c>
      <c r="X14" s="216">
        <v>0</v>
      </c>
      <c r="Y14" s="216">
        <v>0</v>
      </c>
    </row>
    <row r="15" spans="1:25" x14ac:dyDescent="0.2">
      <c r="A15" s="212">
        <v>9</v>
      </c>
      <c r="B15" s="212" t="s">
        <v>123</v>
      </c>
      <c r="C15" s="220">
        <v>8</v>
      </c>
      <c r="D15" s="214">
        <f t="shared" si="0"/>
        <v>21</v>
      </c>
      <c r="E15" s="216">
        <v>2</v>
      </c>
      <c r="F15" s="216">
        <v>0</v>
      </c>
      <c r="G15" s="216">
        <v>2</v>
      </c>
      <c r="H15" s="216">
        <v>1</v>
      </c>
      <c r="I15" s="216">
        <v>1</v>
      </c>
      <c r="J15" s="216">
        <v>2</v>
      </c>
      <c r="K15" s="216">
        <v>1</v>
      </c>
      <c r="L15" s="216">
        <v>1</v>
      </c>
      <c r="M15" s="215"/>
      <c r="N15" s="216">
        <v>0</v>
      </c>
      <c r="O15" s="216">
        <v>0</v>
      </c>
      <c r="P15" s="216">
        <v>2</v>
      </c>
      <c r="Q15" s="216">
        <v>1</v>
      </c>
      <c r="R15" s="216">
        <v>1</v>
      </c>
      <c r="S15" s="216">
        <v>2</v>
      </c>
      <c r="T15" s="216">
        <v>2</v>
      </c>
      <c r="U15" s="216">
        <v>0</v>
      </c>
      <c r="V15" s="216">
        <v>2</v>
      </c>
      <c r="W15" s="216">
        <v>0</v>
      </c>
      <c r="X15" s="216">
        <v>0</v>
      </c>
      <c r="Y15" s="216">
        <v>1</v>
      </c>
    </row>
    <row r="16" spans="1:25" x14ac:dyDescent="0.2">
      <c r="A16" s="212">
        <v>10</v>
      </c>
      <c r="B16" s="212" t="s">
        <v>109</v>
      </c>
      <c r="C16" s="221">
        <v>7</v>
      </c>
      <c r="D16" s="214">
        <f t="shared" si="0"/>
        <v>21</v>
      </c>
      <c r="E16" s="216">
        <v>0</v>
      </c>
      <c r="F16" s="216">
        <v>0</v>
      </c>
      <c r="G16" s="216">
        <v>0</v>
      </c>
      <c r="H16" s="216">
        <v>0</v>
      </c>
      <c r="I16" s="216">
        <v>2</v>
      </c>
      <c r="J16" s="216">
        <v>2</v>
      </c>
      <c r="K16" s="216">
        <v>0</v>
      </c>
      <c r="L16" s="216">
        <v>1</v>
      </c>
      <c r="M16" s="216">
        <v>2</v>
      </c>
      <c r="N16" s="215"/>
      <c r="O16" s="216">
        <v>1</v>
      </c>
      <c r="P16" s="216">
        <v>2</v>
      </c>
      <c r="Q16" s="216">
        <v>2</v>
      </c>
      <c r="R16" s="216">
        <v>2</v>
      </c>
      <c r="S16" s="216">
        <v>2</v>
      </c>
      <c r="T16" s="216">
        <v>0</v>
      </c>
      <c r="U16" s="216">
        <v>2</v>
      </c>
      <c r="V16" s="216">
        <v>0</v>
      </c>
      <c r="W16" s="216">
        <v>1</v>
      </c>
      <c r="X16" s="216">
        <v>2</v>
      </c>
      <c r="Y16" s="216">
        <v>0</v>
      </c>
    </row>
    <row r="17" spans="1:25" x14ac:dyDescent="0.2">
      <c r="A17" s="212">
        <v>11</v>
      </c>
      <c r="B17" s="212" t="s">
        <v>105</v>
      </c>
      <c r="C17" s="213">
        <v>16</v>
      </c>
      <c r="D17" s="214">
        <f t="shared" si="0"/>
        <v>16</v>
      </c>
      <c r="E17" s="216">
        <v>2</v>
      </c>
      <c r="F17" s="216">
        <v>0</v>
      </c>
      <c r="G17" s="216">
        <v>2</v>
      </c>
      <c r="H17" s="216">
        <v>2</v>
      </c>
      <c r="I17" s="216">
        <v>2</v>
      </c>
      <c r="J17" s="216">
        <v>1</v>
      </c>
      <c r="K17" s="216">
        <v>0</v>
      </c>
      <c r="L17" s="216">
        <v>0</v>
      </c>
      <c r="M17" s="216">
        <v>2</v>
      </c>
      <c r="N17" s="216">
        <v>1</v>
      </c>
      <c r="O17" s="215"/>
      <c r="P17" s="216">
        <v>0</v>
      </c>
      <c r="Q17" s="216">
        <v>0</v>
      </c>
      <c r="R17" s="216">
        <v>0</v>
      </c>
      <c r="S17" s="216">
        <v>2</v>
      </c>
      <c r="T17" s="216">
        <v>2</v>
      </c>
      <c r="U17" s="216">
        <v>0</v>
      </c>
      <c r="V17" s="216">
        <v>0</v>
      </c>
      <c r="W17" s="216">
        <v>0</v>
      </c>
      <c r="X17" s="216">
        <v>0</v>
      </c>
      <c r="Y17" s="216">
        <v>0</v>
      </c>
    </row>
    <row r="18" spans="1:25" x14ac:dyDescent="0.2">
      <c r="A18" s="212">
        <v>12</v>
      </c>
      <c r="B18" s="212" t="s">
        <v>110</v>
      </c>
      <c r="C18" s="213">
        <v>11</v>
      </c>
      <c r="D18" s="214">
        <f t="shared" si="0"/>
        <v>19</v>
      </c>
      <c r="E18" s="216">
        <v>0</v>
      </c>
      <c r="F18" s="216">
        <v>0</v>
      </c>
      <c r="G18" s="216">
        <v>2</v>
      </c>
      <c r="H18" s="216">
        <v>2</v>
      </c>
      <c r="I18" s="216">
        <v>0</v>
      </c>
      <c r="J18" s="216">
        <v>2</v>
      </c>
      <c r="K18" s="216">
        <v>2</v>
      </c>
      <c r="L18" s="216">
        <v>2</v>
      </c>
      <c r="M18" s="216">
        <v>0</v>
      </c>
      <c r="N18" s="216">
        <v>0</v>
      </c>
      <c r="O18" s="216">
        <v>2</v>
      </c>
      <c r="P18" s="215"/>
      <c r="Q18" s="216">
        <v>0</v>
      </c>
      <c r="R18" s="216">
        <v>2</v>
      </c>
      <c r="S18" s="216">
        <v>1</v>
      </c>
      <c r="T18" s="216">
        <v>0</v>
      </c>
      <c r="U18" s="216">
        <v>2</v>
      </c>
      <c r="V18" s="216">
        <v>0</v>
      </c>
      <c r="W18" s="216">
        <v>1</v>
      </c>
      <c r="X18" s="216">
        <v>0</v>
      </c>
      <c r="Y18" s="216">
        <v>1</v>
      </c>
    </row>
    <row r="19" spans="1:25" x14ac:dyDescent="0.2">
      <c r="A19" s="212">
        <v>13</v>
      </c>
      <c r="B19" s="212" t="s">
        <v>117</v>
      </c>
      <c r="C19" s="213">
        <v>10</v>
      </c>
      <c r="D19" s="214">
        <f t="shared" si="0"/>
        <v>20</v>
      </c>
      <c r="E19" s="216">
        <v>1</v>
      </c>
      <c r="F19" s="216">
        <v>0</v>
      </c>
      <c r="G19" s="216">
        <v>2</v>
      </c>
      <c r="H19" s="216">
        <v>1</v>
      </c>
      <c r="I19" s="216">
        <v>2</v>
      </c>
      <c r="J19" s="216">
        <v>1</v>
      </c>
      <c r="K19" s="216">
        <v>2</v>
      </c>
      <c r="L19" s="216">
        <v>1</v>
      </c>
      <c r="M19" s="216">
        <v>1</v>
      </c>
      <c r="N19" s="216">
        <v>0</v>
      </c>
      <c r="O19" s="216">
        <v>2</v>
      </c>
      <c r="P19" s="216">
        <v>2</v>
      </c>
      <c r="Q19" s="215"/>
      <c r="R19" s="216">
        <v>2</v>
      </c>
      <c r="S19" s="216">
        <v>0</v>
      </c>
      <c r="T19" s="216">
        <v>0</v>
      </c>
      <c r="U19" s="216">
        <v>2</v>
      </c>
      <c r="V19" s="216">
        <v>0</v>
      </c>
      <c r="W19" s="216">
        <v>0</v>
      </c>
      <c r="X19" s="216">
        <v>1</v>
      </c>
      <c r="Y19" s="216">
        <v>0</v>
      </c>
    </row>
    <row r="20" spans="1:25" x14ac:dyDescent="0.2">
      <c r="A20" s="212">
        <v>14</v>
      </c>
      <c r="B20" s="492" t="s">
        <v>107</v>
      </c>
      <c r="C20" s="213" t="s">
        <v>307</v>
      </c>
      <c r="D20" s="214">
        <f t="shared" si="0"/>
        <v>16</v>
      </c>
      <c r="E20" s="216">
        <v>0</v>
      </c>
      <c r="F20" s="216">
        <v>0</v>
      </c>
      <c r="G20" s="216">
        <v>1</v>
      </c>
      <c r="H20" s="216">
        <v>2</v>
      </c>
      <c r="I20" s="216">
        <v>0</v>
      </c>
      <c r="J20" s="216">
        <v>0</v>
      </c>
      <c r="K20" s="216">
        <v>0</v>
      </c>
      <c r="L20" s="216">
        <v>0</v>
      </c>
      <c r="M20" s="216">
        <v>1</v>
      </c>
      <c r="N20" s="216">
        <v>0</v>
      </c>
      <c r="O20" s="216">
        <v>2</v>
      </c>
      <c r="P20" s="216">
        <v>0</v>
      </c>
      <c r="Q20" s="216">
        <v>0</v>
      </c>
      <c r="R20" s="215"/>
      <c r="S20" s="216">
        <v>2</v>
      </c>
      <c r="T20" s="216">
        <v>2</v>
      </c>
      <c r="U20" s="216">
        <v>1</v>
      </c>
      <c r="V20" s="216">
        <v>2</v>
      </c>
      <c r="W20" s="216">
        <v>2</v>
      </c>
      <c r="X20" s="216">
        <v>1</v>
      </c>
      <c r="Y20" s="216">
        <v>0</v>
      </c>
    </row>
    <row r="21" spans="1:25" x14ac:dyDescent="0.2">
      <c r="A21" s="212">
        <v>15</v>
      </c>
      <c r="B21" s="212" t="s">
        <v>108</v>
      </c>
      <c r="C21" s="213">
        <v>15</v>
      </c>
      <c r="D21" s="214">
        <f t="shared" si="0"/>
        <v>17</v>
      </c>
      <c r="E21" s="216">
        <v>1</v>
      </c>
      <c r="F21" s="216">
        <v>1</v>
      </c>
      <c r="G21" s="216">
        <v>0</v>
      </c>
      <c r="H21" s="216">
        <v>2</v>
      </c>
      <c r="I21" s="216">
        <v>1</v>
      </c>
      <c r="J21" s="216">
        <v>0</v>
      </c>
      <c r="K21" s="216">
        <v>0</v>
      </c>
      <c r="L21" s="216">
        <v>0</v>
      </c>
      <c r="M21" s="216">
        <v>0</v>
      </c>
      <c r="N21" s="216">
        <v>0</v>
      </c>
      <c r="O21" s="216">
        <v>0</v>
      </c>
      <c r="P21" s="216">
        <v>1</v>
      </c>
      <c r="Q21" s="216">
        <v>2</v>
      </c>
      <c r="R21" s="216">
        <v>0</v>
      </c>
      <c r="S21" s="215"/>
      <c r="T21" s="216">
        <v>2</v>
      </c>
      <c r="U21" s="216">
        <v>0</v>
      </c>
      <c r="V21" s="216">
        <v>2</v>
      </c>
      <c r="W21" s="216">
        <v>1</v>
      </c>
      <c r="X21" s="216">
        <v>2</v>
      </c>
      <c r="Y21" s="216">
        <v>2</v>
      </c>
    </row>
    <row r="22" spans="1:25" x14ac:dyDescent="0.2">
      <c r="A22" s="212">
        <v>16</v>
      </c>
      <c r="B22" s="212" t="s">
        <v>137</v>
      </c>
      <c r="C22" s="213">
        <v>21</v>
      </c>
      <c r="D22" s="214">
        <f t="shared" si="0"/>
        <v>14</v>
      </c>
      <c r="E22" s="216">
        <v>1</v>
      </c>
      <c r="F22" s="216">
        <v>0</v>
      </c>
      <c r="G22" s="216">
        <v>0</v>
      </c>
      <c r="H22" s="216">
        <v>0</v>
      </c>
      <c r="I22" s="216">
        <v>2</v>
      </c>
      <c r="J22" s="216">
        <v>0</v>
      </c>
      <c r="K22" s="216">
        <v>2</v>
      </c>
      <c r="L22" s="216">
        <v>2</v>
      </c>
      <c r="M22" s="216">
        <v>0</v>
      </c>
      <c r="N22" s="216">
        <v>2</v>
      </c>
      <c r="O22" s="216">
        <v>0</v>
      </c>
      <c r="P22" s="216">
        <v>2</v>
      </c>
      <c r="Q22" s="216">
        <v>2</v>
      </c>
      <c r="R22" s="216">
        <v>0</v>
      </c>
      <c r="S22" s="216">
        <v>0</v>
      </c>
      <c r="T22" s="215"/>
      <c r="U22" s="216">
        <v>0</v>
      </c>
      <c r="V22" s="216">
        <v>0</v>
      </c>
      <c r="W22" s="216">
        <v>0</v>
      </c>
      <c r="X22" s="216">
        <v>1</v>
      </c>
      <c r="Y22" s="216">
        <v>0</v>
      </c>
    </row>
    <row r="23" spans="1:25" x14ac:dyDescent="0.2">
      <c r="A23" s="212">
        <v>17</v>
      </c>
      <c r="B23" s="212" t="s">
        <v>127</v>
      </c>
      <c r="C23" s="222" t="s">
        <v>308</v>
      </c>
      <c r="D23" s="214">
        <f t="shared" si="0"/>
        <v>24</v>
      </c>
      <c r="E23" s="216">
        <v>2</v>
      </c>
      <c r="F23" s="216">
        <v>1</v>
      </c>
      <c r="G23" s="216">
        <v>2</v>
      </c>
      <c r="H23" s="216">
        <v>2</v>
      </c>
      <c r="I23" s="216">
        <v>1</v>
      </c>
      <c r="J23" s="216">
        <v>1</v>
      </c>
      <c r="K23" s="216">
        <v>2</v>
      </c>
      <c r="L23" s="216">
        <v>2</v>
      </c>
      <c r="M23" s="216">
        <v>2</v>
      </c>
      <c r="N23" s="216">
        <v>0</v>
      </c>
      <c r="O23" s="216">
        <v>2</v>
      </c>
      <c r="P23" s="216">
        <v>0</v>
      </c>
      <c r="Q23" s="216">
        <v>0</v>
      </c>
      <c r="R23" s="216">
        <v>1</v>
      </c>
      <c r="S23" s="216">
        <v>2</v>
      </c>
      <c r="T23" s="216">
        <v>2</v>
      </c>
      <c r="U23" s="215"/>
      <c r="V23" s="216">
        <v>0</v>
      </c>
      <c r="W23" s="216">
        <v>0</v>
      </c>
      <c r="X23" s="216">
        <v>1</v>
      </c>
      <c r="Y23" s="216">
        <v>1</v>
      </c>
    </row>
    <row r="24" spans="1:25" x14ac:dyDescent="0.2">
      <c r="A24" s="212">
        <v>18</v>
      </c>
      <c r="B24" s="493" t="s">
        <v>126</v>
      </c>
      <c r="C24" s="223">
        <v>2</v>
      </c>
      <c r="D24" s="214">
        <f t="shared" si="0"/>
        <v>28</v>
      </c>
      <c r="E24" s="216">
        <v>0</v>
      </c>
      <c r="F24" s="216">
        <v>2</v>
      </c>
      <c r="G24" s="216">
        <v>0</v>
      </c>
      <c r="H24" s="216">
        <v>1</v>
      </c>
      <c r="I24" s="216">
        <v>2</v>
      </c>
      <c r="J24" s="216">
        <v>1</v>
      </c>
      <c r="K24" s="216">
        <v>2</v>
      </c>
      <c r="L24" s="216">
        <v>2</v>
      </c>
      <c r="M24" s="216">
        <v>0</v>
      </c>
      <c r="N24" s="216">
        <v>2</v>
      </c>
      <c r="O24" s="216">
        <v>2</v>
      </c>
      <c r="P24" s="216">
        <v>2</v>
      </c>
      <c r="Q24" s="216">
        <v>2</v>
      </c>
      <c r="R24" s="216">
        <v>0</v>
      </c>
      <c r="S24" s="216">
        <v>0</v>
      </c>
      <c r="T24" s="216">
        <v>2</v>
      </c>
      <c r="U24" s="216">
        <v>2</v>
      </c>
      <c r="V24" s="215"/>
      <c r="W24" s="216">
        <v>2</v>
      </c>
      <c r="X24" s="216">
        <v>2</v>
      </c>
      <c r="Y24" s="216">
        <v>2</v>
      </c>
    </row>
    <row r="25" spans="1:25" x14ac:dyDescent="0.2">
      <c r="A25" s="212">
        <v>19</v>
      </c>
      <c r="B25" s="224" t="s">
        <v>106</v>
      </c>
      <c r="C25" s="225">
        <v>3</v>
      </c>
      <c r="D25" s="214">
        <f t="shared" si="0"/>
        <v>25</v>
      </c>
      <c r="E25" s="216">
        <v>2</v>
      </c>
      <c r="F25" s="216">
        <v>0</v>
      </c>
      <c r="G25" s="216">
        <v>2</v>
      </c>
      <c r="H25" s="216">
        <v>2</v>
      </c>
      <c r="I25" s="216">
        <v>0</v>
      </c>
      <c r="J25" s="216">
        <v>1</v>
      </c>
      <c r="K25" s="216">
        <v>2</v>
      </c>
      <c r="L25" s="216">
        <v>1</v>
      </c>
      <c r="M25" s="216">
        <v>2</v>
      </c>
      <c r="N25" s="216">
        <v>1</v>
      </c>
      <c r="O25" s="216">
        <v>2</v>
      </c>
      <c r="P25" s="216">
        <v>1</v>
      </c>
      <c r="Q25" s="216">
        <v>2</v>
      </c>
      <c r="R25" s="216">
        <v>0</v>
      </c>
      <c r="S25" s="216">
        <v>1</v>
      </c>
      <c r="T25" s="216">
        <v>2</v>
      </c>
      <c r="U25" s="216">
        <v>2</v>
      </c>
      <c r="V25" s="216">
        <v>0</v>
      </c>
      <c r="W25" s="215"/>
      <c r="X25" s="216">
        <v>0</v>
      </c>
      <c r="Y25" s="216">
        <v>2</v>
      </c>
    </row>
    <row r="26" spans="1:25" x14ac:dyDescent="0.2">
      <c r="A26" s="212">
        <v>20</v>
      </c>
      <c r="B26" s="212" t="s">
        <v>112</v>
      </c>
      <c r="C26" s="219" t="s">
        <v>308</v>
      </c>
      <c r="D26" s="214">
        <f t="shared" si="0"/>
        <v>24</v>
      </c>
      <c r="E26" s="216">
        <v>1</v>
      </c>
      <c r="F26" s="216">
        <v>0</v>
      </c>
      <c r="G26" s="216">
        <v>2</v>
      </c>
      <c r="H26" s="216">
        <v>2</v>
      </c>
      <c r="I26" s="216">
        <v>1</v>
      </c>
      <c r="J26" s="216">
        <v>2</v>
      </c>
      <c r="K26" s="216">
        <v>2</v>
      </c>
      <c r="L26" s="216">
        <v>2</v>
      </c>
      <c r="M26" s="216">
        <v>2</v>
      </c>
      <c r="N26" s="216">
        <v>0</v>
      </c>
      <c r="O26" s="216">
        <v>2</v>
      </c>
      <c r="P26" s="216">
        <v>2</v>
      </c>
      <c r="Q26" s="216">
        <v>1</v>
      </c>
      <c r="R26" s="216">
        <v>1</v>
      </c>
      <c r="S26" s="216">
        <v>0</v>
      </c>
      <c r="T26" s="216">
        <v>1</v>
      </c>
      <c r="U26" s="216">
        <v>1</v>
      </c>
      <c r="V26" s="216">
        <v>0</v>
      </c>
      <c r="W26" s="216">
        <v>2</v>
      </c>
      <c r="X26" s="215"/>
      <c r="Y26" s="216">
        <v>0</v>
      </c>
    </row>
    <row r="27" spans="1:25" x14ac:dyDescent="0.2">
      <c r="A27" s="212">
        <v>21</v>
      </c>
      <c r="B27" s="226" t="s">
        <v>119</v>
      </c>
      <c r="C27" s="219">
        <v>4</v>
      </c>
      <c r="D27" s="214">
        <f t="shared" si="0"/>
        <v>25</v>
      </c>
      <c r="E27" s="216">
        <v>2</v>
      </c>
      <c r="F27" s="216">
        <v>2</v>
      </c>
      <c r="G27" s="216">
        <v>2</v>
      </c>
      <c r="H27" s="216">
        <v>0</v>
      </c>
      <c r="I27" s="216">
        <v>0</v>
      </c>
      <c r="J27" s="216">
        <v>0</v>
      </c>
      <c r="K27" s="216">
        <v>2</v>
      </c>
      <c r="L27" s="216">
        <v>2</v>
      </c>
      <c r="M27" s="216">
        <v>1</v>
      </c>
      <c r="N27" s="216">
        <v>2</v>
      </c>
      <c r="O27" s="216">
        <v>2</v>
      </c>
      <c r="P27" s="216">
        <v>1</v>
      </c>
      <c r="Q27" s="216">
        <v>2</v>
      </c>
      <c r="R27" s="216">
        <v>2</v>
      </c>
      <c r="S27" s="216">
        <v>0</v>
      </c>
      <c r="T27" s="216">
        <v>2</v>
      </c>
      <c r="U27" s="216">
        <v>1</v>
      </c>
      <c r="V27" s="216">
        <v>0</v>
      </c>
      <c r="W27" s="216">
        <v>0</v>
      </c>
      <c r="X27" s="216">
        <v>2</v>
      </c>
      <c r="Y27" s="215"/>
    </row>
    <row r="28" spans="1:25" x14ac:dyDescent="0.2">
      <c r="A28" s="494"/>
      <c r="B28" s="494" t="s">
        <v>98</v>
      </c>
      <c r="C28" s="494" t="s">
        <v>306</v>
      </c>
      <c r="D28" s="494" t="s">
        <v>480</v>
      </c>
      <c r="E28" s="494">
        <v>1</v>
      </c>
      <c r="F28" s="494">
        <v>2</v>
      </c>
      <c r="G28" s="494">
        <v>3</v>
      </c>
      <c r="H28" s="494">
        <v>4</v>
      </c>
      <c r="I28" s="494">
        <v>5</v>
      </c>
      <c r="J28" s="494">
        <v>6</v>
      </c>
      <c r="K28" s="494">
        <v>7</v>
      </c>
      <c r="L28" s="494">
        <v>8</v>
      </c>
      <c r="M28" s="494">
        <v>9</v>
      </c>
      <c r="N28" s="494">
        <v>10</v>
      </c>
      <c r="O28" s="494">
        <v>11</v>
      </c>
      <c r="P28" s="494">
        <v>12</v>
      </c>
      <c r="Q28" s="494">
        <v>13</v>
      </c>
      <c r="R28" s="494">
        <v>14</v>
      </c>
      <c r="S28" s="494">
        <v>15</v>
      </c>
      <c r="T28" s="494">
        <v>16</v>
      </c>
      <c r="U28" s="494">
        <v>17</v>
      </c>
      <c r="V28" s="494">
        <v>18</v>
      </c>
      <c r="W28" s="494">
        <v>19</v>
      </c>
      <c r="X28" s="494">
        <v>20</v>
      </c>
      <c r="Y28" s="494">
        <v>21</v>
      </c>
    </row>
  </sheetData>
  <pageMargins left="0.78740157480314965" right="0.39370078740157483" top="0.78740157480314965" bottom="0.39370078740157483" header="0.59055118110236227" footer="0"/>
  <pageSetup paperSize="9" fitToHeight="0" orientation="landscape" verticalDpi="0" r:id="rId1"/>
  <headerFooter>
    <oddHeader>&amp;R&amp;"Arial,Regular"&amp;9Page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Kalend</vt:lpstr>
      <vt:lpstr>Reit</vt:lpstr>
      <vt:lpstr>KJ</vt:lpstr>
      <vt:lpstr>2</vt:lpstr>
      <vt:lpstr>Mu</vt:lpstr>
      <vt:lpstr>8</vt:lpstr>
      <vt:lpstr>Sü</vt:lpstr>
      <vt:lpstr>9</vt:lpstr>
      <vt:lpstr>10</vt:lpstr>
      <vt:lpstr>12</vt:lpstr>
      <vt:lpstr>M</vt:lpstr>
      <vt:lpstr>M4</vt:lpstr>
      <vt:lpstr>L</vt:lpstr>
      <vt:lpstr>'10'!Print_Titles</vt:lpstr>
      <vt:lpstr>'12'!Print_Titles</vt:lpstr>
      <vt:lpstr>'2'!Print_Titles</vt:lpstr>
      <vt:lpstr>'8'!Print_Titles</vt:lpstr>
      <vt:lpstr>'9'!Print_Titles</vt:lpstr>
      <vt:lpstr>Kalend!Print_Titles</vt:lpstr>
      <vt:lpstr>KJ!Print_Titles</vt:lpstr>
      <vt:lpstr>L!Print_Titles</vt:lpstr>
      <vt:lpstr>'M4'!Print_Titles</vt:lpstr>
      <vt:lpstr>Mu!Print_Titles</vt:lpstr>
      <vt:lpstr>Reit!Print_Titles</vt:lpstr>
      <vt:lpstr>Sü!Print_Titles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2019-04-13T11:43:30Z</dcterms:created>
  <dcterms:modified xsi:type="dcterms:W3CDTF">2022-02-02T12:19:33Z</dcterms:modified>
</cp:coreProperties>
</file>