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5" yWindow="15" windowWidth="15180" windowHeight="8070" tabRatio="747" activeTab="1"/>
  </bookViews>
  <sheets>
    <sheet name="Kalend" sheetId="3" r:id="rId1"/>
    <sheet name="Reit" sheetId="25" r:id="rId2"/>
    <sheet name="KJ" sheetId="6" r:id="rId3"/>
    <sheet name="1" sheetId="7" r:id="rId4"/>
    <sheet name="2" sheetId="8" r:id="rId5"/>
    <sheet name="3" sheetId="9" r:id="rId6"/>
    <sheet name="4" sheetId="10" r:id="rId7"/>
    <sheet name="5" sheetId="11" r:id="rId8"/>
    <sheet name="6" sheetId="12" r:id="rId9"/>
    <sheet name="7" sheetId="13" r:id="rId10"/>
    <sheet name="8" sheetId="14" r:id="rId11"/>
    <sheet name="9" sheetId="15" r:id="rId12"/>
    <sheet name="10" sheetId="16" r:id="rId13"/>
    <sheet name="11" sheetId="17" r:id="rId14"/>
    <sheet name="12" sheetId="18" r:id="rId15"/>
    <sheet name="NV" sheetId="19" r:id="rId16"/>
    <sheet name="13" sheetId="20" r:id="rId17"/>
    <sheet name="14" sheetId="21" r:id="rId18"/>
    <sheet name="15" sheetId="22" r:id="rId19"/>
    <sheet name="16" sheetId="23" r:id="rId20"/>
    <sheet name="17" sheetId="24" r:id="rId21"/>
    <sheet name="KJ KV juh" sheetId="5" r:id="rId22"/>
  </sheets>
  <definedNames>
    <definedName name="_xlnm._FilterDatabase" localSheetId="0" hidden="1">Kalend!$A$3:$I$26</definedName>
    <definedName name="_xlnm.Print_Area" localSheetId="2">KJ!$A$1:$L$62</definedName>
    <definedName name="_xlnm.Print_Titles" localSheetId="3">'1'!$1:$2</definedName>
    <definedName name="_xlnm.Print_Titles" localSheetId="12">'10'!$1:$2</definedName>
    <definedName name="_xlnm.Print_Titles" localSheetId="13">'11'!$1:$2</definedName>
    <definedName name="_xlnm.Print_Titles" localSheetId="14">'12'!$1:$2</definedName>
    <definedName name="_xlnm.Print_Titles" localSheetId="16">'13'!$1:$2</definedName>
    <definedName name="_xlnm.Print_Titles" localSheetId="17">'14'!$1:$2</definedName>
    <definedName name="_xlnm.Print_Titles" localSheetId="18">'15'!$1:$2</definedName>
    <definedName name="_xlnm.Print_Titles" localSheetId="19">'16'!$1:$2</definedName>
    <definedName name="_xlnm.Print_Titles" localSheetId="20">'17'!$1:$2</definedName>
    <definedName name="_xlnm.Print_Titles" localSheetId="4">'2'!$1:$2</definedName>
    <definedName name="_xlnm.Print_Titles" localSheetId="5">'3'!$1:$2</definedName>
    <definedName name="_xlnm.Print_Titles" localSheetId="6">'4'!$1:$2</definedName>
    <definedName name="_xlnm.Print_Titles" localSheetId="7">'5'!$1:$2</definedName>
    <definedName name="_xlnm.Print_Titles" localSheetId="8">'6'!$1:$2</definedName>
    <definedName name="_xlnm.Print_Titles" localSheetId="9">'7'!$1:$2</definedName>
    <definedName name="_xlnm.Print_Titles" localSheetId="10">'8'!$1:$2</definedName>
    <definedName name="_xlnm.Print_Titles" localSheetId="11">'9'!$1:$2</definedName>
    <definedName name="_xlnm.Print_Titles" localSheetId="15">NV!$1:$2</definedName>
    <definedName name="_xlnm.Print_Titles" localSheetId="1">Reit!$1:$7</definedName>
  </definedNames>
  <calcPr calcId="145621"/>
</workbook>
</file>

<file path=xl/calcChain.xml><?xml version="1.0" encoding="utf-8"?>
<calcChain xmlns="http://schemas.openxmlformats.org/spreadsheetml/2006/main">
  <c r="U4" i="25" l="1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F4" i="25"/>
  <c r="E4" i="25"/>
  <c r="G4" i="25"/>
  <c r="G1" i="24" l="1"/>
  <c r="E1" i="24"/>
  <c r="H1" i="23"/>
  <c r="F1" i="23"/>
  <c r="E1" i="22"/>
  <c r="C1" i="22"/>
  <c r="H1" i="21"/>
  <c r="F1" i="21"/>
  <c r="H1" i="20"/>
  <c r="F1" i="20"/>
  <c r="K1" i="19"/>
  <c r="I1" i="19"/>
  <c r="G1" i="18"/>
  <c r="E1" i="18"/>
  <c r="H1" i="17"/>
  <c r="F1" i="17"/>
  <c r="E1" i="16"/>
  <c r="C1" i="16"/>
  <c r="I1" i="15"/>
  <c r="G1" i="15"/>
  <c r="F1" i="14"/>
  <c r="D1" i="14"/>
  <c r="G1" i="13"/>
  <c r="E1" i="13"/>
  <c r="G1" i="12"/>
  <c r="E1" i="12"/>
  <c r="G1" i="11"/>
  <c r="E1" i="11"/>
  <c r="H1" i="10"/>
  <c r="F1" i="10"/>
  <c r="E1" i="9"/>
  <c r="C1" i="9"/>
  <c r="F1" i="8"/>
  <c r="D1" i="8"/>
  <c r="F1" i="7"/>
  <c r="H1" i="7"/>
  <c r="I4" i="6"/>
  <c r="H4" i="6"/>
  <c r="G4" i="6"/>
  <c r="F4" i="6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E26" i="3" l="1"/>
  <c r="E25" i="3"/>
  <c r="E23" i="3"/>
  <c r="E22" i="3"/>
  <c r="E21" i="3"/>
  <c r="E20" i="3"/>
  <c r="E19" i="3"/>
  <c r="E17" i="3"/>
  <c r="E16" i="3"/>
  <c r="E14" i="3"/>
  <c r="E13" i="3"/>
  <c r="E12" i="3"/>
  <c r="E11" i="3"/>
  <c r="E10" i="3"/>
  <c r="E9" i="3"/>
  <c r="E7" i="3"/>
  <c r="E6" i="3"/>
  <c r="E5" i="3"/>
  <c r="H26" i="3" l="1"/>
  <c r="H25" i="3"/>
  <c r="H23" i="3"/>
  <c r="H22" i="3"/>
  <c r="H21" i="3"/>
  <c r="H20" i="3"/>
  <c r="H19" i="3"/>
  <c r="H17" i="3"/>
  <c r="H16" i="3"/>
  <c r="H14" i="3"/>
  <c r="H13" i="3"/>
  <c r="H12" i="3"/>
  <c r="H11" i="3"/>
  <c r="H10" i="3"/>
  <c r="H9" i="3"/>
  <c r="H7" i="3"/>
  <c r="H6" i="3"/>
  <c r="H5" i="3"/>
  <c r="U6" i="25" l="1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I5" i="6"/>
  <c r="H5" i="6"/>
  <c r="F5" i="6"/>
  <c r="G5" i="6"/>
  <c r="B56" i="6"/>
  <c r="W36" i="25" l="1"/>
  <c r="X36" i="25"/>
  <c r="W37" i="25"/>
  <c r="X37" i="25"/>
  <c r="W38" i="25"/>
  <c r="X38" i="25"/>
  <c r="W39" i="25"/>
  <c r="X39" i="25"/>
  <c r="W40" i="25"/>
  <c r="X40" i="25"/>
  <c r="W41" i="25"/>
  <c r="X41" i="25"/>
  <c r="W42" i="25"/>
  <c r="X42" i="25"/>
  <c r="W43" i="25"/>
  <c r="X43" i="25"/>
  <c r="W44" i="25"/>
  <c r="X44" i="25"/>
  <c r="W45" i="25"/>
  <c r="X45" i="25"/>
  <c r="W46" i="25"/>
  <c r="X46" i="25"/>
  <c r="W47" i="25"/>
  <c r="X47" i="25"/>
  <c r="W48" i="25"/>
  <c r="X48" i="25"/>
  <c r="W49" i="25"/>
  <c r="X49" i="25"/>
  <c r="W50" i="25"/>
  <c r="X50" i="25"/>
  <c r="W51" i="25"/>
  <c r="X51" i="25"/>
  <c r="W52" i="25"/>
  <c r="X52" i="25"/>
  <c r="W53" i="25"/>
  <c r="X53" i="25"/>
  <c r="W54" i="25"/>
  <c r="X54" i="25"/>
  <c r="W55" i="25"/>
  <c r="X55" i="25"/>
  <c r="W56" i="25"/>
  <c r="X56" i="25"/>
  <c r="W57" i="25"/>
  <c r="X57" i="25"/>
  <c r="W58" i="25"/>
  <c r="X58" i="25"/>
  <c r="W59" i="25"/>
  <c r="X59" i="25"/>
  <c r="W60" i="25"/>
  <c r="X60" i="25"/>
  <c r="W61" i="25"/>
  <c r="X61" i="25"/>
  <c r="W62" i="25"/>
  <c r="X62" i="25"/>
  <c r="W63" i="25"/>
  <c r="X63" i="25"/>
  <c r="W64" i="25"/>
  <c r="X64" i="25"/>
  <c r="W65" i="25"/>
  <c r="X65" i="25"/>
  <c r="W66" i="25"/>
  <c r="X66" i="25"/>
  <c r="W67" i="25"/>
  <c r="X67" i="25"/>
  <c r="W68" i="25"/>
  <c r="X68" i="25"/>
  <c r="W69" i="25"/>
  <c r="X69" i="25"/>
  <c r="W70" i="25"/>
  <c r="X70" i="25"/>
  <c r="W71" i="25"/>
  <c r="X71" i="25"/>
  <c r="W72" i="25"/>
  <c r="X72" i="25"/>
  <c r="W73" i="25"/>
  <c r="X73" i="25"/>
  <c r="W74" i="25"/>
  <c r="X74" i="25"/>
  <c r="W75" i="25"/>
  <c r="X75" i="25"/>
  <c r="W76" i="25"/>
  <c r="X76" i="25"/>
  <c r="W77" i="25"/>
  <c r="X77" i="25"/>
  <c r="W78" i="25"/>
  <c r="X78" i="25"/>
  <c r="W79" i="25"/>
  <c r="X79" i="25"/>
  <c r="W80" i="25"/>
  <c r="X80" i="25"/>
  <c r="W81" i="25"/>
  <c r="X81" i="25"/>
  <c r="W82" i="25"/>
  <c r="X82" i="25"/>
  <c r="W83" i="25"/>
  <c r="X83" i="25"/>
  <c r="W84" i="25"/>
  <c r="X84" i="25"/>
  <c r="W85" i="25"/>
  <c r="X85" i="25"/>
  <c r="W86" i="25"/>
  <c r="X86" i="25"/>
  <c r="W87" i="25"/>
  <c r="X87" i="25"/>
  <c r="W88" i="25"/>
  <c r="X88" i="25"/>
  <c r="W89" i="25"/>
  <c r="X89" i="25"/>
  <c r="W90" i="25"/>
  <c r="X90" i="25"/>
  <c r="W91" i="25"/>
  <c r="X91" i="25"/>
  <c r="W92" i="25"/>
  <c r="X92" i="25"/>
  <c r="W93" i="25"/>
  <c r="X93" i="25"/>
  <c r="W94" i="25"/>
  <c r="X94" i="25"/>
  <c r="W95" i="25"/>
  <c r="X95" i="25"/>
  <c r="W96" i="25"/>
  <c r="X96" i="25"/>
  <c r="W97" i="25"/>
  <c r="X97" i="25"/>
  <c r="W98" i="25"/>
  <c r="X98" i="25"/>
  <c r="W99" i="25"/>
  <c r="X99" i="25"/>
  <c r="W100" i="25"/>
  <c r="X100" i="25"/>
  <c r="W101" i="25"/>
  <c r="X101" i="25"/>
  <c r="W102" i="25"/>
  <c r="X102" i="25"/>
  <c r="W103" i="25"/>
  <c r="X103" i="25"/>
  <c r="W104" i="25"/>
  <c r="X104" i="25"/>
  <c r="W105" i="25"/>
  <c r="X105" i="25"/>
  <c r="W106" i="25"/>
  <c r="X106" i="25"/>
  <c r="W107" i="25"/>
  <c r="X107" i="25"/>
  <c r="W108" i="25"/>
  <c r="X108" i="25"/>
  <c r="W109" i="25"/>
  <c r="X109" i="25"/>
  <c r="W110" i="25"/>
  <c r="X110" i="25"/>
  <c r="W111" i="25"/>
  <c r="X111" i="25"/>
  <c r="W112" i="25"/>
  <c r="X112" i="25"/>
  <c r="W113" i="25"/>
  <c r="X113" i="25"/>
  <c r="W114" i="25"/>
  <c r="X114" i="25"/>
  <c r="W115" i="25"/>
  <c r="X115" i="25"/>
  <c r="W116" i="25"/>
  <c r="X116" i="25"/>
  <c r="W117" i="25"/>
  <c r="X117" i="25"/>
  <c r="W118" i="25"/>
  <c r="X118" i="25"/>
  <c r="W119" i="25"/>
  <c r="X119" i="25"/>
  <c r="W120" i="25"/>
  <c r="X120" i="25"/>
  <c r="W121" i="25"/>
  <c r="X121" i="25"/>
  <c r="W122" i="25"/>
  <c r="X122" i="25"/>
  <c r="W123" i="25"/>
  <c r="X123" i="25"/>
  <c r="W124" i="25"/>
  <c r="X124" i="25"/>
  <c r="W125" i="25"/>
  <c r="X125" i="25"/>
  <c r="W126" i="25"/>
  <c r="X126" i="25"/>
  <c r="X35" i="25"/>
  <c r="X127" i="25" s="1"/>
  <c r="W35" i="25"/>
  <c r="W9" i="25"/>
  <c r="X9" i="25"/>
  <c r="W10" i="25"/>
  <c r="X10" i="25"/>
  <c r="W11" i="25"/>
  <c r="X11" i="25"/>
  <c r="W12" i="25"/>
  <c r="X12" i="25"/>
  <c r="W13" i="25"/>
  <c r="X13" i="25"/>
  <c r="W14" i="25"/>
  <c r="X14" i="25"/>
  <c r="W15" i="25"/>
  <c r="X15" i="25"/>
  <c r="W16" i="25"/>
  <c r="X16" i="25"/>
  <c r="W17" i="25"/>
  <c r="X17" i="25"/>
  <c r="W18" i="25"/>
  <c r="X18" i="25"/>
  <c r="W19" i="25"/>
  <c r="X19" i="25"/>
  <c r="W20" i="25"/>
  <c r="X20" i="25"/>
  <c r="W21" i="25"/>
  <c r="X21" i="25"/>
  <c r="W22" i="25"/>
  <c r="X22" i="25"/>
  <c r="W23" i="25"/>
  <c r="X23" i="25"/>
  <c r="W24" i="25"/>
  <c r="X24" i="25"/>
  <c r="W25" i="25"/>
  <c r="X25" i="25"/>
  <c r="W26" i="25"/>
  <c r="X26" i="25"/>
  <c r="W27" i="25"/>
  <c r="X27" i="25"/>
  <c r="W28" i="25"/>
  <c r="X28" i="25"/>
  <c r="W29" i="25"/>
  <c r="X29" i="25"/>
  <c r="W30" i="25"/>
  <c r="X30" i="25"/>
  <c r="W31" i="25"/>
  <c r="X31" i="25"/>
  <c r="W32" i="25"/>
  <c r="X32" i="25"/>
  <c r="X8" i="25"/>
  <c r="X128" i="25" s="1"/>
  <c r="W8" i="25"/>
  <c r="D38" i="25" a="1"/>
  <c r="D38" i="25" s="1"/>
  <c r="D44" i="25" a="1"/>
  <c r="D44" i="25" s="1"/>
  <c r="D45" i="25" a="1"/>
  <c r="D45" i="25" s="1"/>
  <c r="D46" i="25" a="1"/>
  <c r="D46" i="25" s="1"/>
  <c r="D47" i="25" a="1"/>
  <c r="D47" i="25" s="1"/>
  <c r="D49" i="25" a="1"/>
  <c r="D49" i="25" s="1"/>
  <c r="D50" i="25" a="1"/>
  <c r="D50" i="25" s="1"/>
  <c r="D51" i="25" a="1"/>
  <c r="D51" i="25" s="1"/>
  <c r="D53" i="25" a="1"/>
  <c r="D53" i="25" s="1"/>
  <c r="D55" i="25" a="1"/>
  <c r="D55" i="25" s="1"/>
  <c r="D58" i="25" a="1"/>
  <c r="D58" i="25" s="1"/>
  <c r="D59" i="25" a="1"/>
  <c r="D59" i="25" s="1"/>
  <c r="D60" i="25" a="1"/>
  <c r="D60" i="25" s="1"/>
  <c r="D61" i="25" a="1"/>
  <c r="D61" i="25" s="1"/>
  <c r="D62" i="25" a="1"/>
  <c r="D62" i="25" s="1"/>
  <c r="D63" i="25" a="1"/>
  <c r="D63" i="25" s="1"/>
  <c r="D64" i="25" a="1"/>
  <c r="D64" i="25" s="1"/>
  <c r="D65" i="25" a="1"/>
  <c r="D65" i="25" s="1"/>
  <c r="D66" i="25" a="1"/>
  <c r="D66" i="25" s="1"/>
  <c r="D67" i="25" a="1"/>
  <c r="D67" i="25" s="1"/>
  <c r="D68" i="25" a="1"/>
  <c r="D68" i="25" s="1"/>
  <c r="D69" i="25" a="1"/>
  <c r="D69" i="25" s="1"/>
  <c r="D70" i="25" a="1"/>
  <c r="D70" i="25" s="1"/>
  <c r="D71" i="25" a="1"/>
  <c r="D71" i="25" s="1"/>
  <c r="D72" i="25" a="1"/>
  <c r="D72" i="25" s="1"/>
  <c r="D73" i="25" a="1"/>
  <c r="D73" i="25" s="1"/>
  <c r="D74" i="25" a="1"/>
  <c r="D74" i="25" s="1"/>
  <c r="D75" i="25" a="1"/>
  <c r="D75" i="25" s="1"/>
  <c r="D77" i="25" a="1"/>
  <c r="D77" i="25" s="1"/>
  <c r="D78" i="25" a="1"/>
  <c r="D78" i="25" s="1"/>
  <c r="D79" i="25" a="1"/>
  <c r="D79" i="25" s="1"/>
  <c r="D80" i="25" a="1"/>
  <c r="D80" i="25" s="1"/>
  <c r="D81" i="25" a="1"/>
  <c r="D81" i="25" s="1"/>
  <c r="D82" i="25" a="1"/>
  <c r="D82" i="25" s="1"/>
  <c r="D83" i="25" a="1"/>
  <c r="D83" i="25" s="1"/>
  <c r="D84" i="25" a="1"/>
  <c r="D84" i="25" s="1"/>
  <c r="D85" i="25" a="1"/>
  <c r="D85" i="25" s="1"/>
  <c r="D86" i="25" a="1"/>
  <c r="D86" i="25" s="1"/>
  <c r="D87" i="25" a="1"/>
  <c r="D87" i="25" s="1"/>
  <c r="D88" i="25" a="1"/>
  <c r="D88" i="25" s="1"/>
  <c r="D89" i="25" a="1"/>
  <c r="D89" i="25" s="1"/>
  <c r="D90" i="25" a="1"/>
  <c r="D90" i="25" s="1"/>
  <c r="D91" i="25" a="1"/>
  <c r="D91" i="25" s="1"/>
  <c r="D92" i="25" a="1"/>
  <c r="D92" i="25" s="1"/>
  <c r="D93" i="25" a="1"/>
  <c r="D93" i="25" s="1"/>
  <c r="D94" i="25" a="1"/>
  <c r="D94" i="25" s="1"/>
  <c r="D95" i="25" a="1"/>
  <c r="D95" i="25" s="1"/>
  <c r="D96" i="25" a="1"/>
  <c r="D96" i="25" s="1"/>
  <c r="D97" i="25" a="1"/>
  <c r="D97" i="25" s="1"/>
  <c r="D98" i="25" a="1"/>
  <c r="D98" i="25" s="1"/>
  <c r="D99" i="25" a="1"/>
  <c r="D99" i="25" s="1"/>
  <c r="D100" i="25" a="1"/>
  <c r="D100" i="25" s="1"/>
  <c r="D101" i="25" a="1"/>
  <c r="D101" i="25" s="1"/>
  <c r="D102" i="25" a="1"/>
  <c r="D102" i="25" s="1"/>
  <c r="D103" i="25" a="1"/>
  <c r="D103" i="25" s="1"/>
  <c r="D104" i="25" a="1"/>
  <c r="D104" i="25" s="1"/>
  <c r="D105" i="25" a="1"/>
  <c r="D105" i="25" s="1"/>
  <c r="D106" i="25" a="1"/>
  <c r="D106" i="25" s="1"/>
  <c r="D107" i="25" a="1"/>
  <c r="D107" i="25" s="1"/>
  <c r="D108" i="25" a="1"/>
  <c r="D108" i="25" s="1"/>
  <c r="D109" i="25" a="1"/>
  <c r="D109" i="25" s="1"/>
  <c r="D110" i="25" a="1"/>
  <c r="D110" i="25" s="1"/>
  <c r="D111" i="25" a="1"/>
  <c r="D111" i="25" s="1"/>
  <c r="D112" i="25" a="1"/>
  <c r="D112" i="25" s="1"/>
  <c r="D113" i="25" a="1"/>
  <c r="D113" i="25" s="1"/>
  <c r="D114" i="25" a="1"/>
  <c r="D114" i="25" s="1"/>
  <c r="D115" i="25" a="1"/>
  <c r="D115" i="25" s="1"/>
  <c r="D116" i="25" a="1"/>
  <c r="D116" i="25" s="1"/>
  <c r="D117" i="25" a="1"/>
  <c r="D117" i="25" s="1"/>
  <c r="D118" i="25" a="1"/>
  <c r="D118" i="25" s="1"/>
  <c r="D119" i="25" a="1"/>
  <c r="D119" i="25" s="1"/>
  <c r="D120" i="25" a="1"/>
  <c r="D120" i="25" s="1"/>
  <c r="D121" i="25" a="1"/>
  <c r="D121" i="25" s="1"/>
  <c r="D122" i="25" a="1"/>
  <c r="D122" i="25" s="1"/>
  <c r="D123" i="25" a="1"/>
  <c r="D123" i="25" s="1"/>
  <c r="D124" i="25" a="1"/>
  <c r="D124" i="25" s="1"/>
  <c r="D125" i="25" a="1"/>
  <c r="D125" i="25" s="1"/>
  <c r="D126" i="25" a="1"/>
  <c r="D126" i="25" s="1"/>
  <c r="U128" i="25"/>
  <c r="T128" i="25"/>
  <c r="S128" i="25"/>
  <c r="R128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8" i="25"/>
  <c r="B128" i="25"/>
  <c r="A128" i="25"/>
  <c r="U127" i="25"/>
  <c r="T127" i="25"/>
  <c r="S127" i="25"/>
  <c r="R127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E127" i="25"/>
  <c r="B127" i="25"/>
  <c r="A127" i="25"/>
  <c r="V126" i="25"/>
  <c r="V125" i="25"/>
  <c r="V124" i="25"/>
  <c r="V123" i="25"/>
  <c r="V122" i="25"/>
  <c r="V121" i="25"/>
  <c r="V120" i="25"/>
  <c r="V119" i="25"/>
  <c r="V118" i="25"/>
  <c r="V117" i="25"/>
  <c r="V116" i="25"/>
  <c r="V115" i="25"/>
  <c r="V114" i="25"/>
  <c r="V113" i="25"/>
  <c r="V112" i="25"/>
  <c r="V111" i="25"/>
  <c r="V110" i="25"/>
  <c r="V109" i="25"/>
  <c r="V108" i="25"/>
  <c r="V107" i="25"/>
  <c r="V106" i="25"/>
  <c r="V105" i="25"/>
  <c r="V104" i="25"/>
  <c r="V103" i="25"/>
  <c r="V102" i="25"/>
  <c r="V101" i="25"/>
  <c r="V100" i="25"/>
  <c r="V99" i="25"/>
  <c r="V98" i="25"/>
  <c r="V97" i="25"/>
  <c r="V96" i="25"/>
  <c r="V95" i="25"/>
  <c r="V94" i="25"/>
  <c r="V93" i="25"/>
  <c r="V92" i="25"/>
  <c r="V91" i="25"/>
  <c r="V90" i="25"/>
  <c r="V89" i="25"/>
  <c r="V88" i="25"/>
  <c r="V87" i="25"/>
  <c r="V86" i="25"/>
  <c r="V85" i="25"/>
  <c r="V84" i="25"/>
  <c r="V83" i="25"/>
  <c r="V82" i="25"/>
  <c r="V81" i="25"/>
  <c r="V80" i="25"/>
  <c r="V79" i="25"/>
  <c r="V78" i="25"/>
  <c r="V77" i="25"/>
  <c r="V76" i="25"/>
  <c r="V75" i="25"/>
  <c r="V74" i="25"/>
  <c r="V73" i="25"/>
  <c r="V72" i="25"/>
  <c r="V71" i="25"/>
  <c r="V70" i="25"/>
  <c r="V69" i="25"/>
  <c r="V68" i="25"/>
  <c r="V67" i="25"/>
  <c r="V66" i="25"/>
  <c r="V65" i="25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B33" i="25"/>
  <c r="A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X7" i="25"/>
  <c r="W7" i="25"/>
  <c r="V7" i="25"/>
  <c r="C4" i="25"/>
  <c r="A1" i="24"/>
  <c r="A1" i="23"/>
  <c r="A1" i="22"/>
  <c r="A1" i="21"/>
  <c r="A1" i="20"/>
  <c r="A1" i="18"/>
  <c r="A1" i="17"/>
  <c r="A1" i="16"/>
  <c r="A1" i="15"/>
  <c r="A1" i="14"/>
  <c r="A1" i="13"/>
  <c r="A1" i="12"/>
  <c r="A1" i="11"/>
  <c r="A1" i="10"/>
  <c r="A1" i="8"/>
  <c r="A1" i="9"/>
  <c r="A1" i="7"/>
  <c r="A4" i="24"/>
  <c r="A3" i="24"/>
  <c r="A2" i="24"/>
  <c r="A4" i="23"/>
  <c r="A3" i="23"/>
  <c r="A2" i="23"/>
  <c r="A4" i="22"/>
  <c r="A3" i="22"/>
  <c r="A2" i="22"/>
  <c r="A4" i="21"/>
  <c r="A3" i="21"/>
  <c r="A2" i="21"/>
  <c r="A4" i="20"/>
  <c r="A3" i="20"/>
  <c r="A2" i="20"/>
  <c r="A4" i="19"/>
  <c r="A3" i="19"/>
  <c r="A2" i="19"/>
  <c r="A4" i="18"/>
  <c r="A3" i="18"/>
  <c r="A2" i="18"/>
  <c r="A4" i="17"/>
  <c r="A3" i="17"/>
  <c r="A2" i="17"/>
  <c r="A4" i="16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I56" i="6"/>
  <c r="H56" i="6"/>
  <c r="G56" i="6"/>
  <c r="F56" i="6"/>
  <c r="A56" i="6"/>
  <c r="L55" i="6"/>
  <c r="K55" i="6"/>
  <c r="L54" i="6"/>
  <c r="K54" i="6"/>
  <c r="L53" i="6"/>
  <c r="K53" i="6"/>
  <c r="L52" i="6"/>
  <c r="K52" i="6"/>
  <c r="L51" i="6"/>
  <c r="K51" i="6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3" i="6"/>
  <c r="K43" i="6"/>
  <c r="L42" i="6"/>
  <c r="K42" i="6"/>
  <c r="L41" i="6"/>
  <c r="K41" i="6"/>
  <c r="L40" i="6"/>
  <c r="K40" i="6"/>
  <c r="L39" i="6"/>
  <c r="K39" i="6"/>
  <c r="L38" i="6"/>
  <c r="K38" i="6"/>
  <c r="L37" i="6"/>
  <c r="K37" i="6"/>
  <c r="L36" i="6"/>
  <c r="K36" i="6"/>
  <c r="L35" i="6"/>
  <c r="K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2" i="6"/>
  <c r="K12" i="6"/>
  <c r="L11" i="6"/>
  <c r="K11" i="6"/>
  <c r="L10" i="6"/>
  <c r="K10" i="6"/>
  <c r="L9" i="6"/>
  <c r="K9" i="6"/>
  <c r="L8" i="6"/>
  <c r="K8" i="6"/>
  <c r="L7" i="6"/>
  <c r="L56" i="6" s="1"/>
  <c r="K7" i="6"/>
  <c r="K56" i="6"/>
  <c r="W33" i="25"/>
  <c r="W128" i="25"/>
  <c r="D42" i="25" a="1"/>
  <c r="D40" i="25" a="1"/>
  <c r="D52" i="25" a="1"/>
  <c r="D37" i="25" a="1"/>
  <c r="D43" i="25" a="1"/>
  <c r="D39" i="25" a="1"/>
  <c r="D36" i="25" a="1"/>
  <c r="D57" i="25" a="1"/>
  <c r="D54" i="25" a="1"/>
  <c r="D56" i="25" a="1"/>
  <c r="D41" i="25" a="1"/>
  <c r="D48" i="25" a="1"/>
  <c r="D76" i="25" a="1"/>
  <c r="D35" i="25" a="1"/>
  <c r="X33" i="25" l="1"/>
  <c r="W127" i="25"/>
  <c r="A1" i="19"/>
  <c r="D37" i="25"/>
  <c r="D52" i="25"/>
  <c r="D40" i="25"/>
  <c r="D48" i="25"/>
  <c r="D35" i="25"/>
  <c r="D43" i="25"/>
  <c r="D41" i="25"/>
  <c r="D76" i="25"/>
  <c r="D54" i="25"/>
  <c r="D56" i="25"/>
  <c r="D57" i="25"/>
  <c r="D39" i="25"/>
  <c r="D42" i="25"/>
  <c r="D36" i="25"/>
</calcChain>
</file>

<file path=xl/comments1.xml><?xml version="1.0" encoding="utf-8"?>
<comments xmlns="http://schemas.openxmlformats.org/spreadsheetml/2006/main">
  <authors>
    <author>Author</author>
  </authors>
  <commentList>
    <comment ref="I20" authorId="0">
      <text>
        <r>
          <rPr>
            <b/>
            <sz val="8"/>
            <color indexed="81"/>
            <rFont val="Tahoma"/>
            <family val="2"/>
            <charset val="186"/>
          </rPr>
          <t>osavõtumaks eelregistreerimisel 10 krooni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U1" authorId="0">
      <text>
        <r>
          <rPr>
            <b/>
            <sz val="8"/>
            <color indexed="81"/>
            <rFont val="Tahoma"/>
            <family val="2"/>
            <charset val="186"/>
          </rPr>
          <t>Koht  - * - ** - ***
  1 - 100 - 75 - 50
  2 -   80 - 60 - 40
  3 -   60 - 45 - 30
  4 -   40 - 30 - 20
  5 -   30 - 23 - 15
  6 -   25 - 19 - 13
  7 -   22 - 17 - 11
  8 -   20 - 15 - 10
  9 -   17 - 13 -   9
10 -   13 - 10 -   7
11 -   10 -   8 -   5
12 -     7 -   5 -   4
13 -     5 -   4 -   3
14 -     3 -   2 -   2
15 -     1 -   1 -   1
16... -  0 -   0 -   0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- 0 p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H13" authorId="0">
      <text>
        <r>
          <rPr>
            <b/>
            <sz val="8"/>
            <color indexed="81"/>
            <rFont val="Tahoma"/>
            <family val="2"/>
            <charset val="186"/>
          </rPr>
          <t>uudises on 21:8</t>
        </r>
      </text>
    </comment>
  </commentList>
</comments>
</file>

<file path=xl/sharedStrings.xml><?xml version="1.0" encoding="utf-8"?>
<sst xmlns="http://schemas.openxmlformats.org/spreadsheetml/2006/main" count="2144" uniqueCount="679">
  <si>
    <t>IDA-VIRUMAA PETANGIKALENDER 2002</t>
  </si>
  <si>
    <t>Kuupäev</t>
  </si>
  <si>
    <t>Aeg</t>
  </si>
  <si>
    <t>Võistlus</t>
  </si>
  <si>
    <t>Mänguviis</t>
  </si>
  <si>
    <t>R</t>
  </si>
  <si>
    <t>Toimumiskoht</t>
  </si>
  <si>
    <t>Korraldaja</t>
  </si>
  <si>
    <t>Tasu</t>
  </si>
  <si>
    <t>Osal</t>
  </si>
  <si>
    <t>Mai 2002</t>
  </si>
  <si>
    <t>T, 07.05.2002</t>
  </si>
  <si>
    <t>18:00</t>
  </si>
  <si>
    <t>Üksik</t>
  </si>
  <si>
    <t>K-Järve spordihoone tagune väljak</t>
  </si>
  <si>
    <t>K-Järve SHK</t>
  </si>
  <si>
    <t>T, 14.05.2002</t>
  </si>
  <si>
    <t>Duo</t>
  </si>
  <si>
    <t>T, 28.05.2002</t>
  </si>
  <si>
    <t>Trio</t>
  </si>
  <si>
    <t>Juuni 2002</t>
  </si>
  <si>
    <t>T, 04.06.2002</t>
  </si>
  <si>
    <t>T, 11.06.2002</t>
  </si>
  <si>
    <t>Jõhvi petangiteisipäevakute 1. etapp</t>
  </si>
  <si>
    <t>Jõhvi erakooli staadion (Jaama 37)</t>
  </si>
  <si>
    <t>LTK Üks-Teist</t>
  </si>
  <si>
    <t>T, 18.06.2002</t>
  </si>
  <si>
    <t>K-Järve Järve gümnaasiumi staadion</t>
  </si>
  <si>
    <t>N, 20.06.2002</t>
  </si>
  <si>
    <t>K-Nõmme SK</t>
  </si>
  <si>
    <t>T, 25.06.2002</t>
  </si>
  <si>
    <t>Jõhvi petangiteisipäevakute 2. etapp</t>
  </si>
  <si>
    <t>N, 27.06.2002</t>
  </si>
  <si>
    <t>Voka 1. MV</t>
  </si>
  <si>
    <t>Voka poe esine väljak</t>
  </si>
  <si>
    <t>Juuli 2002</t>
  </si>
  <si>
    <t>T, 09.07.2002</t>
  </si>
  <si>
    <t>Jõhvi petangiteisipäevakute 3. etapp</t>
  </si>
  <si>
    <t>T, 23.07.2002</t>
  </si>
  <si>
    <t>Jõhvi petangiteisipäevakute 4. etapp</t>
  </si>
  <si>
    <t>August 2002</t>
  </si>
  <si>
    <t>T, 06.08.2002</t>
  </si>
  <si>
    <t>P, 11.08.2002</t>
  </si>
  <si>
    <t>12:00</t>
  </si>
  <si>
    <t>T, 13.08.2002</t>
  </si>
  <si>
    <t>Jõhvi petangiteisipäevakute 5. etapp</t>
  </si>
  <si>
    <t>T, 20.08.2002</t>
  </si>
  <si>
    <t>10:00</t>
  </si>
  <si>
    <t>T, 27.08.2002</t>
  </si>
  <si>
    <t>Jõhvi petangiteisipäevakute 6. etapp</t>
  </si>
  <si>
    <t>September 2002</t>
  </si>
  <si>
    <t>IDA-VIRUMAA PETANGIREITING 2002</t>
  </si>
  <si>
    <t>Kuld</t>
  </si>
  <si>
    <t>Hõbe</t>
  </si>
  <si>
    <t>Pronks</t>
  </si>
  <si>
    <t>K-Järve 3. MV</t>
  </si>
  <si>
    <t>K-Järve 1. MV</t>
  </si>
  <si>
    <t>K-Järve 1. KV 1. etapp</t>
  </si>
  <si>
    <t>K-Järve 1. KV 2. etapp</t>
  </si>
  <si>
    <t>K-Nõmme 1. MV</t>
  </si>
  <si>
    <t>K-Järve 1. KV 3. etapp</t>
  </si>
  <si>
    <t>K-Järve 1. KV 4. etapp</t>
  </si>
  <si>
    <t>Jõhvi 2. MV</t>
  </si>
  <si>
    <t>Medaleid</t>
  </si>
  <si>
    <t>Võite</t>
  </si>
  <si>
    <t>N</t>
  </si>
  <si>
    <t>Nimi</t>
  </si>
  <si>
    <t>K</t>
  </si>
  <si>
    <t>*</t>
  </si>
  <si>
    <t>**</t>
  </si>
  <si>
    <t>***</t>
  </si>
  <si>
    <t>Tõnu Kapper</t>
  </si>
  <si>
    <t>Lemmit Toomra</t>
  </si>
  <si>
    <t>Peeter Lüdig (Türi)</t>
  </si>
  <si>
    <t>Hillar Neiland</t>
  </si>
  <si>
    <t>Linda Ilmjärv (Paide)</t>
  </si>
  <si>
    <t>Enno Konsa</t>
  </si>
  <si>
    <t>Matti Kämärä</t>
  </si>
  <si>
    <t>Kalle Orro</t>
  </si>
  <si>
    <t>Rene Kundla</t>
  </si>
  <si>
    <t>Mait Metsla</t>
  </si>
  <si>
    <t>Aivar Metsar</t>
  </si>
  <si>
    <t>German Terehhov</t>
  </si>
  <si>
    <t>Alari Keedus</t>
  </si>
  <si>
    <t>Hannes Konsa</t>
  </si>
  <si>
    <t>Aigi Orro</t>
  </si>
  <si>
    <t>Johannes Neiland</t>
  </si>
  <si>
    <t>Urmas Jõeäär</t>
  </si>
  <si>
    <t>Leonid Sbitnev</t>
  </si>
  <si>
    <t>Elon Mäetaga</t>
  </si>
  <si>
    <t>Annika Neiland</t>
  </si>
  <si>
    <t>Tõnu Kortel</t>
  </si>
  <si>
    <t>Elmo Lageda</t>
  </si>
  <si>
    <t>Janek Kiisk (Tallinna Kentaur)</t>
  </si>
  <si>
    <t>Einar Juhkam</t>
  </si>
  <si>
    <t>Oleg Frolov</t>
  </si>
  <si>
    <t>Osalejaid</t>
  </si>
  <si>
    <t>Ivar Viljaste</t>
  </si>
  <si>
    <t>Daavi Unus</t>
  </si>
  <si>
    <t>Matti Vinni</t>
  </si>
  <si>
    <t>Andres Veski</t>
  </si>
  <si>
    <t>Jaanus Külmhallik</t>
  </si>
  <si>
    <t>Merilin Neiland</t>
  </si>
  <si>
    <t>Annemar Neiland</t>
  </si>
  <si>
    <t>Karla Purgats</t>
  </si>
  <si>
    <t>Valentin Strelkov</t>
  </si>
  <si>
    <t>Sirje Viljaste</t>
  </si>
  <si>
    <t>Ivi Külmhallik</t>
  </si>
  <si>
    <t>Marko Konsa</t>
  </si>
  <si>
    <t>Kaupo Konsa</t>
  </si>
  <si>
    <t>Hugo Müüdla</t>
  </si>
  <si>
    <t>Tõnis Neiland</t>
  </si>
  <si>
    <t>Ants Aaver</t>
  </si>
  <si>
    <t>Siim Sass</t>
  </si>
  <si>
    <t>Vladimir Vesselov</t>
  </si>
  <si>
    <t>Valeri Orešnikov</t>
  </si>
  <si>
    <t>Boriss Klubov</t>
  </si>
  <si>
    <t>Diana Berg</t>
  </si>
  <si>
    <t>Eve Müüdla</t>
  </si>
  <si>
    <t>Ilmar Taluste</t>
  </si>
  <si>
    <t>Ivar Rooma</t>
  </si>
  <si>
    <t>Udaltsov</t>
  </si>
  <si>
    <t>Maksim Ivantsov</t>
  </si>
  <si>
    <t>Edgar Jalonen</t>
  </si>
  <si>
    <t>Dmitri Oinas</t>
  </si>
  <si>
    <t>Anton Stanislavov</t>
  </si>
  <si>
    <t>Anton Tšiževski</t>
  </si>
  <si>
    <t>Vladimir Tšiževski</t>
  </si>
  <si>
    <t>Madis Linnard</t>
  </si>
  <si>
    <t>Priit Linnard</t>
  </si>
  <si>
    <t>Siim Linnard</t>
  </si>
  <si>
    <t>Kalev Pärt</t>
  </si>
  <si>
    <t>Indrek Saluvee</t>
  </si>
  <si>
    <t>Priit Kaldvee</t>
  </si>
  <si>
    <t>Jaanis Kert</t>
  </si>
  <si>
    <t>Hristo Neiland</t>
  </si>
  <si>
    <t>Tiia Linnard</t>
  </si>
  <si>
    <t>Mark Ridal</t>
  </si>
  <si>
    <t>Taivo Porval</t>
  </si>
  <si>
    <t>Tarmo Niinepuu</t>
  </si>
  <si>
    <t>Rainer Punga</t>
  </si>
  <si>
    <t>Andrus Virumäe</t>
  </si>
  <si>
    <t>Toivo Hüvanen</t>
  </si>
  <si>
    <t>Marek Pragi</t>
  </si>
  <si>
    <t>Dmitri Dralov</t>
  </si>
  <si>
    <t>Eno Noorsalu</t>
  </si>
  <si>
    <t>Martin Rooden</t>
  </si>
  <si>
    <t>Madis Sootalu</t>
  </si>
  <si>
    <t>Martti Metsla</t>
  </si>
  <si>
    <t>Karolin Kaivoja</t>
  </si>
  <si>
    <t>Maarja Sillat</t>
  </si>
  <si>
    <t>Timo Torm</t>
  </si>
  <si>
    <t>Joonas Sillat</t>
  </si>
  <si>
    <t>Toomas Aul</t>
  </si>
  <si>
    <t>Alar Pärn</t>
  </si>
  <si>
    <t>Richard Siil</t>
  </si>
  <si>
    <t>Timo Talver</t>
  </si>
  <si>
    <t>Maie Lageda</t>
  </si>
  <si>
    <t>Ardo Pinna</t>
  </si>
  <si>
    <t>Siim Valk</t>
  </si>
  <si>
    <t>Andres Tommula (Jõhvi)</t>
  </si>
  <si>
    <t xml:space="preserve"> </t>
  </si>
  <si>
    <t>Karel Prave (Jõhvi)</t>
  </si>
  <si>
    <t>Ragnar Jõeäär</t>
  </si>
  <si>
    <t>Janno Kasemaa</t>
  </si>
  <si>
    <t>Andrus Kurs</t>
  </si>
  <si>
    <t>Mart Ladoga</t>
  </si>
  <si>
    <t>Allen Allet</t>
  </si>
  <si>
    <t>Merle Liiv</t>
  </si>
  <si>
    <t>Kalev Liiv</t>
  </si>
  <si>
    <t>Natalja Metslova</t>
  </si>
  <si>
    <t>Veronika Novikova</t>
  </si>
  <si>
    <t>Hagbard Räis</t>
  </si>
  <si>
    <t>Urmo Selliov</t>
  </si>
  <si>
    <t>Tõnu Raidma</t>
  </si>
  <si>
    <t>Ille Meiers</t>
  </si>
  <si>
    <t>Kersti Raja</t>
  </si>
  <si>
    <t>Epp Kroon</t>
  </si>
  <si>
    <t>Sven Aager</t>
  </si>
  <si>
    <t>Marko Lipstok (Kallavere)</t>
  </si>
  <si>
    <t>Priit Sternhof</t>
  </si>
  <si>
    <t>Kulno Lehismets</t>
  </si>
  <si>
    <t>Andrus Lehismets</t>
  </si>
  <si>
    <t>Mikk Kirsimaa</t>
  </si>
  <si>
    <t>Rauno Rihter</t>
  </si>
  <si>
    <t>Tarvo Kelder</t>
  </si>
  <si>
    <t>Meelis Uustalu</t>
  </si>
  <si>
    <t>Tarmo Bombe</t>
  </si>
  <si>
    <t>Kalle Mendes</t>
  </si>
  <si>
    <t>Tanel Pilsas</t>
  </si>
  <si>
    <t>Osalejaid kokku</t>
  </si>
  <si>
    <t>Võistkondi</t>
  </si>
  <si>
    <t>KOHTLA-JÄRVE 1. KARIKAVÕISTLUSTE JUHEND</t>
  </si>
  <si>
    <r>
      <t>Algusajad:</t>
    </r>
    <r>
      <rPr>
        <sz val="10"/>
        <color indexed="8"/>
        <rFont val="Arial"/>
        <family val="2"/>
        <charset val="186"/>
      </rPr>
      <t xml:space="preserve"> etapid algavad kell 18 (va 4. etapp, mis algab kell 10). </t>
    </r>
  </si>
  <si>
    <r>
      <t xml:space="preserve">Registreerimine: </t>
    </r>
    <r>
      <rPr>
        <sz val="10"/>
        <color indexed="8"/>
        <rFont val="Arial"/>
        <family val="2"/>
        <charset val="186"/>
      </rPr>
      <t>algab pool tundi enne iga etapi algust.</t>
    </r>
  </si>
  <si>
    <t xml:space="preserve">Etappide ajad: </t>
  </si>
  <si>
    <t xml:space="preserve">1. etapp </t>
  </si>
  <si>
    <t>04. juuni</t>
  </si>
  <si>
    <t xml:space="preserve">üksikmäng </t>
  </si>
  <si>
    <t xml:space="preserve">2. etapp </t>
  </si>
  <si>
    <t>18. juuni</t>
  </si>
  <si>
    <t xml:space="preserve">paarismäng </t>
  </si>
  <si>
    <t xml:space="preserve">3. etapp </t>
  </si>
  <si>
    <t>06. aug</t>
  </si>
  <si>
    <t xml:space="preserve">trio </t>
  </si>
  <si>
    <t xml:space="preserve">4. etapp </t>
  </si>
  <si>
    <t>20. aug</t>
  </si>
  <si>
    <t>üksikmäng</t>
  </si>
  <si>
    <r>
      <t>Etapi süsteem:</t>
    </r>
    <r>
      <rPr>
        <sz val="10"/>
        <color indexed="8"/>
        <rFont val="Arial"/>
        <family val="2"/>
        <charset val="186"/>
      </rPr>
      <t xml:space="preserve"> selgub pärast registreerimist, üks mängija/võistkond peab etapil saama vähemalt kolm mängu.</t>
    </r>
  </si>
  <si>
    <t>Mängijate/võistkondade tabelitesse panemisel arvestatakse kohti Ida-Virumaa reitingutabelis.</t>
  </si>
  <si>
    <r>
      <t xml:space="preserve">Punktisüsteem: </t>
    </r>
    <r>
      <rPr>
        <sz val="10"/>
        <color indexed="8"/>
        <rFont val="Arial"/>
        <family val="2"/>
        <charset val="186"/>
      </rPr>
      <t xml:space="preserve">punkte arvestatakse vastavalt Eesti petangikarikavõistluste punktisüsteemile ja arvesse lähevad kõigi karikavõistluste etappide tulemused. </t>
    </r>
  </si>
  <si>
    <t xml:space="preserve">1. koht 40 p </t>
  </si>
  <si>
    <t>5. koht 24 p</t>
  </si>
  <si>
    <t>9. koht 16 p</t>
  </si>
  <si>
    <t>13. koht 8 p</t>
  </si>
  <si>
    <t xml:space="preserve">2. koht 34 p </t>
  </si>
  <si>
    <t xml:space="preserve">6. koht 22 p </t>
  </si>
  <si>
    <t>10. koht 14 p</t>
  </si>
  <si>
    <t>14. koht 6 p</t>
  </si>
  <si>
    <t xml:space="preserve">3. koht 30 p </t>
  </si>
  <si>
    <t xml:space="preserve">7. koht 20 p </t>
  </si>
  <si>
    <t xml:space="preserve">11. koht 12 p </t>
  </si>
  <si>
    <t xml:space="preserve">15. koht 4 p </t>
  </si>
  <si>
    <t>4. koht 26 p</t>
  </si>
  <si>
    <t>8. koht 18 p</t>
  </si>
  <si>
    <t xml:space="preserve">12. koht 10 p </t>
  </si>
  <si>
    <t xml:space="preserve">16. koht 2 p </t>
  </si>
  <si>
    <t>Kõikide etappide kohad lähevad arvesse ka Ida-Virumaa reitingutabelisse.</t>
  </si>
  <si>
    <r>
      <t xml:space="preserve">Osavõtumaks: </t>
    </r>
    <r>
      <rPr>
        <sz val="10"/>
        <color indexed="8"/>
        <rFont val="Arial"/>
        <family val="2"/>
        <charset val="186"/>
      </rPr>
      <t>25 krooni mängija kohta.</t>
    </r>
  </si>
  <si>
    <t>Juhul kui võistkond/mängija annab loobumiskaotuse, peab järgmisel korral mängija/iga võistkonna liige maksma iga loobutud mängu kohta 5 krooni trahvi.</t>
  </si>
  <si>
    <t>Karikavõistluste kokkuvõttes kolme paremat nais- ja meespetankerit autasustatakse diplomiga, parima üldsumma kogunud mängija saab karika.</t>
  </si>
  <si>
    <t>Võrdsete punktide korral otsustab kõrgem koht viimasel etapil.</t>
  </si>
  <si>
    <r>
      <t xml:space="preserve">Korraldaja: </t>
    </r>
    <r>
      <rPr>
        <sz val="10"/>
        <color indexed="8"/>
        <rFont val="Arial"/>
        <family val="2"/>
        <charset val="186"/>
      </rPr>
      <t>Kohtla-Järve spordihuviklubi.</t>
    </r>
  </si>
  <si>
    <r>
      <t>Info:</t>
    </r>
    <r>
      <rPr>
        <sz val="10"/>
        <color indexed="8"/>
        <rFont val="Arial"/>
        <family val="2"/>
        <charset val="186"/>
      </rPr>
      <t xml:space="preserve"> Ilmar Taluste (033) 54 381, Rene Kundla (050) 22 860</t>
    </r>
    <r>
      <rPr>
        <b/>
        <sz val="10"/>
        <color indexed="8"/>
        <rFont val="Arial"/>
        <family val="2"/>
        <charset val="186"/>
      </rPr>
      <t>.</t>
    </r>
  </si>
  <si>
    <t xml:space="preserve">Türi </t>
  </si>
  <si>
    <t xml:space="preserve">Paide </t>
  </si>
  <si>
    <t xml:space="preserve">LTK Üks-Teist </t>
  </si>
  <si>
    <t xml:space="preserve">SK Axel </t>
  </si>
  <si>
    <t xml:space="preserve">Põhjarannik </t>
  </si>
  <si>
    <t xml:space="preserve">SVK </t>
  </si>
  <si>
    <t xml:space="preserve">  </t>
  </si>
  <si>
    <t xml:space="preserve">SHK </t>
  </si>
  <si>
    <t xml:space="preserve">NK Iljem </t>
  </si>
  <si>
    <t xml:space="preserve">Kallavere </t>
  </si>
  <si>
    <t>Tõnu Kapper (LTK Üks-Teist) 13:12</t>
  </si>
  <si>
    <t>Leonid Sbitnev (Kohtla-Järve SHK)</t>
  </si>
  <si>
    <t>Rene Kundla (SK Põhjarannik)</t>
  </si>
  <si>
    <t>German Terehhov (Kohtla-Järve SVK)</t>
  </si>
  <si>
    <t>Oleg Frolov (Kohtla-Järve SVK)</t>
  </si>
  <si>
    <t>Alari Keedus (SK Põhjarannik)</t>
  </si>
  <si>
    <t>Vladimir Vesselov (Kohtla-Järve SVK)</t>
  </si>
  <si>
    <t>Valeri Orešnikov (Viru SK)</t>
  </si>
  <si>
    <t>Boriss Klubov (Kohtla-Järve SVK)</t>
  </si>
  <si>
    <t>A</t>
  </si>
  <si>
    <t>V-K</t>
  </si>
  <si>
    <t>Lemmit Toomra, Tõnu Kapper (Jõhvi LTK Üks-Teist)</t>
  </si>
  <si>
    <t>3-0</t>
  </si>
  <si>
    <t>21:7</t>
  </si>
  <si>
    <t>I</t>
  </si>
  <si>
    <t>Annika Neiland, Hillar Neiland (Neiland)</t>
  </si>
  <si>
    <t>2-1</t>
  </si>
  <si>
    <t>16:12</t>
  </si>
  <si>
    <t>II</t>
  </si>
  <si>
    <t>Eve Müüdla, Hugo Müüdla (Õnne)</t>
  </si>
  <si>
    <t>0-3</t>
  </si>
  <si>
    <t>4:21</t>
  </si>
  <si>
    <t>IV</t>
  </si>
  <si>
    <t>Ilmar Taluste, Tõnu Kortel (Kohtla-Järve SHK)</t>
  </si>
  <si>
    <t>1-2</t>
  </si>
  <si>
    <t>15:16</t>
  </si>
  <si>
    <t>III</t>
  </si>
  <si>
    <t>B</t>
  </si>
  <si>
    <t>Aivar Metsar, Matti Kämärä (Oss-Wilbu)</t>
  </si>
  <si>
    <t>21:10</t>
  </si>
  <si>
    <t>German Terehhov, Oleg Frolov (Kohtla-Järve SVK II)</t>
  </si>
  <si>
    <t>20:10</t>
  </si>
  <si>
    <t>Boriss Klubov, Vladimir Vesselov (Kohtla-Järve SVK I)</t>
  </si>
  <si>
    <t>7:18</t>
  </si>
  <si>
    <t>Diana Berg, Rene Kundla (SK Põhjarannik)</t>
  </si>
  <si>
    <t>11:21</t>
  </si>
  <si>
    <t>1. voor</t>
  </si>
  <si>
    <t>1-4</t>
  </si>
  <si>
    <t>2-3</t>
  </si>
  <si>
    <t>2. voor</t>
  </si>
  <si>
    <t>1-3</t>
  </si>
  <si>
    <t>2-4</t>
  </si>
  <si>
    <t>3. voor</t>
  </si>
  <si>
    <t>3-4</t>
  </si>
  <si>
    <t>A1</t>
  </si>
  <si>
    <t>B2</t>
  </si>
  <si>
    <t>B1</t>
  </si>
  <si>
    <t>A2</t>
  </si>
  <si>
    <t>4. koht</t>
  </si>
  <si>
    <t>A3</t>
  </si>
  <si>
    <t>B4</t>
  </si>
  <si>
    <t>B3</t>
  </si>
  <si>
    <t>5. koht</t>
  </si>
  <si>
    <t>A4</t>
  </si>
  <si>
    <t>6. koht</t>
  </si>
  <si>
    <t>7. koht</t>
  </si>
  <si>
    <t>8. koht</t>
  </si>
  <si>
    <t>Aivar Metsar, Ilmar Taluste, Matti Kämärä (Aizakell)</t>
  </si>
  <si>
    <t>2-0</t>
  </si>
  <si>
    <t>Alari Keedus, Diana Berg, Rene Kundla (SK Põhjarannik)</t>
  </si>
  <si>
    <t>0-2</t>
  </si>
  <si>
    <t>Dmitri Oinas, Edgar Jalonen, Maksim Ivantsov (Kohtla-Järve SVK II)</t>
  </si>
  <si>
    <t>1-1</t>
  </si>
  <si>
    <t>Enno Konsa, Lemmit Toomra, Tõnu Kapper (Jõhvi LTK Üks-Teist)</t>
  </si>
  <si>
    <t>Anton Stanislavov, Anton Tšiževski, Vladimir Tšiževski (Kohtla-Järve SVK III)</t>
  </si>
  <si>
    <t>Boriss Klubov, Vladimir Vesselov, Udaltsov (Kohtla-Järve SVK I)</t>
  </si>
  <si>
    <t>C</t>
  </si>
  <si>
    <t>Annika Neiland, Hillar Neiland, Ivar Rooma (Laadur)</t>
  </si>
  <si>
    <t>Madis Linnard, Priit Linnard, Siim Linnard (Kiikla)</t>
  </si>
  <si>
    <t>German Terehhov, Leonid Sbitnev, Tõnu Kortel (Kohtla-Järve SVK, SHK)</t>
  </si>
  <si>
    <t>1-3 koht</t>
  </si>
  <si>
    <t>4-6 koht</t>
  </si>
  <si>
    <t>7-9 koht</t>
  </si>
  <si>
    <t xml:space="preserve">Osavõtumaks 25 krooni, osavõtumaksust moodustus auhinnafond, mis jagunes kolme parema mängija vahel. </t>
  </si>
  <si>
    <t>Tõnu Kapper (LTK Üks-Teist)</t>
  </si>
  <si>
    <t>3-1</t>
  </si>
  <si>
    <t>Peeter Lüdig (Järvamaa bridžiselts/Türi)</t>
  </si>
  <si>
    <t>4-0</t>
  </si>
  <si>
    <t>Ilmar Taluste (SHK)</t>
  </si>
  <si>
    <t>0-4</t>
  </si>
  <si>
    <t>V</t>
  </si>
  <si>
    <t>Aivar Metsar (Põhjarannik)</t>
  </si>
  <si>
    <t>2-2</t>
  </si>
  <si>
    <t>Lemmit Toomra (LTK Üks-Teist)</t>
  </si>
  <si>
    <t>Boriss Klubov (SVK)</t>
  </si>
  <si>
    <t>Matti Kämärä (Põhjarannik)</t>
  </si>
  <si>
    <t>Vladimir Vesselov (SVK)</t>
  </si>
  <si>
    <t>+3</t>
  </si>
  <si>
    <t>German Terehhov (SVK)</t>
  </si>
  <si>
    <t>-4</t>
  </si>
  <si>
    <t>Rene Kundla (Põhjarannik)</t>
  </si>
  <si>
    <t>+1</t>
  </si>
  <si>
    <t>Oleg Frolov (SVK)</t>
  </si>
  <si>
    <t>D</t>
  </si>
  <si>
    <t>Hillar Neiland (SK Axel)</t>
  </si>
  <si>
    <t>Enno Konsa (LTK Üks-Teist)</t>
  </si>
  <si>
    <t>Alari Keedus (Põhjarannik)</t>
  </si>
  <si>
    <t>1-5</t>
  </si>
  <si>
    <t>4-5</t>
  </si>
  <si>
    <t>2-5</t>
  </si>
  <si>
    <t>4. voor</t>
  </si>
  <si>
    <t>3-5</t>
  </si>
  <si>
    <t>5. voor</t>
  </si>
  <si>
    <t>1-4 koht</t>
  </si>
  <si>
    <t>Peeter Lüdig (Järvamaa bridžiselts / Türi)</t>
  </si>
  <si>
    <t>5-8 koht</t>
  </si>
  <si>
    <t xml:space="preserve">Iga kohtumine kestab seni, kuni üks mängija kogub 11 punkti. </t>
  </si>
  <si>
    <t xml:space="preserve">Peale üldvõitja selgitatakse välja ka parim naismängija ja parim alla 15aastane noor. </t>
  </si>
  <si>
    <t>Medalimängud</t>
  </si>
  <si>
    <t>Lemmit Toomra (Jõhvi LTK Üks-Teist)</t>
  </si>
  <si>
    <t>Hillar Neiland (Jõhvi)</t>
  </si>
  <si>
    <t>Kalle Orro (Kohtla-Järve)</t>
  </si>
  <si>
    <t>Matti Kämärä (Jõhvi Põhjarannik)</t>
  </si>
  <si>
    <t>Parim naine</t>
  </si>
  <si>
    <t>Rene Kundla (Kohtla-Järve Põhjarannik)</t>
  </si>
  <si>
    <t>Aivar Metsar (Kohtla-Järve Põjarannik)</t>
  </si>
  <si>
    <t>Enno Konsa (Jõhvi Üks-Teist)</t>
  </si>
  <si>
    <t>Alari Keedus (Jõhvi Põhjarannik)</t>
  </si>
  <si>
    <t>Tõnu Kortel (Kohtla-Järve)</t>
  </si>
  <si>
    <t>Tõnu Kapper (Jõhvi LTK Üks-Teist)</t>
  </si>
  <si>
    <t>Parim poiss</t>
  </si>
  <si>
    <t>Annemar Neiland (Jõhvi)</t>
  </si>
  <si>
    <t>Parim tüdruk</t>
  </si>
  <si>
    <t>Hristo Neiland (Jõhvi)</t>
  </si>
  <si>
    <t>Osavõtumaks 50 krooni võistkonna kohta, osavõtumaksudest moodustuv auhinnafond jaguneb kolme parema võistkonna vahel.</t>
  </si>
  <si>
    <t>Eelvoorud puudu</t>
  </si>
  <si>
    <t>1 - 8 koht</t>
  </si>
  <si>
    <t>Aigi Orro, Kalle Orro</t>
  </si>
  <si>
    <t>Linda Ilmjärv, Peeter Lüdig</t>
  </si>
  <si>
    <t>Boriss Klubov, German Terehhov (Kohtla-Järve SVK)</t>
  </si>
  <si>
    <t>9 - 12 koht</t>
  </si>
  <si>
    <t>Elmo Lageda, Taivo Porval</t>
  </si>
  <si>
    <t>Diana Berg, Rene Kundla (Põhjarannik)</t>
  </si>
  <si>
    <t>Enno Konsa, Hillar Neiland</t>
  </si>
  <si>
    <t>Tarmo Niinepuu, Rainer Punga</t>
  </si>
  <si>
    <r>
      <t>Osavõtumaksu ei ole. Auhinnad Kohtla kaevanduspark-muuseumilt kolmele paremale võistkonnale</t>
    </r>
    <r>
      <rPr>
        <b/>
        <i/>
        <sz val="10"/>
        <color indexed="8"/>
        <rFont val="Arial"/>
        <family val="2"/>
        <charset val="186"/>
      </rPr>
      <t>.</t>
    </r>
    <r>
      <rPr>
        <i/>
        <sz val="10"/>
        <color indexed="8"/>
        <rFont val="Arial"/>
        <family val="2"/>
        <charset val="186"/>
      </rPr>
      <t xml:space="preserve"> Lisainfo (052) 64 863 (Jaak Rooden).</t>
    </r>
  </si>
  <si>
    <t>Marek Pragi, Dmitri Dralov (Kohtla-Nõmme)</t>
  </si>
  <si>
    <t>Eve Müüdla, Hugo Müüdla (Jõhvi)</t>
  </si>
  <si>
    <t>Mait Metsla, Andrus Virumäe (Kohtla-Nõmme)</t>
  </si>
  <si>
    <t>Elmo Lageda, Taivo Porval (Kohtla-Järve)</t>
  </si>
  <si>
    <t>Alari Keedus, Rene Kundla (Kohtla-Järve Põhjarannik)</t>
  </si>
  <si>
    <t>Hillar Neiland, Enno Konsa (Jõhvi)</t>
  </si>
  <si>
    <t>Madis Sootalu, Martti Metsla (Kohtla-Nõmme)</t>
  </si>
  <si>
    <t>Aigi Orro, Kalle Orro (Kohtla-Järve)</t>
  </si>
  <si>
    <t>Matti Kämärä, Aivar Metsar (Kohtla-Järve Põhjarannik)</t>
  </si>
  <si>
    <t>Eno Noorsalu, Martin Rooden (Kohtla-Nõmme)</t>
  </si>
  <si>
    <t>13 - 16 koht</t>
  </si>
  <si>
    <t>Timo Torm, Joonas Sillat (Kohtla-Nõmme)</t>
  </si>
  <si>
    <t>Toomas Aul, Alar Pärn (Kohtla-Nõmme)</t>
  </si>
  <si>
    <t>Richard Siil, Timo Talver (Kohtla-Nõmme)</t>
  </si>
  <si>
    <t>Karolin Kaivoja, Maarja Sillat (Kohtla-Nõmme)</t>
  </si>
  <si>
    <t>Iga kohtumine kestab seni, kuni üks võistkond kogub 11 punkti.</t>
  </si>
  <si>
    <t>Boriss Klubov, German Terehhov (SVK, Kohtla-Järve)</t>
  </si>
  <si>
    <t>Enno Konsa, Hannes Konsa (LTK Üks-Teist, Jõhvi)</t>
  </si>
  <si>
    <t>Alari Keedus, Rene Kundla (Põhjarannik, Kohtla-Järve)</t>
  </si>
  <si>
    <t>Kaupo Konsa, Marko Konsa (Jõhvi)</t>
  </si>
  <si>
    <t>9-12 koht</t>
  </si>
  <si>
    <t>Maie Lageda, Elmo Lageda (Kohtla-Järve)</t>
  </si>
  <si>
    <t>9. koht</t>
  </si>
  <si>
    <t>10. koht</t>
  </si>
  <si>
    <t>Ardo Pinna, Siim Valk (Jõhvi)</t>
  </si>
  <si>
    <t>Andres Tommula, Karel Prave (Jõhvi)</t>
  </si>
  <si>
    <t>11. koht</t>
  </si>
  <si>
    <t>12. koht</t>
  </si>
  <si>
    <t>Merilin Neiland, Tõnis Neiland</t>
  </si>
  <si>
    <t>Võistluspäeval võistlustabelisse lisamine vaid vabade kohtade olemasolul.</t>
  </si>
  <si>
    <t>Urmas Jõeäär (11-6)</t>
  </si>
  <si>
    <t>7-8</t>
  </si>
  <si>
    <t>9-12</t>
  </si>
  <si>
    <t>13-16</t>
  </si>
  <si>
    <t>17-24</t>
  </si>
  <si>
    <t>13. koht</t>
  </si>
  <si>
    <t>14. koht</t>
  </si>
  <si>
    <t>15. koht</t>
  </si>
  <si>
    <t>16. koht</t>
  </si>
  <si>
    <t>17. koht</t>
  </si>
  <si>
    <t>18. koht</t>
  </si>
  <si>
    <t>Mait Metsla (Kohtla-Nõmme)</t>
  </si>
  <si>
    <t>Daavi Unus (NK Iljem)</t>
  </si>
  <si>
    <t>Ivar Viljaste (Jõhvi)</t>
  </si>
  <si>
    <t>Mart Ladoga (NK Iljem)</t>
  </si>
  <si>
    <t>Natalja Metslova (Jõhvi)</t>
  </si>
  <si>
    <t>Siim Sass (NK Iljem)</t>
  </si>
  <si>
    <t>Merilin Neiland (Voka)</t>
  </si>
  <si>
    <t xml:space="preserve">Osavõtumaks 75 krooni võistkonna kohta, </t>
  </si>
  <si>
    <t>osavõtumaksudest moodustuv auhinnafond jaguneb kolme parema võistkonna vahel.</t>
  </si>
  <si>
    <t>+5</t>
  </si>
  <si>
    <t>-3</t>
  </si>
  <si>
    <t>-2</t>
  </si>
  <si>
    <t>Aigi Orro, Kalle Orro, Taivo Porval</t>
  </si>
  <si>
    <t>Annika Neiland, Hillar Neiland, Ivar Rooma</t>
  </si>
  <si>
    <t>Aivar Metsar, Hagbard Räis, Matti Kämärä</t>
  </si>
  <si>
    <t>10-11 koht</t>
  </si>
  <si>
    <t>Mart Ladoga, Allen Allet, Urmo Selliov</t>
  </si>
  <si>
    <t>Tõnu Raidma, Elmo Lageda, Ilmar Taluste</t>
  </si>
  <si>
    <t>Lemmit Toomra, Tõnu Kapper</t>
  </si>
  <si>
    <t>Alari Keedus, Rene Kundla</t>
  </si>
  <si>
    <t>Aivar Metsar, Matti Kämärä</t>
  </si>
  <si>
    <t>Ants Aaver, Daavi Unus</t>
  </si>
  <si>
    <t>10-12 koht</t>
  </si>
  <si>
    <t>Annemar Neiland, Tõnis Neiland</t>
  </si>
  <si>
    <t>Enno Konsa, Hannes Konsa</t>
  </si>
  <si>
    <t>13-15 koht</t>
  </si>
  <si>
    <t>Hugo Müüdla, Tõnu Kortel</t>
  </si>
  <si>
    <t>Hillar Neiland, Hristo Neiland</t>
  </si>
  <si>
    <t>Natalja Metslova, Ille Meiers</t>
  </si>
  <si>
    <t>Ivi Külmhallik, Jaanus Külmhallik</t>
  </si>
  <si>
    <t>Kersti Raja, Epp Kroon</t>
  </si>
  <si>
    <t xml:space="preserve">Osavõtumaks 25 krooni mängija kohta, </t>
  </si>
  <si>
    <t>osavõtumaksudest moodustuv auhinnafond jaguneb kolme parema võistleja vahel.</t>
  </si>
  <si>
    <t>Sven Aager (Kohtla-Järve)</t>
  </si>
  <si>
    <t>Ilmar Taluste (Kohtla-Järve SVK)</t>
  </si>
  <si>
    <t>Elmo Lageda (Kohtla-Järve)</t>
  </si>
  <si>
    <t>Alari Keedus (Põhjarannik, Jõhvi)</t>
  </si>
  <si>
    <t>+8</t>
  </si>
  <si>
    <t>Aigi Orro (Kohtla-Järve)</t>
  </si>
  <si>
    <t>Rene Kundla (Põhjarannik, Kohtla-Järve)</t>
  </si>
  <si>
    <t>E</t>
  </si>
  <si>
    <t>Aivar Metsar (Põhjarannik, Kohtla-Järve)</t>
  </si>
  <si>
    <t>Enno Konsa (Jõhvi LTK Üks-Teist)</t>
  </si>
  <si>
    <t>Ivar Viljaste (NK Iljem)</t>
  </si>
  <si>
    <t>F</t>
  </si>
  <si>
    <t>Matti Kämärä (Põhjarannik, Jõhvi)</t>
  </si>
  <si>
    <t>1 - 4 koht</t>
  </si>
  <si>
    <t>F1</t>
  </si>
  <si>
    <t>C3</t>
  </si>
  <si>
    <t>F2</t>
  </si>
  <si>
    <t>D2</t>
  </si>
  <si>
    <t>E1</t>
  </si>
  <si>
    <t>D3</t>
  </si>
  <si>
    <t>C2</t>
  </si>
  <si>
    <t>C1</t>
  </si>
  <si>
    <t>F3</t>
  </si>
  <si>
    <t>D1</t>
  </si>
  <si>
    <t>E2</t>
  </si>
  <si>
    <t>5 - 8 koht</t>
  </si>
  <si>
    <t>9 - 16 koht</t>
  </si>
  <si>
    <t>-</t>
  </si>
  <si>
    <t>+</t>
  </si>
  <si>
    <t>Tõnu Kapper, Enno Konsa, Lemmit Toomra (Üks-Teist)</t>
  </si>
  <si>
    <t>Annemar Neiland, Hillar Neiland, Rene Kundla (Laadur)</t>
  </si>
  <si>
    <t>+2</t>
  </si>
  <si>
    <t>0</t>
  </si>
  <si>
    <t>Aigi Orro, Kalle Orro, Siim Sass (Orro)</t>
  </si>
  <si>
    <t>Finaalturniirile võeti kaasa omavaheliste alagrupimängude tulemused.</t>
  </si>
  <si>
    <t>1-6 koht</t>
  </si>
  <si>
    <t>-5</t>
  </si>
  <si>
    <t>3-2</t>
  </si>
  <si>
    <t>VI</t>
  </si>
  <si>
    <t>-8</t>
  </si>
  <si>
    <t>4-1</t>
  </si>
  <si>
    <t>1-6</t>
  </si>
  <si>
    <t>3-6</t>
  </si>
  <si>
    <t>5-6</t>
  </si>
  <si>
    <t>2-6</t>
  </si>
  <si>
    <t>Naistele ja noortele oli eraldi võistlus.</t>
  </si>
  <si>
    <t>Meeste turniiri (mängiti 2miinuse süsteemis)</t>
  </si>
  <si>
    <t>Annika Neland</t>
  </si>
  <si>
    <t>Ivar Viljaste (Jõhvi NK Iljem)</t>
  </si>
  <si>
    <t>Valentin Strelkov (Jõhvi)</t>
  </si>
  <si>
    <t>Hugo Müüdla (Jõhvi vald)</t>
  </si>
  <si>
    <t>Iga kohtumine kestab seni, kuni üks võistkond kogub 11 punkti</t>
  </si>
  <si>
    <t>Enno Konsa, Hannes Konsa (LTK Üks-Teist)</t>
  </si>
  <si>
    <t>German Terehhov, Tõnu Kortel</t>
  </si>
  <si>
    <t>Andres Veski, Matti Vinni (Iisaku, Toila)</t>
  </si>
  <si>
    <t>Lemmit Toomra, Tõnu Kapper (LTK Üks-Teist)</t>
  </si>
  <si>
    <t>Elmo Lageda, Jaanus Külmhallik</t>
  </si>
  <si>
    <t>Alari Keedus, Rene Kundla (Põhjarannik)</t>
  </si>
  <si>
    <t>Annemar Neiland, Annika Neiland (Jõhvi)</t>
  </si>
  <si>
    <t>Karla Purgats, Valentin Strelkov</t>
  </si>
  <si>
    <t>Aivar Metsar, Matti Kämärä (Põhjarannik)</t>
  </si>
  <si>
    <t>Ivi Külmhallik, Sirje Viljaste</t>
  </si>
  <si>
    <t>Kaupo Konsa, Marko Konsa</t>
  </si>
  <si>
    <t>Merlin Neiland</t>
  </si>
  <si>
    <t>9 - 15 koht</t>
  </si>
  <si>
    <t>9 - 19 koht</t>
  </si>
  <si>
    <t>Kohtla-Nõmme</t>
  </si>
  <si>
    <t>Voka</t>
  </si>
  <si>
    <t>Kohtla-Järve</t>
  </si>
  <si>
    <t>Jõhvi vald</t>
  </si>
  <si>
    <t>NK Iljem</t>
  </si>
  <si>
    <t>Johannes Neiland (Voka)</t>
  </si>
  <si>
    <t>Johannes Neiland, Mark Ridal</t>
  </si>
  <si>
    <t>Johannes Neiland, Toivo Hüvanen (Voka)</t>
  </si>
  <si>
    <t>Hillar Neiland, Johannes Neiland (Jõhvi, Voka)</t>
  </si>
  <si>
    <t xml:space="preserve">Lisainfo (033) 98 408 (Johannes Neiland), sel telefonil toimub ka eelregistreerimine kuni 26. juuni kella 17ni. </t>
  </si>
  <si>
    <t>Hillar Neiland, Johannes Neiland, Merilin Neiland (Mõmmi)</t>
  </si>
  <si>
    <t>Daavi Unus, Ivar Viljaste (NK Iljem)</t>
  </si>
  <si>
    <t>Elon Mäetaga, Mait Metsla (Kohtla-Nõmme)</t>
  </si>
  <si>
    <t>Johannes Neiland, Merilin Neiland (Voka)</t>
  </si>
  <si>
    <t>Elon Mäetaga, Jaanus Külmhallik, Mait Metsla (Kohtla-Nõmme)</t>
  </si>
  <si>
    <t>Hugo Müüdla, Karla Purgats, Valentin Strelkov (Karla-punt)</t>
  </si>
  <si>
    <t>Aivar Metsar, Alari Keedus, Matti Kämärä (Põhjarannik)</t>
  </si>
  <si>
    <t>Johannes Neiland, Merilin Neiland, Tõnis Neiland (Mõmmi)</t>
  </si>
  <si>
    <t>Ants Aaver, Daavi Unus, Ivar Viljaste (Midagi)</t>
  </si>
  <si>
    <t>German Terehhov, Matti Vinni, Tõnu Kortel (Korras)</t>
  </si>
  <si>
    <t>Johannes Neiland, Merilin Neiland</t>
  </si>
  <si>
    <t>Andres Veski, Matti Vinni</t>
  </si>
  <si>
    <t>Ivar Viljaste, Sirje Viljaste</t>
  </si>
  <si>
    <t>Enno Konsa, Lemmit Toomra, Tõnu Kapper</t>
  </si>
  <si>
    <t>Elon Mäetaga, Jaanus Külmhallik, Mait Metsla</t>
  </si>
  <si>
    <t>Linda Ilmjärv, Peeter Lüdig, Rene Kundla</t>
  </si>
  <si>
    <t>Einar Juhkam, Johannes Neiland, Merilin Neiland</t>
  </si>
  <si>
    <t>German Terehhov, Leonid Sbitnev, Tõnu Kortel</t>
  </si>
  <si>
    <t>Ants Aaver, Daavi Unus, Ivar Viljaste</t>
  </si>
  <si>
    <t>Janno Kasemaa, Ragnar Jõeäär, Urmas Jõeäär (Lepatriinu)</t>
  </si>
  <si>
    <t>Andrus Kurs, Andrus Virumäe, Mait Metsla (Kohtla-Nõmme)</t>
  </si>
  <si>
    <t>Aigi Orro, Kalle Orro, Toivo Porval (Orro)</t>
  </si>
  <si>
    <t>Allen Allet, Ivar Viljaste, Mart Ladoga (Iljem)</t>
  </si>
  <si>
    <t>Kalev Liiv, Karla Purgats, Merle Liiv (Purgats)</t>
  </si>
  <si>
    <t>Lemmit Toomra, Tõnu Kapper (LTK Üks-Teist, Jõhvi)</t>
  </si>
  <si>
    <t>Aivar Metsar, Matti Kämärä (Põhjarannik, Kohtla-Järve)</t>
  </si>
  <si>
    <t>Ilmar Taluste, Leonid Sbitnev (Kohtla-Järve SHK)</t>
  </si>
  <si>
    <t>Alari Keedus, Tiia Linnard (Põhjarannik)</t>
  </si>
  <si>
    <t>15-24</t>
  </si>
  <si>
    <t>Võitjad</t>
  </si>
  <si>
    <t>PA-klass (sünd. 1985. - 1987. a)</t>
  </si>
  <si>
    <t>PB-klass (sünd. 1988. - 1990. a)</t>
  </si>
  <si>
    <t>TB-klass (sünd. 1988. - 1990. a)</t>
  </si>
  <si>
    <t>PC-klass (sünd. 1991. a ja hiljem)</t>
  </si>
  <si>
    <t>TC-klass (sünd. 1991. a ja hiljem)</t>
  </si>
  <si>
    <t>MV1(sünd. 1953. - 1962. a)</t>
  </si>
  <si>
    <t>Kalju Olmre</t>
  </si>
  <si>
    <t>NV1 (sünd. 1953. - 1962. a)</t>
  </si>
  <si>
    <t>MV2 (sünd. 1943. - 1952. a)</t>
  </si>
  <si>
    <t>NV2 (sünd. 1943. - 1952. a)</t>
  </si>
  <si>
    <t>Eva Berg</t>
  </si>
  <si>
    <t>MV3 (sünd. 1942. a ja varem)</t>
  </si>
  <si>
    <t>PA</t>
  </si>
  <si>
    <t>TB</t>
  </si>
  <si>
    <t>PB</t>
  </si>
  <si>
    <t>Rain-Roobert Vaho</t>
  </si>
  <si>
    <t>PC</t>
  </si>
  <si>
    <t>Sten Olmre</t>
  </si>
  <si>
    <t>TC</t>
  </si>
  <si>
    <t>Birgit Jürgen</t>
  </si>
  <si>
    <t>Finaal</t>
  </si>
  <si>
    <t>3.-4. koha kohtumine</t>
  </si>
  <si>
    <t>Poolfinaal</t>
  </si>
  <si>
    <t>Roman Olmre</t>
  </si>
  <si>
    <t>II*</t>
  </si>
  <si>
    <t>III*</t>
  </si>
  <si>
    <t>Ats Samma</t>
  </si>
  <si>
    <t>Guido Berg</t>
  </si>
  <si>
    <t>I*</t>
  </si>
  <si>
    <t>Ülo Raudsepp</t>
  </si>
  <si>
    <t>NV1</t>
  </si>
  <si>
    <t>NV2</t>
  </si>
  <si>
    <t>45:45</t>
  </si>
  <si>
    <t>49:38</t>
  </si>
  <si>
    <t>37:48</t>
  </si>
  <si>
    <t>Koht</t>
  </si>
  <si>
    <t>Klass</t>
  </si>
  <si>
    <t>Koht klassis</t>
  </si>
  <si>
    <t>Punkte</t>
  </si>
  <si>
    <t>Poisid-A, Tüdrukud-B, Poisid-B</t>
  </si>
  <si>
    <t>Poisid-C, Tüdrukud-C</t>
  </si>
  <si>
    <t>35:41</t>
  </si>
  <si>
    <t>47:24</t>
  </si>
  <si>
    <t>52:34</t>
  </si>
  <si>
    <t>33:52</t>
  </si>
  <si>
    <t>Mehed-V1</t>
  </si>
  <si>
    <t>26:38</t>
  </si>
  <si>
    <t>39:17</t>
  </si>
  <si>
    <t>31:23</t>
  </si>
  <si>
    <t>21:39</t>
  </si>
  <si>
    <t>Mehed-V2</t>
  </si>
  <si>
    <t>48:29</t>
  </si>
  <si>
    <t>46:30</t>
  </si>
  <si>
    <t>21:44</t>
  </si>
  <si>
    <t>21:52</t>
  </si>
  <si>
    <t>50:31</t>
  </si>
  <si>
    <t xml:space="preserve">* Võrdsete võitude juures arvestati omavahelisi mänge, kus kõigil oli üks võit ja üks kaotus, </t>
  </si>
  <si>
    <t xml:space="preserve">kuid punktide vahe oli Strelkovil (24:22) ja Kapperil (22:20) +2 ning Konsal (20:24) -4. </t>
  </si>
  <si>
    <t>Mehed-V3</t>
  </si>
  <si>
    <t>52:24</t>
  </si>
  <si>
    <t>36:35</t>
  </si>
  <si>
    <t>23:52</t>
  </si>
  <si>
    <t>Naised-V1, Naised-V2</t>
  </si>
  <si>
    <t>38:43</t>
  </si>
  <si>
    <t>43:42</t>
  </si>
  <si>
    <t>43:39</t>
  </si>
  <si>
    <r>
      <rPr>
        <sz val="10"/>
        <color theme="1"/>
        <rFont val="Arial"/>
        <family val="2"/>
        <charset val="186"/>
      </rPr>
      <t xml:space="preserve">Kalju Olmre - Roman Olmre </t>
    </r>
    <r>
      <rPr>
        <b/>
        <sz val="10"/>
        <color indexed="8"/>
        <rFont val="Arial"/>
        <family val="2"/>
        <charset val="186"/>
      </rPr>
      <t>13</t>
    </r>
    <r>
      <rPr>
        <sz val="10"/>
        <color theme="1"/>
        <rFont val="Arial"/>
        <family val="2"/>
        <charset val="186"/>
      </rPr>
      <t>:4</t>
    </r>
  </si>
  <si>
    <r>
      <t xml:space="preserve">Johannes Neiland - Hillar Neiland </t>
    </r>
    <r>
      <rPr>
        <b/>
        <sz val="10"/>
        <color indexed="8"/>
        <rFont val="Arial"/>
        <family val="2"/>
        <charset val="186"/>
      </rPr>
      <t>13</t>
    </r>
    <r>
      <rPr>
        <sz val="10"/>
        <color theme="1"/>
        <rFont val="Arial"/>
        <family val="2"/>
        <charset val="186"/>
      </rPr>
      <t>:10</t>
    </r>
  </si>
  <si>
    <r>
      <rPr>
        <sz val="10"/>
        <color indexed="29"/>
        <rFont val="Arial"/>
        <family val="2"/>
        <charset val="186"/>
      </rPr>
      <t xml:space="preserve">Roman Olmre - Hillar Neiland </t>
    </r>
    <r>
      <rPr>
        <b/>
        <sz val="10"/>
        <color indexed="29"/>
        <rFont val="Arial"/>
        <family val="2"/>
        <charset val="186"/>
      </rPr>
      <t>13</t>
    </r>
    <r>
      <rPr>
        <sz val="10"/>
        <color indexed="29"/>
        <rFont val="Arial"/>
        <family val="2"/>
        <charset val="186"/>
      </rPr>
      <t>:4</t>
    </r>
  </si>
  <si>
    <t>A-klass (sünd. 1985. - 1987. a),</t>
  </si>
  <si>
    <t>B-klass (sünd. 1988. - 1990. a),</t>
  </si>
  <si>
    <t>C-klass (sünd. 1991. a ja hiljem).</t>
  </si>
  <si>
    <t>MV1ja NV1 (sünd. 1953. - 1962. a),</t>
  </si>
  <si>
    <t>MV2 ja NV2 (sünd. 1943. - 1952. a),</t>
  </si>
  <si>
    <t>MV3 ja NV3 (sünd. 1942. a ja varem).</t>
  </si>
  <si>
    <t>Vanuseklassid</t>
  </si>
  <si>
    <t>Neiud ja noormehed:</t>
  </si>
  <si>
    <t>Nais- ja meesveteranid:</t>
  </si>
  <si>
    <t>Uudis</t>
  </si>
  <si>
    <t>Võistkondi kokku</t>
  </si>
  <si>
    <t>KOHTLA-JÄRVE 1. KARIKAVÕISTLUSED 2002</t>
  </si>
  <si>
    <t>Peeter Lüdig</t>
  </si>
  <si>
    <t>Mart Ridal</t>
  </si>
  <si>
    <t>Elon Mäetaga, Mait Metsla</t>
  </si>
  <si>
    <r>
      <t xml:space="preserve">Auhinnafond: </t>
    </r>
    <r>
      <rPr>
        <sz val="10"/>
        <color indexed="8"/>
        <rFont val="Arial"/>
        <family val="2"/>
        <charset val="186"/>
      </rPr>
      <t xml:space="preserve">iga etapi osavõtumaksust saab etapi võitja 40%, teise koha omanik 30% ja kolmanda koha omanik 20%. </t>
    </r>
  </si>
  <si>
    <t>10% etapi osavõtumaksudest ja trahvisummad lähevad võidukarika muretsemiseks.</t>
  </si>
  <si>
    <t xml:space="preserve">Koefitsendid: A-grupp 7, B-grupp 11, C-grupp 9+, D-grupp 9-. </t>
  </si>
  <si>
    <t>+ tähendab seda, et võrdse koefitsendi puhul sai selle alagrupi mängija kõrgema koha.</t>
  </si>
  <si>
    <t xml:space="preserve">mis moodustus 1.-8. koha saanud mängijate kohtadele. </t>
  </si>
  <si>
    <t xml:space="preserve">Kohad 9.-19. on jagatud vastavalt alagruppide tugevuskoefitsendile, </t>
  </si>
  <si>
    <t>P, 08.09.2002</t>
  </si>
  <si>
    <t>P, 29.09.2002</t>
  </si>
  <si>
    <t xml:space="preserve">Punktid </t>
  </si>
  <si>
    <t>Arvesse läheb 4 võistlust 17st</t>
  </si>
  <si>
    <t xml:space="preserve">Nelja etapi tulemused liidetakse kokku (Võrdsete punktide korral </t>
  </si>
  <si>
    <t>sai kõrgema koha võistleja, kes sai viimasel etapil parema koha)</t>
  </si>
  <si>
    <t>Osalusi</t>
  </si>
  <si>
    <t>K-Nõmme põhikooli staadion</t>
  </si>
  <si>
    <t>Ida-Viru reitinguvõistlused on rasvases trükis. Arvesse läheb 7 võistlust 12st</t>
  </si>
  <si>
    <t>Ida-Virumaa noorte ja veteranide MV</t>
  </si>
  <si>
    <t xml:space="preserve">Strelkov sai Kapperist parema koha, sest ta võitis nende omavahelise kohtumise, </t>
  </si>
  <si>
    <t xml:space="preserve">kusjuures see oli  ka turniiri viimane kohtumine. </t>
  </si>
  <si>
    <t>KOHT</t>
  </si>
  <si>
    <t>Üld</t>
  </si>
  <si>
    <t>1. koht</t>
  </si>
  <si>
    <t>2. koht</t>
  </si>
  <si>
    <t>3. koht</t>
  </si>
  <si>
    <t>k</t>
  </si>
  <si>
    <t>v</t>
  </si>
  <si>
    <t>4-6</t>
  </si>
  <si>
    <t>MEHED</t>
  </si>
  <si>
    <t>NAISED</t>
  </si>
  <si>
    <t>1. Hristo Neiland</t>
  </si>
  <si>
    <t>1. Annemar Neiland</t>
  </si>
  <si>
    <t>POISID</t>
  </si>
  <si>
    <t>TÜDRUKUD</t>
  </si>
  <si>
    <t>2v</t>
  </si>
  <si>
    <t>0v</t>
  </si>
  <si>
    <t>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</si>
</sst>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[$EEK]"/>
    <numFmt numFmtId="165" formatCode="0;\-0;;@"/>
    <numFmt numFmtId="166" formatCode="dd/\ mmm"/>
    <numFmt numFmtId="167" formatCode="\+0;\-0;0"/>
  </numFmts>
  <fonts count="42" x14ac:knownFonts="1"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204"/>
    </font>
    <font>
      <b/>
      <sz val="8"/>
      <color indexed="81"/>
      <name val="Tahoma"/>
      <family val="2"/>
      <charset val="186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i/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i/>
      <sz val="10"/>
      <color indexed="8"/>
      <name val="Arial"/>
      <family val="2"/>
      <charset val="186"/>
    </font>
    <font>
      <b/>
      <sz val="10"/>
      <color indexed="29"/>
      <name val="Arial"/>
      <family val="2"/>
      <charset val="186"/>
    </font>
    <font>
      <sz val="10"/>
      <color indexed="29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color rgb="FFCC0000"/>
      <name val="Arial"/>
      <family val="2"/>
      <charset val="186"/>
    </font>
    <font>
      <sz val="10"/>
      <color rgb="FFC00000"/>
      <name val="Arial"/>
      <family val="2"/>
      <charset val="186"/>
    </font>
    <font>
      <i/>
      <sz val="10"/>
      <color rgb="FFCC000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b/>
      <sz val="10"/>
      <color theme="5" tint="0.59999389629810485"/>
      <name val="Arial"/>
      <family val="2"/>
      <charset val="186"/>
    </font>
    <font>
      <u/>
      <sz val="10"/>
      <color theme="1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u/>
      <sz val="10"/>
      <color theme="1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0"/>
      <color rgb="FFCC0000"/>
      <name val="Arial"/>
      <family val="2"/>
      <charset val="186"/>
    </font>
    <font>
      <b/>
      <u/>
      <sz val="10"/>
      <color rgb="FF00B0F0"/>
      <name val="Arial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1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21" fillId="0" borderId="0"/>
    <xf numFmtId="0" fontId="20" fillId="0" borderId="0"/>
    <xf numFmtId="0" fontId="8" fillId="0" borderId="0"/>
    <xf numFmtId="0" fontId="8" fillId="0" borderId="0"/>
    <xf numFmtId="0" fontId="3" fillId="0" borderId="0"/>
    <xf numFmtId="0" fontId="20" fillId="0" borderId="0"/>
    <xf numFmtId="0" fontId="16" fillId="0" borderId="0"/>
    <xf numFmtId="49" fontId="9" fillId="2" borderId="0" applyBorder="0" applyProtection="0">
      <alignment horizontal="left" vertical="top" wrapText="1"/>
    </xf>
    <xf numFmtId="0" fontId="21" fillId="0" borderId="0"/>
    <xf numFmtId="0" fontId="5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37" fillId="0" borderId="0"/>
    <xf numFmtId="0" fontId="7" fillId="0" borderId="0"/>
    <xf numFmtId="0" fontId="20" fillId="0" borderId="0"/>
    <xf numFmtId="0" fontId="38" fillId="0" borderId="0"/>
    <xf numFmtId="0" fontId="39" fillId="0" borderId="0"/>
    <xf numFmtId="0" fontId="8" fillId="0" borderId="0"/>
  </cellStyleXfs>
  <cellXfs count="434">
    <xf numFmtId="0" fontId="0" fillId="0" borderId="0" xfId="0"/>
    <xf numFmtId="0" fontId="22" fillId="0" borderId="0" xfId="5" applyNumberFormat="1" applyFont="1"/>
    <xf numFmtId="0" fontId="16" fillId="0" borderId="0" xfId="5" applyNumberFormat="1" applyFont="1"/>
    <xf numFmtId="0" fontId="3" fillId="0" borderId="0" xfId="5" applyNumberFormat="1" applyFont="1" applyFill="1"/>
    <xf numFmtId="0" fontId="16" fillId="0" borderId="0" xfId="5" applyNumberFormat="1" applyFont="1" applyAlignment="1"/>
    <xf numFmtId="0" fontId="16" fillId="0" borderId="0" xfId="5" applyNumberFormat="1" applyFont="1" applyAlignment="1">
      <alignment horizontal="center"/>
    </xf>
    <xf numFmtId="0" fontId="3" fillId="0" borderId="1" xfId="5" applyNumberFormat="1" applyFont="1" applyFill="1" applyBorder="1"/>
    <xf numFmtId="49" fontId="3" fillId="0" borderId="1" xfId="5" applyNumberFormat="1" applyFont="1" applyFill="1" applyBorder="1"/>
    <xf numFmtId="0" fontId="0" fillId="0" borderId="1" xfId="0" applyFont="1" applyBorder="1" applyAlignment="1"/>
    <xf numFmtId="164" fontId="3" fillId="0" borderId="1" xfId="5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1" xfId="5" applyFont="1" applyBorder="1"/>
    <xf numFmtId="0" fontId="16" fillId="0" borderId="0" xfId="5" applyNumberFormat="1" applyFont="1" applyFill="1"/>
    <xf numFmtId="164" fontId="16" fillId="0" borderId="0" xfId="5" applyNumberFormat="1" applyFont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16" fillId="0" borderId="0" xfId="5" applyNumberFormat="1" applyFont="1" applyBorder="1"/>
    <xf numFmtId="164" fontId="4" fillId="0" borderId="1" xfId="5" applyNumberFormat="1" applyFont="1" applyFill="1" applyBorder="1" applyAlignment="1">
      <alignment horizontal="center"/>
    </xf>
    <xf numFmtId="0" fontId="22" fillId="0" borderId="0" xfId="0" applyFont="1"/>
    <xf numFmtId="0" fontId="4" fillId="0" borderId="0" xfId="5" applyFont="1"/>
    <xf numFmtId="0" fontId="16" fillId="0" borderId="0" xfId="5" applyFont="1"/>
    <xf numFmtId="0" fontId="22" fillId="0" borderId="0" xfId="5" applyFont="1"/>
    <xf numFmtId="0" fontId="16" fillId="0" borderId="0" xfId="5" applyFont="1" applyFill="1"/>
    <xf numFmtId="0" fontId="25" fillId="0" borderId="0" xfId="5" applyFont="1" applyFill="1" applyAlignment="1">
      <alignment horizontal="right"/>
    </xf>
    <xf numFmtId="0" fontId="3" fillId="0" borderId="0" xfId="6" applyFont="1" applyFill="1" applyAlignment="1">
      <alignment textRotation="90"/>
    </xf>
    <xf numFmtId="0" fontId="4" fillId="3" borderId="0" xfId="6" applyFont="1" applyFill="1"/>
    <xf numFmtId="0" fontId="3" fillId="0" borderId="0" xfId="5" applyFont="1" applyFill="1"/>
    <xf numFmtId="0" fontId="3" fillId="0" borderId="0" xfId="6" applyFont="1" applyFill="1"/>
    <xf numFmtId="0" fontId="3" fillId="4" borderId="0" xfId="6" applyFont="1" applyFill="1"/>
    <xf numFmtId="0" fontId="3" fillId="5" borderId="0" xfId="6" applyFont="1" applyFill="1"/>
    <xf numFmtId="0" fontId="22" fillId="0" borderId="1" xfId="5" applyFont="1" applyBorder="1"/>
    <xf numFmtId="0" fontId="16" fillId="0" borderId="1" xfId="5" applyFont="1" applyFill="1" applyBorder="1" applyAlignment="1">
      <alignment textRotation="90"/>
    </xf>
    <xf numFmtId="0" fontId="26" fillId="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0" fontId="22" fillId="0" borderId="1" xfId="5" applyFont="1" applyFill="1" applyBorder="1" applyAlignment="1">
      <alignment horizontal="center"/>
    </xf>
    <xf numFmtId="0" fontId="22" fillId="0" borderId="1" xfId="5" applyFont="1" applyBorder="1" applyAlignment="1">
      <alignment horizontal="center"/>
    </xf>
    <xf numFmtId="165" fontId="3" fillId="0" borderId="0" xfId="6" applyNumberFormat="1" applyFont="1" applyFill="1" applyAlignment="1">
      <alignment horizontal="center"/>
    </xf>
    <xf numFmtId="0" fontId="16" fillId="0" borderId="1" xfId="5" applyFont="1" applyBorder="1" applyAlignment="1"/>
    <xf numFmtId="0" fontId="16" fillId="0" borderId="1" xfId="5" applyFont="1" applyFill="1" applyBorder="1" applyAlignment="1">
      <alignment horizontal="center"/>
    </xf>
    <xf numFmtId="0" fontId="3" fillId="0" borderId="1" xfId="5" applyFont="1" applyFill="1" applyBorder="1" applyAlignment="1">
      <alignment horizontal="center"/>
    </xf>
    <xf numFmtId="0" fontId="10" fillId="5" borderId="1" xfId="6" applyFont="1" applyFill="1" applyBorder="1"/>
    <xf numFmtId="0" fontId="16" fillId="0" borderId="1" xfId="6" applyFont="1" applyBorder="1"/>
    <xf numFmtId="0" fontId="27" fillId="0" borderId="1" xfId="6" applyFont="1" applyFill="1" applyBorder="1"/>
    <xf numFmtId="0" fontId="16" fillId="6" borderId="1" xfId="5" applyFont="1" applyFill="1" applyBorder="1"/>
    <xf numFmtId="0" fontId="25" fillId="0" borderId="1" xfId="5" applyFont="1" applyBorder="1"/>
    <xf numFmtId="0" fontId="10" fillId="0" borderId="1" xfId="5" applyFont="1" applyFill="1" applyBorder="1"/>
    <xf numFmtId="0" fontId="4" fillId="4" borderId="2" xfId="6" applyFont="1" applyFill="1" applyBorder="1" applyAlignment="1"/>
    <xf numFmtId="0" fontId="3" fillId="4" borderId="0" xfId="6" applyFont="1" applyFill="1" applyAlignment="1">
      <alignment horizontal="right"/>
    </xf>
    <xf numFmtId="0" fontId="4" fillId="4" borderId="2" xfId="5" applyFont="1" applyFill="1" applyBorder="1" applyAlignment="1">
      <alignment horizontal="center"/>
    </xf>
    <xf numFmtId="165" fontId="3" fillId="4" borderId="0" xfId="6" applyNumberFormat="1" applyFont="1" applyFill="1" applyAlignment="1">
      <alignment horizontal="center"/>
    </xf>
    <xf numFmtId="0" fontId="16" fillId="4" borderId="0" xfId="5" applyFont="1" applyFill="1"/>
    <xf numFmtId="165" fontId="4" fillId="4" borderId="0" xfId="6" applyNumberFormat="1" applyFont="1" applyFill="1" applyAlignment="1"/>
    <xf numFmtId="0" fontId="16" fillId="0" borderId="0" xfId="5" applyFont="1" applyFill="1" applyAlignment="1">
      <alignment horizontal="center"/>
    </xf>
    <xf numFmtId="0" fontId="3" fillId="0" borderId="0" xfId="5" applyFont="1" applyFill="1" applyAlignment="1">
      <alignment horizontal="center"/>
    </xf>
    <xf numFmtId="0" fontId="16" fillId="0" borderId="17" xfId="5" applyFont="1" applyBorder="1"/>
    <xf numFmtId="0" fontId="16" fillId="0" borderId="17" xfId="5" applyFont="1" applyFill="1" applyBorder="1" applyAlignment="1">
      <alignment horizontal="center"/>
    </xf>
    <xf numFmtId="0" fontId="3" fillId="0" borderId="17" xfId="5" applyFont="1" applyFill="1" applyBorder="1" applyAlignment="1">
      <alignment horizontal="center"/>
    </xf>
    <xf numFmtId="0" fontId="25" fillId="0" borderId="17" xfId="5" applyFont="1" applyBorder="1"/>
    <xf numFmtId="0" fontId="25" fillId="6" borderId="17" xfId="5" applyFont="1" applyFill="1" applyBorder="1"/>
    <xf numFmtId="0" fontId="16" fillId="0" borderId="17" xfId="5" applyFont="1" applyFill="1" applyBorder="1"/>
    <xf numFmtId="0" fontId="16" fillId="6" borderId="17" xfId="5" applyFont="1" applyFill="1" applyBorder="1"/>
    <xf numFmtId="0" fontId="24" fillId="0" borderId="17" xfId="6" applyFont="1" applyFill="1" applyBorder="1"/>
    <xf numFmtId="0" fontId="23" fillId="0" borderId="17" xfId="5" applyFont="1" applyFill="1" applyBorder="1" applyAlignment="1">
      <alignment horizontal="center"/>
    </xf>
    <xf numFmtId="0" fontId="28" fillId="4" borderId="0" xfId="5" applyFont="1" applyFill="1"/>
    <xf numFmtId="0" fontId="28" fillId="4" borderId="0" xfId="6" applyFont="1" applyFill="1" applyAlignment="1">
      <alignment horizontal="right"/>
    </xf>
    <xf numFmtId="0" fontId="28" fillId="4" borderId="0" xfId="6" applyFont="1" applyFill="1" applyAlignment="1"/>
    <xf numFmtId="165" fontId="28" fillId="4" borderId="0" xfId="6" applyNumberFormat="1" applyFont="1" applyFill="1" applyAlignment="1">
      <alignment horizontal="center"/>
    </xf>
    <xf numFmtId="165" fontId="29" fillId="4" borderId="0" xfId="6" applyNumberFormat="1" applyFont="1" applyFill="1" applyAlignment="1"/>
    <xf numFmtId="0" fontId="25" fillId="4" borderId="0" xfId="6" applyFont="1" applyFill="1" applyAlignment="1"/>
    <xf numFmtId="0" fontId="25" fillId="4" borderId="0" xfId="6" applyFont="1" applyFill="1" applyAlignment="1">
      <alignment horizontal="right"/>
    </xf>
    <xf numFmtId="165" fontId="25" fillId="4" borderId="0" xfId="6" applyNumberFormat="1" applyFont="1" applyFill="1" applyAlignment="1">
      <alignment horizontal="center"/>
    </xf>
    <xf numFmtId="165" fontId="30" fillId="4" borderId="0" xfId="6" applyNumberFormat="1" applyFont="1" applyFill="1" applyAlignment="1"/>
    <xf numFmtId="0" fontId="3" fillId="4" borderId="0" xfId="6" applyFont="1" applyFill="1" applyAlignment="1"/>
    <xf numFmtId="0" fontId="3" fillId="4" borderId="0" xfId="6" applyFont="1" applyFill="1" applyAlignment="1">
      <alignment horizontal="center"/>
    </xf>
    <xf numFmtId="0" fontId="3" fillId="0" borderId="0" xfId="6" applyFont="1" applyFill="1" applyAlignment="1"/>
    <xf numFmtId="0" fontId="3" fillId="0" borderId="0" xfId="6" applyFont="1" applyFill="1" applyAlignment="1">
      <alignment horizontal="center"/>
    </xf>
    <xf numFmtId="0" fontId="22" fillId="0" borderId="0" xfId="5" applyFont="1" applyAlignment="1">
      <alignment vertical="center"/>
    </xf>
    <xf numFmtId="0" fontId="22" fillId="0" borderId="0" xfId="5" applyFont="1" applyAlignment="1">
      <alignment horizontal="left" vertical="center"/>
    </xf>
    <xf numFmtId="0" fontId="16" fillId="0" borderId="18" xfId="5" applyFont="1" applyBorder="1" applyAlignment="1">
      <alignment vertical="center" wrapText="1"/>
    </xf>
    <xf numFmtId="166" fontId="16" fillId="0" borderId="18" xfId="5" quotePrefix="1" applyNumberFormat="1" applyFont="1" applyBorder="1" applyAlignment="1">
      <alignment horizontal="left" vertical="center" wrapText="1"/>
    </xf>
    <xf numFmtId="0" fontId="16" fillId="0" borderId="0" xfId="5" applyFont="1" applyAlignment="1">
      <alignment horizontal="left" vertical="center"/>
    </xf>
    <xf numFmtId="0" fontId="16" fillId="0" borderId="0" xfId="5" applyFont="1" applyAlignment="1">
      <alignment vertical="center" wrapText="1"/>
    </xf>
    <xf numFmtId="0" fontId="0" fillId="0" borderId="0" xfId="0" applyAlignment="1">
      <alignment horizontal="left" vertical="center"/>
    </xf>
    <xf numFmtId="0" fontId="10" fillId="0" borderId="0" xfId="14" applyFont="1" applyBorder="1"/>
    <xf numFmtId="0" fontId="1" fillId="0" borderId="0" xfId="14" applyFont="1" applyAlignment="1">
      <alignment horizontal="center"/>
    </xf>
    <xf numFmtId="0" fontId="0" fillId="0" borderId="1" xfId="0" applyBorder="1"/>
    <xf numFmtId="0" fontId="1" fillId="0" borderId="0" xfId="14" applyFont="1"/>
    <xf numFmtId="0" fontId="2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7" fillId="4" borderId="1" xfId="0" applyFont="1" applyFill="1" applyBorder="1"/>
    <xf numFmtId="0" fontId="0" fillId="5" borderId="1" xfId="0" applyFill="1" applyBorder="1"/>
    <xf numFmtId="0" fontId="25" fillId="0" borderId="1" xfId="0" applyFont="1" applyBorder="1"/>
    <xf numFmtId="0" fontId="0" fillId="6" borderId="1" xfId="0" applyFill="1" applyBorder="1"/>
    <xf numFmtId="0" fontId="16" fillId="0" borderId="0" xfId="5" applyFont="1" applyAlignment="1"/>
    <xf numFmtId="0" fontId="22" fillId="0" borderId="1" xfId="5" applyFont="1" applyBorder="1" applyAlignment="1"/>
    <xf numFmtId="0" fontId="24" fillId="0" borderId="0" xfId="5" applyFont="1" applyAlignment="1"/>
    <xf numFmtId="0" fontId="22" fillId="0" borderId="1" xfId="0" applyFont="1" applyBorder="1"/>
    <xf numFmtId="0" fontId="0" fillId="0" borderId="0" xfId="0" applyFont="1"/>
    <xf numFmtId="0" fontId="16" fillId="0" borderId="1" xfId="5" applyFont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6" fillId="0" borderId="1" xfId="5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6" fillId="0" borderId="18" xfId="5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 applyAlignment="1">
      <alignment horizontal="left"/>
    </xf>
    <xf numFmtId="0" fontId="0" fillId="0" borderId="6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0" xfId="0" applyFont="1" applyBorder="1" applyAlignment="1">
      <alignment horizontal="left"/>
    </xf>
    <xf numFmtId="0" fontId="0" fillId="0" borderId="8" xfId="0" applyFont="1" applyBorder="1"/>
    <xf numFmtId="0" fontId="22" fillId="0" borderId="9" xfId="0" applyFont="1" applyBorder="1"/>
    <xf numFmtId="0" fontId="0" fillId="0" borderId="9" xfId="0" applyFont="1" applyBorder="1"/>
    <xf numFmtId="0" fontId="0" fillId="0" borderId="5" xfId="0" applyFont="1" applyBorder="1"/>
    <xf numFmtId="0" fontId="0" fillId="0" borderId="10" xfId="0" applyFont="1" applyBorder="1"/>
    <xf numFmtId="0" fontId="0" fillId="0" borderId="11" xfId="0" applyFont="1" applyBorder="1" applyAlignment="1">
      <alignment horizontal="left"/>
    </xf>
    <xf numFmtId="0" fontId="0" fillId="0" borderId="12" xfId="0" applyFont="1" applyBorder="1"/>
    <xf numFmtId="0" fontId="22" fillId="0" borderId="0" xfId="0" applyFont="1" applyBorder="1"/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2" fillId="0" borderId="1" xfId="0" applyFont="1" applyBorder="1" applyAlignment="1"/>
    <xf numFmtId="0" fontId="16" fillId="0" borderId="19" xfId="5" applyFont="1" applyFill="1" applyBorder="1" applyAlignment="1">
      <alignment vertical="center" wrapText="1"/>
    </xf>
    <xf numFmtId="0" fontId="16" fillId="0" borderId="0" xfId="5" applyFont="1" applyFill="1" applyBorder="1" applyAlignment="1">
      <alignment vertical="center" wrapText="1"/>
    </xf>
    <xf numFmtId="0" fontId="3" fillId="0" borderId="0" xfId="6" applyFont="1" applyAlignment="1"/>
    <xf numFmtId="0" fontId="0" fillId="0" borderId="1" xfId="0" applyFont="1" applyBorder="1"/>
    <xf numFmtId="0" fontId="0" fillId="0" borderId="0" xfId="0" applyFont="1" applyBorder="1" applyAlignment="1">
      <alignment horizontal="right"/>
    </xf>
    <xf numFmtId="0" fontId="31" fillId="0" borderId="0" xfId="0" applyFont="1"/>
    <xf numFmtId="0" fontId="3" fillId="0" borderId="0" xfId="6" applyFont="1" applyBorder="1" applyAlignment="1"/>
    <xf numFmtId="0" fontId="24" fillId="0" borderId="0" xfId="0" applyFont="1"/>
    <xf numFmtId="0" fontId="3" fillId="0" borderId="1" xfId="5" applyFont="1" applyBorder="1" applyAlignment="1"/>
    <xf numFmtId="0" fontId="3" fillId="7" borderId="1" xfId="0" applyFont="1" applyFill="1" applyBorder="1" applyAlignment="1">
      <alignment horizontal="center"/>
    </xf>
    <xf numFmtId="0" fontId="3" fillId="0" borderId="1" xfId="5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0" fillId="0" borderId="0" xfId="0" applyNumberFormat="1" applyFont="1"/>
    <xf numFmtId="0" fontId="31" fillId="0" borderId="0" xfId="0" applyFont="1" applyBorder="1"/>
    <xf numFmtId="49" fontId="22" fillId="0" borderId="1" xfId="0" applyNumberFormat="1" applyFont="1" applyBorder="1"/>
    <xf numFmtId="0" fontId="16" fillId="0" borderId="0" xfId="5" applyFont="1" applyBorder="1" applyAlignment="1"/>
    <xf numFmtId="0" fontId="22" fillId="0" borderId="1" xfId="5" applyFont="1" applyFill="1" applyBorder="1" applyAlignment="1"/>
    <xf numFmtId="0" fontId="10" fillId="0" borderId="0" xfId="6" applyFont="1" applyAlignment="1"/>
    <xf numFmtId="0" fontId="0" fillId="0" borderId="8" xfId="0" applyFont="1" applyBorder="1" applyAlignment="1">
      <alignment horizontal="left"/>
    </xf>
    <xf numFmtId="0" fontId="4" fillId="0" borderId="0" xfId="6" applyFont="1" applyAlignment="1"/>
    <xf numFmtId="0" fontId="11" fillId="0" borderId="0" xfId="6" applyFont="1" applyAlignment="1"/>
    <xf numFmtId="0" fontId="16" fillId="0" borderId="4" xfId="5" applyFont="1" applyBorder="1" applyAlignment="1"/>
    <xf numFmtId="0" fontId="3" fillId="0" borderId="0" xfId="6" applyFont="1" applyAlignment="1">
      <alignment horizontal="left"/>
    </xf>
    <xf numFmtId="0" fontId="3" fillId="0" borderId="2" xfId="6" applyFont="1" applyBorder="1" applyAlignment="1"/>
    <xf numFmtId="0" fontId="3" fillId="0" borderId="3" xfId="6" applyFont="1" applyBorder="1" applyAlignment="1"/>
    <xf numFmtId="0" fontId="3" fillId="0" borderId="4" xfId="6" applyFont="1" applyBorder="1" applyAlignment="1"/>
    <xf numFmtId="0" fontId="3" fillId="0" borderId="10" xfId="7" applyFont="1" applyFill="1" applyBorder="1" applyAlignment="1"/>
    <xf numFmtId="0" fontId="3" fillId="0" borderId="5" xfId="6" applyFont="1" applyBorder="1" applyAlignment="1">
      <alignment horizontal="left"/>
    </xf>
    <xf numFmtId="0" fontId="3" fillId="0" borderId="6" xfId="6" applyFont="1" applyBorder="1" applyAlignment="1"/>
    <xf numFmtId="0" fontId="3" fillId="0" borderId="7" xfId="6" applyFont="1" applyBorder="1" applyAlignment="1"/>
    <xf numFmtId="0" fontId="3" fillId="0" borderId="4" xfId="7" applyFont="1" applyFill="1" applyBorder="1" applyAlignment="1"/>
    <xf numFmtId="0" fontId="3" fillId="0" borderId="0" xfId="6" applyFont="1" applyBorder="1" applyAlignment="1">
      <alignment horizontal="left"/>
    </xf>
    <xf numFmtId="0" fontId="3" fillId="0" borderId="5" xfId="6" applyFont="1" applyBorder="1" applyAlignment="1"/>
    <xf numFmtId="0" fontId="3" fillId="0" borderId="10" xfId="6" applyFont="1" applyBorder="1" applyAlignment="1"/>
    <xf numFmtId="0" fontId="16" fillId="0" borderId="10" xfId="5" applyFont="1" applyBorder="1" applyAlignment="1"/>
    <xf numFmtId="0" fontId="3" fillId="0" borderId="11" xfId="6" applyFont="1" applyBorder="1" applyAlignment="1">
      <alignment horizontal="left"/>
    </xf>
    <xf numFmtId="0" fontId="3" fillId="0" borderId="8" xfId="6" applyFont="1" applyBorder="1" applyAlignment="1"/>
    <xf numFmtId="0" fontId="4" fillId="0" borderId="9" xfId="6" applyFont="1" applyBorder="1" applyAlignment="1"/>
    <xf numFmtId="0" fontId="3" fillId="0" borderId="9" xfId="6" applyFont="1" applyBorder="1" applyAlignment="1"/>
    <xf numFmtId="0" fontId="3" fillId="0" borderId="12" xfId="6" applyFont="1" applyBorder="1" applyAlignment="1"/>
    <xf numFmtId="0" fontId="4" fillId="0" borderId="0" xfId="6" applyFont="1" applyBorder="1" applyAlignment="1"/>
    <xf numFmtId="0" fontId="31" fillId="0" borderId="0" xfId="5" applyFont="1" applyAlignment="1"/>
    <xf numFmtId="0" fontId="22" fillId="0" borderId="1" xfId="5" applyFont="1" applyBorder="1" applyAlignment="1">
      <alignment horizontal="right"/>
    </xf>
    <xf numFmtId="49" fontId="22" fillId="0" borderId="5" xfId="5" applyNumberFormat="1" applyFont="1" applyBorder="1" applyAlignment="1">
      <alignment horizontal="right"/>
    </xf>
    <xf numFmtId="49" fontId="22" fillId="0" borderId="1" xfId="5" applyNumberFormat="1" applyFont="1" applyBorder="1" applyAlignment="1">
      <alignment horizontal="right"/>
    </xf>
    <xf numFmtId="0" fontId="0" fillId="0" borderId="0" xfId="0" applyFont="1" applyFill="1"/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9" fontId="23" fillId="0" borderId="0" xfId="0" applyNumberFormat="1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16" fontId="0" fillId="0" borderId="0" xfId="0" applyNumberFormat="1" applyFont="1" applyBorder="1" applyAlignment="1">
      <alignment horizontal="center"/>
    </xf>
    <xf numFmtId="0" fontId="24" fillId="0" borderId="0" xfId="5" applyFont="1"/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49" fontId="0" fillId="0" borderId="0" xfId="0" applyNumberFormat="1" applyFont="1" applyFill="1"/>
    <xf numFmtId="0" fontId="0" fillId="0" borderId="0" xfId="0" applyNumberFormat="1" applyFont="1" applyFill="1"/>
    <xf numFmtId="0" fontId="0" fillId="0" borderId="11" xfId="0" applyFont="1" applyBorder="1"/>
    <xf numFmtId="0" fontId="0" fillId="0" borderId="0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17" fontId="31" fillId="0" borderId="0" xfId="0" applyNumberFormat="1" applyFont="1"/>
    <xf numFmtId="0" fontId="4" fillId="0" borderId="1" xfId="13" applyFont="1" applyBorder="1" applyAlignment="1"/>
    <xf numFmtId="0" fontId="4" fillId="0" borderId="1" xfId="13" applyFont="1" applyBorder="1" applyAlignment="1">
      <alignment horizontal="center"/>
    </xf>
    <xf numFmtId="0" fontId="3" fillId="0" borderId="0" xfId="13" applyFont="1" applyAlignment="1"/>
    <xf numFmtId="0" fontId="3" fillId="7" borderId="1" xfId="13" applyFont="1" applyFill="1" applyBorder="1" applyAlignment="1">
      <alignment horizontal="center"/>
    </xf>
    <xf numFmtId="0" fontId="3" fillId="0" borderId="1" xfId="13" applyFont="1" applyBorder="1" applyAlignment="1">
      <alignment horizontal="center"/>
    </xf>
    <xf numFmtId="49" fontId="3" fillId="0" borderId="1" xfId="13" applyNumberFormat="1" applyFont="1" applyBorder="1" applyAlignment="1">
      <alignment horizontal="center"/>
    </xf>
    <xf numFmtId="0" fontId="4" fillId="0" borderId="0" xfId="13" applyFont="1" applyAlignment="1"/>
    <xf numFmtId="0" fontId="3" fillId="0" borderId="1" xfId="13" applyFont="1" applyFill="1" applyBorder="1" applyAlignment="1">
      <alignment horizontal="center"/>
    </xf>
    <xf numFmtId="0" fontId="3" fillId="0" borderId="0" xfId="13" applyFont="1" applyAlignment="1">
      <alignment horizontal="center"/>
    </xf>
    <xf numFmtId="49" fontId="3" fillId="0" borderId="0" xfId="13" applyNumberFormat="1" applyFont="1" applyAlignment="1">
      <alignment horizontal="center"/>
    </xf>
    <xf numFmtId="0" fontId="22" fillId="0" borderId="0" xfId="0" applyFont="1" applyBorder="1" applyAlignment="1"/>
    <xf numFmtId="0" fontId="0" fillId="0" borderId="0" xfId="0" applyFont="1" applyAlignment="1"/>
    <xf numFmtId="0" fontId="0" fillId="0" borderId="0" xfId="0" applyFill="1"/>
    <xf numFmtId="0" fontId="25" fillId="0" borderId="0" xfId="6" applyFont="1" applyFill="1" applyAlignment="1">
      <alignment horizontal="right"/>
    </xf>
    <xf numFmtId="164" fontId="16" fillId="0" borderId="0" xfId="5" applyNumberFormat="1" applyFont="1" applyFill="1" applyBorder="1" applyAlignment="1">
      <alignment horizontal="center"/>
    </xf>
    <xf numFmtId="164" fontId="16" fillId="0" borderId="0" xfId="5" applyNumberFormat="1" applyFont="1" applyFill="1" applyAlignment="1">
      <alignment horizontal="center"/>
    </xf>
    <xf numFmtId="0" fontId="2" fillId="4" borderId="0" xfId="14" applyFont="1" applyFill="1"/>
    <xf numFmtId="0" fontId="0" fillId="4" borderId="0" xfId="0" applyFill="1"/>
    <xf numFmtId="165" fontId="2" fillId="4" borderId="0" xfId="14" applyNumberFormat="1" applyFont="1" applyFill="1" applyAlignment="1">
      <alignment horizontal="center"/>
    </xf>
    <xf numFmtId="0" fontId="1" fillId="4" borderId="0" xfId="14" applyFont="1" applyFill="1"/>
    <xf numFmtId="0" fontId="1" fillId="4" borderId="0" xfId="14" applyFont="1" applyFill="1" applyAlignment="1">
      <alignment horizontal="center"/>
    </xf>
    <xf numFmtId="0" fontId="16" fillId="0" borderId="1" xfId="5" applyFont="1" applyBorder="1" applyAlignment="1"/>
    <xf numFmtId="0" fontId="16" fillId="0" borderId="1" xfId="5" applyFont="1" applyBorder="1"/>
    <xf numFmtId="0" fontId="22" fillId="4" borderId="1" xfId="5" applyNumberFormat="1" applyFont="1" applyFill="1" applyBorder="1"/>
    <xf numFmtId="0" fontId="22" fillId="4" borderId="1" xfId="5" applyNumberFormat="1" applyFont="1" applyFill="1" applyBorder="1" applyAlignment="1"/>
    <xf numFmtId="0" fontId="22" fillId="4" borderId="1" xfId="0" applyFont="1" applyFill="1" applyBorder="1" applyAlignment="1">
      <alignment horizontal="center"/>
    </xf>
    <xf numFmtId="49" fontId="0" fillId="0" borderId="0" xfId="0" applyNumberFormat="1" applyFont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4" xfId="0" applyFont="1" applyFill="1" applyBorder="1"/>
    <xf numFmtId="0" fontId="0" fillId="0" borderId="9" xfId="0" applyFont="1" applyFill="1" applyBorder="1"/>
    <xf numFmtId="0" fontId="0" fillId="0" borderId="12" xfId="0" applyFont="1" applyFill="1" applyBorder="1"/>
    <xf numFmtId="0" fontId="16" fillId="0" borderId="1" xfId="5" applyFont="1" applyBorder="1"/>
    <xf numFmtId="0" fontId="16" fillId="0" borderId="1" xfId="5" applyFont="1" applyBorder="1" applyAlignment="1"/>
    <xf numFmtId="0" fontId="3" fillId="0" borderId="1" xfId="0" applyFont="1" applyBorder="1"/>
    <xf numFmtId="0" fontId="16" fillId="0" borderId="10" xfId="5" applyFont="1" applyBorder="1" applyAlignment="1"/>
    <xf numFmtId="0" fontId="16" fillId="0" borderId="4" xfId="5" applyFont="1" applyBorder="1" applyAlignment="1"/>
    <xf numFmtId="49" fontId="3" fillId="0" borderId="0" xfId="0" quotePrefix="1" applyNumberFormat="1" applyFont="1" applyAlignment="1">
      <alignment horizontal="right"/>
    </xf>
    <xf numFmtId="0" fontId="16" fillId="0" borderId="1" xfId="5" applyFont="1" applyBorder="1"/>
    <xf numFmtId="0" fontId="16" fillId="0" borderId="1" xfId="5" applyFont="1" applyBorder="1"/>
    <xf numFmtId="0" fontId="22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49" fontId="0" fillId="0" borderId="18" xfId="0" applyNumberFormat="1" applyBorder="1" applyAlignment="1">
      <alignment horizontal="center" vertical="center" wrapText="1"/>
    </xf>
    <xf numFmtId="0" fontId="16" fillId="0" borderId="0" xfId="5" applyFont="1"/>
    <xf numFmtId="0" fontId="22" fillId="0" borderId="5" xfId="5" applyFont="1" applyBorder="1" applyAlignment="1">
      <alignment horizontal="center"/>
    </xf>
    <xf numFmtId="0" fontId="22" fillId="0" borderId="0" xfId="5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5" applyFont="1"/>
    <xf numFmtId="0" fontId="25" fillId="0" borderId="18" xfId="0" applyFont="1" applyBorder="1" applyAlignment="1">
      <alignment vertical="center" wrapText="1"/>
    </xf>
    <xf numFmtId="0" fontId="33" fillId="0" borderId="0" xfId="5" applyFont="1"/>
    <xf numFmtId="0" fontId="3" fillId="0" borderId="19" xfId="2" applyFont="1" applyBorder="1" applyAlignment="1">
      <alignment vertical="center" wrapText="1"/>
    </xf>
    <xf numFmtId="0" fontId="0" fillId="0" borderId="0" xfId="0"/>
    <xf numFmtId="0" fontId="0" fillId="0" borderId="18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16" fillId="4" borderId="1" xfId="6" applyFont="1" applyFill="1" applyBorder="1"/>
    <xf numFmtId="0" fontId="16" fillId="0" borderId="0" xfId="5" applyFont="1" applyFill="1"/>
    <xf numFmtId="0" fontId="33" fillId="0" borderId="0" xfId="5" applyFont="1" applyFill="1"/>
    <xf numFmtId="0" fontId="22" fillId="0" borderId="1" xfId="0" applyFont="1" applyFill="1" applyBorder="1"/>
    <xf numFmtId="0" fontId="31" fillId="0" borderId="0" xfId="0" applyFont="1" applyFill="1" applyAlignment="1">
      <alignment horizontal="left" vertical="center"/>
    </xf>
    <xf numFmtId="49" fontId="0" fillId="0" borderId="18" xfId="0" applyNumberForma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1" fillId="0" borderId="0" xfId="0" applyFont="1" applyFill="1" applyBorder="1"/>
    <xf numFmtId="0" fontId="22" fillId="0" borderId="0" xfId="0" applyFont="1" applyFill="1" applyBorder="1"/>
    <xf numFmtId="0" fontId="16" fillId="0" borderId="0" xfId="5" applyFont="1" applyFill="1" applyBorder="1" applyAlignment="1"/>
    <xf numFmtId="0" fontId="16" fillId="0" borderId="0" xfId="5" applyFont="1" applyAlignment="1"/>
    <xf numFmtId="0" fontId="16" fillId="0" borderId="0" xfId="5" applyFont="1" applyFill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quotePrefix="1" applyNumberFormat="1" applyFont="1" applyFill="1" applyAlignment="1">
      <alignment horizontal="right"/>
    </xf>
    <xf numFmtId="0" fontId="33" fillId="0" borderId="0" xfId="0" applyFont="1" applyAlignment="1">
      <alignment horizontal="left" vertical="center"/>
    </xf>
    <xf numFmtId="0" fontId="31" fillId="0" borderId="0" xfId="0" applyFont="1" applyBorder="1" applyAlignment="1"/>
    <xf numFmtId="0" fontId="0" fillId="0" borderId="0" xfId="0" applyFont="1" applyBorder="1" applyAlignment="1"/>
    <xf numFmtId="0" fontId="17" fillId="0" borderId="0" xfId="1"/>
    <xf numFmtId="0" fontId="17" fillId="0" borderId="1" xfId="1" applyNumberFormat="1" applyBorder="1" applyAlignment="1">
      <alignment horizontal="center" wrapText="1"/>
    </xf>
    <xf numFmtId="0" fontId="3" fillId="0" borderId="0" xfId="5" applyFont="1" applyAlignment="1"/>
    <xf numFmtId="0" fontId="10" fillId="0" borderId="0" xfId="4" applyFont="1"/>
    <xf numFmtId="0" fontId="30" fillId="0" borderId="1" xfId="5" applyFont="1" applyFill="1" applyBorder="1" applyAlignment="1">
      <alignment horizontal="center"/>
    </xf>
    <xf numFmtId="0" fontId="25" fillId="0" borderId="1" xfId="5" applyFont="1" applyBorder="1" applyAlignment="1"/>
    <xf numFmtId="0" fontId="25" fillId="0" borderId="1" xfId="5" applyFont="1" applyFill="1" applyBorder="1" applyAlignment="1"/>
    <xf numFmtId="0" fontId="30" fillId="4" borderId="2" xfId="6" applyFont="1" applyFill="1" applyBorder="1" applyAlignment="1"/>
    <xf numFmtId="0" fontId="25" fillId="0" borderId="17" xfId="5" applyFont="1" applyFill="1" applyBorder="1"/>
    <xf numFmtId="0" fontId="16" fillId="0" borderId="1" xfId="5" applyFont="1" applyFill="1" applyBorder="1" applyAlignment="1">
      <alignment horizontal="center" textRotation="90"/>
    </xf>
    <xf numFmtId="0" fontId="3" fillId="0" borderId="1" xfId="5" applyFont="1" applyFill="1" applyBorder="1" applyAlignment="1">
      <alignment horizontal="center" textRotation="90"/>
    </xf>
    <xf numFmtId="0" fontId="30" fillId="0" borderId="1" xfId="0" applyFont="1" applyBorder="1" applyAlignment="1">
      <alignment horizontal="center"/>
    </xf>
    <xf numFmtId="0" fontId="30" fillId="4" borderId="0" xfId="14" applyFont="1" applyFill="1"/>
    <xf numFmtId="0" fontId="0" fillId="0" borderId="0" xfId="0" applyBorder="1" applyAlignment="1">
      <alignment horizontal="center"/>
    </xf>
    <xf numFmtId="0" fontId="3" fillId="3" borderId="0" xfId="6" applyFont="1" applyFill="1"/>
    <xf numFmtId="0" fontId="17" fillId="8" borderId="1" xfId="1" applyFill="1" applyBorder="1" applyAlignment="1">
      <alignment horizontal="center" vertical="center"/>
    </xf>
    <xf numFmtId="0" fontId="17" fillId="8" borderId="1" xfId="1" applyNumberFormat="1" applyFill="1" applyBorder="1" applyAlignment="1">
      <alignment horizontal="center"/>
    </xf>
    <xf numFmtId="0" fontId="24" fillId="0" borderId="1" xfId="0" applyFont="1" applyBorder="1"/>
    <xf numFmtId="0" fontId="25" fillId="6" borderId="1" xfId="0" applyFont="1" applyFill="1" applyBorder="1"/>
    <xf numFmtId="0" fontId="17" fillId="9" borderId="1" xfId="1" applyFill="1" applyBorder="1" applyAlignment="1">
      <alignment horizontal="center" textRotation="90"/>
    </xf>
    <xf numFmtId="0" fontId="17" fillId="9" borderId="1" xfId="1" applyFill="1" applyBorder="1" applyAlignment="1">
      <alignment textRotation="90"/>
    </xf>
    <xf numFmtId="0" fontId="17" fillId="9" borderId="1" xfId="1" applyNumberFormat="1" applyFill="1" applyBorder="1" applyAlignment="1">
      <alignment horizontal="center"/>
    </xf>
    <xf numFmtId="0" fontId="4" fillId="10" borderId="0" xfId="6" applyFont="1" applyFill="1" applyBorder="1" applyAlignment="1">
      <alignment horizontal="left" vertical="top"/>
    </xf>
    <xf numFmtId="0" fontId="4" fillId="0" borderId="1" xfId="5" applyNumberFormat="1" applyFont="1" applyFill="1" applyBorder="1"/>
    <xf numFmtId="49" fontId="4" fillId="0" borderId="1" xfId="5" applyNumberFormat="1" applyFont="1" applyFill="1" applyBorder="1"/>
    <xf numFmtId="0" fontId="35" fillId="0" borderId="1" xfId="1" applyFont="1" applyBorder="1"/>
    <xf numFmtId="0" fontId="22" fillId="0" borderId="1" xfId="5" applyFont="1" applyFill="1" applyBorder="1" applyAlignment="1">
      <alignment horizontal="left" vertical="center"/>
    </xf>
    <xf numFmtId="0" fontId="35" fillId="0" borderId="1" xfId="1" applyNumberFormat="1" applyFont="1" applyBorder="1" applyAlignme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64" fontId="22" fillId="0" borderId="1" xfId="5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35" fillId="0" borderId="1" xfId="1" applyNumberFormat="1" applyFont="1" applyFill="1" applyBorder="1" applyAlignment="1"/>
    <xf numFmtId="0" fontId="22" fillId="0" borderId="1" xfId="5" applyNumberFormat="1" applyFont="1" applyFill="1" applyBorder="1"/>
    <xf numFmtId="49" fontId="22" fillId="0" borderId="1" xfId="5" applyNumberFormat="1" applyFont="1" applyFill="1" applyBorder="1"/>
    <xf numFmtId="14" fontId="4" fillId="0" borderId="1" xfId="5" applyNumberFormat="1" applyFont="1" applyFill="1" applyBorder="1"/>
    <xf numFmtId="0" fontId="17" fillId="0" borderId="1" xfId="1" applyNumberFormat="1" applyFont="1" applyBorder="1" applyAlignment="1"/>
    <xf numFmtId="0" fontId="17" fillId="0" borderId="1" xfId="1" applyBorder="1"/>
    <xf numFmtId="0" fontId="22" fillId="0" borderId="1" xfId="1" applyFont="1" applyBorder="1"/>
    <xf numFmtId="0" fontId="16" fillId="0" borderId="1" xfId="1" applyFont="1" applyBorder="1"/>
    <xf numFmtId="0" fontId="4" fillId="11" borderId="1" xfId="5" applyNumberFormat="1" applyFont="1" applyFill="1" applyBorder="1"/>
    <xf numFmtId="49" fontId="4" fillId="11" borderId="1" xfId="5" applyNumberFormat="1" applyFont="1" applyFill="1" applyBorder="1"/>
    <xf numFmtId="0" fontId="22" fillId="11" borderId="1" xfId="1" applyFont="1" applyFill="1" applyBorder="1"/>
    <xf numFmtId="0" fontId="22" fillId="11" borderId="1" xfId="0" applyFont="1" applyFill="1" applyBorder="1" applyAlignment="1">
      <alignment horizontal="left" vertical="center"/>
    </xf>
    <xf numFmtId="0" fontId="35" fillId="11" borderId="1" xfId="1" applyNumberFormat="1" applyFont="1" applyFill="1" applyBorder="1" applyAlignment="1"/>
    <xf numFmtId="0" fontId="22" fillId="11" borderId="1" xfId="0" applyFont="1" applyFill="1" applyBorder="1" applyAlignment="1"/>
    <xf numFmtId="0" fontId="22" fillId="11" borderId="1" xfId="0" applyFont="1" applyFill="1" applyBorder="1" applyAlignment="1">
      <alignment horizontal="left"/>
    </xf>
    <xf numFmtId="0" fontId="35" fillId="11" borderId="1" xfId="1" applyFont="1" applyFill="1" applyBorder="1"/>
    <xf numFmtId="164" fontId="22" fillId="11" borderId="1" xfId="5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2" fillId="3" borderId="1" xfId="5" applyFont="1" applyFill="1" applyBorder="1" applyAlignment="1"/>
    <xf numFmtId="0" fontId="16" fillId="4" borderId="1" xfId="5" applyFont="1" applyFill="1" applyBorder="1" applyAlignment="1"/>
    <xf numFmtId="0" fontId="16" fillId="5" borderId="1" xfId="5" applyFont="1" applyFill="1" applyBorder="1" applyAlignment="1"/>
    <xf numFmtId="0" fontId="0" fillId="6" borderId="18" xfId="0" applyFill="1" applyBorder="1" applyAlignment="1">
      <alignment horizontal="left" vertical="center" wrapText="1"/>
    </xf>
    <xf numFmtId="0" fontId="25" fillId="6" borderId="18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7" borderId="18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/>
    </xf>
    <xf numFmtId="0" fontId="22" fillId="0" borderId="1" xfId="5" applyFont="1" applyFill="1" applyBorder="1" applyAlignment="1">
      <alignment horizontal="center" wrapText="1"/>
    </xf>
    <xf numFmtId="0" fontId="22" fillId="0" borderId="1" xfId="5" applyFont="1" applyBorder="1" applyAlignment="1">
      <alignment horizontal="center" wrapText="1"/>
    </xf>
    <xf numFmtId="0" fontId="0" fillId="0" borderId="0" xfId="5" applyFont="1"/>
    <xf numFmtId="0" fontId="22" fillId="3" borderId="1" xfId="6" applyFont="1" applyFill="1" applyBorder="1"/>
    <xf numFmtId="0" fontId="34" fillId="9" borderId="1" xfId="5" applyFont="1" applyFill="1" applyBorder="1" applyAlignment="1">
      <alignment horizontal="center"/>
    </xf>
    <xf numFmtId="0" fontId="36" fillId="3" borderId="1" xfId="0" applyFont="1" applyFill="1" applyBorder="1"/>
    <xf numFmtId="0" fontId="34" fillId="8" borderId="1" xfId="0" applyFont="1" applyFill="1" applyBorder="1" applyAlignment="1">
      <alignment horizontal="center"/>
    </xf>
    <xf numFmtId="0" fontId="22" fillId="4" borderId="14" xfId="5" applyFont="1" applyFill="1" applyBorder="1"/>
    <xf numFmtId="0" fontId="22" fillId="4" borderId="13" xfId="5" applyFont="1" applyFill="1" applyBorder="1"/>
    <xf numFmtId="0" fontId="22" fillId="4" borderId="1" xfId="5" applyFont="1" applyFill="1" applyBorder="1" applyAlignment="1">
      <alignment horizontal="center"/>
    </xf>
    <xf numFmtId="0" fontId="22" fillId="4" borderId="1" xfId="5" applyFont="1" applyFill="1" applyBorder="1" applyAlignment="1"/>
    <xf numFmtId="0" fontId="4" fillId="4" borderId="1" xfId="5" applyFont="1" applyFill="1" applyBorder="1" applyAlignment="1"/>
    <xf numFmtId="0" fontId="22" fillId="4" borderId="17" xfId="5" applyFont="1" applyFill="1" applyBorder="1"/>
    <xf numFmtId="0" fontId="22" fillId="4" borderId="1" xfId="5" applyFont="1" applyFill="1" applyBorder="1"/>
    <xf numFmtId="0" fontId="4" fillId="4" borderId="1" xfId="5" applyFont="1" applyFill="1" applyBorder="1" applyAlignment="1">
      <alignment horizontal="center"/>
    </xf>
    <xf numFmtId="0" fontId="16" fillId="4" borderId="17" xfId="5" applyFont="1" applyFill="1" applyBorder="1" applyAlignment="1">
      <alignment horizontal="center"/>
    </xf>
    <xf numFmtId="0" fontId="22" fillId="0" borderId="0" xfId="5" applyFont="1" applyFill="1"/>
    <xf numFmtId="0" fontId="22" fillId="0" borderId="0" xfId="5" applyFont="1" applyFill="1" applyAlignment="1">
      <alignment horizontal="center"/>
    </xf>
    <xf numFmtId="0" fontId="22" fillId="4" borderId="14" xfId="8" applyFont="1" applyFill="1" applyBorder="1" applyAlignment="1"/>
    <xf numFmtId="0" fontId="22" fillId="4" borderId="1" xfId="8" applyFont="1" applyFill="1" applyBorder="1" applyAlignment="1">
      <alignment horizontal="center"/>
    </xf>
    <xf numFmtId="0" fontId="0" fillId="4" borderId="13" xfId="0" applyFill="1" applyBorder="1"/>
    <xf numFmtId="0" fontId="0" fillId="4" borderId="1" xfId="0" applyFill="1" applyBorder="1"/>
    <xf numFmtId="0" fontId="22" fillId="4" borderId="1" xfId="0" applyFont="1" applyFill="1" applyBorder="1"/>
    <xf numFmtId="0" fontId="29" fillId="4" borderId="0" xfId="5" applyFont="1" applyFill="1"/>
    <xf numFmtId="0" fontId="30" fillId="4" borderId="0" xfId="6" applyFont="1" applyFill="1" applyAlignment="1"/>
    <xf numFmtId="0" fontId="22" fillId="0" borderId="14" xfId="0" applyFont="1" applyBorder="1"/>
    <xf numFmtId="0" fontId="22" fillId="0" borderId="13" xfId="0" applyFont="1" applyBorder="1"/>
    <xf numFmtId="0" fontId="22" fillId="4" borderId="0" xfId="5" quotePrefix="1" applyNumberFormat="1" applyFont="1" applyFill="1"/>
    <xf numFmtId="0" fontId="16" fillId="4" borderId="0" xfId="5" applyNumberFormat="1" applyFont="1" applyFill="1"/>
    <xf numFmtId="0" fontId="16" fillId="0" borderId="0" xfId="5" applyFont="1" applyBorder="1" applyAlignment="1">
      <alignment vertical="center" wrapText="1"/>
    </xf>
    <xf numFmtId="166" fontId="16" fillId="0" borderId="0" xfId="5" quotePrefix="1" applyNumberFormat="1" applyFont="1" applyBorder="1" applyAlignment="1">
      <alignment horizontal="left" vertical="center" wrapText="1"/>
    </xf>
    <xf numFmtId="0" fontId="3" fillId="0" borderId="0" xfId="2" applyFont="1" applyBorder="1" applyAlignment="1">
      <alignment vertical="center" wrapText="1"/>
    </xf>
    <xf numFmtId="49" fontId="3" fillId="0" borderId="0" xfId="13" applyNumberFormat="1" applyFont="1" applyAlignment="1">
      <alignment horizontal="right"/>
    </xf>
    <xf numFmtId="49" fontId="3" fillId="12" borderId="1" xfId="13" applyNumberFormat="1" applyFont="1" applyFill="1" applyBorder="1" applyAlignment="1">
      <alignment horizontal="center"/>
    </xf>
    <xf numFmtId="49" fontId="3" fillId="13" borderId="0" xfId="13" applyNumberFormat="1" applyFont="1" applyFill="1" applyAlignment="1">
      <alignment horizontal="right"/>
    </xf>
    <xf numFmtId="0" fontId="3" fillId="13" borderId="1" xfId="13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16" fillId="0" borderId="0" xfId="5" applyFont="1" applyAlignment="1">
      <alignment horizontal="left"/>
    </xf>
    <xf numFmtId="0" fontId="0" fillId="0" borderId="0" xfId="0" applyFont="1"/>
    <xf numFmtId="0" fontId="16" fillId="0" borderId="0" xfId="13" applyFont="1" applyBorder="1" applyAlignment="1">
      <alignment horizontal="right"/>
    </xf>
    <xf numFmtId="0" fontId="22" fillId="0" borderId="0" xfId="0" applyFont="1"/>
    <xf numFmtId="49" fontId="16" fillId="0" borderId="0" xfId="13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4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16" fillId="0" borderId="0" xfId="5" applyFont="1" applyAlignment="1">
      <alignment horizontal="right"/>
    </xf>
    <xf numFmtId="0" fontId="22" fillId="0" borderId="5" xfId="0" applyFont="1" applyFill="1" applyBorder="1" applyAlignment="1">
      <alignment horizontal="right"/>
    </xf>
    <xf numFmtId="0" fontId="3" fillId="0" borderId="0" xfId="13" applyFont="1" applyBorder="1" applyAlignment="1"/>
    <xf numFmtId="0" fontId="41" fillId="0" borderId="0" xfId="5" applyFont="1" applyAlignment="1"/>
    <xf numFmtId="0" fontId="40" fillId="0" borderId="0" xfId="5" applyFont="1"/>
    <xf numFmtId="0" fontId="16" fillId="0" borderId="0" xfId="5" applyFont="1" applyBorder="1"/>
    <xf numFmtId="0" fontId="3" fillId="0" borderId="5" xfId="6" applyFont="1" applyFill="1" applyBorder="1" applyAlignment="1">
      <alignment textRotation="90"/>
    </xf>
    <xf numFmtId="0" fontId="3" fillId="0" borderId="0" xfId="6" applyFont="1" applyFill="1" applyAlignment="1">
      <alignment textRotation="90"/>
    </xf>
    <xf numFmtId="0" fontId="0" fillId="0" borderId="5" xfId="0" applyFont="1" applyBorder="1" applyAlignment="1">
      <alignment horizontal="center" textRotation="90"/>
    </xf>
    <xf numFmtId="0" fontId="1" fillId="0" borderId="0" xfId="14" applyFont="1" applyAlignment="1">
      <alignment horizontal="center" textRotation="9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0" fillId="7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0" fillId="6" borderId="1" xfId="0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/>
    </xf>
    <xf numFmtId="0" fontId="0" fillId="13" borderId="0" xfId="0" applyFont="1" applyFill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49" fontId="0" fillId="13" borderId="0" xfId="0" applyNumberFormat="1" applyFont="1" applyFill="1" applyAlignment="1">
      <alignment horizontal="right"/>
    </xf>
    <xf numFmtId="49" fontId="0" fillId="12" borderId="1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49" fontId="0" fillId="14" borderId="1" xfId="0" applyNumberFormat="1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0" fillId="15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22" fillId="0" borderId="0" xfId="0" applyFont="1" applyAlignment="1"/>
    <xf numFmtId="167" fontId="0" fillId="13" borderId="0" xfId="0" applyNumberFormat="1" applyFont="1" applyFill="1"/>
    <xf numFmtId="0" fontId="4" fillId="0" borderId="0" xfId="6" applyFont="1" applyBorder="1" applyAlignment="1">
      <alignment horizontal="right"/>
    </xf>
    <xf numFmtId="0" fontId="0" fillId="15" borderId="0" xfId="0" applyFont="1" applyFill="1" applyAlignment="1">
      <alignment horizontal="center"/>
    </xf>
    <xf numFmtId="49" fontId="0" fillId="13" borderId="0" xfId="0" quotePrefix="1" applyNumberFormat="1" applyFont="1" applyFill="1" applyAlignment="1">
      <alignment horizontal="right"/>
    </xf>
  </cellXfs>
  <cellStyles count="31">
    <cellStyle name="Hyperlink" xfId="1" builtinId="8"/>
    <cellStyle name="Hyperlink 2" xfId="2"/>
    <cellStyle name="Hyperlink 2 2" xfId="22"/>
    <cellStyle name="Hyperlink 3" xfId="3"/>
    <cellStyle name="Hyperlink 3 2" xfId="23"/>
    <cellStyle name="Normal" xfId="0" builtinId="0"/>
    <cellStyle name="Normal 10" xfId="4"/>
    <cellStyle name="Normal 2" xfId="5"/>
    <cellStyle name="Normal 2 2" xfId="6"/>
    <cellStyle name="Normal 2 2 2" xfId="7"/>
    <cellStyle name="Normal 2 2 2 2" xfId="8"/>
    <cellStyle name="Normal 2 2 3" xfId="24"/>
    <cellStyle name="Normal 2 2 4" xfId="25"/>
    <cellStyle name="Normal 2 2 5" xfId="20"/>
    <cellStyle name="Normal 2 3" xfId="9"/>
    <cellStyle name="Normal 2 3 2" xfId="21"/>
    <cellStyle name="Normal 2 4" xfId="26"/>
    <cellStyle name="Normal 2 5" xfId="27"/>
    <cellStyle name="Normal 3" xfId="10"/>
    <cellStyle name="Normal 3 2" xfId="11"/>
    <cellStyle name="Normal 3 3" xfId="28"/>
    <cellStyle name="Normal 4" xfId="12"/>
    <cellStyle name="Normal 5" xfId="13"/>
    <cellStyle name="Normal 6" xfId="14"/>
    <cellStyle name="Normal 6 2" xfId="15"/>
    <cellStyle name="Normal 6 2 2" xfId="30"/>
    <cellStyle name="Normal 6 3" xfId="29"/>
    <cellStyle name="Normal 7" xfId="16"/>
    <cellStyle name="Normal 8" xfId="17"/>
    <cellStyle name="Normal 9" xfId="18"/>
    <cellStyle name="WinCalendar_BlankCells_35" xfId="19"/>
  </cellStyles>
  <dxfs count="4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0000"/>
      <color rgb="FFFFFFCC"/>
      <color rgb="FFCCECFF"/>
      <color rgb="FFCC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116032</xdr:colOff>
      <xdr:row>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363682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120212</xdr:colOff>
      <xdr:row>2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367862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8"/>
  <sheetViews>
    <sheetView showGridLines="0" showRowColHeaders="0" workbookViewId="0">
      <pane ySplit="3" topLeftCell="A4" activePane="bottomLeft" state="frozen"/>
      <selection activeCell="G1" sqref="G1"/>
      <selection pane="bottomLeft" activeCell="J1" sqref="J1"/>
    </sheetView>
  </sheetViews>
  <sheetFormatPr defaultRowHeight="12.75" x14ac:dyDescent="0.2"/>
  <cols>
    <col min="1" max="1" width="12.5703125" style="2" customWidth="1"/>
    <col min="2" max="2" width="5.5703125" style="2" bestFit="1" customWidth="1"/>
    <col min="3" max="3" width="34.7109375" style="2" bestFit="1" customWidth="1"/>
    <col min="4" max="4" width="6.5703125" style="2" customWidth="1"/>
    <col min="5" max="5" width="4.42578125" style="2" bestFit="1" customWidth="1"/>
    <col min="6" max="6" width="34.85546875" style="2" bestFit="1" customWidth="1"/>
    <col min="7" max="7" width="13.28515625" style="2" bestFit="1" customWidth="1"/>
    <col min="8" max="8" width="6" style="2" bestFit="1" customWidth="1"/>
    <col min="9" max="9" width="8" style="2" customWidth="1"/>
    <col min="10" max="10" width="5" style="2" bestFit="1" customWidth="1"/>
    <col min="11" max="16384" width="9.140625" style="2"/>
  </cols>
  <sheetData>
    <row r="1" spans="1:12" x14ac:dyDescent="0.2">
      <c r="A1" s="1" t="s">
        <v>0</v>
      </c>
      <c r="F1" s="3"/>
    </row>
    <row r="3" spans="1:12" x14ac:dyDescent="0.2">
      <c r="A3" s="225" t="s">
        <v>1</v>
      </c>
      <c r="B3" s="225" t="s">
        <v>2</v>
      </c>
      <c r="C3" s="225" t="s">
        <v>3</v>
      </c>
      <c r="D3" s="225" t="s">
        <v>4</v>
      </c>
      <c r="E3" s="226" t="s">
        <v>5</v>
      </c>
      <c r="F3" s="225" t="s">
        <v>6</v>
      </c>
      <c r="G3" s="225" t="s">
        <v>7</v>
      </c>
      <c r="H3" s="225" t="s">
        <v>638</v>
      </c>
      <c r="I3" s="226" t="s">
        <v>8</v>
      </c>
      <c r="J3" s="227" t="s">
        <v>9</v>
      </c>
    </row>
    <row r="4" spans="1:12" x14ac:dyDescent="0.2">
      <c r="A4" s="371" t="s">
        <v>10</v>
      </c>
      <c r="B4" s="372"/>
      <c r="E4" s="4"/>
      <c r="I4" s="5"/>
    </row>
    <row r="5" spans="1:12" x14ac:dyDescent="0.2">
      <c r="A5" s="307" t="s">
        <v>11</v>
      </c>
      <c r="B5" s="308" t="s">
        <v>12</v>
      </c>
      <c r="C5" s="322" t="s">
        <v>55</v>
      </c>
      <c r="D5" s="310" t="s">
        <v>13</v>
      </c>
      <c r="E5" s="311" t="str">
        <f>HYPERLINK("#1!I1","1")</f>
        <v>1</v>
      </c>
      <c r="F5" s="131" t="s">
        <v>14</v>
      </c>
      <c r="G5" s="307" t="s">
        <v>15</v>
      </c>
      <c r="H5" s="309" t="str">
        <f>HYPERLINK("http://www.petanque.ee/idaviru/index.php?leht=v0007","Uudis")</f>
        <v>Uudis</v>
      </c>
      <c r="I5" s="17"/>
      <c r="J5" s="312">
        <v>10</v>
      </c>
    </row>
    <row r="6" spans="1:12" s="12" customFormat="1" x14ac:dyDescent="0.2">
      <c r="A6" s="307" t="s">
        <v>16</v>
      </c>
      <c r="B6" s="308" t="s">
        <v>12</v>
      </c>
      <c r="C6" s="322" t="s">
        <v>55</v>
      </c>
      <c r="D6" s="310" t="s">
        <v>17</v>
      </c>
      <c r="E6" s="311" t="str">
        <f>HYPERLINK("#2!G1","2")</f>
        <v>2</v>
      </c>
      <c r="F6" s="131" t="s">
        <v>14</v>
      </c>
      <c r="G6" s="307" t="s">
        <v>15</v>
      </c>
      <c r="H6" s="309" t="str">
        <f>HYPERLINK("http://www.petanque.ee/idaviru/index.php?leht=v0008","Uudis")</f>
        <v>Uudis</v>
      </c>
      <c r="I6" s="17"/>
      <c r="J6" s="312">
        <v>16</v>
      </c>
      <c r="L6" s="2"/>
    </row>
    <row r="7" spans="1:12" x14ac:dyDescent="0.2">
      <c r="A7" s="307" t="s">
        <v>18</v>
      </c>
      <c r="B7" s="308" t="s">
        <v>12</v>
      </c>
      <c r="C7" s="322" t="s">
        <v>56</v>
      </c>
      <c r="D7" s="310" t="s">
        <v>19</v>
      </c>
      <c r="E7" s="311" t="str">
        <f>HYPERLINK("#3!G1","3")</f>
        <v>3</v>
      </c>
      <c r="F7" s="131" t="s">
        <v>14</v>
      </c>
      <c r="G7" s="307" t="s">
        <v>15</v>
      </c>
      <c r="H7" s="309" t="str">
        <f>HYPERLINK("http://www.petanque.ee/idaviru/index.php?leht=v0009","Uudis")</f>
        <v>Uudis</v>
      </c>
      <c r="I7" s="17"/>
      <c r="J7" s="312">
        <v>27</v>
      </c>
    </row>
    <row r="8" spans="1:12" x14ac:dyDescent="0.2">
      <c r="A8" s="371" t="s">
        <v>20</v>
      </c>
      <c r="B8" s="372"/>
      <c r="C8" s="12"/>
      <c r="E8" s="4"/>
      <c r="H8" s="12"/>
      <c r="I8" s="13"/>
    </row>
    <row r="9" spans="1:12" x14ac:dyDescent="0.2">
      <c r="A9" s="307" t="s">
        <v>21</v>
      </c>
      <c r="B9" s="308" t="s">
        <v>12</v>
      </c>
      <c r="C9" s="322" t="s">
        <v>57</v>
      </c>
      <c r="D9" s="313" t="s">
        <v>13</v>
      </c>
      <c r="E9" s="311" t="str">
        <f>HYPERLINK("#4!H1","4")</f>
        <v>4</v>
      </c>
      <c r="F9" s="131" t="s">
        <v>14</v>
      </c>
      <c r="G9" s="131" t="s">
        <v>15</v>
      </c>
      <c r="H9" s="309" t="str">
        <f>HYPERLINK("http://www.petanque.ee/idaviru/index.php?leht=v0010","Uudis")</f>
        <v>Uudis</v>
      </c>
      <c r="I9" s="314">
        <v>25</v>
      </c>
      <c r="J9" s="312">
        <v>19</v>
      </c>
    </row>
    <row r="10" spans="1:12" x14ac:dyDescent="0.2">
      <c r="A10" s="307" t="s">
        <v>22</v>
      </c>
      <c r="B10" s="308" t="s">
        <v>12</v>
      </c>
      <c r="C10" s="322" t="s">
        <v>23</v>
      </c>
      <c r="D10" s="313" t="s">
        <v>13</v>
      </c>
      <c r="E10" s="311" t="str">
        <f>HYPERLINK("#5!I1","5")</f>
        <v>5</v>
      </c>
      <c r="F10" s="315" t="s">
        <v>24</v>
      </c>
      <c r="G10" s="315" t="s">
        <v>25</v>
      </c>
      <c r="H10" s="309" t="str">
        <f>HYPERLINK("http://www.petanque.ee/idaviru/index.php?leht=v0011","Uudis")</f>
        <v>Uudis</v>
      </c>
      <c r="I10" s="314"/>
      <c r="J10" s="312">
        <v>18</v>
      </c>
    </row>
    <row r="11" spans="1:12" s="12" customFormat="1" x14ac:dyDescent="0.2">
      <c r="A11" s="307" t="s">
        <v>26</v>
      </c>
      <c r="B11" s="308" t="s">
        <v>12</v>
      </c>
      <c r="C11" s="322" t="s">
        <v>58</v>
      </c>
      <c r="D11" s="313" t="s">
        <v>17</v>
      </c>
      <c r="E11" s="311" t="str">
        <f>HYPERLINK("#6!H1","6")</f>
        <v>6</v>
      </c>
      <c r="F11" s="315" t="s">
        <v>27</v>
      </c>
      <c r="G11" s="131" t="s">
        <v>15</v>
      </c>
      <c r="H11" s="309" t="str">
        <f>HYPERLINK("http://www.petanque.ee/idaviru/index.php?leht=v0012","Uudis")</f>
        <v>Uudis</v>
      </c>
      <c r="I11" s="314">
        <v>25</v>
      </c>
      <c r="J11" s="312">
        <v>26</v>
      </c>
      <c r="L11" s="2"/>
    </row>
    <row r="12" spans="1:12" x14ac:dyDescent="0.2">
      <c r="A12" s="307" t="s">
        <v>28</v>
      </c>
      <c r="B12" s="308" t="s">
        <v>12</v>
      </c>
      <c r="C12" s="322" t="s">
        <v>59</v>
      </c>
      <c r="D12" s="313" t="s">
        <v>17</v>
      </c>
      <c r="E12" s="311" t="str">
        <f>HYPERLINK("#7!G1","7")</f>
        <v>7</v>
      </c>
      <c r="F12" s="131" t="s">
        <v>657</v>
      </c>
      <c r="G12" s="315" t="s">
        <v>29</v>
      </c>
      <c r="H12" s="309" t="str">
        <f>HYPERLINK("http://www.petanque.ee/idaviru/index.php?leht=v0013","Uudis")</f>
        <v>Uudis</v>
      </c>
      <c r="I12" s="314">
        <v>0</v>
      </c>
      <c r="J12" s="312">
        <v>32</v>
      </c>
    </row>
    <row r="13" spans="1:12" x14ac:dyDescent="0.2">
      <c r="A13" s="307" t="s">
        <v>30</v>
      </c>
      <c r="B13" s="308" t="s">
        <v>12</v>
      </c>
      <c r="C13" s="322" t="s">
        <v>31</v>
      </c>
      <c r="D13" s="313" t="s">
        <v>17</v>
      </c>
      <c r="E13" s="316" t="str">
        <f>HYPERLINK("#8!G1","8")</f>
        <v>8</v>
      </c>
      <c r="F13" s="315" t="s">
        <v>24</v>
      </c>
      <c r="G13" s="315" t="s">
        <v>25</v>
      </c>
      <c r="H13" s="309" t="str">
        <f>HYPERLINK("http://www.petanque.ee/idaviru/index.php?leht=v0014","Uudis")</f>
        <v>Uudis</v>
      </c>
      <c r="I13" s="314"/>
      <c r="J13" s="312">
        <v>26</v>
      </c>
    </row>
    <row r="14" spans="1:12" s="12" customFormat="1" x14ac:dyDescent="0.2">
      <c r="A14" s="324" t="s">
        <v>32</v>
      </c>
      <c r="B14" s="325" t="s">
        <v>12</v>
      </c>
      <c r="C14" s="326" t="s">
        <v>33</v>
      </c>
      <c r="D14" s="327" t="s">
        <v>13</v>
      </c>
      <c r="E14" s="328" t="str">
        <f>HYPERLINK("#9!J1","9")</f>
        <v>9</v>
      </c>
      <c r="F14" s="329" t="s">
        <v>34</v>
      </c>
      <c r="G14" s="330"/>
      <c r="H14" s="331" t="str">
        <f>HYPERLINK("http://www.petanque.ee/idaviru/index.php?leht=v0015","Uudis")</f>
        <v>Uudis</v>
      </c>
      <c r="I14" s="332"/>
      <c r="J14" s="333">
        <v>31</v>
      </c>
      <c r="L14" s="2"/>
    </row>
    <row r="15" spans="1:12" x14ac:dyDescent="0.2">
      <c r="A15" s="371" t="s">
        <v>35</v>
      </c>
      <c r="B15" s="372"/>
      <c r="C15" s="16"/>
      <c r="D15" s="16"/>
      <c r="E15" s="4"/>
      <c r="F15" s="16"/>
      <c r="G15" s="16"/>
      <c r="H15" s="16"/>
      <c r="I15" s="216"/>
    </row>
    <row r="16" spans="1:12" s="12" customFormat="1" x14ac:dyDescent="0.2">
      <c r="A16" s="307" t="s">
        <v>36</v>
      </c>
      <c r="B16" s="308" t="s">
        <v>12</v>
      </c>
      <c r="C16" s="322" t="s">
        <v>37</v>
      </c>
      <c r="D16" s="313" t="s">
        <v>19</v>
      </c>
      <c r="E16" s="311" t="str">
        <f>HYPERLINK("#10!G1","10")</f>
        <v>10</v>
      </c>
      <c r="F16" s="315" t="s">
        <v>24</v>
      </c>
      <c r="G16" s="315" t="s">
        <v>25</v>
      </c>
      <c r="H16" s="309" t="str">
        <f>HYPERLINK("http://www.petanque.ee/idaviru/index.php?leht=v0016","Uudis")</f>
        <v>Uudis</v>
      </c>
      <c r="I16" s="314"/>
      <c r="J16" s="312">
        <v>24</v>
      </c>
      <c r="L16" s="2"/>
    </row>
    <row r="17" spans="1:12" x14ac:dyDescent="0.2">
      <c r="A17" s="307" t="s">
        <v>38</v>
      </c>
      <c r="B17" s="308" t="s">
        <v>12</v>
      </c>
      <c r="C17" s="322" t="s">
        <v>39</v>
      </c>
      <c r="D17" s="313" t="s">
        <v>13</v>
      </c>
      <c r="E17" s="311" t="str">
        <f>HYPERLINK("#11!G1","11")</f>
        <v>11</v>
      </c>
      <c r="F17" s="315" t="s">
        <v>24</v>
      </c>
      <c r="G17" s="315" t="s">
        <v>25</v>
      </c>
      <c r="H17" s="309" t="str">
        <f>HYPERLINK("http://www.petanque.ee/idaviru/index.php?leht=v0017","Uudis")</f>
        <v>Uudis</v>
      </c>
      <c r="I17" s="314"/>
      <c r="J17" s="312">
        <v>19</v>
      </c>
    </row>
    <row r="18" spans="1:12" x14ac:dyDescent="0.2">
      <c r="A18" s="371" t="s">
        <v>40</v>
      </c>
      <c r="B18" s="372"/>
      <c r="C18" s="12"/>
      <c r="H18" s="12"/>
      <c r="I18" s="217"/>
    </row>
    <row r="19" spans="1:12" s="12" customFormat="1" x14ac:dyDescent="0.2">
      <c r="A19" s="307" t="s">
        <v>41</v>
      </c>
      <c r="B19" s="308" t="s">
        <v>12</v>
      </c>
      <c r="C19" s="322" t="s">
        <v>60</v>
      </c>
      <c r="D19" s="313" t="s">
        <v>19</v>
      </c>
      <c r="E19" s="311" t="str">
        <f>HYPERLINK("#12!G1","12")</f>
        <v>12</v>
      </c>
      <c r="F19" s="315" t="s">
        <v>27</v>
      </c>
      <c r="G19" s="131" t="s">
        <v>15</v>
      </c>
      <c r="H19" s="309" t="str">
        <f>HYPERLINK("http://www.petanque.ee/idaviru/index.php?leht=v0018","Uudis")</f>
        <v>Uudis</v>
      </c>
      <c r="I19" s="314">
        <v>25</v>
      </c>
      <c r="J19" s="312">
        <v>33</v>
      </c>
      <c r="L19" s="2"/>
    </row>
    <row r="20" spans="1:12" x14ac:dyDescent="0.2">
      <c r="A20" s="6" t="s">
        <v>42</v>
      </c>
      <c r="B20" s="7" t="s">
        <v>43</v>
      </c>
      <c r="C20" s="323" t="s">
        <v>659</v>
      </c>
      <c r="D20" s="14" t="s">
        <v>13</v>
      </c>
      <c r="E20" s="320" t="str">
        <f>HYPERLINK("#NV!L1","NV")</f>
        <v>NV</v>
      </c>
      <c r="F20" s="15" t="s">
        <v>27</v>
      </c>
      <c r="G20" s="8" t="s">
        <v>15</v>
      </c>
      <c r="H20" s="321" t="str">
        <f>HYPERLINK("http://www.petanque.ee/idaviru/index.php?leht=v0019","Uudis")</f>
        <v>Uudis</v>
      </c>
      <c r="I20" s="9">
        <v>25</v>
      </c>
      <c r="J20" s="10">
        <v>23</v>
      </c>
    </row>
    <row r="21" spans="1:12" x14ac:dyDescent="0.2">
      <c r="A21" s="307" t="s">
        <v>44</v>
      </c>
      <c r="B21" s="308" t="s">
        <v>12</v>
      </c>
      <c r="C21" s="322" t="s">
        <v>45</v>
      </c>
      <c r="D21" s="313" t="s">
        <v>17</v>
      </c>
      <c r="E21" s="311" t="str">
        <f>HYPERLINK("#13!I1","13")</f>
        <v>13</v>
      </c>
      <c r="F21" s="315" t="s">
        <v>24</v>
      </c>
      <c r="G21" s="315" t="s">
        <v>25</v>
      </c>
      <c r="H21" s="309" t="str">
        <f>HYPERLINK("http://www.petanque.ee/idaviru/index.php?leht=v0020","Uudis")</f>
        <v>Uudis</v>
      </c>
      <c r="I21" s="17"/>
      <c r="J21" s="312">
        <v>38</v>
      </c>
    </row>
    <row r="22" spans="1:12" x14ac:dyDescent="0.2">
      <c r="A22" s="307" t="s">
        <v>46</v>
      </c>
      <c r="B22" s="308" t="s">
        <v>47</v>
      </c>
      <c r="C22" s="322" t="s">
        <v>61</v>
      </c>
      <c r="D22" s="313" t="s">
        <v>13</v>
      </c>
      <c r="E22" s="311" t="str">
        <f>HYPERLINK("#14!I1","14")</f>
        <v>14</v>
      </c>
      <c r="F22" s="315" t="s">
        <v>27</v>
      </c>
      <c r="G22" s="131" t="s">
        <v>15</v>
      </c>
      <c r="H22" s="309" t="str">
        <f>HYPERLINK("http://www.petanque.ee/idaviru/index.php?leht=v0021","Uudis")</f>
        <v>Uudis</v>
      </c>
      <c r="I22" s="17">
        <v>25</v>
      </c>
      <c r="J22" s="312">
        <v>24</v>
      </c>
    </row>
    <row r="23" spans="1:12" x14ac:dyDescent="0.2">
      <c r="A23" s="307" t="s">
        <v>48</v>
      </c>
      <c r="B23" s="308" t="s">
        <v>12</v>
      </c>
      <c r="C23" s="322" t="s">
        <v>49</v>
      </c>
      <c r="D23" s="313" t="s">
        <v>19</v>
      </c>
      <c r="E23" s="311" t="str">
        <f>HYPERLINK("#15!G1","15")</f>
        <v>15</v>
      </c>
      <c r="F23" s="315" t="s">
        <v>24</v>
      </c>
      <c r="G23" s="315" t="s">
        <v>25</v>
      </c>
      <c r="H23" s="309" t="str">
        <f>HYPERLINK("http://www.petanque.ee/idaviru/index.php?leht=v0022","Uudis")</f>
        <v>Uudis</v>
      </c>
      <c r="I23" s="17"/>
      <c r="J23" s="312">
        <v>27</v>
      </c>
    </row>
    <row r="24" spans="1:12" x14ac:dyDescent="0.2">
      <c r="A24" s="371" t="s">
        <v>50</v>
      </c>
      <c r="B24" s="372"/>
      <c r="C24" s="12"/>
      <c r="E24" s="4"/>
      <c r="H24" s="12"/>
      <c r="I24" s="13"/>
    </row>
    <row r="25" spans="1:12" s="12" customFormat="1" x14ac:dyDescent="0.2">
      <c r="A25" s="317" t="s">
        <v>650</v>
      </c>
      <c r="B25" s="318" t="s">
        <v>47</v>
      </c>
      <c r="C25" s="322" t="s">
        <v>62</v>
      </c>
      <c r="D25" s="313" t="s">
        <v>13</v>
      </c>
      <c r="E25" s="311" t="str">
        <f>HYPERLINK("#16!I1","16")</f>
        <v>16</v>
      </c>
      <c r="F25" s="315" t="s">
        <v>24</v>
      </c>
      <c r="G25" s="315" t="s">
        <v>25</v>
      </c>
      <c r="H25" s="309" t="str">
        <f>HYPERLINK("http://www.petanque.ee/idaviru/index.php?leht=v0023","Uudis")</f>
        <v>Uudis</v>
      </c>
      <c r="I25" s="314"/>
      <c r="J25" s="312">
        <v>26</v>
      </c>
      <c r="L25" s="2"/>
    </row>
    <row r="26" spans="1:12" x14ac:dyDescent="0.2">
      <c r="A26" s="319" t="s">
        <v>651</v>
      </c>
      <c r="B26" s="318" t="s">
        <v>47</v>
      </c>
      <c r="C26" s="322" t="s">
        <v>62</v>
      </c>
      <c r="D26" s="313" t="s">
        <v>17</v>
      </c>
      <c r="E26" s="311" t="str">
        <f>HYPERLINK("#17!H1","17")</f>
        <v>17</v>
      </c>
      <c r="F26" s="315" t="s">
        <v>24</v>
      </c>
      <c r="G26" s="315" t="s">
        <v>25</v>
      </c>
      <c r="H26" s="309" t="str">
        <f>HYPERLINK("http://www.petanque.ee/idaviru/index.php?leht=v0024","Uudis")</f>
        <v>Uudis</v>
      </c>
      <c r="I26" s="314"/>
      <c r="J26" s="312">
        <v>30</v>
      </c>
    </row>
    <row r="27" spans="1:12" x14ac:dyDescent="0.2">
      <c r="E27" s="4"/>
    </row>
    <row r="28" spans="1:12" x14ac:dyDescent="0.2">
      <c r="A28" s="306" t="s">
        <v>658</v>
      </c>
    </row>
  </sheetData>
  <conditionalFormatting sqref="J5:J26">
    <cfRule type="top10" dxfId="42" priority="1" stopIfTrue="1" rank="1"/>
  </conditionalFormatting>
  <pageMargins left="0.59055118110236227" right="0.39370078740157483" top="0.78740157480314965" bottom="0.39370078740157483" header="0.59055118110236227" footer="0"/>
  <pageSetup paperSize="9" fitToHeight="0" orientation="landscape" verticalDpi="180" r:id="rId1"/>
  <headerFooter>
    <oddHeader>&amp;R&amp;"Arial,Regular"&amp;9Page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M156"/>
  <sheetViews>
    <sheetView showGridLines="0" showRowColHeaders="0" tabSelected="1" workbookViewId="0">
      <pane ySplit="7" topLeftCell="A8" activePane="bottomLeft" state="frozen"/>
      <selection activeCell="G1" sqref="G1"/>
      <selection pane="bottomLeft" activeCell="J1" sqref="J1"/>
    </sheetView>
  </sheetViews>
  <sheetFormatPr defaultRowHeight="12.75" x14ac:dyDescent="0.2"/>
  <cols>
    <col min="1" max="1" width="4" style="248" customWidth="1"/>
    <col min="2" max="2" width="3.28515625" style="248" customWidth="1"/>
    <col min="3" max="3" width="15.7109375" style="248" customWidth="1"/>
    <col min="4" max="4" width="4" style="21" bestFit="1" customWidth="1"/>
    <col min="5" max="5" width="4" style="248" bestFit="1" customWidth="1"/>
    <col min="6" max="7" width="3.28515625" style="248" customWidth="1"/>
    <col min="8" max="9" width="4" style="248" bestFit="1" customWidth="1"/>
    <col min="10" max="10" width="3.28515625" style="248" customWidth="1"/>
    <col min="11" max="12" width="3.28515625" style="265" customWidth="1"/>
    <col min="13" max="13" width="4" style="265" bestFit="1" customWidth="1"/>
    <col min="14" max="14" width="3.28515625" style="265" customWidth="1"/>
    <col min="15" max="15" width="4" style="248" bestFit="1" customWidth="1"/>
    <col min="16" max="17" width="3.28515625" style="265" customWidth="1"/>
    <col min="18" max="18" width="4" style="265" bestFit="1" customWidth="1"/>
    <col min="19" max="19" width="3.28515625" style="265" customWidth="1"/>
    <col min="20" max="20" width="4" style="265" bestFit="1" customWidth="1"/>
    <col min="21" max="24" width="3.28515625" style="248" customWidth="1"/>
    <col min="25" max="16384" width="9.140625" style="248"/>
  </cols>
  <sheetData>
    <row r="1" spans="1:39" x14ac:dyDescent="0.2">
      <c r="B1" s="19"/>
      <c r="C1" s="19" t="s">
        <v>51</v>
      </c>
      <c r="U1" s="23" t="s">
        <v>652</v>
      </c>
      <c r="V1" s="24"/>
      <c r="W1" s="25" t="s">
        <v>52</v>
      </c>
      <c r="X1" s="25"/>
    </row>
    <row r="2" spans="1:39" x14ac:dyDescent="0.2">
      <c r="B2" s="26"/>
      <c r="C2" s="287" t="s">
        <v>653</v>
      </c>
      <c r="U2" s="286"/>
      <c r="V2" s="27"/>
      <c r="W2" s="28" t="s">
        <v>53</v>
      </c>
      <c r="X2" s="28"/>
    </row>
    <row r="3" spans="1:39" x14ac:dyDescent="0.2">
      <c r="B3" s="26"/>
      <c r="C3" s="287"/>
      <c r="U3" s="286"/>
      <c r="V3" s="27"/>
      <c r="W3" s="29" t="s">
        <v>54</v>
      </c>
      <c r="X3" s="29"/>
    </row>
    <row r="4" spans="1:39" ht="93.75" customHeight="1" x14ac:dyDescent="0.2">
      <c r="A4" s="243"/>
      <c r="B4" s="243"/>
      <c r="C4" s="285" t="str">
        <f>HYPERLINK("http://www.petanque.ee/idaviru/index.php?leht=arhiiv2002","Aastareitingu punktisummad on saadud sellelt lehelt.")</f>
        <v>Aastareitingu punktisummad on saadud sellelt lehelt.</v>
      </c>
      <c r="D4" s="30"/>
      <c r="E4" s="293" t="str">
        <f>Kalend!C5</f>
        <v>K-Järve 3. MV</v>
      </c>
      <c r="F4" s="31" t="str">
        <f>Kalend!C6</f>
        <v>K-Järve 3. MV</v>
      </c>
      <c r="G4" s="31" t="str">
        <f>Kalend!C7</f>
        <v>K-Järve 1. MV</v>
      </c>
      <c r="H4" s="293" t="str">
        <f>Kalend!C9</f>
        <v>K-Järve 1. KV 1. etapp</v>
      </c>
      <c r="I4" s="293" t="str">
        <f>Kalend!C10</f>
        <v>Jõhvi petangiteisipäevakute 1. etapp</v>
      </c>
      <c r="J4" s="31" t="str">
        <f>Kalend!C11</f>
        <v>K-Järve 1. KV 2. etapp</v>
      </c>
      <c r="K4" s="31" t="str">
        <f>Kalend!C12</f>
        <v>K-Nõmme 1. MV</v>
      </c>
      <c r="L4" s="31" t="str">
        <f>Kalend!C13</f>
        <v>Jõhvi petangiteisipäevakute 2. etapp</v>
      </c>
      <c r="M4" s="293" t="str">
        <f>Kalend!C14</f>
        <v>Voka 1. MV</v>
      </c>
      <c r="N4" s="31" t="str">
        <f>Kalend!C16</f>
        <v>Jõhvi petangiteisipäevakute 3. etapp</v>
      </c>
      <c r="O4" s="293" t="str">
        <f>Kalend!C17</f>
        <v>Jõhvi petangiteisipäevakute 4. etapp</v>
      </c>
      <c r="P4" s="31" t="str">
        <f>Kalend!C19</f>
        <v>K-Järve 1. KV 3. etapp</v>
      </c>
      <c r="Q4" s="31" t="str">
        <f>Kalend!C21</f>
        <v>Jõhvi petangiteisipäevakute 5. etapp</v>
      </c>
      <c r="R4" s="294" t="str">
        <f>Kalend!C22</f>
        <v>K-Järve 1. KV 4. etapp</v>
      </c>
      <c r="S4" s="31" t="str">
        <f>Kalend!C23</f>
        <v>Jõhvi petangiteisipäevakute 6. etapp</v>
      </c>
      <c r="T4" s="293" t="str">
        <f>Kalend!C25</f>
        <v>Jõhvi 2. MV</v>
      </c>
      <c r="U4" s="31" t="str">
        <f>Kalend!C26</f>
        <v>Jõhvi 2. MV</v>
      </c>
      <c r="V4" s="396" t="s">
        <v>656</v>
      </c>
      <c r="W4" s="397" t="s">
        <v>63</v>
      </c>
      <c r="X4" s="397" t="s">
        <v>64</v>
      </c>
    </row>
    <row r="5" spans="1:39" ht="29.25" x14ac:dyDescent="0.2">
      <c r="A5" s="243"/>
      <c r="B5" s="243"/>
      <c r="C5" s="32"/>
      <c r="D5" s="30"/>
      <c r="E5" s="303" t="str">
        <f>HYPERLINK("http://www.petanque.ee/idaviru/index.php?leht=v0007",MID(Kalend!A5,4,5))</f>
        <v>07.05</v>
      </c>
      <c r="F5" s="304" t="str">
        <f>HYPERLINK("http://www.petanque.ee/idaviru/index.php?leht=v0008",MID(Kalend!A6,4,5))</f>
        <v>14.05</v>
      </c>
      <c r="G5" s="304" t="str">
        <f>HYPERLINK("http://www.petanque.ee/idaviru/index.php?leht=v0009",MID(Kalend!A7,4,5))</f>
        <v>28.05</v>
      </c>
      <c r="H5" s="303" t="str">
        <f>HYPERLINK("http://www.petanque.ee/idaviru/index.php?leht=v0010",MID(Kalend!A9,4,5))</f>
        <v>04.06</v>
      </c>
      <c r="I5" s="303" t="str">
        <f>HYPERLINK("http://www.petanque.ee/idaviru/index.php?leht=v0011",MID(Kalend!A10,4,5))</f>
        <v>11.06</v>
      </c>
      <c r="J5" s="304" t="str">
        <f>HYPERLINK("http://www.petanque.ee/idaviru/index.php?leht=v0012",MID(Kalend!A11,4,5))</f>
        <v>18.06</v>
      </c>
      <c r="K5" s="304" t="str">
        <f>HYPERLINK("http://www.petanque.ee/idaviru/index.php?leht=v0013",MID(Kalend!A12,4,5))</f>
        <v>20.06</v>
      </c>
      <c r="L5" s="304" t="str">
        <f>HYPERLINK("http://www.petanque.ee/idaviru/index.php?leht=v0014",MID(Kalend!A13,4,5))</f>
        <v>25.06</v>
      </c>
      <c r="M5" s="303" t="str">
        <f>HYPERLINK("http://www.petanque.ee/idaviru/index.php?leht=v0015",MID(Kalend!A14,4,5))</f>
        <v>27.06</v>
      </c>
      <c r="N5" s="304" t="str">
        <f>HYPERLINK("http://www.petanque.ee/idaviru/index.php?leht=v0016",MID(Kalend!A16,4,5))</f>
        <v>09.07</v>
      </c>
      <c r="O5" s="303" t="str">
        <f>HYPERLINK("http://www.petanque.ee/idaviru/index.php?leht=v0017",MID(Kalend!A17,4,5))</f>
        <v>23.07</v>
      </c>
      <c r="P5" s="304" t="str">
        <f>HYPERLINK("http://www.petanque.ee/idaviru/index.php?leht=v0018",MID(Kalend!A19,4,5))</f>
        <v>06.08</v>
      </c>
      <c r="Q5" s="304" t="str">
        <f>HYPERLINK("http://www.petanque.ee/idaviru/index.php?leht=v0020",MID(Kalend!A21,4,5))</f>
        <v>13.08</v>
      </c>
      <c r="R5" s="303" t="str">
        <f>HYPERLINK("http://www.petanque.ee/idaviru/index.php?leht=v0021",MID(Kalend!A22,4,5))</f>
        <v>20.08</v>
      </c>
      <c r="S5" s="304" t="str">
        <f>HYPERLINK("http://www.petanque.ee/idaviru/index.php?leht=v0022",MID(Kalend!A23,4,5))</f>
        <v>27.08</v>
      </c>
      <c r="T5" s="303" t="str">
        <f>HYPERLINK("http://www.petanque.ee/idaviru/index.php?leht=v0023",MID(Kalend!A25,4,5))</f>
        <v>08.09</v>
      </c>
      <c r="U5" s="304" t="str">
        <f>HYPERLINK("http://www.petanque.ee/idaviru/index.php?leht=v0024",MID(Kalend!A26,4,5))</f>
        <v>29.09</v>
      </c>
      <c r="V5" s="396"/>
      <c r="W5" s="397"/>
      <c r="X5" s="397"/>
      <c r="AM5" s="12"/>
    </row>
    <row r="6" spans="1:39" x14ac:dyDescent="0.2">
      <c r="A6" s="351" t="s">
        <v>662</v>
      </c>
      <c r="B6" s="352"/>
      <c r="C6" s="33"/>
      <c r="D6" s="357"/>
      <c r="E6" s="305" t="str">
        <f>HYPERLINK("#1!I1"," 1 ")</f>
        <v xml:space="preserve"> 1 </v>
      </c>
      <c r="F6" s="305" t="str">
        <f>HYPERLINK("#2!G1"," 2 ")</f>
        <v xml:space="preserve"> 2 </v>
      </c>
      <c r="G6" s="305" t="str">
        <f>HYPERLINK("#3!G1"," 3 ")</f>
        <v xml:space="preserve"> 3 </v>
      </c>
      <c r="H6" s="305" t="str">
        <f>HYPERLINK("#4!H1"," 4 ")</f>
        <v xml:space="preserve"> 4 </v>
      </c>
      <c r="I6" s="305" t="str">
        <f>HYPERLINK("#5!I1"," 5 ")</f>
        <v xml:space="preserve"> 5 </v>
      </c>
      <c r="J6" s="305" t="str">
        <f>HYPERLINK("#6!H1"," 6 ")</f>
        <v xml:space="preserve"> 6 </v>
      </c>
      <c r="K6" s="305" t="str">
        <f>HYPERLINK("#7!G1"," 7 ")</f>
        <v xml:space="preserve"> 7 </v>
      </c>
      <c r="L6" s="305" t="str">
        <f>HYPERLINK("#8!G1"," 8 ")</f>
        <v xml:space="preserve"> 8 </v>
      </c>
      <c r="M6" s="305" t="str">
        <f>HYPERLINK("#9!J1"," 9 ")</f>
        <v xml:space="preserve"> 9 </v>
      </c>
      <c r="N6" s="305" t="str">
        <f>HYPERLINK("#10!G1","10")</f>
        <v>10</v>
      </c>
      <c r="O6" s="305" t="str">
        <f>HYPERLINK("#11!G1","11")</f>
        <v>11</v>
      </c>
      <c r="P6" s="305" t="str">
        <f>HYPERLINK("#12!G1","12")</f>
        <v>12</v>
      </c>
      <c r="Q6" s="305" t="str">
        <f>HYPERLINK("#13!I1","13")</f>
        <v>13</v>
      </c>
      <c r="R6" s="305" t="str">
        <f>HYPERLINK("#14!I1","14")</f>
        <v>14</v>
      </c>
      <c r="S6" s="305" t="str">
        <f>HYPERLINK("#15!G1","15")</f>
        <v>15</v>
      </c>
      <c r="T6" s="305" t="str">
        <f>HYPERLINK("#16!I1","16")</f>
        <v>16</v>
      </c>
      <c r="U6" s="305" t="str">
        <f>HYPERLINK("#17!H1","17")</f>
        <v>17</v>
      </c>
      <c r="V6" s="396"/>
      <c r="W6" s="397"/>
      <c r="X6" s="397"/>
    </row>
    <row r="7" spans="1:39" x14ac:dyDescent="0.2">
      <c r="A7" s="353" t="s">
        <v>663</v>
      </c>
      <c r="B7" s="288" t="s">
        <v>65</v>
      </c>
      <c r="C7" s="34" t="s">
        <v>66</v>
      </c>
      <c r="D7" s="353" t="s">
        <v>67</v>
      </c>
      <c r="E7" s="348" t="s">
        <v>68</v>
      </c>
      <c r="F7" s="348" t="s">
        <v>69</v>
      </c>
      <c r="G7" s="348" t="s">
        <v>70</v>
      </c>
      <c r="H7" s="348" t="s">
        <v>68</v>
      </c>
      <c r="I7" s="348" t="s">
        <v>68</v>
      </c>
      <c r="J7" s="348" t="s">
        <v>69</v>
      </c>
      <c r="K7" s="348" t="s">
        <v>69</v>
      </c>
      <c r="L7" s="348" t="s">
        <v>69</v>
      </c>
      <c r="M7" s="348" t="s">
        <v>68</v>
      </c>
      <c r="N7" s="348" t="s">
        <v>70</v>
      </c>
      <c r="O7" s="348" t="s">
        <v>68</v>
      </c>
      <c r="P7" s="348" t="s">
        <v>70</v>
      </c>
      <c r="Q7" s="348" t="s">
        <v>69</v>
      </c>
      <c r="R7" s="348" t="s">
        <v>68</v>
      </c>
      <c r="S7" s="348" t="s">
        <v>70</v>
      </c>
      <c r="T7" s="348" t="s">
        <v>68</v>
      </c>
      <c r="U7" s="348" t="s">
        <v>69</v>
      </c>
      <c r="V7" s="36">
        <f>COUNTIF(H7:U7,"&gt;0")</f>
        <v>0</v>
      </c>
      <c r="W7" s="36">
        <f>COUNTIF(H7:U7,"&gt;=60")</f>
        <v>0</v>
      </c>
      <c r="X7" s="36">
        <f>COUNTIF(H7:U7,"=100")</f>
        <v>0</v>
      </c>
    </row>
    <row r="8" spans="1:39" x14ac:dyDescent="0.2">
      <c r="A8" s="354">
        <v>1</v>
      </c>
      <c r="B8" s="289"/>
      <c r="C8" s="347" t="s">
        <v>71</v>
      </c>
      <c r="D8" s="353">
        <v>335</v>
      </c>
      <c r="E8" s="38">
        <v>100</v>
      </c>
      <c r="F8" s="38">
        <v>45</v>
      </c>
      <c r="G8" s="38">
        <v>50</v>
      </c>
      <c r="H8" s="38">
        <v>30</v>
      </c>
      <c r="I8" s="38">
        <v>5</v>
      </c>
      <c r="J8" s="38">
        <v>60</v>
      </c>
      <c r="K8" s="38">
        <v>45</v>
      </c>
      <c r="L8" s="38">
        <v>45</v>
      </c>
      <c r="M8" s="39">
        <v>17</v>
      </c>
      <c r="N8" s="38">
        <v>40</v>
      </c>
      <c r="O8" s="38"/>
      <c r="P8" s="38">
        <v>50</v>
      </c>
      <c r="Q8" s="38">
        <v>75</v>
      </c>
      <c r="R8" s="38">
        <v>80</v>
      </c>
      <c r="S8" s="38">
        <v>11</v>
      </c>
      <c r="T8" s="38">
        <v>80</v>
      </c>
      <c r="U8" s="38">
        <v>17</v>
      </c>
      <c r="V8" s="36">
        <f>COUNTIF(E8:U8,"&gt;=0")</f>
        <v>16</v>
      </c>
      <c r="W8" s="36">
        <f>COUNTIF(E8:U8,"&gt;=45")+COUNTIF(G8,"=40")+COUNTIF(N8,"=40")+COUNTIF(P8,"=40")+COUNTIF(S8,"=40")+COUNTIF(G8,"=30")+COUNTIF(N8,"=30")+COUNTIF(P8,"=30")+COUNTIF(S8,"=30")</f>
        <v>11</v>
      </c>
      <c r="X8" s="36">
        <f>COUNTIF(E8:U8,"&gt;=75")+COUNTIF(G8,"=50")+COUNTIF(N8,"=50")+COUNTIF(P8,"=50")+COUNTIF(S8,"=50")</f>
        <v>6</v>
      </c>
    </row>
    <row r="9" spans="1:39" x14ac:dyDescent="0.2">
      <c r="A9" s="354">
        <v>2</v>
      </c>
      <c r="B9" s="289"/>
      <c r="C9" s="264" t="s">
        <v>72</v>
      </c>
      <c r="D9" s="353">
        <v>315</v>
      </c>
      <c r="E9" s="38"/>
      <c r="F9" s="38">
        <v>45</v>
      </c>
      <c r="G9" s="38">
        <v>50</v>
      </c>
      <c r="H9" s="38">
        <v>40</v>
      </c>
      <c r="I9" s="38">
        <v>80</v>
      </c>
      <c r="J9" s="38">
        <v>60</v>
      </c>
      <c r="K9" s="38">
        <v>45</v>
      </c>
      <c r="L9" s="38">
        <v>45</v>
      </c>
      <c r="M9" s="39">
        <v>0</v>
      </c>
      <c r="N9" s="38">
        <v>40</v>
      </c>
      <c r="O9" s="38">
        <v>100</v>
      </c>
      <c r="P9" s="38">
        <v>50</v>
      </c>
      <c r="Q9" s="38">
        <v>75</v>
      </c>
      <c r="R9" s="38">
        <v>40</v>
      </c>
      <c r="S9" s="38">
        <v>11</v>
      </c>
      <c r="T9" s="38">
        <v>30</v>
      </c>
      <c r="U9" s="38">
        <v>17</v>
      </c>
      <c r="V9" s="36">
        <f t="shared" ref="V9:V32" si="0">COUNTIF(E9:U9,"&gt;=0")</f>
        <v>16</v>
      </c>
      <c r="W9" s="36">
        <f t="shared" ref="W9:W32" si="1">COUNTIF(E9:U9,"&gt;=45")+COUNTIF(G9,"=40")+COUNTIF(N9,"=40")+COUNTIF(P9,"=40")+COUNTIF(S9,"=40")+COUNTIF(G9,"=30")+COUNTIF(N9,"=30")+COUNTIF(P9,"=30")+COUNTIF(S9,"=30")</f>
        <v>10</v>
      </c>
      <c r="X9" s="36">
        <f t="shared" ref="X9:X32" si="2">COUNTIF(E9:U9,"&gt;=75")+COUNTIF(G9,"=50")+COUNTIF(N9,"=50")+COUNTIF(P9,"=50")+COUNTIF(S9,"=50")</f>
        <v>5</v>
      </c>
    </row>
    <row r="10" spans="1:39" s="26" customFormat="1" x14ac:dyDescent="0.2">
      <c r="A10" s="355">
        <v>3</v>
      </c>
      <c r="B10" s="290"/>
      <c r="C10" s="40" t="s">
        <v>641</v>
      </c>
      <c r="D10" s="358">
        <v>295</v>
      </c>
      <c r="E10" s="39"/>
      <c r="F10" s="39"/>
      <c r="G10" s="39"/>
      <c r="H10" s="39">
        <v>80</v>
      </c>
      <c r="I10" s="39"/>
      <c r="J10" s="39">
        <v>75</v>
      </c>
      <c r="K10" s="39"/>
      <c r="L10" s="39"/>
      <c r="M10" s="39"/>
      <c r="N10" s="39"/>
      <c r="O10" s="39"/>
      <c r="P10" s="39">
        <v>40</v>
      </c>
      <c r="Q10" s="39"/>
      <c r="R10" s="39">
        <v>100</v>
      </c>
      <c r="S10" s="39"/>
      <c r="T10" s="39"/>
      <c r="U10" s="39"/>
      <c r="V10" s="36">
        <f t="shared" si="0"/>
        <v>4</v>
      </c>
      <c r="W10" s="36">
        <f t="shared" si="1"/>
        <v>4</v>
      </c>
      <c r="X10" s="36">
        <f t="shared" si="2"/>
        <v>3</v>
      </c>
      <c r="Y10" s="248"/>
      <c r="Z10" s="248"/>
    </row>
    <row r="11" spans="1:39" x14ac:dyDescent="0.2">
      <c r="A11" s="354">
        <v>4</v>
      </c>
      <c r="B11" s="290"/>
      <c r="C11" s="41" t="s">
        <v>74</v>
      </c>
      <c r="D11" s="353">
        <v>280</v>
      </c>
      <c r="E11" s="38"/>
      <c r="F11" s="38">
        <v>60</v>
      </c>
      <c r="G11" s="38">
        <v>40</v>
      </c>
      <c r="H11" s="38">
        <v>25</v>
      </c>
      <c r="I11" s="38">
        <v>100</v>
      </c>
      <c r="J11" s="38">
        <v>13</v>
      </c>
      <c r="K11" s="38">
        <v>17</v>
      </c>
      <c r="L11" s="38">
        <v>23</v>
      </c>
      <c r="M11" s="39">
        <v>25</v>
      </c>
      <c r="N11" s="38">
        <v>20</v>
      </c>
      <c r="O11" s="38">
        <v>80</v>
      </c>
      <c r="P11" s="38">
        <v>9</v>
      </c>
      <c r="Q11" s="38">
        <v>0</v>
      </c>
      <c r="R11" s="38">
        <v>30</v>
      </c>
      <c r="S11" s="38">
        <v>40</v>
      </c>
      <c r="T11" s="38">
        <v>10</v>
      </c>
      <c r="U11" s="38"/>
      <c r="V11" s="36">
        <f t="shared" si="0"/>
        <v>15</v>
      </c>
      <c r="W11" s="36">
        <f t="shared" si="1"/>
        <v>5</v>
      </c>
      <c r="X11" s="36">
        <f t="shared" si="2"/>
        <v>2</v>
      </c>
    </row>
    <row r="12" spans="1:39" s="26" customFormat="1" x14ac:dyDescent="0.2">
      <c r="A12" s="355">
        <v>5</v>
      </c>
      <c r="B12" s="290">
        <v>1</v>
      </c>
      <c r="C12" s="42" t="s">
        <v>75</v>
      </c>
      <c r="D12" s="358">
        <v>275</v>
      </c>
      <c r="E12" s="39"/>
      <c r="F12" s="39"/>
      <c r="G12" s="39"/>
      <c r="H12" s="39">
        <v>100</v>
      </c>
      <c r="I12" s="39"/>
      <c r="J12" s="39">
        <v>75</v>
      </c>
      <c r="K12" s="39"/>
      <c r="L12" s="39"/>
      <c r="M12" s="39"/>
      <c r="N12" s="39"/>
      <c r="O12" s="39"/>
      <c r="P12" s="39">
        <v>40</v>
      </c>
      <c r="Q12" s="39"/>
      <c r="R12" s="39">
        <v>60</v>
      </c>
      <c r="S12" s="39"/>
      <c r="T12" s="39"/>
      <c r="U12" s="39"/>
      <c r="V12" s="36">
        <f t="shared" si="0"/>
        <v>4</v>
      </c>
      <c r="W12" s="36">
        <f t="shared" si="1"/>
        <v>4</v>
      </c>
      <c r="X12" s="36">
        <f t="shared" si="2"/>
        <v>2</v>
      </c>
      <c r="Y12" s="248"/>
      <c r="Z12" s="248"/>
    </row>
    <row r="13" spans="1:39" x14ac:dyDescent="0.2">
      <c r="A13" s="354">
        <v>6</v>
      </c>
      <c r="B13" s="289"/>
      <c r="C13" s="41" t="s">
        <v>76</v>
      </c>
      <c r="D13" s="353">
        <v>270</v>
      </c>
      <c r="E13" s="38"/>
      <c r="F13" s="38"/>
      <c r="G13" s="38">
        <v>50</v>
      </c>
      <c r="H13" s="38">
        <v>60</v>
      </c>
      <c r="I13" s="38">
        <v>17</v>
      </c>
      <c r="J13" s="38">
        <v>13</v>
      </c>
      <c r="K13" s="38">
        <v>17</v>
      </c>
      <c r="L13" s="38">
        <v>75</v>
      </c>
      <c r="M13" s="39">
        <v>22</v>
      </c>
      <c r="N13" s="38">
        <v>20</v>
      </c>
      <c r="O13" s="38">
        <v>40</v>
      </c>
      <c r="P13" s="38">
        <v>50</v>
      </c>
      <c r="Q13" s="38">
        <v>5</v>
      </c>
      <c r="R13" s="38">
        <v>17</v>
      </c>
      <c r="S13" s="38">
        <v>11</v>
      </c>
      <c r="T13" s="38">
        <v>60</v>
      </c>
      <c r="U13" s="38">
        <v>75</v>
      </c>
      <c r="V13" s="36">
        <f t="shared" si="0"/>
        <v>15</v>
      </c>
      <c r="W13" s="36">
        <f t="shared" si="1"/>
        <v>6</v>
      </c>
      <c r="X13" s="36">
        <f t="shared" si="2"/>
        <v>4</v>
      </c>
    </row>
    <row r="14" spans="1:39" x14ac:dyDescent="0.2">
      <c r="A14" s="354">
        <v>7</v>
      </c>
      <c r="B14" s="289"/>
      <c r="C14" s="243" t="s">
        <v>77</v>
      </c>
      <c r="D14" s="353">
        <v>230</v>
      </c>
      <c r="E14" s="38"/>
      <c r="F14" s="38">
        <v>30</v>
      </c>
      <c r="G14" s="38">
        <v>30</v>
      </c>
      <c r="H14" s="38">
        <v>7</v>
      </c>
      <c r="I14" s="38">
        <v>60</v>
      </c>
      <c r="J14" s="38">
        <v>17</v>
      </c>
      <c r="K14" s="38">
        <v>5</v>
      </c>
      <c r="L14" s="38">
        <v>60</v>
      </c>
      <c r="M14" s="39"/>
      <c r="N14" s="38">
        <v>50</v>
      </c>
      <c r="O14" s="38">
        <v>60</v>
      </c>
      <c r="P14" s="38">
        <v>10</v>
      </c>
      <c r="Q14" s="38">
        <v>45</v>
      </c>
      <c r="R14" s="38">
        <v>5</v>
      </c>
      <c r="S14" s="38">
        <v>30</v>
      </c>
      <c r="T14" s="38">
        <v>40</v>
      </c>
      <c r="U14" s="38">
        <v>5</v>
      </c>
      <c r="V14" s="36">
        <f t="shared" si="0"/>
        <v>15</v>
      </c>
      <c r="W14" s="36">
        <f t="shared" si="1"/>
        <v>7</v>
      </c>
      <c r="X14" s="36">
        <f t="shared" si="2"/>
        <v>1</v>
      </c>
    </row>
    <row r="15" spans="1:39" x14ac:dyDescent="0.2">
      <c r="A15" s="354">
        <v>8</v>
      </c>
      <c r="B15" s="289"/>
      <c r="C15" s="243" t="s">
        <v>78</v>
      </c>
      <c r="D15" s="353">
        <v>205</v>
      </c>
      <c r="E15" s="38"/>
      <c r="F15" s="38"/>
      <c r="G15" s="38"/>
      <c r="H15" s="38"/>
      <c r="I15" s="38">
        <v>40</v>
      </c>
      <c r="J15" s="38">
        <v>45</v>
      </c>
      <c r="K15" s="38">
        <v>10</v>
      </c>
      <c r="L15" s="38">
        <v>10</v>
      </c>
      <c r="M15" s="39">
        <v>60</v>
      </c>
      <c r="N15" s="38">
        <v>13</v>
      </c>
      <c r="O15" s="38"/>
      <c r="P15" s="38">
        <v>13</v>
      </c>
      <c r="Q15" s="38">
        <v>1</v>
      </c>
      <c r="R15" s="38">
        <v>1</v>
      </c>
      <c r="S15" s="38">
        <v>9</v>
      </c>
      <c r="T15" s="38"/>
      <c r="U15" s="38">
        <v>60</v>
      </c>
      <c r="V15" s="36">
        <f t="shared" si="0"/>
        <v>11</v>
      </c>
      <c r="W15" s="36">
        <f t="shared" si="1"/>
        <v>3</v>
      </c>
      <c r="X15" s="36">
        <f t="shared" si="2"/>
        <v>0</v>
      </c>
    </row>
    <row r="16" spans="1:39" x14ac:dyDescent="0.2">
      <c r="A16" s="354">
        <v>9</v>
      </c>
      <c r="B16" s="289"/>
      <c r="C16" s="243" t="s">
        <v>79</v>
      </c>
      <c r="D16" s="353">
        <v>200</v>
      </c>
      <c r="E16" s="38">
        <v>60</v>
      </c>
      <c r="F16" s="38">
        <v>19</v>
      </c>
      <c r="G16" s="38">
        <v>10</v>
      </c>
      <c r="H16" s="38">
        <v>13</v>
      </c>
      <c r="I16" s="38">
        <v>25</v>
      </c>
      <c r="J16" s="38">
        <v>5</v>
      </c>
      <c r="K16" s="38">
        <v>23</v>
      </c>
      <c r="L16" s="38">
        <v>17</v>
      </c>
      <c r="M16" s="39"/>
      <c r="N16" s="38"/>
      <c r="O16" s="38">
        <v>22</v>
      </c>
      <c r="P16" s="39">
        <v>40</v>
      </c>
      <c r="Q16" s="38">
        <v>60</v>
      </c>
      <c r="R16" s="38">
        <v>0</v>
      </c>
      <c r="S16" s="38">
        <v>40</v>
      </c>
      <c r="T16" s="38">
        <v>25</v>
      </c>
      <c r="U16" s="38">
        <v>13</v>
      </c>
      <c r="V16" s="36">
        <f t="shared" si="0"/>
        <v>15</v>
      </c>
      <c r="W16" s="36">
        <f t="shared" si="1"/>
        <v>4</v>
      </c>
      <c r="X16" s="36">
        <f t="shared" si="2"/>
        <v>0</v>
      </c>
    </row>
    <row r="17" spans="1:26" x14ac:dyDescent="0.2">
      <c r="A17" s="354">
        <v>10</v>
      </c>
      <c r="B17" s="289"/>
      <c r="C17" s="243" t="s">
        <v>80</v>
      </c>
      <c r="D17" s="353">
        <v>185</v>
      </c>
      <c r="E17" s="38"/>
      <c r="F17" s="38"/>
      <c r="G17" s="38"/>
      <c r="H17" s="38"/>
      <c r="I17" s="38"/>
      <c r="J17" s="38"/>
      <c r="K17" s="38">
        <v>75</v>
      </c>
      <c r="L17" s="38"/>
      <c r="M17" s="39">
        <v>5</v>
      </c>
      <c r="N17" s="38">
        <v>15</v>
      </c>
      <c r="O17" s="38">
        <v>30</v>
      </c>
      <c r="P17" s="38">
        <v>30</v>
      </c>
      <c r="Q17" s="38">
        <v>23</v>
      </c>
      <c r="R17" s="38">
        <v>10</v>
      </c>
      <c r="S17" s="38">
        <v>50</v>
      </c>
      <c r="T17" s="38">
        <v>13</v>
      </c>
      <c r="U17" s="38">
        <v>23</v>
      </c>
      <c r="V17" s="36">
        <f t="shared" si="0"/>
        <v>10</v>
      </c>
      <c r="W17" s="36">
        <f t="shared" si="1"/>
        <v>3</v>
      </c>
      <c r="X17" s="36">
        <f t="shared" si="2"/>
        <v>2</v>
      </c>
    </row>
    <row r="18" spans="1:26" x14ac:dyDescent="0.2">
      <c r="A18" s="354">
        <v>11</v>
      </c>
      <c r="B18" s="289"/>
      <c r="C18" s="243" t="s">
        <v>81</v>
      </c>
      <c r="D18" s="353">
        <v>185</v>
      </c>
      <c r="E18" s="38"/>
      <c r="F18" s="38">
        <v>30</v>
      </c>
      <c r="G18" s="38">
        <v>30</v>
      </c>
      <c r="H18" s="38">
        <v>17</v>
      </c>
      <c r="I18" s="38">
        <v>20</v>
      </c>
      <c r="J18" s="38">
        <v>17</v>
      </c>
      <c r="K18" s="38">
        <v>5</v>
      </c>
      <c r="L18" s="38">
        <v>60</v>
      </c>
      <c r="M18" s="39">
        <v>0</v>
      </c>
      <c r="N18" s="38">
        <v>50</v>
      </c>
      <c r="O18" s="38">
        <v>13</v>
      </c>
      <c r="P18" s="38">
        <v>10</v>
      </c>
      <c r="Q18" s="38">
        <v>45</v>
      </c>
      <c r="R18" s="38">
        <v>22</v>
      </c>
      <c r="S18" s="38">
        <v>30</v>
      </c>
      <c r="T18" s="38">
        <v>17</v>
      </c>
      <c r="U18" s="38">
        <v>4</v>
      </c>
      <c r="V18" s="36">
        <f t="shared" si="0"/>
        <v>16</v>
      </c>
      <c r="W18" s="36">
        <f t="shared" si="1"/>
        <v>5</v>
      </c>
      <c r="X18" s="36">
        <f t="shared" si="2"/>
        <v>1</v>
      </c>
    </row>
    <row r="19" spans="1:26" x14ac:dyDescent="0.2">
      <c r="A19" s="354">
        <v>12</v>
      </c>
      <c r="B19" s="289"/>
      <c r="C19" s="243" t="s">
        <v>82</v>
      </c>
      <c r="D19" s="353">
        <v>165</v>
      </c>
      <c r="E19" s="38">
        <v>30</v>
      </c>
      <c r="F19" s="38">
        <v>75</v>
      </c>
      <c r="G19" s="38">
        <v>20</v>
      </c>
      <c r="H19" s="38">
        <v>3</v>
      </c>
      <c r="I19" s="38">
        <v>22</v>
      </c>
      <c r="J19" s="38">
        <v>30</v>
      </c>
      <c r="K19" s="38"/>
      <c r="L19" s="38">
        <v>30</v>
      </c>
      <c r="M19" s="39">
        <v>0</v>
      </c>
      <c r="N19" s="38"/>
      <c r="O19" s="38"/>
      <c r="P19" s="38">
        <v>15</v>
      </c>
      <c r="Q19" s="38"/>
      <c r="R19" s="38"/>
      <c r="S19" s="38">
        <v>20</v>
      </c>
      <c r="T19" s="38">
        <v>1</v>
      </c>
      <c r="U19" s="38">
        <v>30</v>
      </c>
      <c r="V19" s="36">
        <f t="shared" si="0"/>
        <v>12</v>
      </c>
      <c r="W19" s="36">
        <f t="shared" si="1"/>
        <v>1</v>
      </c>
      <c r="X19" s="36">
        <f t="shared" si="2"/>
        <v>1</v>
      </c>
    </row>
    <row r="20" spans="1:26" x14ac:dyDescent="0.2">
      <c r="A20" s="354">
        <v>13</v>
      </c>
      <c r="B20" s="289"/>
      <c r="C20" s="43" t="s">
        <v>83</v>
      </c>
      <c r="D20" s="353">
        <v>163</v>
      </c>
      <c r="E20" s="38">
        <v>22</v>
      </c>
      <c r="F20" s="38"/>
      <c r="G20" s="38">
        <v>10</v>
      </c>
      <c r="H20" s="38">
        <v>10</v>
      </c>
      <c r="I20" s="38">
        <v>13</v>
      </c>
      <c r="J20" s="38">
        <v>19</v>
      </c>
      <c r="K20" s="38">
        <v>23</v>
      </c>
      <c r="L20" s="38">
        <v>17</v>
      </c>
      <c r="M20" s="39"/>
      <c r="N20" s="38">
        <v>50</v>
      </c>
      <c r="O20" s="38">
        <v>7</v>
      </c>
      <c r="P20" s="38"/>
      <c r="Q20" s="38">
        <v>60</v>
      </c>
      <c r="R20" s="38">
        <v>0</v>
      </c>
      <c r="S20" s="38">
        <v>30</v>
      </c>
      <c r="T20" s="38">
        <v>22</v>
      </c>
      <c r="U20" s="38">
        <v>13</v>
      </c>
      <c r="V20" s="36">
        <f t="shared" si="0"/>
        <v>14</v>
      </c>
      <c r="W20" s="36">
        <f t="shared" si="1"/>
        <v>3</v>
      </c>
      <c r="X20" s="36">
        <f t="shared" si="2"/>
        <v>1</v>
      </c>
    </row>
    <row r="21" spans="1:26" x14ac:dyDescent="0.2">
      <c r="A21" s="354">
        <v>14</v>
      </c>
      <c r="B21" s="289"/>
      <c r="C21" s="243" t="s">
        <v>84</v>
      </c>
      <c r="D21" s="353">
        <v>155</v>
      </c>
      <c r="E21" s="38"/>
      <c r="F21" s="38"/>
      <c r="G21" s="38"/>
      <c r="H21" s="38"/>
      <c r="I21" s="38"/>
      <c r="J21" s="38"/>
      <c r="K21" s="38"/>
      <c r="L21" s="38">
        <v>75</v>
      </c>
      <c r="M21" s="39"/>
      <c r="N21" s="38"/>
      <c r="O21" s="38"/>
      <c r="P21" s="38"/>
      <c r="Q21" s="38">
        <v>5</v>
      </c>
      <c r="R21" s="38"/>
      <c r="S21" s="38"/>
      <c r="T21" s="38"/>
      <c r="U21" s="38">
        <v>75</v>
      </c>
      <c r="V21" s="36">
        <f t="shared" si="0"/>
        <v>3</v>
      </c>
      <c r="W21" s="36">
        <f t="shared" si="1"/>
        <v>2</v>
      </c>
      <c r="X21" s="36">
        <f t="shared" si="2"/>
        <v>2</v>
      </c>
    </row>
    <row r="22" spans="1:26" x14ac:dyDescent="0.2">
      <c r="A22" s="354">
        <v>15</v>
      </c>
      <c r="B22" s="289">
        <v>2</v>
      </c>
      <c r="C22" s="44" t="s">
        <v>85</v>
      </c>
      <c r="D22" s="353">
        <v>148</v>
      </c>
      <c r="E22" s="38"/>
      <c r="F22" s="38"/>
      <c r="G22" s="38"/>
      <c r="H22" s="38"/>
      <c r="I22" s="38">
        <v>30</v>
      </c>
      <c r="J22" s="38">
        <v>45</v>
      </c>
      <c r="K22" s="38">
        <v>10</v>
      </c>
      <c r="L22" s="38">
        <v>10</v>
      </c>
      <c r="M22" s="39"/>
      <c r="N22" s="38">
        <v>13</v>
      </c>
      <c r="O22" s="38"/>
      <c r="P22" s="38">
        <v>13</v>
      </c>
      <c r="Q22" s="38">
        <v>1</v>
      </c>
      <c r="R22" s="38">
        <v>1</v>
      </c>
      <c r="S22" s="38">
        <v>9</v>
      </c>
      <c r="T22" s="38"/>
      <c r="U22" s="38">
        <v>60</v>
      </c>
      <c r="V22" s="36">
        <f t="shared" si="0"/>
        <v>10</v>
      </c>
      <c r="W22" s="36">
        <f t="shared" si="1"/>
        <v>2</v>
      </c>
      <c r="X22" s="36">
        <f t="shared" si="2"/>
        <v>0</v>
      </c>
    </row>
    <row r="23" spans="1:26" x14ac:dyDescent="0.2">
      <c r="A23" s="354">
        <v>16</v>
      </c>
      <c r="B23" s="289"/>
      <c r="C23" s="243" t="s">
        <v>86</v>
      </c>
      <c r="D23" s="353">
        <v>143</v>
      </c>
      <c r="E23" s="38"/>
      <c r="F23" s="38"/>
      <c r="G23" s="38"/>
      <c r="H23" s="38"/>
      <c r="I23" s="38">
        <v>3</v>
      </c>
      <c r="J23" s="38">
        <v>10</v>
      </c>
      <c r="K23" s="38">
        <v>60</v>
      </c>
      <c r="L23" s="38">
        <v>23</v>
      </c>
      <c r="M23" s="39">
        <v>40</v>
      </c>
      <c r="N23" s="38">
        <v>20</v>
      </c>
      <c r="O23" s="38">
        <v>17</v>
      </c>
      <c r="P23" s="38">
        <v>20</v>
      </c>
      <c r="Q23" s="38">
        <v>17</v>
      </c>
      <c r="R23" s="38">
        <v>0</v>
      </c>
      <c r="S23" s="38">
        <v>15</v>
      </c>
      <c r="T23" s="38">
        <v>20</v>
      </c>
      <c r="U23" s="38">
        <v>10</v>
      </c>
      <c r="V23" s="36">
        <f t="shared" si="0"/>
        <v>13</v>
      </c>
      <c r="W23" s="36">
        <f t="shared" si="1"/>
        <v>1</v>
      </c>
      <c r="X23" s="36">
        <f t="shared" si="2"/>
        <v>0</v>
      </c>
    </row>
    <row r="24" spans="1:26" x14ac:dyDescent="0.2">
      <c r="A24" s="354">
        <v>17</v>
      </c>
      <c r="B24" s="289"/>
      <c r="C24" s="243" t="s">
        <v>87</v>
      </c>
      <c r="D24" s="353">
        <v>130</v>
      </c>
      <c r="E24" s="38"/>
      <c r="F24" s="38"/>
      <c r="G24" s="38"/>
      <c r="H24" s="38"/>
      <c r="I24" s="38"/>
      <c r="J24" s="38"/>
      <c r="K24" s="38"/>
      <c r="L24" s="38"/>
      <c r="M24" s="39">
        <v>100</v>
      </c>
      <c r="N24" s="38">
        <v>30</v>
      </c>
      <c r="O24" s="38"/>
      <c r="P24" s="38"/>
      <c r="Q24" s="38"/>
      <c r="R24" s="38"/>
      <c r="S24" s="38"/>
      <c r="T24" s="38"/>
      <c r="U24" s="38"/>
      <c r="V24" s="36">
        <f t="shared" si="0"/>
        <v>2</v>
      </c>
      <c r="W24" s="36">
        <f t="shared" si="1"/>
        <v>2</v>
      </c>
      <c r="X24" s="36">
        <f t="shared" si="2"/>
        <v>1</v>
      </c>
    </row>
    <row r="25" spans="1:26" x14ac:dyDescent="0.2">
      <c r="A25" s="354">
        <v>18</v>
      </c>
      <c r="B25" s="289"/>
      <c r="C25" s="243" t="s">
        <v>88</v>
      </c>
      <c r="D25" s="353">
        <v>130</v>
      </c>
      <c r="E25" s="38">
        <v>80</v>
      </c>
      <c r="F25" s="38"/>
      <c r="G25" s="38">
        <v>20</v>
      </c>
      <c r="H25" s="38"/>
      <c r="I25" s="38"/>
      <c r="J25" s="38">
        <v>15</v>
      </c>
      <c r="K25" s="38"/>
      <c r="L25" s="38"/>
      <c r="M25" s="39"/>
      <c r="N25" s="38"/>
      <c r="O25" s="38"/>
      <c r="P25" s="38">
        <v>15</v>
      </c>
      <c r="Q25" s="38"/>
      <c r="R25" s="38"/>
      <c r="S25" s="38"/>
      <c r="T25" s="38"/>
      <c r="U25" s="38"/>
      <c r="V25" s="36">
        <f t="shared" si="0"/>
        <v>4</v>
      </c>
      <c r="W25" s="36">
        <f t="shared" si="1"/>
        <v>1</v>
      </c>
      <c r="X25" s="36">
        <f t="shared" si="2"/>
        <v>1</v>
      </c>
    </row>
    <row r="26" spans="1:26" x14ac:dyDescent="0.2">
      <c r="A26" s="354">
        <v>19</v>
      </c>
      <c r="B26" s="289"/>
      <c r="C26" s="243" t="s">
        <v>89</v>
      </c>
      <c r="D26" s="353">
        <v>126</v>
      </c>
      <c r="E26" s="38"/>
      <c r="F26" s="38"/>
      <c r="G26" s="38"/>
      <c r="H26" s="38"/>
      <c r="I26" s="38"/>
      <c r="J26" s="38"/>
      <c r="K26" s="38"/>
      <c r="L26" s="38"/>
      <c r="M26" s="39"/>
      <c r="N26" s="38"/>
      <c r="O26" s="38"/>
      <c r="P26" s="38">
        <v>30</v>
      </c>
      <c r="Q26" s="38">
        <v>23</v>
      </c>
      <c r="R26" s="38">
        <v>0</v>
      </c>
      <c r="S26" s="38">
        <v>50</v>
      </c>
      <c r="T26" s="38"/>
      <c r="U26" s="38">
        <v>23</v>
      </c>
      <c r="V26" s="36">
        <f t="shared" si="0"/>
        <v>5</v>
      </c>
      <c r="W26" s="36">
        <f t="shared" si="1"/>
        <v>2</v>
      </c>
      <c r="X26" s="36">
        <f t="shared" si="2"/>
        <v>1</v>
      </c>
    </row>
    <row r="27" spans="1:26" x14ac:dyDescent="0.2">
      <c r="A27" s="354">
        <v>20</v>
      </c>
      <c r="B27" s="289">
        <v>3</v>
      </c>
      <c r="C27" s="44" t="s">
        <v>90</v>
      </c>
      <c r="D27" s="353">
        <v>117</v>
      </c>
      <c r="E27" s="38"/>
      <c r="F27" s="38">
        <v>60</v>
      </c>
      <c r="G27" s="38">
        <v>40</v>
      </c>
      <c r="H27" s="38"/>
      <c r="I27" s="38">
        <v>0</v>
      </c>
      <c r="J27" s="38"/>
      <c r="K27" s="38"/>
      <c r="L27" s="38"/>
      <c r="M27" s="39"/>
      <c r="N27" s="38"/>
      <c r="O27" s="38"/>
      <c r="P27" s="38">
        <v>9</v>
      </c>
      <c r="Q27" s="38"/>
      <c r="R27" s="38"/>
      <c r="S27" s="38"/>
      <c r="T27" s="38"/>
      <c r="U27" s="38">
        <v>8</v>
      </c>
      <c r="V27" s="36">
        <f t="shared" si="0"/>
        <v>5</v>
      </c>
      <c r="W27" s="36">
        <f t="shared" si="1"/>
        <v>2</v>
      </c>
      <c r="X27" s="36">
        <f t="shared" si="2"/>
        <v>0</v>
      </c>
    </row>
    <row r="28" spans="1:26" x14ac:dyDescent="0.2">
      <c r="A28" s="354">
        <v>21</v>
      </c>
      <c r="B28" s="289"/>
      <c r="C28" s="243" t="s">
        <v>91</v>
      </c>
      <c r="D28" s="353">
        <v>110</v>
      </c>
      <c r="E28" s="38">
        <v>40</v>
      </c>
      <c r="F28" s="38">
        <v>15</v>
      </c>
      <c r="G28" s="38">
        <v>20</v>
      </c>
      <c r="H28" s="38"/>
      <c r="I28" s="38">
        <v>7</v>
      </c>
      <c r="J28" s="38"/>
      <c r="K28" s="38"/>
      <c r="L28" s="38"/>
      <c r="M28" s="39"/>
      <c r="N28" s="38"/>
      <c r="O28" s="38"/>
      <c r="P28" s="38">
        <v>15</v>
      </c>
      <c r="Q28" s="38">
        <v>2</v>
      </c>
      <c r="R28" s="38">
        <v>0</v>
      </c>
      <c r="S28" s="38">
        <v>20</v>
      </c>
      <c r="T28" s="38">
        <v>0</v>
      </c>
      <c r="U28" s="38">
        <v>30</v>
      </c>
      <c r="V28" s="36">
        <f t="shared" si="0"/>
        <v>10</v>
      </c>
      <c r="W28" s="36">
        <f t="shared" si="1"/>
        <v>0</v>
      </c>
      <c r="X28" s="36">
        <f t="shared" si="2"/>
        <v>0</v>
      </c>
    </row>
    <row r="29" spans="1:26" x14ac:dyDescent="0.2">
      <c r="A29" s="354">
        <v>22</v>
      </c>
      <c r="B29" s="289"/>
      <c r="C29" s="243" t="s">
        <v>92</v>
      </c>
      <c r="D29" s="353">
        <v>110</v>
      </c>
      <c r="E29" s="38"/>
      <c r="F29" s="38"/>
      <c r="G29" s="38"/>
      <c r="H29" s="38"/>
      <c r="I29" s="38"/>
      <c r="J29" s="38">
        <v>8</v>
      </c>
      <c r="K29" s="38">
        <v>30</v>
      </c>
      <c r="L29" s="38">
        <v>13</v>
      </c>
      <c r="M29" s="39">
        <v>30</v>
      </c>
      <c r="N29" s="38"/>
      <c r="O29" s="38"/>
      <c r="P29" s="38">
        <v>5</v>
      </c>
      <c r="Q29" s="38">
        <v>30</v>
      </c>
      <c r="R29" s="38">
        <v>20</v>
      </c>
      <c r="S29" s="38"/>
      <c r="T29" s="38">
        <v>7</v>
      </c>
      <c r="U29" s="38">
        <v>15</v>
      </c>
      <c r="V29" s="36">
        <f t="shared" si="0"/>
        <v>9</v>
      </c>
      <c r="W29" s="36">
        <f t="shared" si="1"/>
        <v>0</v>
      </c>
      <c r="X29" s="36">
        <f t="shared" si="2"/>
        <v>0</v>
      </c>
    </row>
    <row r="30" spans="1:26" s="26" customFormat="1" x14ac:dyDescent="0.2">
      <c r="A30" s="355">
        <v>23</v>
      </c>
      <c r="B30" s="290"/>
      <c r="C30" s="45" t="s">
        <v>93</v>
      </c>
      <c r="D30" s="358">
        <v>100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>
        <v>100</v>
      </c>
      <c r="U30" s="39"/>
      <c r="V30" s="36">
        <f t="shared" si="0"/>
        <v>1</v>
      </c>
      <c r="W30" s="36">
        <f t="shared" si="1"/>
        <v>1</v>
      </c>
      <c r="X30" s="36">
        <f t="shared" si="2"/>
        <v>1</v>
      </c>
      <c r="Y30" s="248"/>
      <c r="Z30" s="248"/>
    </row>
    <row r="31" spans="1:26" x14ac:dyDescent="0.2">
      <c r="A31" s="354">
        <v>24</v>
      </c>
      <c r="B31" s="289"/>
      <c r="C31" s="243" t="s">
        <v>94</v>
      </c>
      <c r="D31" s="353">
        <v>100</v>
      </c>
      <c r="E31" s="38"/>
      <c r="F31" s="38"/>
      <c r="G31" s="38"/>
      <c r="H31" s="38"/>
      <c r="I31" s="38"/>
      <c r="J31" s="38"/>
      <c r="K31" s="38"/>
      <c r="L31" s="38"/>
      <c r="M31" s="39">
        <v>80</v>
      </c>
      <c r="N31" s="38"/>
      <c r="O31" s="38"/>
      <c r="P31" s="38">
        <v>20</v>
      </c>
      <c r="Q31" s="38"/>
      <c r="R31" s="38"/>
      <c r="S31" s="38"/>
      <c r="T31" s="38"/>
      <c r="U31" s="38"/>
      <c r="V31" s="36">
        <f t="shared" si="0"/>
        <v>2</v>
      </c>
      <c r="W31" s="36">
        <f t="shared" si="1"/>
        <v>1</v>
      </c>
      <c r="X31" s="36">
        <f t="shared" si="2"/>
        <v>1</v>
      </c>
    </row>
    <row r="32" spans="1:26" x14ac:dyDescent="0.2">
      <c r="A32" s="354">
        <v>25</v>
      </c>
      <c r="B32" s="289"/>
      <c r="C32" s="243" t="s">
        <v>95</v>
      </c>
      <c r="D32" s="353">
        <v>100</v>
      </c>
      <c r="E32" s="38">
        <v>25</v>
      </c>
      <c r="F32" s="38">
        <v>75</v>
      </c>
      <c r="G32" s="38"/>
      <c r="H32" s="38">
        <v>0</v>
      </c>
      <c r="I32" s="38"/>
      <c r="J32" s="38"/>
      <c r="K32" s="38"/>
      <c r="L32" s="38"/>
      <c r="M32" s="39"/>
      <c r="N32" s="38"/>
      <c r="O32" s="38"/>
      <c r="P32" s="38"/>
      <c r="Q32" s="38"/>
      <c r="R32" s="38"/>
      <c r="S32" s="38"/>
      <c r="T32" s="38"/>
      <c r="U32" s="38"/>
      <c r="V32" s="36">
        <f t="shared" si="0"/>
        <v>3</v>
      </c>
      <c r="W32" s="36">
        <f t="shared" si="1"/>
        <v>1</v>
      </c>
      <c r="X32" s="36">
        <f t="shared" si="2"/>
        <v>1</v>
      </c>
    </row>
    <row r="33" spans="1:24" x14ac:dyDescent="0.2">
      <c r="A33" s="46">
        <f>COUNT(A8:A32)</f>
        <v>25</v>
      </c>
      <c r="B33" s="291">
        <f>COUNT(B8:B32)</f>
        <v>3</v>
      </c>
      <c r="C33" s="47" t="s">
        <v>96</v>
      </c>
      <c r="D33" s="48"/>
      <c r="E33" s="49">
        <f>COUNTIF(E8:E32,"&gt;=0")</f>
        <v>7</v>
      </c>
      <c r="F33" s="49">
        <f t="shared" ref="F33:U33" si="3">COUNTIF(F8:F32,"&gt;=0")</f>
        <v>10</v>
      </c>
      <c r="G33" s="49">
        <f t="shared" si="3"/>
        <v>12</v>
      </c>
      <c r="H33" s="49">
        <f t="shared" si="3"/>
        <v>12</v>
      </c>
      <c r="I33" s="49">
        <f t="shared" si="3"/>
        <v>14</v>
      </c>
      <c r="J33" s="49">
        <f t="shared" si="3"/>
        <v>16</v>
      </c>
      <c r="K33" s="49">
        <f t="shared" si="3"/>
        <v>13</v>
      </c>
      <c r="L33" s="49">
        <f t="shared" si="3"/>
        <v>14</v>
      </c>
      <c r="M33" s="49">
        <f t="shared" si="3"/>
        <v>12</v>
      </c>
      <c r="N33" s="49">
        <f t="shared" si="3"/>
        <v>12</v>
      </c>
      <c r="O33" s="49">
        <f t="shared" si="3"/>
        <v>9</v>
      </c>
      <c r="P33" s="49">
        <f t="shared" si="3"/>
        <v>20</v>
      </c>
      <c r="Q33" s="49">
        <f t="shared" si="3"/>
        <v>16</v>
      </c>
      <c r="R33" s="49">
        <f t="shared" si="3"/>
        <v>17</v>
      </c>
      <c r="S33" s="49">
        <f t="shared" si="3"/>
        <v>15</v>
      </c>
      <c r="T33" s="49">
        <f t="shared" si="3"/>
        <v>14</v>
      </c>
      <c r="U33" s="49">
        <f t="shared" si="3"/>
        <v>17</v>
      </c>
      <c r="V33" s="50"/>
      <c r="W33" s="51">
        <f>SUM(W8:W32)</f>
        <v>81</v>
      </c>
      <c r="X33" s="51">
        <f>SUM(X8:X32)</f>
        <v>36</v>
      </c>
    </row>
    <row r="34" spans="1:24" x14ac:dyDescent="0.2">
      <c r="A34" s="360"/>
      <c r="B34" s="265"/>
      <c r="C34" s="265"/>
      <c r="D34" s="361"/>
      <c r="E34" s="52"/>
      <c r="F34" s="52"/>
      <c r="G34" s="52"/>
      <c r="H34" s="52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36">
        <f>COUNTIF(E34:U34,"&gt;0")</f>
        <v>0</v>
      </c>
      <c r="W34" s="36"/>
      <c r="X34" s="36"/>
    </row>
    <row r="35" spans="1:24" x14ac:dyDescent="0.2">
      <c r="A35" s="356">
        <v>26</v>
      </c>
      <c r="B35" s="57"/>
      <c r="C35" s="54" t="s">
        <v>97</v>
      </c>
      <c r="D35" s="359">
        <f t="array" aca="1" ref="D35" ca="1">IF(COUNT(E35:U35)&lt;4,SUM(E35:U35),SUM(LARGE(E35:U35,ROW(INDIRECT("1:4")))))</f>
        <v>87</v>
      </c>
      <c r="E35" s="55"/>
      <c r="F35" s="55"/>
      <c r="G35" s="55"/>
      <c r="H35" s="55"/>
      <c r="I35" s="55"/>
      <c r="J35" s="55"/>
      <c r="K35" s="55"/>
      <c r="L35" s="55"/>
      <c r="M35" s="56"/>
      <c r="N35" s="55">
        <v>11</v>
      </c>
      <c r="O35" s="55">
        <v>20</v>
      </c>
      <c r="P35" s="55">
        <v>11</v>
      </c>
      <c r="Q35" s="55">
        <v>4</v>
      </c>
      <c r="R35" s="55">
        <v>0</v>
      </c>
      <c r="S35" s="55">
        <v>10</v>
      </c>
      <c r="T35" s="55">
        <v>5</v>
      </c>
      <c r="U35" s="55">
        <v>45</v>
      </c>
      <c r="V35" s="36">
        <f>COUNTIF(E35:U35,"&gt;=0")</f>
        <v>8</v>
      </c>
      <c r="W35" s="36">
        <f>COUNTIF(E35:U35,"&gt;=45")+COUNTIF(G35,"=40")+COUNTIF(N35,"=40")+COUNTIF(P35,"=40")+COUNTIF(S35,"=40")+COUNTIF(G35,"=30")+COUNTIF(N35,"=30")+COUNTIF(P35,"=30")+COUNTIF(S35,"=30")</f>
        <v>1</v>
      </c>
      <c r="X35" s="36">
        <f>COUNTIF(E35:U35,"&gt;=75")+COUNTIF(G35,"=50")+COUNTIF(N35,"=50")+COUNTIF(P35,"=50")+COUNTIF(S35,"=50")</f>
        <v>0</v>
      </c>
    </row>
    <row r="36" spans="1:24" x14ac:dyDescent="0.2">
      <c r="A36" s="356">
        <v>27</v>
      </c>
      <c r="B36" s="57"/>
      <c r="C36" s="54" t="s">
        <v>98</v>
      </c>
      <c r="D36" s="359">
        <f t="array" aca="1" ref="D36" ca="1">IF(COUNT(E36:U36)&lt;4,SUM(E36:U36),SUM(LARGE(E36:U36,ROW(INDIRECT("1:4")))))</f>
        <v>94</v>
      </c>
      <c r="E36" s="55"/>
      <c r="F36" s="55"/>
      <c r="G36" s="55"/>
      <c r="H36" s="55"/>
      <c r="I36" s="55"/>
      <c r="J36" s="55"/>
      <c r="K36" s="55"/>
      <c r="L36" s="55"/>
      <c r="M36" s="56"/>
      <c r="N36" s="55"/>
      <c r="O36" s="55">
        <v>25</v>
      </c>
      <c r="P36" s="55">
        <v>11</v>
      </c>
      <c r="Q36" s="55">
        <v>13</v>
      </c>
      <c r="R36" s="55"/>
      <c r="S36" s="55">
        <v>10</v>
      </c>
      <c r="T36" s="55"/>
      <c r="U36" s="55">
        <v>45</v>
      </c>
      <c r="V36" s="36">
        <f t="shared" ref="V36:V99" si="4">COUNTIF(E36:U36,"&gt;=0")</f>
        <v>5</v>
      </c>
      <c r="W36" s="36">
        <f t="shared" ref="W36:W99" si="5">COUNTIF(E36:U36,"&gt;=45")+COUNTIF(G36,"=40")+COUNTIF(N36,"=40")+COUNTIF(P36,"=40")+COUNTIF(S36,"=40")+COUNTIF(G36,"=30")+COUNTIF(N36,"=30")+COUNTIF(P36,"=30")+COUNTIF(S36,"=30")</f>
        <v>1</v>
      </c>
      <c r="X36" s="36">
        <f t="shared" ref="X36:X99" si="6">COUNTIF(E36:U36,"&gt;=75")+COUNTIF(G36,"=50")+COUNTIF(N36,"=50")+COUNTIF(P36,"=50")+COUNTIF(S36,"=50")</f>
        <v>0</v>
      </c>
    </row>
    <row r="37" spans="1:24" x14ac:dyDescent="0.2">
      <c r="A37" s="356">
        <v>28</v>
      </c>
      <c r="B37" s="57"/>
      <c r="C37" s="54" t="s">
        <v>99</v>
      </c>
      <c r="D37" s="359">
        <f t="array" aca="1" ref="D37" ca="1">IF(COUNT(E37:U37)&lt;4,SUM(E37:U37),SUM(LARGE(E37:U37,ROW(INDIRECT("1:4")))))</f>
        <v>54</v>
      </c>
      <c r="E37" s="55"/>
      <c r="F37" s="55"/>
      <c r="G37" s="55"/>
      <c r="H37" s="55"/>
      <c r="I37" s="55"/>
      <c r="J37" s="55"/>
      <c r="K37" s="55"/>
      <c r="L37" s="55"/>
      <c r="M37" s="56"/>
      <c r="N37" s="55"/>
      <c r="O37" s="55"/>
      <c r="P37" s="55"/>
      <c r="Q37" s="55">
        <v>15</v>
      </c>
      <c r="R37" s="55"/>
      <c r="S37" s="55">
        <v>20</v>
      </c>
      <c r="T37" s="55">
        <v>0</v>
      </c>
      <c r="U37" s="55">
        <v>19</v>
      </c>
      <c r="V37" s="36">
        <f t="shared" si="4"/>
        <v>4</v>
      </c>
      <c r="W37" s="36">
        <f t="shared" si="5"/>
        <v>0</v>
      </c>
      <c r="X37" s="36">
        <f t="shared" si="6"/>
        <v>0</v>
      </c>
    </row>
    <row r="38" spans="1:24" x14ac:dyDescent="0.2">
      <c r="A38" s="356">
        <v>29</v>
      </c>
      <c r="B38" s="57"/>
      <c r="C38" s="54" t="s">
        <v>100</v>
      </c>
      <c r="D38" s="359">
        <f t="array" aca="1" ref="D38" ca="1">IF(COUNT(E38:U38)&lt;4,SUM(E38:U38),SUM(LARGE(E38:U38,ROW(INDIRECT("1:4")))))</f>
        <v>34</v>
      </c>
      <c r="E38" s="55"/>
      <c r="F38" s="55"/>
      <c r="G38" s="55"/>
      <c r="H38" s="55"/>
      <c r="I38" s="55"/>
      <c r="J38" s="55"/>
      <c r="K38" s="55"/>
      <c r="L38" s="55"/>
      <c r="M38" s="56"/>
      <c r="N38" s="55"/>
      <c r="O38" s="55"/>
      <c r="P38" s="55"/>
      <c r="Q38" s="55">
        <v>15</v>
      </c>
      <c r="R38" s="55"/>
      <c r="S38" s="55"/>
      <c r="T38" s="55"/>
      <c r="U38" s="55">
        <v>19</v>
      </c>
      <c r="V38" s="36">
        <f t="shared" si="4"/>
        <v>2</v>
      </c>
      <c r="W38" s="36">
        <f t="shared" si="5"/>
        <v>0</v>
      </c>
      <c r="X38" s="36">
        <f t="shared" si="6"/>
        <v>0</v>
      </c>
    </row>
    <row r="39" spans="1:24" x14ac:dyDescent="0.2">
      <c r="A39" s="356">
        <v>30</v>
      </c>
      <c r="B39" s="57"/>
      <c r="C39" s="54" t="s">
        <v>101</v>
      </c>
      <c r="D39" s="359">
        <f t="array" aca="1" ref="D39" ca="1">IF(COUNT(E39:U39)&lt;4,SUM(E39:U39),SUM(LARGE(E39:U39,ROW(INDIRECT("1:4")))))</f>
        <v>98</v>
      </c>
      <c r="E39" s="55"/>
      <c r="F39" s="55"/>
      <c r="G39" s="55"/>
      <c r="H39" s="55"/>
      <c r="I39" s="55"/>
      <c r="J39" s="55"/>
      <c r="K39" s="55"/>
      <c r="L39" s="55"/>
      <c r="M39" s="56"/>
      <c r="N39" s="55"/>
      <c r="O39" s="55"/>
      <c r="P39" s="55">
        <v>30</v>
      </c>
      <c r="Q39" s="55">
        <v>0</v>
      </c>
      <c r="R39" s="55">
        <v>3</v>
      </c>
      <c r="S39" s="55">
        <v>50</v>
      </c>
      <c r="T39" s="55">
        <v>3</v>
      </c>
      <c r="U39" s="55">
        <v>15</v>
      </c>
      <c r="V39" s="36">
        <f t="shared" si="4"/>
        <v>6</v>
      </c>
      <c r="W39" s="36">
        <f t="shared" si="5"/>
        <v>2</v>
      </c>
      <c r="X39" s="36">
        <f t="shared" si="6"/>
        <v>1</v>
      </c>
    </row>
    <row r="40" spans="1:24" x14ac:dyDescent="0.2">
      <c r="A40" s="356">
        <v>31</v>
      </c>
      <c r="B40" s="57" t="s">
        <v>65</v>
      </c>
      <c r="C40" s="57" t="s">
        <v>102</v>
      </c>
      <c r="D40" s="359">
        <f t="array" aca="1" ref="D40" ca="1">IF(COUNT(E40:U40)&lt;4,SUM(E40:U40),SUM(LARGE(E40:U40,ROW(INDIRECT("1:4")))))</f>
        <v>82</v>
      </c>
      <c r="E40" s="55"/>
      <c r="F40" s="55"/>
      <c r="G40" s="55"/>
      <c r="H40" s="55"/>
      <c r="I40" s="55"/>
      <c r="J40" s="55"/>
      <c r="K40" s="55"/>
      <c r="L40" s="55">
        <v>4</v>
      </c>
      <c r="M40" s="56">
        <v>0</v>
      </c>
      <c r="N40" s="55">
        <v>20</v>
      </c>
      <c r="O40" s="55">
        <v>0</v>
      </c>
      <c r="P40" s="55">
        <v>20</v>
      </c>
      <c r="Q40" s="55">
        <v>17</v>
      </c>
      <c r="R40" s="55">
        <v>25</v>
      </c>
      <c r="S40" s="55">
        <v>15</v>
      </c>
      <c r="T40" s="55"/>
      <c r="U40" s="55">
        <v>10</v>
      </c>
      <c r="V40" s="36">
        <f t="shared" si="4"/>
        <v>9</v>
      </c>
      <c r="W40" s="36">
        <f t="shared" si="5"/>
        <v>0</v>
      </c>
      <c r="X40" s="36">
        <f t="shared" si="6"/>
        <v>0</v>
      </c>
    </row>
    <row r="41" spans="1:24" x14ac:dyDescent="0.2">
      <c r="A41" s="356">
        <v>32</v>
      </c>
      <c r="B41" s="57" t="s">
        <v>65</v>
      </c>
      <c r="C41" s="58" t="s">
        <v>103</v>
      </c>
      <c r="D41" s="359">
        <f t="array" aca="1" ref="D41" ca="1">IF(COUNT(E41:U41)&lt;4,SUM(E41:U41),SUM(LARGE(E41:U41,ROW(INDIRECT("1:4")))))</f>
        <v>58</v>
      </c>
      <c r="E41" s="55"/>
      <c r="F41" s="55"/>
      <c r="G41" s="55"/>
      <c r="H41" s="55"/>
      <c r="I41" s="55"/>
      <c r="J41" s="55"/>
      <c r="K41" s="55"/>
      <c r="L41" s="55"/>
      <c r="M41" s="56"/>
      <c r="N41" s="55"/>
      <c r="O41" s="55">
        <v>0</v>
      </c>
      <c r="P41" s="55"/>
      <c r="Q41" s="55">
        <v>10</v>
      </c>
      <c r="R41" s="55"/>
      <c r="S41" s="55">
        <v>40</v>
      </c>
      <c r="T41" s="55"/>
      <c r="U41" s="55">
        <v>8</v>
      </c>
      <c r="V41" s="36">
        <f t="shared" si="4"/>
        <v>4</v>
      </c>
      <c r="W41" s="36">
        <f t="shared" si="5"/>
        <v>1</v>
      </c>
      <c r="X41" s="36">
        <f t="shared" si="6"/>
        <v>0</v>
      </c>
    </row>
    <row r="42" spans="1:24" x14ac:dyDescent="0.2">
      <c r="A42" s="356">
        <v>33</v>
      </c>
      <c r="B42" s="57"/>
      <c r="C42" s="54" t="s">
        <v>104</v>
      </c>
      <c r="D42" s="359">
        <f t="array" aca="1" ref="D42" ca="1">IF(COUNT(E42:U42)&lt;4,SUM(E42:U42),SUM(LARGE(E42:U42,ROW(INDIRECT("1:4")))))</f>
        <v>47</v>
      </c>
      <c r="E42" s="55"/>
      <c r="F42" s="55"/>
      <c r="G42" s="55"/>
      <c r="H42" s="55"/>
      <c r="I42" s="55"/>
      <c r="J42" s="55"/>
      <c r="K42" s="55"/>
      <c r="L42" s="55"/>
      <c r="M42" s="56">
        <v>0</v>
      </c>
      <c r="N42" s="55">
        <v>10</v>
      </c>
      <c r="O42" s="55">
        <v>5</v>
      </c>
      <c r="P42" s="55"/>
      <c r="Q42" s="55">
        <v>19</v>
      </c>
      <c r="R42" s="55"/>
      <c r="S42" s="55">
        <v>13</v>
      </c>
      <c r="T42" s="55">
        <v>0</v>
      </c>
      <c r="U42" s="55">
        <v>5</v>
      </c>
      <c r="V42" s="36">
        <f t="shared" si="4"/>
        <v>7</v>
      </c>
      <c r="W42" s="36">
        <f t="shared" si="5"/>
        <v>0</v>
      </c>
      <c r="X42" s="36">
        <f t="shared" si="6"/>
        <v>0</v>
      </c>
    </row>
    <row r="43" spans="1:24" x14ac:dyDescent="0.2">
      <c r="A43" s="356">
        <v>34</v>
      </c>
      <c r="B43" s="57"/>
      <c r="C43" s="54" t="s">
        <v>105</v>
      </c>
      <c r="D43" s="359">
        <f t="array" aca="1" ref="D43" ca="1">IF(COUNT(E43:U43)&lt;4,SUM(E43:U43),SUM(LARGE(E43:U43,ROW(INDIRECT("1:4")))))</f>
        <v>37</v>
      </c>
      <c r="E43" s="55"/>
      <c r="F43" s="55"/>
      <c r="G43" s="55"/>
      <c r="H43" s="55"/>
      <c r="I43" s="55"/>
      <c r="J43" s="55"/>
      <c r="K43" s="55"/>
      <c r="L43" s="55"/>
      <c r="M43" s="56"/>
      <c r="N43" s="55"/>
      <c r="O43" s="55"/>
      <c r="P43" s="55"/>
      <c r="Q43" s="55">
        <v>19</v>
      </c>
      <c r="R43" s="55"/>
      <c r="S43" s="55">
        <v>13</v>
      </c>
      <c r="T43" s="55">
        <v>0</v>
      </c>
      <c r="U43" s="55">
        <v>5</v>
      </c>
      <c r="V43" s="36">
        <f t="shared" si="4"/>
        <v>4</v>
      </c>
      <c r="W43" s="36">
        <f t="shared" si="5"/>
        <v>0</v>
      </c>
      <c r="X43" s="36">
        <f t="shared" si="6"/>
        <v>0</v>
      </c>
    </row>
    <row r="44" spans="1:24" x14ac:dyDescent="0.2">
      <c r="A44" s="356">
        <v>35</v>
      </c>
      <c r="B44" s="57" t="s">
        <v>65</v>
      </c>
      <c r="C44" s="57" t="s">
        <v>106</v>
      </c>
      <c r="D44" s="359">
        <f t="array" aca="1" ref="D44" ca="1">IF(COUNT(E44:U44)&lt;4,SUM(E44:U44),SUM(LARGE(E44:U44,ROW(INDIRECT("1:4")))))</f>
        <v>19</v>
      </c>
      <c r="E44" s="55"/>
      <c r="F44" s="55"/>
      <c r="G44" s="55"/>
      <c r="H44" s="55"/>
      <c r="I44" s="55"/>
      <c r="J44" s="55"/>
      <c r="K44" s="55"/>
      <c r="L44" s="55"/>
      <c r="M44" s="56"/>
      <c r="N44" s="55"/>
      <c r="O44" s="55"/>
      <c r="P44" s="55"/>
      <c r="Q44" s="55">
        <v>4</v>
      </c>
      <c r="R44" s="55">
        <v>13</v>
      </c>
      <c r="S44" s="55"/>
      <c r="T44" s="55"/>
      <c r="U44" s="55">
        <v>2</v>
      </c>
      <c r="V44" s="36">
        <f t="shared" si="4"/>
        <v>3</v>
      </c>
      <c r="W44" s="36">
        <f t="shared" si="5"/>
        <v>0</v>
      </c>
      <c r="X44" s="36">
        <f t="shared" si="6"/>
        <v>0</v>
      </c>
    </row>
    <row r="45" spans="1:24" x14ac:dyDescent="0.2">
      <c r="A45" s="356">
        <v>36</v>
      </c>
      <c r="B45" s="57" t="s">
        <v>65</v>
      </c>
      <c r="C45" s="57" t="s">
        <v>107</v>
      </c>
      <c r="D45" s="359">
        <f t="array" aca="1" ref="D45" ca="1">IF(COUNT(E45:U45)&lt;4,SUM(E45:U45),SUM(LARGE(E45:U45,ROW(INDIRECT("1:4")))))</f>
        <v>2</v>
      </c>
      <c r="E45" s="55"/>
      <c r="F45" s="55"/>
      <c r="G45" s="55"/>
      <c r="H45" s="55"/>
      <c r="I45" s="55"/>
      <c r="J45" s="55"/>
      <c r="K45" s="55"/>
      <c r="L45" s="55"/>
      <c r="M45" s="56"/>
      <c r="N45" s="55"/>
      <c r="O45" s="55"/>
      <c r="P45" s="55"/>
      <c r="Q45" s="55">
        <v>0</v>
      </c>
      <c r="R45" s="55"/>
      <c r="S45" s="55"/>
      <c r="T45" s="55"/>
      <c r="U45" s="55">
        <v>2</v>
      </c>
      <c r="V45" s="36">
        <f t="shared" si="4"/>
        <v>2</v>
      </c>
      <c r="W45" s="36">
        <f t="shared" si="5"/>
        <v>0</v>
      </c>
      <c r="X45" s="36">
        <f t="shared" si="6"/>
        <v>0</v>
      </c>
    </row>
    <row r="46" spans="1:24" x14ac:dyDescent="0.2">
      <c r="A46" s="356">
        <v>37</v>
      </c>
      <c r="B46" s="57"/>
      <c r="C46" s="54" t="s">
        <v>108</v>
      </c>
      <c r="D46" s="359">
        <f t="array" aca="1" ref="D46" ca="1">IF(COUNT(E46:U46)&lt;4,SUM(E46:U46),SUM(LARGE(E46:U46,ROW(INDIRECT("1:4")))))</f>
        <v>24</v>
      </c>
      <c r="E46" s="55"/>
      <c r="F46" s="55"/>
      <c r="G46" s="55"/>
      <c r="H46" s="55"/>
      <c r="I46" s="55"/>
      <c r="J46" s="55"/>
      <c r="K46" s="59"/>
      <c r="L46" s="55">
        <v>15</v>
      </c>
      <c r="M46" s="56"/>
      <c r="N46" s="55"/>
      <c r="O46" s="55"/>
      <c r="P46" s="55"/>
      <c r="Q46" s="55">
        <v>8</v>
      </c>
      <c r="R46" s="55"/>
      <c r="S46" s="55"/>
      <c r="T46" s="55"/>
      <c r="U46" s="55">
        <v>1</v>
      </c>
      <c r="V46" s="36">
        <f t="shared" si="4"/>
        <v>3</v>
      </c>
      <c r="W46" s="36">
        <f t="shared" si="5"/>
        <v>0</v>
      </c>
      <c r="X46" s="36">
        <f t="shared" si="6"/>
        <v>0</v>
      </c>
    </row>
    <row r="47" spans="1:24" x14ac:dyDescent="0.2">
      <c r="A47" s="356">
        <v>38</v>
      </c>
      <c r="B47" s="57"/>
      <c r="C47" s="54" t="s">
        <v>109</v>
      </c>
      <c r="D47" s="359">
        <f t="array" aca="1" ref="D47" ca="1">IF(COUNT(E47:U47)&lt;4,SUM(E47:U47),SUM(LARGE(E47:U47,ROW(INDIRECT("1:4")))))</f>
        <v>24</v>
      </c>
      <c r="E47" s="55"/>
      <c r="F47" s="55"/>
      <c r="G47" s="55"/>
      <c r="H47" s="55"/>
      <c r="I47" s="55"/>
      <c r="J47" s="55"/>
      <c r="K47" s="59"/>
      <c r="L47" s="55">
        <v>15</v>
      </c>
      <c r="M47" s="56"/>
      <c r="N47" s="55"/>
      <c r="O47" s="55"/>
      <c r="P47" s="55"/>
      <c r="Q47" s="55">
        <v>8</v>
      </c>
      <c r="R47" s="55"/>
      <c r="S47" s="55"/>
      <c r="T47" s="55"/>
      <c r="U47" s="55">
        <v>1</v>
      </c>
      <c r="V47" s="36">
        <f t="shared" si="4"/>
        <v>3</v>
      </c>
      <c r="W47" s="36">
        <f t="shared" si="5"/>
        <v>0</v>
      </c>
      <c r="X47" s="36">
        <f t="shared" si="6"/>
        <v>0</v>
      </c>
    </row>
    <row r="48" spans="1:24" x14ac:dyDescent="0.2">
      <c r="A48" s="356">
        <v>39</v>
      </c>
      <c r="B48" s="57"/>
      <c r="C48" s="54" t="s">
        <v>110</v>
      </c>
      <c r="D48" s="359">
        <f t="array" aca="1" ref="D48" ca="1">IF(COUNT(E48:U48)&lt;4,SUM(E48:U48),SUM(LARGE(E48:U48,ROW(INDIRECT("1:4")))))</f>
        <v>83</v>
      </c>
      <c r="E48" s="55"/>
      <c r="F48" s="55">
        <v>17</v>
      </c>
      <c r="G48" s="55"/>
      <c r="H48" s="55">
        <v>22</v>
      </c>
      <c r="I48" s="55"/>
      <c r="J48" s="55">
        <v>23</v>
      </c>
      <c r="K48" s="55">
        <v>19</v>
      </c>
      <c r="L48" s="55">
        <v>19</v>
      </c>
      <c r="M48" s="56"/>
      <c r="N48" s="55"/>
      <c r="O48" s="55"/>
      <c r="P48" s="55"/>
      <c r="Q48" s="55">
        <v>2</v>
      </c>
      <c r="R48" s="55"/>
      <c r="S48" s="55">
        <v>13</v>
      </c>
      <c r="T48" s="55">
        <v>0</v>
      </c>
      <c r="U48" s="55"/>
      <c r="V48" s="36">
        <f t="shared" si="4"/>
        <v>8</v>
      </c>
      <c r="W48" s="36">
        <f t="shared" si="5"/>
        <v>0</v>
      </c>
      <c r="X48" s="36">
        <f t="shared" si="6"/>
        <v>0</v>
      </c>
    </row>
    <row r="49" spans="1:24" x14ac:dyDescent="0.2">
      <c r="A49" s="356">
        <v>40</v>
      </c>
      <c r="B49" s="57"/>
      <c r="C49" s="60" t="s">
        <v>111</v>
      </c>
      <c r="D49" s="359">
        <f t="array" aca="1" ref="D49" ca="1">IF(COUNT(E49:U49)&lt;4,SUM(E49:U49),SUM(LARGE(E49:U49,ROW(INDIRECT("1:4")))))</f>
        <v>29</v>
      </c>
      <c r="E49" s="55"/>
      <c r="F49" s="55"/>
      <c r="G49" s="55"/>
      <c r="H49" s="55"/>
      <c r="I49" s="55"/>
      <c r="J49" s="55"/>
      <c r="K49" s="55"/>
      <c r="L49" s="55">
        <v>4</v>
      </c>
      <c r="M49" s="56"/>
      <c r="N49" s="55"/>
      <c r="O49" s="55"/>
      <c r="P49" s="55"/>
      <c r="Q49" s="55">
        <v>10</v>
      </c>
      <c r="R49" s="55"/>
      <c r="S49" s="55">
        <v>15</v>
      </c>
      <c r="T49" s="55"/>
      <c r="U49" s="55"/>
      <c r="V49" s="36">
        <f t="shared" si="4"/>
        <v>3</v>
      </c>
      <c r="W49" s="36">
        <f t="shared" si="5"/>
        <v>0</v>
      </c>
      <c r="X49" s="36">
        <f t="shared" si="6"/>
        <v>0</v>
      </c>
    </row>
    <row r="50" spans="1:24" x14ac:dyDescent="0.2">
      <c r="A50" s="356">
        <v>41</v>
      </c>
      <c r="B50" s="57"/>
      <c r="C50" s="54" t="s">
        <v>112</v>
      </c>
      <c r="D50" s="359">
        <f t="array" aca="1" ref="D50" ca="1">IF(COUNT(E50:U50)&lt;4,SUM(E50:U50),SUM(LARGE(E50:U50,ROW(INDIRECT("1:4")))))</f>
        <v>34</v>
      </c>
      <c r="E50" s="55"/>
      <c r="F50" s="55"/>
      <c r="G50" s="55"/>
      <c r="H50" s="55"/>
      <c r="I50" s="55"/>
      <c r="J50" s="55"/>
      <c r="K50" s="55"/>
      <c r="L50" s="55"/>
      <c r="M50" s="56"/>
      <c r="N50" s="55"/>
      <c r="O50" s="55"/>
      <c r="P50" s="55">
        <v>11</v>
      </c>
      <c r="Q50" s="55">
        <v>13</v>
      </c>
      <c r="R50" s="55"/>
      <c r="S50" s="55">
        <v>10</v>
      </c>
      <c r="T50" s="55"/>
      <c r="U50" s="55"/>
      <c r="V50" s="36">
        <f t="shared" si="4"/>
        <v>3</v>
      </c>
      <c r="W50" s="36">
        <f t="shared" si="5"/>
        <v>0</v>
      </c>
      <c r="X50" s="36">
        <f t="shared" si="6"/>
        <v>0</v>
      </c>
    </row>
    <row r="51" spans="1:24" x14ac:dyDescent="0.2">
      <c r="A51" s="356">
        <v>42</v>
      </c>
      <c r="B51" s="57"/>
      <c r="C51" s="54" t="s">
        <v>113</v>
      </c>
      <c r="D51" s="359">
        <f t="array" aca="1" ref="D51" ca="1">IF(COUNT(E51:U51)&lt;4,SUM(E51:U51),SUM(LARGE(E51:U51,ROW(INDIRECT("1:4")))))</f>
        <v>9</v>
      </c>
      <c r="E51" s="55"/>
      <c r="F51" s="55"/>
      <c r="G51" s="55"/>
      <c r="H51" s="55"/>
      <c r="I51" s="55"/>
      <c r="J51" s="55"/>
      <c r="K51" s="55"/>
      <c r="L51" s="55"/>
      <c r="M51" s="56"/>
      <c r="N51" s="55"/>
      <c r="O51" s="55">
        <v>0</v>
      </c>
      <c r="P51" s="55"/>
      <c r="Q51" s="55"/>
      <c r="R51" s="55"/>
      <c r="S51" s="55">
        <v>9</v>
      </c>
      <c r="T51" s="55"/>
      <c r="U51" s="55"/>
      <c r="V51" s="36">
        <f t="shared" si="4"/>
        <v>2</v>
      </c>
      <c r="W51" s="36">
        <f t="shared" si="5"/>
        <v>0</v>
      </c>
      <c r="X51" s="36">
        <f t="shared" si="6"/>
        <v>0</v>
      </c>
    </row>
    <row r="52" spans="1:24" x14ac:dyDescent="0.2">
      <c r="A52" s="356">
        <v>43</v>
      </c>
      <c r="B52" s="57"/>
      <c r="C52" s="54" t="s">
        <v>114</v>
      </c>
      <c r="D52" s="359">
        <f t="array" aca="1" ref="D52" ca="1">IF(COUNT(E52:U52)&lt;4,SUM(E52:U52),SUM(LARGE(E52:U52,ROW(INDIRECT("1:4")))))</f>
        <v>78</v>
      </c>
      <c r="E52" s="55">
        <v>20</v>
      </c>
      <c r="F52" s="55">
        <v>23</v>
      </c>
      <c r="G52" s="55">
        <v>15</v>
      </c>
      <c r="H52" s="55">
        <v>20</v>
      </c>
      <c r="I52" s="55"/>
      <c r="J52" s="55"/>
      <c r="K52" s="55"/>
      <c r="L52" s="55"/>
      <c r="M52" s="56"/>
      <c r="N52" s="55"/>
      <c r="O52" s="55"/>
      <c r="P52" s="55"/>
      <c r="Q52" s="55"/>
      <c r="R52" s="55"/>
      <c r="S52" s="55"/>
      <c r="T52" s="55"/>
      <c r="U52" s="55"/>
      <c r="V52" s="36">
        <f t="shared" si="4"/>
        <v>4</v>
      </c>
      <c r="W52" s="36">
        <f t="shared" si="5"/>
        <v>0</v>
      </c>
      <c r="X52" s="36">
        <f t="shared" si="6"/>
        <v>0</v>
      </c>
    </row>
    <row r="53" spans="1:24" x14ac:dyDescent="0.2">
      <c r="A53" s="356">
        <v>44</v>
      </c>
      <c r="B53" s="57"/>
      <c r="C53" s="54" t="s">
        <v>115</v>
      </c>
      <c r="D53" s="359">
        <f t="array" aca="1" ref="D53" ca="1">IF(COUNT(E53:U53)&lt;4,SUM(E53:U53),SUM(LARGE(E53:U53,ROW(INDIRECT("1:4")))))</f>
        <v>17</v>
      </c>
      <c r="E53" s="55">
        <v>17</v>
      </c>
      <c r="F53" s="55"/>
      <c r="G53" s="55"/>
      <c r="H53" s="55"/>
      <c r="I53" s="55"/>
      <c r="J53" s="55"/>
      <c r="K53" s="55"/>
      <c r="L53" s="55"/>
      <c r="M53" s="56"/>
      <c r="N53" s="55"/>
      <c r="O53" s="55"/>
      <c r="P53" s="55"/>
      <c r="Q53" s="55"/>
      <c r="R53" s="55"/>
      <c r="S53" s="55"/>
      <c r="T53" s="55"/>
      <c r="U53" s="55"/>
      <c r="V53" s="36">
        <f t="shared" si="4"/>
        <v>1</v>
      </c>
      <c r="W53" s="36">
        <f t="shared" si="5"/>
        <v>0</v>
      </c>
      <c r="X53" s="36">
        <f t="shared" si="6"/>
        <v>0</v>
      </c>
    </row>
    <row r="54" spans="1:24" x14ac:dyDescent="0.2">
      <c r="A54" s="356">
        <v>45</v>
      </c>
      <c r="B54" s="57"/>
      <c r="C54" s="54" t="s">
        <v>116</v>
      </c>
      <c r="D54" s="359">
        <f t="array" aca="1" ref="D54" ca="1">IF(COUNT(E54:U54)&lt;4,SUM(E54:U54),SUM(LARGE(E54:U54,ROW(INDIRECT("1:4")))))</f>
        <v>98</v>
      </c>
      <c r="E54" s="55">
        <v>13</v>
      </c>
      <c r="F54" s="55">
        <v>23</v>
      </c>
      <c r="G54" s="55">
        <v>15</v>
      </c>
      <c r="H54" s="55">
        <v>0</v>
      </c>
      <c r="I54" s="55">
        <v>10</v>
      </c>
      <c r="J54" s="55">
        <v>30</v>
      </c>
      <c r="K54" s="55"/>
      <c r="L54" s="55">
        <v>30</v>
      </c>
      <c r="M54" s="56"/>
      <c r="N54" s="55"/>
      <c r="O54" s="55"/>
      <c r="P54" s="55"/>
      <c r="Q54" s="55"/>
      <c r="R54" s="55"/>
      <c r="S54" s="55"/>
      <c r="T54" s="55"/>
      <c r="U54" s="55"/>
      <c r="V54" s="36">
        <f t="shared" si="4"/>
        <v>7</v>
      </c>
      <c r="W54" s="36">
        <f t="shared" si="5"/>
        <v>0</v>
      </c>
      <c r="X54" s="36">
        <f t="shared" si="6"/>
        <v>0</v>
      </c>
    </row>
    <row r="55" spans="1:24" x14ac:dyDescent="0.2">
      <c r="A55" s="356">
        <v>46</v>
      </c>
      <c r="B55" s="57" t="s">
        <v>65</v>
      </c>
      <c r="C55" s="57" t="s">
        <v>117</v>
      </c>
      <c r="D55" s="359">
        <f t="array" aca="1" ref="D55" ca="1">IF(COUNT(E55:U55)&lt;4,SUM(E55:U55),SUM(LARGE(E55:U55,ROW(INDIRECT("1:4")))))</f>
        <v>34</v>
      </c>
      <c r="E55" s="55"/>
      <c r="F55" s="55">
        <v>19</v>
      </c>
      <c r="G55" s="55">
        <v>10</v>
      </c>
      <c r="H55" s="55"/>
      <c r="I55" s="55"/>
      <c r="J55" s="55">
        <v>5</v>
      </c>
      <c r="K55" s="55"/>
      <c r="L55" s="55"/>
      <c r="M55" s="56"/>
      <c r="N55" s="55"/>
      <c r="O55" s="55"/>
      <c r="P55" s="55"/>
      <c r="Q55" s="55"/>
      <c r="R55" s="55"/>
      <c r="S55" s="55"/>
      <c r="T55" s="55"/>
      <c r="U55" s="55"/>
      <c r="V55" s="36">
        <f t="shared" si="4"/>
        <v>3</v>
      </c>
      <c r="W55" s="36">
        <f t="shared" si="5"/>
        <v>0</v>
      </c>
      <c r="X55" s="36">
        <f t="shared" si="6"/>
        <v>0</v>
      </c>
    </row>
    <row r="56" spans="1:24" x14ac:dyDescent="0.2">
      <c r="A56" s="356">
        <v>47</v>
      </c>
      <c r="B56" s="57" t="s">
        <v>65</v>
      </c>
      <c r="C56" s="57" t="s">
        <v>118</v>
      </c>
      <c r="D56" s="359">
        <f t="array" aca="1" ref="D56" ca="1">IF(COUNT(E56:U56)&lt;4,SUM(E56:U56),SUM(LARGE(E56:U56,ROW(INDIRECT("1:4")))))</f>
        <v>78</v>
      </c>
      <c r="E56" s="55"/>
      <c r="F56" s="55">
        <v>17</v>
      </c>
      <c r="G56" s="55"/>
      <c r="H56" s="55">
        <v>1</v>
      </c>
      <c r="I56" s="55"/>
      <c r="J56" s="55">
        <v>23</v>
      </c>
      <c r="K56" s="55">
        <v>19</v>
      </c>
      <c r="L56" s="55">
        <v>19</v>
      </c>
      <c r="M56" s="56"/>
      <c r="N56" s="55"/>
      <c r="O56" s="55"/>
      <c r="P56" s="55"/>
      <c r="Q56" s="55"/>
      <c r="R56" s="55"/>
      <c r="S56" s="55"/>
      <c r="T56" s="55"/>
      <c r="U56" s="55"/>
      <c r="V56" s="36">
        <f t="shared" si="4"/>
        <v>5</v>
      </c>
      <c r="W56" s="36">
        <f t="shared" si="5"/>
        <v>0</v>
      </c>
      <c r="X56" s="36">
        <f t="shared" si="6"/>
        <v>0</v>
      </c>
    </row>
    <row r="57" spans="1:24" x14ac:dyDescent="0.2">
      <c r="A57" s="356">
        <v>48</v>
      </c>
      <c r="B57" s="57"/>
      <c r="C57" s="54" t="s">
        <v>119</v>
      </c>
      <c r="D57" s="359">
        <f t="array" aca="1" ref="D57" ca="1">IF(COUNT(E57:U57)&lt;4,SUM(E57:U57),SUM(LARGE(E57:U57,ROW(INDIRECT("1:4")))))</f>
        <v>67</v>
      </c>
      <c r="E57" s="55"/>
      <c r="F57" s="55">
        <v>15</v>
      </c>
      <c r="G57" s="55">
        <v>30</v>
      </c>
      <c r="H57" s="55">
        <v>0</v>
      </c>
      <c r="I57" s="55"/>
      <c r="J57" s="55">
        <v>15</v>
      </c>
      <c r="K57" s="55"/>
      <c r="L57" s="55"/>
      <c r="M57" s="56"/>
      <c r="N57" s="55"/>
      <c r="O57" s="55"/>
      <c r="P57" s="55">
        <v>5</v>
      </c>
      <c r="Q57" s="55"/>
      <c r="R57" s="55">
        <v>7</v>
      </c>
      <c r="S57" s="55"/>
      <c r="T57" s="55"/>
      <c r="U57" s="55"/>
      <c r="V57" s="36">
        <f t="shared" si="4"/>
        <v>6</v>
      </c>
      <c r="W57" s="36">
        <f t="shared" si="5"/>
        <v>1</v>
      </c>
      <c r="X57" s="36">
        <f t="shared" si="6"/>
        <v>0</v>
      </c>
    </row>
    <row r="58" spans="1:24" x14ac:dyDescent="0.2">
      <c r="A58" s="356">
        <v>49</v>
      </c>
      <c r="B58" s="57"/>
      <c r="C58" s="54" t="s">
        <v>120</v>
      </c>
      <c r="D58" s="359">
        <f t="array" aca="1" ref="D58" ca="1">IF(COUNT(E58:U58)&lt;4,SUM(E58:U58),SUM(LARGE(E58:U58,ROW(INDIRECT("1:4")))))</f>
        <v>49</v>
      </c>
      <c r="E58" s="55"/>
      <c r="F58" s="55"/>
      <c r="G58" s="55">
        <v>40</v>
      </c>
      <c r="H58" s="55"/>
      <c r="I58" s="55"/>
      <c r="J58" s="55"/>
      <c r="K58" s="55"/>
      <c r="L58" s="55"/>
      <c r="M58" s="56"/>
      <c r="N58" s="55"/>
      <c r="O58" s="55"/>
      <c r="P58" s="55">
        <v>9</v>
      </c>
      <c r="Q58" s="55"/>
      <c r="R58" s="55"/>
      <c r="S58" s="55"/>
      <c r="T58" s="55"/>
      <c r="U58" s="55"/>
      <c r="V58" s="36">
        <f t="shared" si="4"/>
        <v>2</v>
      </c>
      <c r="W58" s="36">
        <f t="shared" si="5"/>
        <v>1</v>
      </c>
      <c r="X58" s="36">
        <f t="shared" si="6"/>
        <v>0</v>
      </c>
    </row>
    <row r="59" spans="1:24" x14ac:dyDescent="0.2">
      <c r="A59" s="356">
        <v>50</v>
      </c>
      <c r="B59" s="57"/>
      <c r="C59" s="54" t="s">
        <v>121</v>
      </c>
      <c r="D59" s="359">
        <f t="array" aca="1" ref="D59" ca="1">IF(COUNT(E59:U59)&lt;4,SUM(E59:U59),SUM(LARGE(E59:U59,ROW(INDIRECT("1:4")))))</f>
        <v>15</v>
      </c>
      <c r="E59" s="55"/>
      <c r="F59" s="55"/>
      <c r="G59" s="55">
        <v>15</v>
      </c>
      <c r="H59" s="55"/>
      <c r="I59" s="55"/>
      <c r="J59" s="55"/>
      <c r="K59" s="55"/>
      <c r="L59" s="55"/>
      <c r="M59" s="56"/>
      <c r="N59" s="55"/>
      <c r="O59" s="55"/>
      <c r="P59" s="55"/>
      <c r="Q59" s="55"/>
      <c r="R59" s="55"/>
      <c r="S59" s="55"/>
      <c r="T59" s="55"/>
      <c r="U59" s="55"/>
      <c r="V59" s="36">
        <f t="shared" si="4"/>
        <v>1</v>
      </c>
      <c r="W59" s="36">
        <f t="shared" si="5"/>
        <v>0</v>
      </c>
      <c r="X59" s="36">
        <f t="shared" si="6"/>
        <v>0</v>
      </c>
    </row>
    <row r="60" spans="1:24" x14ac:dyDescent="0.2">
      <c r="A60" s="356">
        <v>51</v>
      </c>
      <c r="B60" s="57"/>
      <c r="C60" s="54" t="s">
        <v>122</v>
      </c>
      <c r="D60" s="359">
        <f t="array" aca="1" ref="D60" ca="1">IF(COUNT(E60:U60)&lt;4,SUM(E60:U60),SUM(LARGE(E60:U60,ROW(INDIRECT("1:4")))))</f>
        <v>13</v>
      </c>
      <c r="E60" s="55"/>
      <c r="F60" s="55"/>
      <c r="G60" s="55">
        <v>13</v>
      </c>
      <c r="H60" s="55"/>
      <c r="I60" s="55"/>
      <c r="J60" s="55"/>
      <c r="K60" s="55"/>
      <c r="L60" s="55"/>
      <c r="M60" s="56"/>
      <c r="N60" s="55"/>
      <c r="O60" s="55"/>
      <c r="P60" s="55"/>
      <c r="Q60" s="55"/>
      <c r="R60" s="55"/>
      <c r="S60" s="55"/>
      <c r="T60" s="55"/>
      <c r="U60" s="55"/>
      <c r="V60" s="36">
        <f t="shared" si="4"/>
        <v>1</v>
      </c>
      <c r="W60" s="36">
        <f t="shared" si="5"/>
        <v>0</v>
      </c>
      <c r="X60" s="36">
        <f t="shared" si="6"/>
        <v>0</v>
      </c>
    </row>
    <row r="61" spans="1:24" x14ac:dyDescent="0.2">
      <c r="A61" s="356">
        <v>52</v>
      </c>
      <c r="B61" s="57"/>
      <c r="C61" s="54" t="s">
        <v>123</v>
      </c>
      <c r="D61" s="359">
        <f t="array" aca="1" ref="D61" ca="1">IF(COUNT(E61:U61)&lt;4,SUM(E61:U61),SUM(LARGE(E61:U61,ROW(INDIRECT("1:4")))))</f>
        <v>13</v>
      </c>
      <c r="E61" s="55"/>
      <c r="F61" s="55"/>
      <c r="G61" s="55">
        <v>13</v>
      </c>
      <c r="H61" s="55"/>
      <c r="I61" s="55"/>
      <c r="J61" s="55"/>
      <c r="K61" s="55"/>
      <c r="L61" s="55"/>
      <c r="M61" s="56"/>
      <c r="N61" s="55"/>
      <c r="O61" s="55"/>
      <c r="P61" s="55"/>
      <c r="Q61" s="55"/>
      <c r="R61" s="55"/>
      <c r="S61" s="55"/>
      <c r="T61" s="55"/>
      <c r="U61" s="55"/>
      <c r="V61" s="36">
        <f t="shared" si="4"/>
        <v>1</v>
      </c>
      <c r="W61" s="36">
        <f t="shared" si="5"/>
        <v>0</v>
      </c>
      <c r="X61" s="36">
        <f t="shared" si="6"/>
        <v>0</v>
      </c>
    </row>
    <row r="62" spans="1:24" x14ac:dyDescent="0.2">
      <c r="A62" s="356">
        <v>53</v>
      </c>
      <c r="B62" s="57"/>
      <c r="C62" s="54" t="s">
        <v>124</v>
      </c>
      <c r="D62" s="359">
        <f t="array" aca="1" ref="D62" ca="1">IF(COUNT(E62:U62)&lt;4,SUM(E62:U62),SUM(LARGE(E62:U62,ROW(INDIRECT("1:4")))))</f>
        <v>13</v>
      </c>
      <c r="E62" s="55"/>
      <c r="F62" s="55"/>
      <c r="G62" s="55">
        <v>13</v>
      </c>
      <c r="H62" s="55"/>
      <c r="I62" s="55"/>
      <c r="J62" s="55"/>
      <c r="K62" s="55"/>
      <c r="L62" s="55"/>
      <c r="M62" s="56"/>
      <c r="N62" s="55"/>
      <c r="O62" s="55"/>
      <c r="P62" s="55"/>
      <c r="Q62" s="55"/>
      <c r="R62" s="55"/>
      <c r="S62" s="55"/>
      <c r="T62" s="55"/>
      <c r="U62" s="55"/>
      <c r="V62" s="36">
        <f t="shared" si="4"/>
        <v>1</v>
      </c>
      <c r="W62" s="36">
        <f t="shared" si="5"/>
        <v>0</v>
      </c>
      <c r="X62" s="36">
        <f t="shared" si="6"/>
        <v>0</v>
      </c>
    </row>
    <row r="63" spans="1:24" x14ac:dyDescent="0.2">
      <c r="A63" s="356">
        <v>54</v>
      </c>
      <c r="B63" s="57"/>
      <c r="C63" s="54" t="s">
        <v>125</v>
      </c>
      <c r="D63" s="359">
        <f t="array" aca="1" ref="D63" ca="1">IF(COUNT(E63:U63)&lt;4,SUM(E63:U63),SUM(LARGE(E63:U63,ROW(INDIRECT("1:4")))))</f>
        <v>11</v>
      </c>
      <c r="E63" s="55"/>
      <c r="F63" s="55"/>
      <c r="G63" s="55">
        <v>11</v>
      </c>
      <c r="H63" s="55"/>
      <c r="I63" s="55"/>
      <c r="J63" s="55"/>
      <c r="K63" s="55"/>
      <c r="L63" s="55"/>
      <c r="M63" s="56"/>
      <c r="N63" s="55"/>
      <c r="O63" s="55"/>
      <c r="P63" s="55"/>
      <c r="Q63" s="55"/>
      <c r="R63" s="55"/>
      <c r="S63" s="55"/>
      <c r="T63" s="55"/>
      <c r="U63" s="55"/>
      <c r="V63" s="36">
        <f t="shared" si="4"/>
        <v>1</v>
      </c>
      <c r="W63" s="36">
        <f t="shared" si="5"/>
        <v>0</v>
      </c>
      <c r="X63" s="36">
        <f t="shared" si="6"/>
        <v>0</v>
      </c>
    </row>
    <row r="64" spans="1:24" x14ac:dyDescent="0.2">
      <c r="A64" s="356">
        <v>55</v>
      </c>
      <c r="B64" s="57"/>
      <c r="C64" s="54" t="s">
        <v>126</v>
      </c>
      <c r="D64" s="359">
        <f t="array" aca="1" ref="D64" ca="1">IF(COUNT(E64:U64)&lt;4,SUM(E64:U64),SUM(LARGE(E64:U64,ROW(INDIRECT("1:4")))))</f>
        <v>11</v>
      </c>
      <c r="E64" s="55"/>
      <c r="F64" s="55"/>
      <c r="G64" s="55">
        <v>11</v>
      </c>
      <c r="H64" s="55"/>
      <c r="I64" s="55"/>
      <c r="J64" s="55"/>
      <c r="K64" s="55"/>
      <c r="L64" s="55"/>
      <c r="M64" s="56"/>
      <c r="N64" s="55"/>
      <c r="O64" s="55"/>
      <c r="P64" s="55"/>
      <c r="Q64" s="55"/>
      <c r="R64" s="55"/>
      <c r="S64" s="55"/>
      <c r="T64" s="55"/>
      <c r="U64" s="55"/>
      <c r="V64" s="36">
        <f t="shared" si="4"/>
        <v>1</v>
      </c>
      <c r="W64" s="36">
        <f t="shared" si="5"/>
        <v>0</v>
      </c>
      <c r="X64" s="36">
        <f t="shared" si="6"/>
        <v>0</v>
      </c>
    </row>
    <row r="65" spans="1:26" x14ac:dyDescent="0.2">
      <c r="A65" s="356">
        <v>56</v>
      </c>
      <c r="B65" s="57"/>
      <c r="C65" s="54" t="s">
        <v>127</v>
      </c>
      <c r="D65" s="359">
        <f t="array" aca="1" ref="D65" ca="1">IF(COUNT(E65:U65)&lt;4,SUM(E65:U65),SUM(LARGE(E65:U65,ROW(INDIRECT("1:4")))))</f>
        <v>11</v>
      </c>
      <c r="E65" s="55"/>
      <c r="F65" s="55"/>
      <c r="G65" s="55">
        <v>11</v>
      </c>
      <c r="H65" s="55"/>
      <c r="I65" s="55"/>
      <c r="J65" s="55"/>
      <c r="K65" s="55"/>
      <c r="L65" s="55"/>
      <c r="M65" s="56"/>
      <c r="N65" s="55"/>
      <c r="O65" s="55"/>
      <c r="P65" s="55"/>
      <c r="Q65" s="55"/>
      <c r="R65" s="55"/>
      <c r="S65" s="55"/>
      <c r="T65" s="55"/>
      <c r="U65" s="55"/>
      <c r="V65" s="36">
        <f t="shared" si="4"/>
        <v>1</v>
      </c>
      <c r="W65" s="36">
        <f t="shared" si="5"/>
        <v>0</v>
      </c>
      <c r="X65" s="36">
        <f t="shared" si="6"/>
        <v>0</v>
      </c>
    </row>
    <row r="66" spans="1:26" x14ac:dyDescent="0.2">
      <c r="A66" s="356">
        <v>57</v>
      </c>
      <c r="B66" s="57"/>
      <c r="C66" s="54" t="s">
        <v>128</v>
      </c>
      <c r="D66" s="359">
        <f t="array" aca="1" ref="D66" ca="1">IF(COUNT(E66:U66)&lt;4,SUM(E66:U66),SUM(LARGE(E66:U66,ROW(INDIRECT("1:4")))))</f>
        <v>9</v>
      </c>
      <c r="E66" s="55"/>
      <c r="F66" s="55"/>
      <c r="G66" s="55">
        <v>9</v>
      </c>
      <c r="H66" s="55"/>
      <c r="I66" s="55"/>
      <c r="J66" s="55"/>
      <c r="K66" s="55"/>
      <c r="L66" s="55"/>
      <c r="M66" s="56"/>
      <c r="N66" s="55"/>
      <c r="O66" s="55"/>
      <c r="P66" s="55"/>
      <c r="Q66" s="55"/>
      <c r="R66" s="55"/>
      <c r="S66" s="55"/>
      <c r="T66" s="55"/>
      <c r="U66" s="55"/>
      <c r="V66" s="36">
        <f t="shared" si="4"/>
        <v>1</v>
      </c>
      <c r="W66" s="36">
        <f t="shared" si="5"/>
        <v>0</v>
      </c>
      <c r="X66" s="36">
        <f t="shared" si="6"/>
        <v>0</v>
      </c>
    </row>
    <row r="67" spans="1:26" x14ac:dyDescent="0.2">
      <c r="A67" s="356">
        <v>58</v>
      </c>
      <c r="B67" s="57"/>
      <c r="C67" s="54" t="s">
        <v>129</v>
      </c>
      <c r="D67" s="359">
        <f t="array" aca="1" ref="D67" ca="1">IF(COUNT(E67:U67)&lt;4,SUM(E67:U67),SUM(LARGE(E67:U67,ROW(INDIRECT("1:4")))))</f>
        <v>9</v>
      </c>
      <c r="E67" s="55"/>
      <c r="F67" s="55"/>
      <c r="G67" s="55">
        <v>9</v>
      </c>
      <c r="H67" s="55"/>
      <c r="I67" s="55"/>
      <c r="J67" s="55"/>
      <c r="K67" s="55"/>
      <c r="L67" s="55"/>
      <c r="M67" s="56"/>
      <c r="N67" s="55"/>
      <c r="O67" s="55"/>
      <c r="P67" s="55"/>
      <c r="Q67" s="55"/>
      <c r="R67" s="55"/>
      <c r="S67" s="55"/>
      <c r="T67" s="55"/>
      <c r="U67" s="55"/>
      <c r="V67" s="36">
        <f t="shared" si="4"/>
        <v>1</v>
      </c>
      <c r="W67" s="36">
        <f t="shared" si="5"/>
        <v>0</v>
      </c>
      <c r="X67" s="36">
        <f t="shared" si="6"/>
        <v>0</v>
      </c>
    </row>
    <row r="68" spans="1:26" x14ac:dyDescent="0.2">
      <c r="A68" s="356">
        <v>59</v>
      </c>
      <c r="B68" s="57"/>
      <c r="C68" s="54" t="s">
        <v>130</v>
      </c>
      <c r="D68" s="359">
        <f t="array" aca="1" ref="D68" ca="1">IF(COUNT(E68:U68)&lt;4,SUM(E68:U68),SUM(LARGE(E68:U68,ROW(INDIRECT("1:4")))))</f>
        <v>9</v>
      </c>
      <c r="E68" s="55"/>
      <c r="F68" s="55"/>
      <c r="G68" s="55">
        <v>9</v>
      </c>
      <c r="H68" s="55"/>
      <c r="I68" s="55"/>
      <c r="J68" s="55"/>
      <c r="K68" s="55"/>
      <c r="L68" s="55"/>
      <c r="M68" s="56"/>
      <c r="N68" s="55"/>
      <c r="O68" s="55"/>
      <c r="P68" s="55"/>
      <c r="Q68" s="55"/>
      <c r="R68" s="55"/>
      <c r="S68" s="55"/>
      <c r="T68" s="55"/>
      <c r="U68" s="55"/>
      <c r="V68" s="36">
        <f t="shared" si="4"/>
        <v>1</v>
      </c>
      <c r="W68" s="36">
        <f t="shared" si="5"/>
        <v>0</v>
      </c>
      <c r="X68" s="36">
        <f t="shared" si="6"/>
        <v>0</v>
      </c>
    </row>
    <row r="69" spans="1:26" s="265" customFormat="1" x14ac:dyDescent="0.2">
      <c r="A69" s="356">
        <v>60</v>
      </c>
      <c r="B69" s="292"/>
      <c r="C69" s="59" t="s">
        <v>131</v>
      </c>
      <c r="D69" s="359">
        <f t="array" aca="1" ref="D69" ca="1">IF(COUNT(E69:U69)&lt;4,SUM(E69:U69),SUM(LARGE(E69:U69,ROW(INDIRECT("1:4")))))</f>
        <v>5</v>
      </c>
      <c r="E69" s="55"/>
      <c r="F69" s="55"/>
      <c r="G69" s="55"/>
      <c r="H69" s="55">
        <v>5</v>
      </c>
      <c r="I69" s="55"/>
      <c r="J69" s="55"/>
      <c r="K69" s="55"/>
      <c r="L69" s="55"/>
      <c r="M69" s="56"/>
      <c r="N69" s="55"/>
      <c r="O69" s="55"/>
      <c r="P69" s="55"/>
      <c r="Q69" s="55"/>
      <c r="R69" s="55"/>
      <c r="S69" s="55"/>
      <c r="T69" s="55"/>
      <c r="U69" s="55"/>
      <c r="V69" s="36">
        <f t="shared" si="4"/>
        <v>1</v>
      </c>
      <c r="W69" s="36">
        <f t="shared" si="5"/>
        <v>0</v>
      </c>
      <c r="X69" s="36">
        <f t="shared" si="6"/>
        <v>0</v>
      </c>
      <c r="Y69" s="248"/>
      <c r="Z69" s="248"/>
    </row>
    <row r="70" spans="1:26" x14ac:dyDescent="0.2">
      <c r="A70" s="356">
        <v>61</v>
      </c>
      <c r="B70" s="57"/>
      <c r="C70" s="54" t="s">
        <v>132</v>
      </c>
      <c r="D70" s="359">
        <f t="array" aca="1" ref="D70" ca="1">IF(COUNT(E70:U70)&lt;4,SUM(E70:U70),SUM(LARGE(E70:U70,ROW(INDIRECT("1:4")))))</f>
        <v>0</v>
      </c>
      <c r="E70" s="55"/>
      <c r="F70" s="55"/>
      <c r="G70" s="55"/>
      <c r="H70" s="55">
        <v>0</v>
      </c>
      <c r="I70" s="55"/>
      <c r="J70" s="55"/>
      <c r="K70" s="55"/>
      <c r="L70" s="55"/>
      <c r="M70" s="56"/>
      <c r="N70" s="55"/>
      <c r="O70" s="55"/>
      <c r="P70" s="55"/>
      <c r="Q70" s="55"/>
      <c r="R70" s="55"/>
      <c r="S70" s="55"/>
      <c r="T70" s="55"/>
      <c r="U70" s="55"/>
      <c r="V70" s="36">
        <f t="shared" si="4"/>
        <v>1</v>
      </c>
      <c r="W70" s="36">
        <f t="shared" si="5"/>
        <v>0</v>
      </c>
      <c r="X70" s="36">
        <f t="shared" si="6"/>
        <v>0</v>
      </c>
    </row>
    <row r="71" spans="1:26" x14ac:dyDescent="0.2">
      <c r="A71" s="356">
        <v>62</v>
      </c>
      <c r="B71" s="57"/>
      <c r="C71" s="54" t="s">
        <v>133</v>
      </c>
      <c r="D71" s="359">
        <f t="array" aca="1" ref="D71" ca="1">IF(COUNT(E71:U71)&lt;4,SUM(E71:U71),SUM(LARGE(E71:U71,ROW(INDIRECT("1:4")))))</f>
        <v>1</v>
      </c>
      <c r="E71" s="55"/>
      <c r="F71" s="55"/>
      <c r="G71" s="55"/>
      <c r="H71" s="55"/>
      <c r="I71" s="55">
        <v>1</v>
      </c>
      <c r="J71" s="55"/>
      <c r="K71" s="55"/>
      <c r="L71" s="55"/>
      <c r="M71" s="56"/>
      <c r="N71" s="55"/>
      <c r="O71" s="55"/>
      <c r="P71" s="55"/>
      <c r="Q71" s="55"/>
      <c r="R71" s="55"/>
      <c r="S71" s="55"/>
      <c r="T71" s="55"/>
      <c r="U71" s="55"/>
      <c r="V71" s="36">
        <f t="shared" si="4"/>
        <v>1</v>
      </c>
      <c r="W71" s="36">
        <f t="shared" si="5"/>
        <v>0</v>
      </c>
      <c r="X71" s="36">
        <f t="shared" si="6"/>
        <v>0</v>
      </c>
    </row>
    <row r="72" spans="1:26" x14ac:dyDescent="0.2">
      <c r="A72" s="356">
        <v>63</v>
      </c>
      <c r="B72" s="57"/>
      <c r="C72" s="54" t="s">
        <v>134</v>
      </c>
      <c r="D72" s="359">
        <f t="array" aca="1" ref="D72" ca="1">IF(COUNT(E72:U72)&lt;4,SUM(E72:U72),SUM(LARGE(E72:U72,ROW(INDIRECT("1:4")))))</f>
        <v>0</v>
      </c>
      <c r="E72" s="55"/>
      <c r="F72" s="55"/>
      <c r="G72" s="55"/>
      <c r="H72" s="55"/>
      <c r="I72" s="55">
        <v>0</v>
      </c>
      <c r="J72" s="55"/>
      <c r="K72" s="55"/>
      <c r="L72" s="55"/>
      <c r="M72" s="56"/>
      <c r="N72" s="55"/>
      <c r="O72" s="55"/>
      <c r="P72" s="55"/>
      <c r="Q72" s="55"/>
      <c r="R72" s="55"/>
      <c r="S72" s="55"/>
      <c r="T72" s="55"/>
      <c r="U72" s="55"/>
      <c r="V72" s="36">
        <f t="shared" si="4"/>
        <v>1</v>
      </c>
      <c r="W72" s="36">
        <f t="shared" si="5"/>
        <v>0</v>
      </c>
      <c r="X72" s="36">
        <f t="shared" si="6"/>
        <v>0</v>
      </c>
    </row>
    <row r="73" spans="1:26" x14ac:dyDescent="0.2">
      <c r="A73" s="356">
        <v>64</v>
      </c>
      <c r="B73" s="57"/>
      <c r="C73" s="60" t="s">
        <v>135</v>
      </c>
      <c r="D73" s="359">
        <f t="array" aca="1" ref="D73" ca="1">IF(COUNT(E73:U73)&lt;4,SUM(E73:U73),SUM(LARGE(E73:U73,ROW(INDIRECT("1:4")))))</f>
        <v>3</v>
      </c>
      <c r="E73" s="55"/>
      <c r="F73" s="55"/>
      <c r="G73" s="55"/>
      <c r="H73" s="55"/>
      <c r="I73" s="55">
        <v>0</v>
      </c>
      <c r="J73" s="55"/>
      <c r="K73" s="55"/>
      <c r="L73" s="55"/>
      <c r="M73" s="56"/>
      <c r="N73" s="55"/>
      <c r="O73" s="55">
        <v>3</v>
      </c>
      <c r="P73" s="55"/>
      <c r="Q73" s="55">
        <v>0</v>
      </c>
      <c r="R73" s="55"/>
      <c r="S73" s="55"/>
      <c r="T73" s="55"/>
      <c r="U73" s="55"/>
      <c r="V73" s="36">
        <f t="shared" si="4"/>
        <v>3</v>
      </c>
      <c r="W73" s="36">
        <f t="shared" si="5"/>
        <v>0</v>
      </c>
      <c r="X73" s="36">
        <f t="shared" si="6"/>
        <v>0</v>
      </c>
    </row>
    <row r="74" spans="1:26" x14ac:dyDescent="0.2">
      <c r="A74" s="356">
        <v>65</v>
      </c>
      <c r="B74" s="57" t="s">
        <v>65</v>
      </c>
      <c r="C74" s="57" t="s">
        <v>136</v>
      </c>
      <c r="D74" s="359">
        <f t="array" aca="1" ref="D74" ca="1">IF(COUNT(E74:U74)&lt;4,SUM(E74:U74),SUM(LARGE(E74:U74,ROW(INDIRECT("1:4")))))</f>
        <v>19</v>
      </c>
      <c r="E74" s="55"/>
      <c r="F74" s="55"/>
      <c r="G74" s="55"/>
      <c r="H74" s="55"/>
      <c r="I74" s="55"/>
      <c r="J74" s="55">
        <v>19</v>
      </c>
      <c r="K74" s="55"/>
      <c r="L74" s="55"/>
      <c r="M74" s="56"/>
      <c r="N74" s="55"/>
      <c r="O74" s="55"/>
      <c r="P74" s="55"/>
      <c r="Q74" s="55"/>
      <c r="R74" s="55"/>
      <c r="S74" s="55"/>
      <c r="T74" s="55"/>
      <c r="U74" s="55"/>
      <c r="V74" s="36">
        <f t="shared" si="4"/>
        <v>1</v>
      </c>
      <c r="W74" s="36">
        <f t="shared" si="5"/>
        <v>0</v>
      </c>
      <c r="X74" s="36">
        <f t="shared" si="6"/>
        <v>0</v>
      </c>
    </row>
    <row r="75" spans="1:26" x14ac:dyDescent="0.2">
      <c r="A75" s="356">
        <v>66</v>
      </c>
      <c r="B75" s="57"/>
      <c r="C75" s="54" t="s">
        <v>137</v>
      </c>
      <c r="D75" s="359">
        <f t="array" aca="1" ref="D75" ca="1">IF(COUNT(E75:U75)&lt;4,SUM(E75:U75),SUM(LARGE(E75:U75,ROW(INDIRECT("1:4")))))</f>
        <v>10</v>
      </c>
      <c r="E75" s="55"/>
      <c r="F75" s="55"/>
      <c r="G75" s="55"/>
      <c r="H75" s="55"/>
      <c r="I75" s="55"/>
      <c r="J75" s="55">
        <v>10</v>
      </c>
      <c r="K75" s="55"/>
      <c r="L75" s="55"/>
      <c r="M75" s="56"/>
      <c r="N75" s="55"/>
      <c r="O75" s="55"/>
      <c r="P75" s="55"/>
      <c r="Q75" s="55"/>
      <c r="R75" s="55"/>
      <c r="S75" s="55"/>
      <c r="T75" s="55"/>
      <c r="U75" s="55"/>
      <c r="V75" s="36">
        <f t="shared" si="4"/>
        <v>1</v>
      </c>
      <c r="W75" s="36">
        <f t="shared" si="5"/>
        <v>0</v>
      </c>
      <c r="X75" s="36">
        <f t="shared" si="6"/>
        <v>0</v>
      </c>
    </row>
    <row r="76" spans="1:26" x14ac:dyDescent="0.2">
      <c r="A76" s="356">
        <v>67</v>
      </c>
      <c r="B76" s="57"/>
      <c r="C76" s="54" t="s">
        <v>138</v>
      </c>
      <c r="D76" s="359">
        <f t="array" aca="1" ref="D76" ca="1">IF(COUNT(E76:U76)&lt;4,SUM(E76:U76),SUM(LARGE(E76:U76,ROW(INDIRECT("1:4")))))</f>
        <v>86</v>
      </c>
      <c r="E76" s="55"/>
      <c r="F76" s="55"/>
      <c r="G76" s="55"/>
      <c r="H76" s="55"/>
      <c r="I76" s="55"/>
      <c r="J76" s="55">
        <v>8</v>
      </c>
      <c r="K76" s="55">
        <v>30</v>
      </c>
      <c r="L76" s="55"/>
      <c r="M76" s="56"/>
      <c r="N76" s="55">
        <v>13</v>
      </c>
      <c r="O76" s="55"/>
      <c r="P76" s="55">
        <v>13</v>
      </c>
      <c r="Q76" s="55">
        <v>30</v>
      </c>
      <c r="R76" s="55"/>
      <c r="S76" s="55"/>
      <c r="T76" s="55"/>
      <c r="U76" s="55"/>
      <c r="V76" s="36">
        <f t="shared" si="4"/>
        <v>5</v>
      </c>
      <c r="W76" s="36">
        <f t="shared" si="5"/>
        <v>0</v>
      </c>
      <c r="X76" s="36">
        <f t="shared" si="6"/>
        <v>0</v>
      </c>
    </row>
    <row r="77" spans="1:26" x14ac:dyDescent="0.2">
      <c r="A77" s="356">
        <v>68</v>
      </c>
      <c r="B77" s="57"/>
      <c r="C77" s="54" t="s">
        <v>139</v>
      </c>
      <c r="D77" s="359">
        <f t="array" aca="1" ref="D77" ca="1">IF(COUNT(E77:U77)&lt;4,SUM(E77:U77),SUM(LARGE(E77:U77,ROW(INDIRECT("1:4")))))</f>
        <v>4</v>
      </c>
      <c r="E77" s="55"/>
      <c r="F77" s="55"/>
      <c r="G77" s="55"/>
      <c r="H77" s="55"/>
      <c r="I77" s="55"/>
      <c r="J77" s="55">
        <v>4</v>
      </c>
      <c r="K77" s="55"/>
      <c r="L77" s="55"/>
      <c r="M77" s="56"/>
      <c r="N77" s="55"/>
      <c r="O77" s="55"/>
      <c r="P77" s="55"/>
      <c r="Q77" s="55"/>
      <c r="R77" s="55"/>
      <c r="S77" s="55"/>
      <c r="T77" s="55"/>
      <c r="U77" s="55"/>
      <c r="V77" s="36">
        <f t="shared" si="4"/>
        <v>1</v>
      </c>
      <c r="W77" s="36">
        <f t="shared" si="5"/>
        <v>0</v>
      </c>
      <c r="X77" s="36">
        <f t="shared" si="6"/>
        <v>0</v>
      </c>
    </row>
    <row r="78" spans="1:26" x14ac:dyDescent="0.2">
      <c r="A78" s="356">
        <v>69</v>
      </c>
      <c r="B78" s="57"/>
      <c r="C78" s="54" t="s">
        <v>140</v>
      </c>
      <c r="D78" s="359">
        <f t="array" aca="1" ref="D78" ca="1">IF(COUNT(E78:U78)&lt;4,SUM(E78:U78),SUM(LARGE(E78:U78,ROW(INDIRECT("1:4")))))</f>
        <v>4</v>
      </c>
      <c r="E78" s="55"/>
      <c r="F78" s="55"/>
      <c r="G78" s="55"/>
      <c r="H78" s="55"/>
      <c r="I78" s="55"/>
      <c r="J78" s="55">
        <v>4</v>
      </c>
      <c r="K78" s="55"/>
      <c r="L78" s="55"/>
      <c r="M78" s="56"/>
      <c r="N78" s="55"/>
      <c r="O78" s="55"/>
      <c r="P78" s="55"/>
      <c r="Q78" s="55"/>
      <c r="R78" s="55"/>
      <c r="S78" s="55"/>
      <c r="T78" s="55"/>
      <c r="U78" s="55"/>
      <c r="V78" s="36">
        <f t="shared" si="4"/>
        <v>1</v>
      </c>
      <c r="W78" s="36">
        <f t="shared" si="5"/>
        <v>0</v>
      </c>
      <c r="X78" s="36">
        <f t="shared" si="6"/>
        <v>0</v>
      </c>
    </row>
    <row r="79" spans="1:26" x14ac:dyDescent="0.2">
      <c r="A79" s="356">
        <v>70</v>
      </c>
      <c r="B79" s="57"/>
      <c r="C79" s="54" t="s">
        <v>141</v>
      </c>
      <c r="D79" s="359">
        <f t="array" aca="1" ref="D79" ca="1">IF(COUNT(E79:U79)&lt;4,SUM(E79:U79),SUM(LARGE(E79:U79,ROW(INDIRECT("1:4")))))</f>
        <v>90</v>
      </c>
      <c r="E79" s="55"/>
      <c r="F79" s="55"/>
      <c r="G79" s="55"/>
      <c r="H79" s="55"/>
      <c r="I79" s="55"/>
      <c r="J79" s="55"/>
      <c r="K79" s="55">
        <v>75</v>
      </c>
      <c r="L79" s="55"/>
      <c r="M79" s="56"/>
      <c r="N79" s="55">
        <v>15</v>
      </c>
      <c r="O79" s="55"/>
      <c r="P79" s="55"/>
      <c r="Q79" s="55"/>
      <c r="R79" s="55"/>
      <c r="S79" s="55"/>
      <c r="T79" s="55"/>
      <c r="U79" s="55"/>
      <c r="V79" s="36">
        <f t="shared" si="4"/>
        <v>2</v>
      </c>
      <c r="W79" s="36">
        <f t="shared" si="5"/>
        <v>1</v>
      </c>
      <c r="X79" s="36">
        <f t="shared" si="6"/>
        <v>1</v>
      </c>
    </row>
    <row r="80" spans="1:26" x14ac:dyDescent="0.2">
      <c r="A80" s="356">
        <v>71</v>
      </c>
      <c r="B80" s="57"/>
      <c r="C80" s="54" t="s">
        <v>142</v>
      </c>
      <c r="D80" s="359">
        <f t="array" aca="1" ref="D80" ca="1">IF(COUNT(E80:U80)&lt;4,SUM(E80:U80),SUM(LARGE(E80:U80,ROW(INDIRECT("1:4")))))</f>
        <v>60</v>
      </c>
      <c r="E80" s="55"/>
      <c r="F80" s="55"/>
      <c r="G80" s="55"/>
      <c r="H80" s="55"/>
      <c r="I80" s="55"/>
      <c r="J80" s="55"/>
      <c r="K80" s="55">
        <v>60</v>
      </c>
      <c r="L80" s="55"/>
      <c r="M80" s="56"/>
      <c r="N80" s="55"/>
      <c r="O80" s="55"/>
      <c r="P80" s="55"/>
      <c r="Q80" s="55"/>
      <c r="R80" s="55"/>
      <c r="S80" s="55"/>
      <c r="T80" s="55"/>
      <c r="U80" s="55"/>
      <c r="V80" s="36">
        <f t="shared" si="4"/>
        <v>1</v>
      </c>
      <c r="W80" s="36">
        <f t="shared" si="5"/>
        <v>1</v>
      </c>
      <c r="X80" s="36">
        <f t="shared" si="6"/>
        <v>0</v>
      </c>
    </row>
    <row r="81" spans="1:24" x14ac:dyDescent="0.2">
      <c r="A81" s="356">
        <v>72</v>
      </c>
      <c r="B81" s="57"/>
      <c r="C81" s="54" t="s">
        <v>143</v>
      </c>
      <c r="D81" s="359">
        <f t="array" aca="1" ref="D81" ca="1">IF(COUNT(E81:U81)&lt;4,SUM(E81:U81),SUM(LARGE(E81:U81,ROW(INDIRECT("1:4")))))</f>
        <v>15</v>
      </c>
      <c r="E81" s="55"/>
      <c r="F81" s="55"/>
      <c r="G81" s="55"/>
      <c r="H81" s="55"/>
      <c r="I81" s="55"/>
      <c r="J81" s="55"/>
      <c r="K81" s="55">
        <v>15</v>
      </c>
      <c r="L81" s="55"/>
      <c r="M81" s="56"/>
      <c r="N81" s="55"/>
      <c r="O81" s="55"/>
      <c r="P81" s="55"/>
      <c r="Q81" s="55"/>
      <c r="R81" s="55"/>
      <c r="S81" s="55"/>
      <c r="T81" s="55"/>
      <c r="U81" s="55"/>
      <c r="V81" s="36">
        <f t="shared" si="4"/>
        <v>1</v>
      </c>
      <c r="W81" s="36">
        <f t="shared" si="5"/>
        <v>0</v>
      </c>
      <c r="X81" s="36">
        <f t="shared" si="6"/>
        <v>0</v>
      </c>
    </row>
    <row r="82" spans="1:24" x14ac:dyDescent="0.2">
      <c r="A82" s="356">
        <v>73</v>
      </c>
      <c r="B82" s="57"/>
      <c r="C82" s="54" t="s">
        <v>144</v>
      </c>
      <c r="D82" s="359">
        <f t="array" aca="1" ref="D82" ca="1">IF(COUNT(E82:U82)&lt;4,SUM(E82:U82),SUM(LARGE(E82:U82,ROW(INDIRECT("1:4")))))</f>
        <v>15</v>
      </c>
      <c r="E82" s="55"/>
      <c r="F82" s="55"/>
      <c r="G82" s="55"/>
      <c r="H82" s="55"/>
      <c r="I82" s="55"/>
      <c r="J82" s="55"/>
      <c r="K82" s="55">
        <v>15</v>
      </c>
      <c r="L82" s="55"/>
      <c r="M82" s="56"/>
      <c r="N82" s="55"/>
      <c r="O82" s="55"/>
      <c r="P82" s="55"/>
      <c r="Q82" s="55"/>
      <c r="R82" s="55"/>
      <c r="S82" s="55"/>
      <c r="T82" s="55"/>
      <c r="U82" s="55"/>
      <c r="V82" s="36">
        <f t="shared" si="4"/>
        <v>1</v>
      </c>
      <c r="W82" s="36">
        <f t="shared" si="5"/>
        <v>0</v>
      </c>
      <c r="X82" s="36">
        <f t="shared" si="6"/>
        <v>0</v>
      </c>
    </row>
    <row r="83" spans="1:24" x14ac:dyDescent="0.2">
      <c r="A83" s="356">
        <v>74</v>
      </c>
      <c r="B83" s="292"/>
      <c r="C83" s="54" t="s">
        <v>145</v>
      </c>
      <c r="D83" s="359">
        <f t="array" aca="1" ref="D83" ca="1">IF(COUNT(E83:U83)&lt;4,SUM(E83:U83),SUM(LARGE(E83:U83,ROW(INDIRECT("1:4")))))</f>
        <v>13</v>
      </c>
      <c r="E83" s="55"/>
      <c r="F83" s="55"/>
      <c r="G83" s="55"/>
      <c r="H83" s="55"/>
      <c r="I83" s="55"/>
      <c r="J83" s="55"/>
      <c r="K83" s="55">
        <v>13</v>
      </c>
      <c r="L83" s="55"/>
      <c r="M83" s="56"/>
      <c r="N83" s="55"/>
      <c r="O83" s="55"/>
      <c r="P83" s="55"/>
      <c r="Q83" s="55"/>
      <c r="R83" s="55"/>
      <c r="S83" s="55"/>
      <c r="T83" s="55"/>
      <c r="U83" s="55"/>
      <c r="V83" s="36">
        <f t="shared" si="4"/>
        <v>1</v>
      </c>
      <c r="W83" s="36">
        <f t="shared" si="5"/>
        <v>0</v>
      </c>
      <c r="X83" s="36">
        <f t="shared" si="6"/>
        <v>0</v>
      </c>
    </row>
    <row r="84" spans="1:24" x14ac:dyDescent="0.2">
      <c r="A84" s="356">
        <v>75</v>
      </c>
      <c r="B84" s="57"/>
      <c r="C84" s="60" t="s">
        <v>146</v>
      </c>
      <c r="D84" s="359">
        <f t="array" aca="1" ref="D84" ca="1">IF(COUNT(E84:U84)&lt;4,SUM(E84:U84),SUM(LARGE(E84:U84,ROW(INDIRECT("1:4")))))</f>
        <v>13</v>
      </c>
      <c r="E84" s="55"/>
      <c r="F84" s="55"/>
      <c r="G84" s="55"/>
      <c r="H84" s="55"/>
      <c r="I84" s="55"/>
      <c r="J84" s="55"/>
      <c r="K84" s="55">
        <v>13</v>
      </c>
      <c r="L84" s="55"/>
      <c r="M84" s="56"/>
      <c r="N84" s="55"/>
      <c r="O84" s="55"/>
      <c r="P84" s="55"/>
      <c r="Q84" s="55"/>
      <c r="R84" s="55"/>
      <c r="S84" s="55"/>
      <c r="T84" s="55"/>
      <c r="U84" s="55"/>
      <c r="V84" s="36">
        <f t="shared" si="4"/>
        <v>1</v>
      </c>
      <c r="W84" s="36">
        <f t="shared" si="5"/>
        <v>0</v>
      </c>
      <c r="X84" s="36">
        <f t="shared" si="6"/>
        <v>0</v>
      </c>
    </row>
    <row r="85" spans="1:24" x14ac:dyDescent="0.2">
      <c r="A85" s="356">
        <v>76</v>
      </c>
      <c r="B85" s="57"/>
      <c r="C85" s="54" t="s">
        <v>147</v>
      </c>
      <c r="D85" s="359">
        <f t="array" aca="1" ref="D85" ca="1">IF(COUNT(E85:U85)&lt;4,SUM(E85:U85),SUM(LARGE(E85:U85,ROW(INDIRECT("1:4")))))</f>
        <v>8</v>
      </c>
      <c r="E85" s="55"/>
      <c r="F85" s="55"/>
      <c r="G85" s="55"/>
      <c r="H85" s="55"/>
      <c r="I85" s="55"/>
      <c r="J85" s="55"/>
      <c r="K85" s="55">
        <v>8</v>
      </c>
      <c r="L85" s="55"/>
      <c r="M85" s="56"/>
      <c r="N85" s="55"/>
      <c r="O85" s="55"/>
      <c r="P85" s="55"/>
      <c r="Q85" s="55"/>
      <c r="R85" s="55"/>
      <c r="S85" s="55"/>
      <c r="T85" s="55"/>
      <c r="U85" s="55"/>
      <c r="V85" s="36">
        <f t="shared" si="4"/>
        <v>1</v>
      </c>
      <c r="W85" s="36">
        <f t="shared" si="5"/>
        <v>0</v>
      </c>
      <c r="X85" s="36">
        <f t="shared" si="6"/>
        <v>0</v>
      </c>
    </row>
    <row r="86" spans="1:24" x14ac:dyDescent="0.2">
      <c r="A86" s="356">
        <v>77</v>
      </c>
      <c r="B86" s="57"/>
      <c r="C86" s="54" t="s">
        <v>148</v>
      </c>
      <c r="D86" s="359">
        <f t="array" aca="1" ref="D86" ca="1">IF(COUNT(E86:U86)&lt;4,SUM(E86:U86),SUM(LARGE(E86:U86,ROW(INDIRECT("1:4")))))</f>
        <v>8</v>
      </c>
      <c r="E86" s="55"/>
      <c r="F86" s="55"/>
      <c r="G86" s="55"/>
      <c r="H86" s="55"/>
      <c r="I86" s="55"/>
      <c r="J86" s="55"/>
      <c r="K86" s="55">
        <v>8</v>
      </c>
      <c r="L86" s="55"/>
      <c r="M86" s="56"/>
      <c r="N86" s="55"/>
      <c r="O86" s="55"/>
      <c r="P86" s="55"/>
      <c r="Q86" s="55"/>
      <c r="R86" s="55"/>
      <c r="S86" s="55"/>
      <c r="T86" s="55"/>
      <c r="U86" s="55"/>
      <c r="V86" s="36">
        <f t="shared" si="4"/>
        <v>1</v>
      </c>
      <c r="W86" s="36">
        <f t="shared" si="5"/>
        <v>0</v>
      </c>
      <c r="X86" s="36">
        <f t="shared" si="6"/>
        <v>0</v>
      </c>
    </row>
    <row r="87" spans="1:24" x14ac:dyDescent="0.2">
      <c r="A87" s="356">
        <v>78</v>
      </c>
      <c r="B87" s="57" t="s">
        <v>65</v>
      </c>
      <c r="C87" s="58" t="s">
        <v>149</v>
      </c>
      <c r="D87" s="359">
        <f t="array" aca="1" ref="D87" ca="1">IF(COUNT(E87:U87)&lt;4,SUM(E87:U87),SUM(LARGE(E87:U87,ROW(INDIRECT("1:4")))))</f>
        <v>4</v>
      </c>
      <c r="E87" s="55"/>
      <c r="F87" s="55"/>
      <c r="G87" s="55"/>
      <c r="H87" s="55"/>
      <c r="I87" s="55"/>
      <c r="J87" s="55"/>
      <c r="K87" s="55">
        <v>4</v>
      </c>
      <c r="L87" s="55"/>
      <c r="M87" s="56"/>
      <c r="N87" s="55"/>
      <c r="O87" s="55"/>
      <c r="P87" s="55"/>
      <c r="Q87" s="55"/>
      <c r="R87" s="55"/>
      <c r="S87" s="55"/>
      <c r="T87" s="55"/>
      <c r="U87" s="55"/>
      <c r="V87" s="36">
        <f t="shared" si="4"/>
        <v>1</v>
      </c>
      <c r="W87" s="36">
        <f t="shared" si="5"/>
        <v>0</v>
      </c>
      <c r="X87" s="36">
        <f t="shared" si="6"/>
        <v>0</v>
      </c>
    </row>
    <row r="88" spans="1:24" x14ac:dyDescent="0.2">
      <c r="A88" s="356">
        <v>79</v>
      </c>
      <c r="B88" s="57" t="s">
        <v>65</v>
      </c>
      <c r="C88" s="57" t="s">
        <v>150</v>
      </c>
      <c r="D88" s="359">
        <f t="array" aca="1" ref="D88" ca="1">IF(COUNT(E88:U88)&lt;4,SUM(E88:U88),SUM(LARGE(E88:U88,ROW(INDIRECT("1:4")))))</f>
        <v>4</v>
      </c>
      <c r="E88" s="55"/>
      <c r="F88" s="55"/>
      <c r="G88" s="55"/>
      <c r="H88" s="55"/>
      <c r="I88" s="55"/>
      <c r="J88" s="55"/>
      <c r="K88" s="55">
        <v>4</v>
      </c>
      <c r="L88" s="55"/>
      <c r="M88" s="56"/>
      <c r="N88" s="55"/>
      <c r="O88" s="55"/>
      <c r="P88" s="55"/>
      <c r="Q88" s="55"/>
      <c r="R88" s="55"/>
      <c r="S88" s="55"/>
      <c r="T88" s="55"/>
      <c r="U88" s="55"/>
      <c r="V88" s="36">
        <f t="shared" si="4"/>
        <v>1</v>
      </c>
      <c r="W88" s="36">
        <f t="shared" si="5"/>
        <v>0</v>
      </c>
      <c r="X88" s="36">
        <f t="shared" si="6"/>
        <v>0</v>
      </c>
    </row>
    <row r="89" spans="1:24" x14ac:dyDescent="0.2">
      <c r="A89" s="356">
        <v>80</v>
      </c>
      <c r="B89" s="57"/>
      <c r="C89" s="54" t="s">
        <v>151</v>
      </c>
      <c r="D89" s="359">
        <f t="array" aca="1" ref="D89" ca="1">IF(COUNT(E89:U89)&lt;4,SUM(E89:U89),SUM(LARGE(E89:U89,ROW(INDIRECT("1:4")))))</f>
        <v>2</v>
      </c>
      <c r="E89" s="55"/>
      <c r="F89" s="55"/>
      <c r="G89" s="55"/>
      <c r="H89" s="55"/>
      <c r="I89" s="55"/>
      <c r="J89" s="55"/>
      <c r="K89" s="55">
        <v>2</v>
      </c>
      <c r="L89" s="55"/>
      <c r="M89" s="56"/>
      <c r="N89" s="55"/>
      <c r="O89" s="55"/>
      <c r="P89" s="55"/>
      <c r="Q89" s="55"/>
      <c r="R89" s="55"/>
      <c r="S89" s="55"/>
      <c r="T89" s="55"/>
      <c r="U89" s="55"/>
      <c r="V89" s="36">
        <f t="shared" si="4"/>
        <v>1</v>
      </c>
      <c r="W89" s="36">
        <f t="shared" si="5"/>
        <v>0</v>
      </c>
      <c r="X89" s="36">
        <f t="shared" si="6"/>
        <v>0</v>
      </c>
    </row>
    <row r="90" spans="1:24" x14ac:dyDescent="0.2">
      <c r="A90" s="356">
        <v>81</v>
      </c>
      <c r="B90" s="57"/>
      <c r="C90" s="54" t="s">
        <v>152</v>
      </c>
      <c r="D90" s="359">
        <f t="array" aca="1" ref="D90" ca="1">IF(COUNT(E90:U90)&lt;4,SUM(E90:U90),SUM(LARGE(E90:U90,ROW(INDIRECT("1:4")))))</f>
        <v>2</v>
      </c>
      <c r="E90" s="55"/>
      <c r="F90" s="55"/>
      <c r="G90" s="55"/>
      <c r="H90" s="55"/>
      <c r="I90" s="55"/>
      <c r="J90" s="55"/>
      <c r="K90" s="55">
        <v>2</v>
      </c>
      <c r="L90" s="55"/>
      <c r="M90" s="56"/>
      <c r="N90" s="55"/>
      <c r="O90" s="55"/>
      <c r="P90" s="55"/>
      <c r="Q90" s="55"/>
      <c r="R90" s="55"/>
      <c r="S90" s="55"/>
      <c r="T90" s="55"/>
      <c r="U90" s="55"/>
      <c r="V90" s="36">
        <f t="shared" si="4"/>
        <v>1</v>
      </c>
      <c r="W90" s="36">
        <f t="shared" si="5"/>
        <v>0</v>
      </c>
      <c r="X90" s="36">
        <f t="shared" si="6"/>
        <v>0</v>
      </c>
    </row>
    <row r="91" spans="1:24" x14ac:dyDescent="0.2">
      <c r="A91" s="356">
        <v>82</v>
      </c>
      <c r="B91" s="57"/>
      <c r="C91" s="54" t="s">
        <v>153</v>
      </c>
      <c r="D91" s="359">
        <f t="array" aca="1" ref="D91" ca="1">IF(COUNT(E91:U91)&lt;4,SUM(E91:U91),SUM(LARGE(E91:U91,ROW(INDIRECT("1:4")))))</f>
        <v>1</v>
      </c>
      <c r="E91" s="55"/>
      <c r="F91" s="55"/>
      <c r="G91" s="55"/>
      <c r="H91" s="55"/>
      <c r="I91" s="55"/>
      <c r="J91" s="55"/>
      <c r="K91" s="55">
        <v>1</v>
      </c>
      <c r="L91" s="55"/>
      <c r="M91" s="56"/>
      <c r="N91" s="55"/>
      <c r="O91" s="55"/>
      <c r="P91" s="55"/>
      <c r="Q91" s="55"/>
      <c r="R91" s="55"/>
      <c r="S91" s="55"/>
      <c r="T91" s="55"/>
      <c r="U91" s="55"/>
      <c r="V91" s="36">
        <f t="shared" si="4"/>
        <v>1</v>
      </c>
      <c r="W91" s="36">
        <f t="shared" si="5"/>
        <v>0</v>
      </c>
      <c r="X91" s="36">
        <f t="shared" si="6"/>
        <v>0</v>
      </c>
    </row>
    <row r="92" spans="1:24" x14ac:dyDescent="0.2">
      <c r="A92" s="356">
        <v>83</v>
      </c>
      <c r="B92" s="57"/>
      <c r="C92" s="54" t="s">
        <v>154</v>
      </c>
      <c r="D92" s="359">
        <f t="array" aca="1" ref="D92" ca="1">IF(COUNT(E92:U92)&lt;4,SUM(E92:U92),SUM(LARGE(E92:U92,ROW(INDIRECT("1:4")))))</f>
        <v>1</v>
      </c>
      <c r="E92" s="55"/>
      <c r="F92" s="55"/>
      <c r="G92" s="55"/>
      <c r="H92" s="55"/>
      <c r="I92" s="55"/>
      <c r="J92" s="55"/>
      <c r="K92" s="55">
        <v>1</v>
      </c>
      <c r="L92" s="55"/>
      <c r="M92" s="56"/>
      <c r="N92" s="55"/>
      <c r="O92" s="55"/>
      <c r="P92" s="55"/>
      <c r="Q92" s="55"/>
      <c r="R92" s="55"/>
      <c r="S92" s="55"/>
      <c r="T92" s="55"/>
      <c r="U92" s="55"/>
      <c r="V92" s="36">
        <f t="shared" si="4"/>
        <v>1</v>
      </c>
      <c r="W92" s="36">
        <f t="shared" si="5"/>
        <v>0</v>
      </c>
      <c r="X92" s="36">
        <f t="shared" si="6"/>
        <v>0</v>
      </c>
    </row>
    <row r="93" spans="1:24" x14ac:dyDescent="0.2">
      <c r="A93" s="356">
        <v>84</v>
      </c>
      <c r="B93" s="57"/>
      <c r="C93" s="54" t="s">
        <v>155</v>
      </c>
      <c r="D93" s="359">
        <f t="array" aca="1" ref="D93" ca="1">IF(COUNT(E93:U93)&lt;4,SUM(E93:U93),SUM(LARGE(E93:U93,ROW(INDIRECT("1:4")))))</f>
        <v>0</v>
      </c>
      <c r="E93" s="55"/>
      <c r="F93" s="55"/>
      <c r="G93" s="55"/>
      <c r="H93" s="55"/>
      <c r="I93" s="55"/>
      <c r="J93" s="55"/>
      <c r="K93" s="55">
        <v>0</v>
      </c>
      <c r="L93" s="55"/>
      <c r="M93" s="56"/>
      <c r="N93" s="55"/>
      <c r="O93" s="55"/>
      <c r="P93" s="55"/>
      <c r="Q93" s="55"/>
      <c r="R93" s="55"/>
      <c r="S93" s="55"/>
      <c r="T93" s="55"/>
      <c r="U93" s="55"/>
      <c r="V93" s="36">
        <f t="shared" si="4"/>
        <v>1</v>
      </c>
      <c r="W93" s="36">
        <f t="shared" si="5"/>
        <v>0</v>
      </c>
      <c r="X93" s="36">
        <f t="shared" si="6"/>
        <v>0</v>
      </c>
    </row>
    <row r="94" spans="1:24" x14ac:dyDescent="0.2">
      <c r="A94" s="356">
        <v>85</v>
      </c>
      <c r="B94" s="57"/>
      <c r="C94" s="54" t="s">
        <v>156</v>
      </c>
      <c r="D94" s="359">
        <f t="array" aca="1" ref="D94" ca="1">IF(COUNT(E94:U94)&lt;4,SUM(E94:U94),SUM(LARGE(E94:U94,ROW(INDIRECT("1:4")))))</f>
        <v>0</v>
      </c>
      <c r="E94" s="55"/>
      <c r="F94" s="55"/>
      <c r="G94" s="55"/>
      <c r="H94" s="55"/>
      <c r="I94" s="55"/>
      <c r="J94" s="55"/>
      <c r="K94" s="55">
        <v>0</v>
      </c>
      <c r="L94" s="55"/>
      <c r="M94" s="56"/>
      <c r="N94" s="55"/>
      <c r="O94" s="55"/>
      <c r="P94" s="55"/>
      <c r="Q94" s="55"/>
      <c r="R94" s="55"/>
      <c r="S94" s="55"/>
      <c r="T94" s="55"/>
      <c r="U94" s="55"/>
      <c r="V94" s="36">
        <f t="shared" si="4"/>
        <v>1</v>
      </c>
      <c r="W94" s="36">
        <f t="shared" si="5"/>
        <v>0</v>
      </c>
      <c r="X94" s="36">
        <f t="shared" si="6"/>
        <v>0</v>
      </c>
    </row>
    <row r="95" spans="1:24" x14ac:dyDescent="0.2">
      <c r="A95" s="356">
        <v>86</v>
      </c>
      <c r="B95" s="57" t="s">
        <v>65</v>
      </c>
      <c r="C95" s="57" t="s">
        <v>157</v>
      </c>
      <c r="D95" s="359">
        <f t="array" aca="1" ref="D95" ca="1">IF(COUNT(E95:U95)&lt;4,SUM(E95:U95),SUM(LARGE(E95:U95,ROW(INDIRECT("1:4")))))</f>
        <v>13</v>
      </c>
      <c r="E95" s="55"/>
      <c r="F95" s="55"/>
      <c r="G95" s="55"/>
      <c r="H95" s="55"/>
      <c r="I95" s="55"/>
      <c r="J95" s="55"/>
      <c r="K95" s="59"/>
      <c r="L95" s="55">
        <v>13</v>
      </c>
      <c r="M95" s="56"/>
      <c r="N95" s="55"/>
      <c r="O95" s="55"/>
      <c r="P95" s="55"/>
      <c r="Q95" s="55"/>
      <c r="R95" s="55"/>
      <c r="S95" s="55"/>
      <c r="T95" s="55"/>
      <c r="U95" s="55"/>
      <c r="V95" s="36">
        <f t="shared" si="4"/>
        <v>1</v>
      </c>
      <c r="W95" s="36">
        <f t="shared" si="5"/>
        <v>0</v>
      </c>
      <c r="X95" s="36">
        <f t="shared" si="6"/>
        <v>0</v>
      </c>
    </row>
    <row r="96" spans="1:24" x14ac:dyDescent="0.2">
      <c r="A96" s="356">
        <v>87</v>
      </c>
      <c r="B96" s="57"/>
      <c r="C96" s="54" t="s">
        <v>158</v>
      </c>
      <c r="D96" s="359">
        <f t="array" aca="1" ref="D96" ca="1">IF(COUNT(E96:U96)&lt;4,SUM(E96:U96),SUM(LARGE(E96:U96,ROW(INDIRECT("1:4")))))</f>
        <v>8</v>
      </c>
      <c r="E96" s="55"/>
      <c r="F96" s="55"/>
      <c r="G96" s="55"/>
      <c r="H96" s="55"/>
      <c r="I96" s="55"/>
      <c r="J96" s="55"/>
      <c r="K96" s="55"/>
      <c r="L96" s="55">
        <v>8</v>
      </c>
      <c r="M96" s="56"/>
      <c r="N96" s="55"/>
      <c r="O96" s="55"/>
      <c r="P96" s="55"/>
      <c r="Q96" s="55"/>
      <c r="R96" s="55"/>
      <c r="S96" s="55"/>
      <c r="T96" s="55"/>
      <c r="U96" s="55"/>
      <c r="V96" s="36">
        <f t="shared" si="4"/>
        <v>1</v>
      </c>
      <c r="W96" s="36">
        <f t="shared" si="5"/>
        <v>0</v>
      </c>
      <c r="X96" s="36">
        <f t="shared" si="6"/>
        <v>0</v>
      </c>
    </row>
    <row r="97" spans="1:24" x14ac:dyDescent="0.2">
      <c r="A97" s="356">
        <v>88</v>
      </c>
      <c r="B97" s="57"/>
      <c r="C97" s="54" t="s">
        <v>159</v>
      </c>
      <c r="D97" s="359">
        <f t="array" aca="1" ref="D97" ca="1">IF(COUNT(E97:U97)&lt;4,SUM(E97:U97),SUM(LARGE(E97:U97,ROW(INDIRECT("1:4")))))</f>
        <v>8</v>
      </c>
      <c r="E97" s="55"/>
      <c r="F97" s="55"/>
      <c r="G97" s="55"/>
      <c r="H97" s="55"/>
      <c r="I97" s="55"/>
      <c r="J97" s="55"/>
      <c r="K97" s="55"/>
      <c r="L97" s="55">
        <v>8</v>
      </c>
      <c r="M97" s="56"/>
      <c r="N97" s="55"/>
      <c r="O97" s="55"/>
      <c r="P97" s="55"/>
      <c r="Q97" s="55"/>
      <c r="R97" s="55"/>
      <c r="S97" s="55"/>
      <c r="T97" s="55"/>
      <c r="U97" s="55"/>
      <c r="V97" s="36">
        <f t="shared" si="4"/>
        <v>1</v>
      </c>
      <c r="W97" s="36">
        <f t="shared" si="5"/>
        <v>0</v>
      </c>
      <c r="X97" s="36">
        <f t="shared" si="6"/>
        <v>0</v>
      </c>
    </row>
    <row r="98" spans="1:24" x14ac:dyDescent="0.2">
      <c r="A98" s="356">
        <v>89</v>
      </c>
      <c r="B98" s="57"/>
      <c r="C98" s="59" t="s">
        <v>160</v>
      </c>
      <c r="D98" s="359">
        <f t="array" aca="1" ref="D98" ca="1">IF(COUNT(E98:U98)&lt;4,SUM(E98:U98),SUM(LARGE(E98:U98,ROW(INDIRECT("1:4")))))</f>
        <v>5</v>
      </c>
      <c r="E98" s="55"/>
      <c r="F98" s="55"/>
      <c r="G98" s="55"/>
      <c r="H98" s="55"/>
      <c r="I98" s="55"/>
      <c r="J98" s="55"/>
      <c r="K98" s="55"/>
      <c r="L98" s="55">
        <v>5</v>
      </c>
      <c r="M98" s="56"/>
      <c r="N98" s="55"/>
      <c r="O98" s="55"/>
      <c r="P98" s="55"/>
      <c r="Q98" s="55"/>
      <c r="R98" s="55"/>
      <c r="S98" s="55"/>
      <c r="T98" s="55"/>
      <c r="U98" s="55"/>
      <c r="V98" s="36">
        <f t="shared" si="4"/>
        <v>1</v>
      </c>
      <c r="W98" s="36">
        <f t="shared" si="5"/>
        <v>0</v>
      </c>
      <c r="X98" s="36">
        <f t="shared" si="6"/>
        <v>0</v>
      </c>
    </row>
    <row r="99" spans="1:24" x14ac:dyDescent="0.2">
      <c r="A99" s="356">
        <v>90</v>
      </c>
      <c r="B99" s="57"/>
      <c r="C99" s="54" t="s">
        <v>162</v>
      </c>
      <c r="D99" s="359">
        <f t="array" aca="1" ref="D99" ca="1">IF(COUNT(E99:U99)&lt;4,SUM(E99:U99),SUM(LARGE(E99:U99,ROW(INDIRECT("1:4")))))</f>
        <v>5</v>
      </c>
      <c r="E99" s="55"/>
      <c r="F99" s="55"/>
      <c r="G99" s="55"/>
      <c r="H99" s="55"/>
      <c r="I99" s="55"/>
      <c r="J99" s="55"/>
      <c r="K99" s="55"/>
      <c r="L99" s="55">
        <v>5</v>
      </c>
      <c r="M99" s="56"/>
      <c r="N99" s="55"/>
      <c r="O99" s="55"/>
      <c r="P99" s="55"/>
      <c r="Q99" s="55"/>
      <c r="R99" s="55"/>
      <c r="S99" s="55"/>
      <c r="T99" s="55"/>
      <c r="U99" s="55"/>
      <c r="V99" s="36">
        <f t="shared" si="4"/>
        <v>1</v>
      </c>
      <c r="W99" s="36">
        <f t="shared" si="5"/>
        <v>0</v>
      </c>
      <c r="X99" s="36">
        <f t="shared" si="6"/>
        <v>0</v>
      </c>
    </row>
    <row r="100" spans="1:24" x14ac:dyDescent="0.2">
      <c r="A100" s="356">
        <v>91</v>
      </c>
      <c r="B100" s="57"/>
      <c r="C100" s="54" t="s">
        <v>163</v>
      </c>
      <c r="D100" s="359">
        <f t="array" aca="1" ref="D100" ca="1">IF(COUNT(E100:U100)&lt;4,SUM(E100:U100),SUM(LARGE(E100:U100,ROW(INDIRECT("1:4")))))</f>
        <v>30</v>
      </c>
      <c r="E100" s="55"/>
      <c r="F100" s="55"/>
      <c r="G100" s="55"/>
      <c r="H100" s="55"/>
      <c r="I100" s="55"/>
      <c r="J100" s="55"/>
      <c r="K100" s="55"/>
      <c r="L100" s="55"/>
      <c r="M100" s="56"/>
      <c r="N100" s="55">
        <v>30</v>
      </c>
      <c r="O100" s="55"/>
      <c r="P100" s="55"/>
      <c r="Q100" s="55"/>
      <c r="R100" s="55"/>
      <c r="S100" s="55"/>
      <c r="T100" s="55"/>
      <c r="U100" s="55"/>
      <c r="V100" s="36">
        <f t="shared" ref="V100:V126" si="7">COUNTIF(E100:U100,"&gt;=0")</f>
        <v>1</v>
      </c>
      <c r="W100" s="36">
        <f t="shared" ref="W100:W126" si="8">COUNTIF(E100:U100,"&gt;=45")+COUNTIF(G100,"=40")+COUNTIF(N100,"=40")+COUNTIF(P100,"=40")+COUNTIF(S100,"=40")+COUNTIF(G100,"=30")+COUNTIF(N100,"=30")+COUNTIF(P100,"=30")+COUNTIF(S100,"=30")</f>
        <v>1</v>
      </c>
      <c r="X100" s="36">
        <f t="shared" ref="X100:X126" si="9">COUNTIF(E100:U100,"&gt;=75")+COUNTIF(G100,"=50")+COUNTIF(N100,"=50")+COUNTIF(P100,"=50")+COUNTIF(S100,"=50")</f>
        <v>0</v>
      </c>
    </row>
    <row r="101" spans="1:24" x14ac:dyDescent="0.2">
      <c r="A101" s="356">
        <v>92</v>
      </c>
      <c r="B101" s="57"/>
      <c r="C101" s="54" t="s">
        <v>164</v>
      </c>
      <c r="D101" s="359">
        <f t="array" aca="1" ref="D101" ca="1">IF(COUNT(E101:U101)&lt;4,SUM(E101:U101),SUM(LARGE(E101:U101,ROW(INDIRECT("1:4")))))</f>
        <v>30</v>
      </c>
      <c r="E101" s="55"/>
      <c r="F101" s="55"/>
      <c r="G101" s="55"/>
      <c r="H101" s="55"/>
      <c r="I101" s="55"/>
      <c r="J101" s="55"/>
      <c r="K101" s="55"/>
      <c r="L101" s="55"/>
      <c r="M101" s="56"/>
      <c r="N101" s="55">
        <v>30</v>
      </c>
      <c r="O101" s="55"/>
      <c r="P101" s="55"/>
      <c r="Q101" s="55"/>
      <c r="R101" s="55"/>
      <c r="S101" s="55"/>
      <c r="T101" s="55"/>
      <c r="U101" s="55"/>
      <c r="V101" s="36">
        <f t="shared" si="7"/>
        <v>1</v>
      </c>
      <c r="W101" s="36">
        <f t="shared" si="8"/>
        <v>1</v>
      </c>
      <c r="X101" s="36">
        <f t="shared" si="9"/>
        <v>0</v>
      </c>
    </row>
    <row r="102" spans="1:24" x14ac:dyDescent="0.2">
      <c r="A102" s="356">
        <v>93</v>
      </c>
      <c r="B102" s="57"/>
      <c r="C102" s="54" t="s">
        <v>165</v>
      </c>
      <c r="D102" s="359">
        <f t="array" aca="1" ref="D102" ca="1">IF(COUNT(E102:U102)&lt;4,SUM(E102:U102),SUM(LARGE(E102:U102,ROW(INDIRECT("1:4")))))</f>
        <v>15</v>
      </c>
      <c r="E102" s="55"/>
      <c r="F102" s="55"/>
      <c r="G102" s="55"/>
      <c r="H102" s="55"/>
      <c r="I102" s="55"/>
      <c r="J102" s="55"/>
      <c r="K102" s="55"/>
      <c r="L102" s="55"/>
      <c r="M102" s="56"/>
      <c r="N102" s="55">
        <v>15</v>
      </c>
      <c r="O102" s="55"/>
      <c r="P102" s="55"/>
      <c r="Q102" s="55"/>
      <c r="R102" s="55"/>
      <c r="S102" s="55"/>
      <c r="T102" s="55"/>
      <c r="U102" s="55"/>
      <c r="V102" s="36">
        <f t="shared" si="7"/>
        <v>1</v>
      </c>
      <c r="W102" s="36">
        <f t="shared" si="8"/>
        <v>0</v>
      </c>
      <c r="X102" s="36">
        <f t="shared" si="9"/>
        <v>0</v>
      </c>
    </row>
    <row r="103" spans="1:24" x14ac:dyDescent="0.2">
      <c r="A103" s="356">
        <v>94</v>
      </c>
      <c r="B103" s="57"/>
      <c r="C103" s="54" t="s">
        <v>166</v>
      </c>
      <c r="D103" s="359">
        <f t="array" aca="1" ref="D103" ca="1">IF(COUNT(E103:U103)&lt;4,SUM(E103:U103),SUM(LARGE(E103:U103,ROW(INDIRECT("1:4")))))</f>
        <v>28</v>
      </c>
      <c r="E103" s="55"/>
      <c r="F103" s="55"/>
      <c r="G103" s="55"/>
      <c r="H103" s="55"/>
      <c r="I103" s="55"/>
      <c r="J103" s="55"/>
      <c r="K103" s="55"/>
      <c r="L103" s="55"/>
      <c r="M103" s="56"/>
      <c r="N103" s="55">
        <v>11</v>
      </c>
      <c r="O103" s="55">
        <v>10</v>
      </c>
      <c r="P103" s="55">
        <v>7</v>
      </c>
      <c r="Q103" s="55"/>
      <c r="R103" s="55"/>
      <c r="S103" s="55"/>
      <c r="T103" s="55"/>
      <c r="U103" s="55"/>
      <c r="V103" s="36">
        <f t="shared" si="7"/>
        <v>3</v>
      </c>
      <c r="W103" s="36">
        <f t="shared" si="8"/>
        <v>0</v>
      </c>
      <c r="X103" s="36">
        <f t="shared" si="9"/>
        <v>0</v>
      </c>
    </row>
    <row r="104" spans="1:24" x14ac:dyDescent="0.2">
      <c r="A104" s="356">
        <v>95</v>
      </c>
      <c r="B104" s="57"/>
      <c r="C104" s="54" t="s">
        <v>167</v>
      </c>
      <c r="D104" s="359">
        <f t="array" aca="1" ref="D104" ca="1">IF(COUNT(E104:U104)&lt;4,SUM(E104:U104),SUM(LARGE(E104:U104,ROW(INDIRECT("1:4")))))</f>
        <v>18</v>
      </c>
      <c r="E104" s="55"/>
      <c r="F104" s="55"/>
      <c r="G104" s="55"/>
      <c r="H104" s="55"/>
      <c r="I104" s="55"/>
      <c r="J104" s="55"/>
      <c r="K104" s="55"/>
      <c r="L104" s="55"/>
      <c r="M104" s="56"/>
      <c r="N104" s="55">
        <v>11</v>
      </c>
      <c r="O104" s="55"/>
      <c r="P104" s="55">
        <v>7</v>
      </c>
      <c r="Q104" s="55"/>
      <c r="R104" s="55"/>
      <c r="S104" s="55"/>
      <c r="T104" s="55"/>
      <c r="U104" s="55"/>
      <c r="V104" s="36">
        <f t="shared" si="7"/>
        <v>2</v>
      </c>
      <c r="W104" s="36">
        <f t="shared" si="8"/>
        <v>0</v>
      </c>
      <c r="X104" s="36">
        <f t="shared" si="9"/>
        <v>0</v>
      </c>
    </row>
    <row r="105" spans="1:24" x14ac:dyDescent="0.2">
      <c r="A105" s="356">
        <v>96</v>
      </c>
      <c r="B105" s="57" t="s">
        <v>65</v>
      </c>
      <c r="C105" s="57" t="s">
        <v>168</v>
      </c>
      <c r="D105" s="359">
        <f t="array" aca="1" ref="D105" ca="1">IF(COUNT(E105:U105)&lt;4,SUM(E105:U105),SUM(LARGE(E105:U105,ROW(INDIRECT("1:4")))))</f>
        <v>10</v>
      </c>
      <c r="E105" s="55"/>
      <c r="F105" s="55"/>
      <c r="G105" s="55"/>
      <c r="H105" s="55"/>
      <c r="I105" s="55"/>
      <c r="J105" s="55"/>
      <c r="K105" s="55"/>
      <c r="L105" s="55"/>
      <c r="M105" s="56"/>
      <c r="N105" s="55">
        <v>10</v>
      </c>
      <c r="O105" s="55"/>
      <c r="P105" s="55"/>
      <c r="Q105" s="55"/>
      <c r="R105" s="55"/>
      <c r="S105" s="55"/>
      <c r="T105" s="55"/>
      <c r="U105" s="55"/>
      <c r="V105" s="36">
        <f t="shared" si="7"/>
        <v>1</v>
      </c>
      <c r="W105" s="36">
        <f t="shared" si="8"/>
        <v>0</v>
      </c>
      <c r="X105" s="36">
        <f t="shared" si="9"/>
        <v>0</v>
      </c>
    </row>
    <row r="106" spans="1:24" x14ac:dyDescent="0.2">
      <c r="A106" s="356">
        <v>97</v>
      </c>
      <c r="B106" s="57"/>
      <c r="C106" s="54" t="s">
        <v>169</v>
      </c>
      <c r="D106" s="359">
        <f t="array" aca="1" ref="D106" ca="1">IF(COUNT(E106:U106)&lt;4,SUM(E106:U106),SUM(LARGE(E106:U106,ROW(INDIRECT("1:4")))))</f>
        <v>10</v>
      </c>
      <c r="E106" s="55"/>
      <c r="F106" s="55"/>
      <c r="G106" s="55"/>
      <c r="H106" s="55"/>
      <c r="I106" s="55"/>
      <c r="J106" s="55"/>
      <c r="K106" s="55"/>
      <c r="L106" s="55"/>
      <c r="M106" s="56"/>
      <c r="N106" s="55">
        <v>10</v>
      </c>
      <c r="O106" s="55"/>
      <c r="P106" s="55"/>
      <c r="Q106" s="55"/>
      <c r="R106" s="55"/>
      <c r="S106" s="55"/>
      <c r="T106" s="55"/>
      <c r="U106" s="55"/>
      <c r="V106" s="36">
        <f t="shared" si="7"/>
        <v>1</v>
      </c>
      <c r="W106" s="36">
        <f t="shared" si="8"/>
        <v>0</v>
      </c>
      <c r="X106" s="36">
        <f t="shared" si="9"/>
        <v>0</v>
      </c>
    </row>
    <row r="107" spans="1:24" x14ac:dyDescent="0.2">
      <c r="A107" s="356">
        <v>98</v>
      </c>
      <c r="B107" s="57" t="s">
        <v>65</v>
      </c>
      <c r="C107" s="57" t="s">
        <v>170</v>
      </c>
      <c r="D107" s="359">
        <f t="array" aca="1" ref="D107" ca="1">IF(COUNT(E107:U107)&lt;4,SUM(E107:U107),SUM(LARGE(E107:U107,ROW(INDIRECT("1:4")))))</f>
        <v>1</v>
      </c>
      <c r="E107" s="55"/>
      <c r="F107" s="55"/>
      <c r="G107" s="55"/>
      <c r="H107" s="55"/>
      <c r="I107" s="55"/>
      <c r="J107" s="55"/>
      <c r="K107" s="55"/>
      <c r="L107" s="55"/>
      <c r="M107" s="56"/>
      <c r="N107" s="55"/>
      <c r="O107" s="55">
        <v>1</v>
      </c>
      <c r="P107" s="55"/>
      <c r="Q107" s="55">
        <v>0</v>
      </c>
      <c r="R107" s="55"/>
      <c r="S107" s="55"/>
      <c r="T107" s="55"/>
      <c r="U107" s="55"/>
      <c r="V107" s="36">
        <f t="shared" si="7"/>
        <v>2</v>
      </c>
      <c r="W107" s="36">
        <f t="shared" si="8"/>
        <v>0</v>
      </c>
      <c r="X107" s="36">
        <f t="shared" si="9"/>
        <v>0</v>
      </c>
    </row>
    <row r="108" spans="1:24" x14ac:dyDescent="0.2">
      <c r="A108" s="356">
        <v>99</v>
      </c>
      <c r="B108" s="57" t="s">
        <v>65</v>
      </c>
      <c r="C108" s="58" t="s">
        <v>171</v>
      </c>
      <c r="D108" s="359">
        <f t="array" aca="1" ref="D108" ca="1">IF(COUNT(E108:U108)&lt;4,SUM(E108:U108),SUM(LARGE(E108:U108,ROW(INDIRECT("1:4")))))</f>
        <v>0</v>
      </c>
      <c r="E108" s="55"/>
      <c r="F108" s="55"/>
      <c r="G108" s="55"/>
      <c r="H108" s="55"/>
      <c r="I108" s="55"/>
      <c r="J108" s="55"/>
      <c r="K108" s="55"/>
      <c r="L108" s="55"/>
      <c r="M108" s="56"/>
      <c r="N108" s="55"/>
      <c r="O108" s="55">
        <v>0</v>
      </c>
      <c r="P108" s="55"/>
      <c r="Q108" s="55"/>
      <c r="R108" s="55"/>
      <c r="S108" s="55"/>
      <c r="T108" s="55"/>
      <c r="U108" s="55"/>
      <c r="V108" s="36">
        <f t="shared" si="7"/>
        <v>1</v>
      </c>
      <c r="W108" s="36">
        <f t="shared" si="8"/>
        <v>0</v>
      </c>
      <c r="X108" s="36">
        <f t="shared" si="9"/>
        <v>0</v>
      </c>
    </row>
    <row r="109" spans="1:24" x14ac:dyDescent="0.2">
      <c r="A109" s="356">
        <v>100</v>
      </c>
      <c r="B109" s="57"/>
      <c r="C109" s="59" t="s">
        <v>172</v>
      </c>
      <c r="D109" s="359">
        <f t="array" aca="1" ref="D109" ca="1">IF(COUNT(E109:U109)&lt;4,SUM(E109:U109),SUM(LARGE(E109:U109,ROW(INDIRECT("1:4")))))</f>
        <v>10</v>
      </c>
      <c r="E109" s="55"/>
      <c r="F109" s="55"/>
      <c r="G109" s="55"/>
      <c r="H109" s="55"/>
      <c r="I109" s="55"/>
      <c r="J109" s="55"/>
      <c r="K109" s="55"/>
      <c r="L109" s="55"/>
      <c r="M109" s="56"/>
      <c r="N109" s="55"/>
      <c r="O109" s="55"/>
      <c r="P109" s="55">
        <v>10</v>
      </c>
      <c r="Q109" s="55"/>
      <c r="R109" s="55"/>
      <c r="S109" s="55"/>
      <c r="T109" s="55"/>
      <c r="U109" s="55"/>
      <c r="V109" s="36">
        <f t="shared" si="7"/>
        <v>1</v>
      </c>
      <c r="W109" s="36">
        <f t="shared" si="8"/>
        <v>0</v>
      </c>
      <c r="X109" s="36">
        <f t="shared" si="9"/>
        <v>0</v>
      </c>
    </row>
    <row r="110" spans="1:24" x14ac:dyDescent="0.2">
      <c r="A110" s="356">
        <v>101</v>
      </c>
      <c r="B110" s="57"/>
      <c r="C110" s="54" t="s">
        <v>173</v>
      </c>
      <c r="D110" s="359">
        <f t="array" aca="1" ref="D110" ca="1">IF(COUNT(E110:U110)&lt;4,SUM(E110:U110),SUM(LARGE(E110:U110,ROW(INDIRECT("1:4")))))</f>
        <v>7</v>
      </c>
      <c r="E110" s="55"/>
      <c r="F110" s="55"/>
      <c r="G110" s="55"/>
      <c r="H110" s="55"/>
      <c r="I110" s="55"/>
      <c r="J110" s="55"/>
      <c r="K110" s="55"/>
      <c r="L110" s="55"/>
      <c r="M110" s="56"/>
      <c r="N110" s="55"/>
      <c r="O110" s="55"/>
      <c r="P110" s="55">
        <v>7</v>
      </c>
      <c r="Q110" s="55"/>
      <c r="R110" s="55"/>
      <c r="S110" s="55"/>
      <c r="T110" s="55"/>
      <c r="U110" s="55"/>
      <c r="V110" s="36">
        <f t="shared" si="7"/>
        <v>1</v>
      </c>
      <c r="W110" s="36">
        <f t="shared" si="8"/>
        <v>0</v>
      </c>
      <c r="X110" s="36">
        <f t="shared" si="9"/>
        <v>0</v>
      </c>
    </row>
    <row r="111" spans="1:24" x14ac:dyDescent="0.2">
      <c r="A111" s="356">
        <v>102</v>
      </c>
      <c r="B111" s="57"/>
      <c r="C111" s="54" t="s">
        <v>174</v>
      </c>
      <c r="D111" s="359">
        <f t="array" aca="1" ref="D111" ca="1">IF(COUNT(E111:U111)&lt;4,SUM(E111:U111),SUM(LARGE(E111:U111,ROW(INDIRECT("1:4")))))</f>
        <v>5</v>
      </c>
      <c r="E111" s="55"/>
      <c r="F111" s="55"/>
      <c r="G111" s="55"/>
      <c r="H111" s="55"/>
      <c r="I111" s="55"/>
      <c r="J111" s="55"/>
      <c r="K111" s="55"/>
      <c r="L111" s="55"/>
      <c r="M111" s="56"/>
      <c r="N111" s="55"/>
      <c r="O111" s="55"/>
      <c r="P111" s="55">
        <v>5</v>
      </c>
      <c r="Q111" s="55"/>
      <c r="R111" s="55"/>
      <c r="S111" s="55"/>
      <c r="T111" s="55"/>
      <c r="U111" s="55"/>
      <c r="V111" s="36">
        <f t="shared" si="7"/>
        <v>1</v>
      </c>
      <c r="W111" s="36">
        <f t="shared" si="8"/>
        <v>0</v>
      </c>
      <c r="X111" s="36">
        <f t="shared" si="9"/>
        <v>0</v>
      </c>
    </row>
    <row r="112" spans="1:24" x14ac:dyDescent="0.2">
      <c r="A112" s="356">
        <v>103</v>
      </c>
      <c r="B112" s="57" t="s">
        <v>65</v>
      </c>
      <c r="C112" s="57" t="s">
        <v>175</v>
      </c>
      <c r="D112" s="359">
        <f t="array" aca="1" ref="D112" ca="1">IF(COUNT(E112:U112)&lt;4,SUM(E112:U112),SUM(LARGE(E112:U112,ROW(INDIRECT("1:4")))))</f>
        <v>0</v>
      </c>
      <c r="E112" s="55"/>
      <c r="F112" s="55"/>
      <c r="G112" s="55"/>
      <c r="H112" s="55"/>
      <c r="I112" s="55"/>
      <c r="J112" s="55"/>
      <c r="K112" s="55"/>
      <c r="L112" s="55"/>
      <c r="M112" s="56"/>
      <c r="N112" s="55"/>
      <c r="O112" s="55"/>
      <c r="P112" s="55"/>
      <c r="Q112" s="55">
        <v>0</v>
      </c>
      <c r="R112" s="55"/>
      <c r="S112" s="55"/>
      <c r="T112" s="55"/>
      <c r="U112" s="55"/>
      <c r="V112" s="36">
        <f t="shared" si="7"/>
        <v>1</v>
      </c>
      <c r="W112" s="36">
        <f t="shared" si="8"/>
        <v>0</v>
      </c>
      <c r="X112" s="36">
        <f t="shared" si="9"/>
        <v>0</v>
      </c>
    </row>
    <row r="113" spans="1:26" x14ac:dyDescent="0.2">
      <c r="A113" s="356">
        <v>104</v>
      </c>
      <c r="B113" s="57" t="s">
        <v>65</v>
      </c>
      <c r="C113" s="57" t="s">
        <v>176</v>
      </c>
      <c r="D113" s="359">
        <f t="array" aca="1" ref="D113" ca="1">IF(COUNT(E113:U113)&lt;4,SUM(E113:U113),SUM(LARGE(E113:U113,ROW(INDIRECT("1:4")))))</f>
        <v>0</v>
      </c>
      <c r="E113" s="55"/>
      <c r="F113" s="55"/>
      <c r="G113" s="55"/>
      <c r="H113" s="55"/>
      <c r="I113" s="55"/>
      <c r="J113" s="55"/>
      <c r="K113" s="55"/>
      <c r="L113" s="55"/>
      <c r="M113" s="56"/>
      <c r="N113" s="55"/>
      <c r="O113" s="55"/>
      <c r="P113" s="55"/>
      <c r="Q113" s="55">
        <v>0</v>
      </c>
      <c r="R113" s="55"/>
      <c r="S113" s="55"/>
      <c r="T113" s="55"/>
      <c r="U113" s="55"/>
      <c r="V113" s="36">
        <f t="shared" si="7"/>
        <v>1</v>
      </c>
      <c r="W113" s="36">
        <f t="shared" si="8"/>
        <v>0</v>
      </c>
      <c r="X113" s="36">
        <f t="shared" si="9"/>
        <v>0</v>
      </c>
    </row>
    <row r="114" spans="1:26" x14ac:dyDescent="0.2">
      <c r="A114" s="356">
        <v>105</v>
      </c>
      <c r="B114" s="57" t="s">
        <v>65</v>
      </c>
      <c r="C114" s="57" t="s">
        <v>177</v>
      </c>
      <c r="D114" s="359">
        <f t="array" aca="1" ref="D114" ca="1">IF(COUNT(E114:U114)&lt;4,SUM(E114:U114),SUM(LARGE(E114:U114,ROW(INDIRECT("1:4")))))</f>
        <v>0</v>
      </c>
      <c r="E114" s="55"/>
      <c r="F114" s="55"/>
      <c r="G114" s="55"/>
      <c r="H114" s="55"/>
      <c r="I114" s="55"/>
      <c r="J114" s="55"/>
      <c r="K114" s="55"/>
      <c r="L114" s="55"/>
      <c r="M114" s="56"/>
      <c r="N114" s="55"/>
      <c r="O114" s="55"/>
      <c r="P114" s="55"/>
      <c r="Q114" s="55">
        <v>0</v>
      </c>
      <c r="R114" s="55"/>
      <c r="S114" s="55"/>
      <c r="T114" s="55"/>
      <c r="U114" s="55"/>
      <c r="V114" s="36">
        <f t="shared" si="7"/>
        <v>1</v>
      </c>
      <c r="W114" s="36">
        <f t="shared" si="8"/>
        <v>0</v>
      </c>
      <c r="X114" s="36">
        <f t="shared" si="9"/>
        <v>0</v>
      </c>
    </row>
    <row r="115" spans="1:26" x14ac:dyDescent="0.2">
      <c r="A115" s="356">
        <v>106</v>
      </c>
      <c r="B115" s="57"/>
      <c r="C115" s="54" t="s">
        <v>178</v>
      </c>
      <c r="D115" s="359">
        <f t="array" aca="1" ref="D115" ca="1">IF(COUNT(E115:U115)&lt;4,SUM(E115:U115),SUM(LARGE(E115:U115,ROW(INDIRECT("1:4")))))</f>
        <v>0</v>
      </c>
      <c r="E115" s="55"/>
      <c r="F115" s="55"/>
      <c r="G115" s="55"/>
      <c r="H115" s="55"/>
      <c r="I115" s="55"/>
      <c r="J115" s="55"/>
      <c r="K115" s="55"/>
      <c r="L115" s="55"/>
      <c r="M115" s="56"/>
      <c r="N115" s="55"/>
      <c r="O115" s="55"/>
      <c r="P115" s="55"/>
      <c r="Q115" s="55"/>
      <c r="R115" s="55">
        <v>0</v>
      </c>
      <c r="S115" s="55"/>
      <c r="T115" s="55"/>
      <c r="U115" s="55"/>
      <c r="V115" s="36">
        <f t="shared" si="7"/>
        <v>1</v>
      </c>
      <c r="W115" s="36">
        <f t="shared" si="8"/>
        <v>0</v>
      </c>
      <c r="X115" s="36">
        <f t="shared" si="9"/>
        <v>0</v>
      </c>
    </row>
    <row r="116" spans="1:26" s="265" customFormat="1" x14ac:dyDescent="0.2">
      <c r="A116" s="356">
        <v>107</v>
      </c>
      <c r="B116" s="292"/>
      <c r="C116" s="61" t="s">
        <v>179</v>
      </c>
      <c r="D116" s="359">
        <f t="array" aca="1" ref="D116" ca="1">IF(COUNT(E116:U116)&lt;4,SUM(E116:U116),SUM(LARGE(E116:U116,ROW(INDIRECT("1:4")))))</f>
        <v>0</v>
      </c>
      <c r="E116" s="55"/>
      <c r="F116" s="55"/>
      <c r="G116" s="55"/>
      <c r="H116" s="55"/>
      <c r="I116" s="55"/>
      <c r="J116" s="55"/>
      <c r="K116" s="55"/>
      <c r="L116" s="55"/>
      <c r="M116" s="56"/>
      <c r="N116" s="55"/>
      <c r="O116" s="55"/>
      <c r="P116" s="55"/>
      <c r="Q116" s="55"/>
      <c r="R116" s="55">
        <v>0</v>
      </c>
      <c r="S116" s="55"/>
      <c r="T116" s="55"/>
      <c r="U116" s="55"/>
      <c r="V116" s="36">
        <f t="shared" si="7"/>
        <v>1</v>
      </c>
      <c r="W116" s="36">
        <f t="shared" si="8"/>
        <v>0</v>
      </c>
      <c r="X116" s="36">
        <f t="shared" si="9"/>
        <v>0</v>
      </c>
      <c r="Y116" s="248"/>
      <c r="Z116" s="248"/>
    </row>
    <row r="117" spans="1:26" x14ac:dyDescent="0.2">
      <c r="A117" s="356">
        <v>108</v>
      </c>
      <c r="B117" s="57"/>
      <c r="C117" s="54" t="s">
        <v>180</v>
      </c>
      <c r="D117" s="359">
        <f t="array" aca="1" ref="D117" ca="1">IF(COUNT(E117:U117)&lt;4,SUM(E117:U117),SUM(LARGE(E117:U117,ROW(INDIRECT("1:4")))))</f>
        <v>22</v>
      </c>
      <c r="E117" s="55"/>
      <c r="F117" s="62"/>
      <c r="G117" s="55"/>
      <c r="H117" s="62"/>
      <c r="I117" s="55"/>
      <c r="J117" s="62"/>
      <c r="K117" s="55"/>
      <c r="L117" s="55"/>
      <c r="M117" s="56">
        <v>22</v>
      </c>
      <c r="N117" s="55"/>
      <c r="O117" s="62"/>
      <c r="P117" s="55"/>
      <c r="Q117" s="62"/>
      <c r="R117" s="55"/>
      <c r="S117" s="55"/>
      <c r="T117" s="55"/>
      <c r="U117" s="55"/>
      <c r="V117" s="36">
        <f t="shared" si="7"/>
        <v>1</v>
      </c>
      <c r="W117" s="36">
        <f t="shared" si="8"/>
        <v>0</v>
      </c>
      <c r="X117" s="36">
        <f t="shared" si="9"/>
        <v>0</v>
      </c>
    </row>
    <row r="118" spans="1:26" x14ac:dyDescent="0.2">
      <c r="A118" s="356">
        <v>109</v>
      </c>
      <c r="B118" s="57"/>
      <c r="C118" s="54" t="s">
        <v>181</v>
      </c>
      <c r="D118" s="359">
        <f t="array" aca="1" ref="D118" ca="1">IF(COUNT(E118:U118)&lt;4,SUM(E118:U118),SUM(LARGE(E118:U118,ROW(INDIRECT("1:4")))))</f>
        <v>17</v>
      </c>
      <c r="E118" s="55"/>
      <c r="F118" s="62"/>
      <c r="G118" s="55"/>
      <c r="H118" s="62"/>
      <c r="I118" s="55"/>
      <c r="J118" s="62"/>
      <c r="K118" s="55"/>
      <c r="L118" s="55"/>
      <c r="M118" s="56">
        <v>17</v>
      </c>
      <c r="N118" s="55"/>
      <c r="O118" s="62"/>
      <c r="P118" s="55"/>
      <c r="Q118" s="62"/>
      <c r="R118" s="55"/>
      <c r="S118" s="55"/>
      <c r="T118" s="55"/>
      <c r="U118" s="55"/>
      <c r="V118" s="36">
        <f t="shared" si="7"/>
        <v>1</v>
      </c>
      <c r="W118" s="36">
        <f t="shared" si="8"/>
        <v>0</v>
      </c>
      <c r="X118" s="36">
        <f t="shared" si="9"/>
        <v>0</v>
      </c>
    </row>
    <row r="119" spans="1:26" x14ac:dyDescent="0.2">
      <c r="A119" s="356">
        <v>110</v>
      </c>
      <c r="B119" s="57"/>
      <c r="C119" s="54" t="s">
        <v>182</v>
      </c>
      <c r="D119" s="359">
        <f t="array" aca="1" ref="D119" ca="1">IF(COUNT(E119:U119)&lt;4,SUM(E119:U119),SUM(LARGE(E119:U119,ROW(INDIRECT("1:4")))))</f>
        <v>17</v>
      </c>
      <c r="E119" s="55"/>
      <c r="F119" s="62"/>
      <c r="G119" s="55"/>
      <c r="H119" s="62"/>
      <c r="I119" s="55"/>
      <c r="J119" s="62"/>
      <c r="K119" s="55"/>
      <c r="L119" s="55"/>
      <c r="M119" s="56">
        <v>17</v>
      </c>
      <c r="N119" s="55"/>
      <c r="O119" s="62"/>
      <c r="P119" s="55"/>
      <c r="Q119" s="62"/>
      <c r="R119" s="55"/>
      <c r="S119" s="55"/>
      <c r="T119" s="55"/>
      <c r="U119" s="55"/>
      <c r="V119" s="36">
        <f t="shared" si="7"/>
        <v>1</v>
      </c>
      <c r="W119" s="36">
        <f t="shared" si="8"/>
        <v>0</v>
      </c>
      <c r="X119" s="36">
        <f t="shared" si="9"/>
        <v>0</v>
      </c>
    </row>
    <row r="120" spans="1:26" x14ac:dyDescent="0.2">
      <c r="A120" s="356">
        <v>111</v>
      </c>
      <c r="B120" s="57"/>
      <c r="C120" s="54" t="s">
        <v>183</v>
      </c>
      <c r="D120" s="359">
        <f t="array" aca="1" ref="D120" ca="1">IF(COUNT(E120:U120)&lt;4,SUM(E120:U120),SUM(LARGE(E120:U120,ROW(INDIRECT("1:4")))))</f>
        <v>17</v>
      </c>
      <c r="E120" s="55"/>
      <c r="F120" s="62"/>
      <c r="G120" s="55"/>
      <c r="H120" s="62"/>
      <c r="I120" s="55"/>
      <c r="J120" s="62"/>
      <c r="K120" s="55"/>
      <c r="L120" s="55"/>
      <c r="M120" s="56">
        <v>17</v>
      </c>
      <c r="N120" s="55"/>
      <c r="O120" s="62"/>
      <c r="P120" s="55"/>
      <c r="Q120" s="62"/>
      <c r="R120" s="55"/>
      <c r="S120" s="55"/>
      <c r="T120" s="55"/>
      <c r="U120" s="55"/>
      <c r="V120" s="36">
        <f t="shared" si="7"/>
        <v>1</v>
      </c>
      <c r="W120" s="36">
        <f t="shared" si="8"/>
        <v>0</v>
      </c>
      <c r="X120" s="36">
        <f t="shared" si="9"/>
        <v>0</v>
      </c>
    </row>
    <row r="121" spans="1:26" x14ac:dyDescent="0.2">
      <c r="A121" s="356">
        <v>112</v>
      </c>
      <c r="B121" s="57"/>
      <c r="C121" s="54" t="s">
        <v>184</v>
      </c>
      <c r="D121" s="359">
        <f t="array" aca="1" ref="D121" ca="1">IF(COUNT(E121:U121)&lt;4,SUM(E121:U121),SUM(LARGE(E121:U121,ROW(INDIRECT("1:4")))))</f>
        <v>5</v>
      </c>
      <c r="E121" s="55"/>
      <c r="F121" s="62"/>
      <c r="G121" s="55"/>
      <c r="H121" s="62"/>
      <c r="I121" s="55"/>
      <c r="J121" s="62"/>
      <c r="K121" s="55"/>
      <c r="L121" s="55"/>
      <c r="M121" s="56">
        <v>5</v>
      </c>
      <c r="N121" s="55"/>
      <c r="O121" s="62"/>
      <c r="P121" s="55"/>
      <c r="Q121" s="62"/>
      <c r="R121" s="55"/>
      <c r="S121" s="55"/>
      <c r="T121" s="55"/>
      <c r="U121" s="55"/>
      <c r="V121" s="36">
        <f t="shared" si="7"/>
        <v>1</v>
      </c>
      <c r="W121" s="36">
        <f t="shared" si="8"/>
        <v>0</v>
      </c>
      <c r="X121" s="36">
        <f t="shared" si="9"/>
        <v>0</v>
      </c>
    </row>
    <row r="122" spans="1:26" x14ac:dyDescent="0.2">
      <c r="A122" s="356">
        <v>113</v>
      </c>
      <c r="B122" s="57"/>
      <c r="C122" s="54" t="s">
        <v>185</v>
      </c>
      <c r="D122" s="359">
        <f t="array" aca="1" ref="D122" ca="1">IF(COUNT(E122:U122)&lt;4,SUM(E122:U122),SUM(LARGE(E122:U122,ROW(INDIRECT("1:4")))))</f>
        <v>5</v>
      </c>
      <c r="E122" s="55"/>
      <c r="F122" s="62"/>
      <c r="G122" s="55"/>
      <c r="H122" s="62"/>
      <c r="I122" s="55"/>
      <c r="J122" s="62"/>
      <c r="K122" s="55"/>
      <c r="L122" s="55"/>
      <c r="M122" s="56">
        <v>5</v>
      </c>
      <c r="N122" s="55"/>
      <c r="O122" s="62"/>
      <c r="P122" s="55"/>
      <c r="Q122" s="62"/>
      <c r="R122" s="55"/>
      <c r="S122" s="55"/>
      <c r="T122" s="55"/>
      <c r="U122" s="55"/>
      <c r="V122" s="36">
        <f t="shared" si="7"/>
        <v>1</v>
      </c>
      <c r="W122" s="36">
        <f t="shared" si="8"/>
        <v>0</v>
      </c>
      <c r="X122" s="36">
        <f t="shared" si="9"/>
        <v>0</v>
      </c>
    </row>
    <row r="123" spans="1:26" x14ac:dyDescent="0.2">
      <c r="A123" s="356">
        <v>114</v>
      </c>
      <c r="B123" s="57"/>
      <c r="C123" s="54" t="s">
        <v>186</v>
      </c>
      <c r="D123" s="359">
        <f t="array" aca="1" ref="D123" ca="1">IF(COUNT(E123:U123)&lt;4,SUM(E123:U123),SUM(LARGE(E123:U123,ROW(INDIRECT("1:4")))))</f>
        <v>5</v>
      </c>
      <c r="E123" s="55"/>
      <c r="F123" s="62"/>
      <c r="G123" s="55"/>
      <c r="H123" s="62"/>
      <c r="I123" s="55"/>
      <c r="J123" s="62"/>
      <c r="K123" s="55"/>
      <c r="L123" s="55"/>
      <c r="M123" s="56">
        <v>5</v>
      </c>
      <c r="N123" s="55"/>
      <c r="O123" s="62"/>
      <c r="P123" s="55"/>
      <c r="Q123" s="62"/>
      <c r="R123" s="55"/>
      <c r="S123" s="55"/>
      <c r="T123" s="55"/>
      <c r="U123" s="55"/>
      <c r="V123" s="36">
        <f t="shared" si="7"/>
        <v>1</v>
      </c>
      <c r="W123" s="36">
        <f t="shared" si="8"/>
        <v>0</v>
      </c>
      <c r="X123" s="36">
        <f t="shared" si="9"/>
        <v>0</v>
      </c>
    </row>
    <row r="124" spans="1:26" x14ac:dyDescent="0.2">
      <c r="A124" s="356">
        <v>115</v>
      </c>
      <c r="B124" s="57"/>
      <c r="C124" s="54" t="s">
        <v>187</v>
      </c>
      <c r="D124" s="359">
        <f t="array" aca="1" ref="D124" ca="1">IF(COUNT(E124:U124)&lt;4,SUM(E124:U124),SUM(LARGE(E124:U124,ROW(INDIRECT("1:4")))))</f>
        <v>0</v>
      </c>
      <c r="E124" s="55"/>
      <c r="F124" s="62"/>
      <c r="G124" s="55"/>
      <c r="H124" s="62"/>
      <c r="I124" s="55"/>
      <c r="J124" s="62"/>
      <c r="K124" s="55"/>
      <c r="L124" s="55"/>
      <c r="M124" s="56">
        <v>0</v>
      </c>
      <c r="N124" s="55"/>
      <c r="O124" s="62"/>
      <c r="P124" s="55"/>
      <c r="Q124" s="62"/>
      <c r="R124" s="55"/>
      <c r="S124" s="55"/>
      <c r="T124" s="55"/>
      <c r="U124" s="55"/>
      <c r="V124" s="36">
        <f t="shared" si="7"/>
        <v>1</v>
      </c>
      <c r="W124" s="36">
        <f t="shared" si="8"/>
        <v>0</v>
      </c>
      <c r="X124" s="36">
        <f t="shared" si="9"/>
        <v>0</v>
      </c>
    </row>
    <row r="125" spans="1:26" x14ac:dyDescent="0.2">
      <c r="A125" s="356">
        <v>116</v>
      </c>
      <c r="B125" s="57"/>
      <c r="C125" s="54" t="s">
        <v>188</v>
      </c>
      <c r="D125" s="359">
        <f t="array" aca="1" ref="D125" ca="1">IF(COUNT(E125:U125)&lt;4,SUM(E125:U125),SUM(LARGE(E125:U125,ROW(INDIRECT("1:4")))))</f>
        <v>0</v>
      </c>
      <c r="E125" s="55"/>
      <c r="F125" s="62"/>
      <c r="G125" s="55"/>
      <c r="H125" s="62"/>
      <c r="I125" s="55"/>
      <c r="J125" s="62"/>
      <c r="K125" s="55"/>
      <c r="L125" s="55"/>
      <c r="M125" s="56">
        <v>0</v>
      </c>
      <c r="N125" s="55"/>
      <c r="O125" s="62"/>
      <c r="P125" s="55"/>
      <c r="Q125" s="62"/>
      <c r="R125" s="55"/>
      <c r="S125" s="55"/>
      <c r="T125" s="55"/>
      <c r="U125" s="55"/>
      <c r="V125" s="36">
        <f t="shared" si="7"/>
        <v>1</v>
      </c>
      <c r="W125" s="36">
        <f t="shared" si="8"/>
        <v>0</v>
      </c>
      <c r="X125" s="36">
        <f t="shared" si="9"/>
        <v>0</v>
      </c>
    </row>
    <row r="126" spans="1:26" x14ac:dyDescent="0.2">
      <c r="A126" s="356">
        <v>117</v>
      </c>
      <c r="B126" s="57"/>
      <c r="C126" s="54" t="s">
        <v>189</v>
      </c>
      <c r="D126" s="359">
        <f t="array" aca="1" ref="D126" ca="1">IF(COUNT(E126:U126)&lt;4,SUM(E126:U126),SUM(LARGE(E126:U126,ROW(INDIRECT("1:4")))))</f>
        <v>0</v>
      </c>
      <c r="E126" s="55"/>
      <c r="F126" s="62"/>
      <c r="G126" s="55"/>
      <c r="H126" s="62"/>
      <c r="I126" s="55"/>
      <c r="J126" s="62"/>
      <c r="K126" s="55"/>
      <c r="L126" s="55"/>
      <c r="M126" s="56">
        <v>0</v>
      </c>
      <c r="N126" s="55"/>
      <c r="O126" s="62"/>
      <c r="P126" s="55"/>
      <c r="Q126" s="62"/>
      <c r="R126" s="55"/>
      <c r="S126" s="55"/>
      <c r="T126" s="55"/>
      <c r="U126" s="55"/>
      <c r="V126" s="36">
        <f t="shared" si="7"/>
        <v>1</v>
      </c>
      <c r="W126" s="36">
        <f t="shared" si="8"/>
        <v>0</v>
      </c>
      <c r="X126" s="36">
        <f t="shared" si="9"/>
        <v>0</v>
      </c>
    </row>
    <row r="127" spans="1:26" s="265" customFormat="1" x14ac:dyDescent="0.2">
      <c r="A127" s="367">
        <f>COUNTA(C35:C126)</f>
        <v>92</v>
      </c>
      <c r="B127" s="367">
        <f>COUNTIF(B35:B126,"N")</f>
        <v>16</v>
      </c>
      <c r="C127" s="64" t="s">
        <v>96</v>
      </c>
      <c r="D127" s="65"/>
      <c r="E127" s="66">
        <f>COUNTIF(E35:E126,"&gt;=0")</f>
        <v>3</v>
      </c>
      <c r="F127" s="66">
        <f t="shared" ref="F127:U127" si="10">COUNTIF(F35:F126,"&gt;=0")</f>
        <v>6</v>
      </c>
      <c r="G127" s="66">
        <f t="shared" si="10"/>
        <v>15</v>
      </c>
      <c r="H127" s="66">
        <f t="shared" si="10"/>
        <v>7</v>
      </c>
      <c r="I127" s="66">
        <f t="shared" si="10"/>
        <v>4</v>
      </c>
      <c r="J127" s="66">
        <f t="shared" si="10"/>
        <v>10</v>
      </c>
      <c r="K127" s="66">
        <f t="shared" si="10"/>
        <v>19</v>
      </c>
      <c r="L127" s="66">
        <f t="shared" si="10"/>
        <v>12</v>
      </c>
      <c r="M127" s="66">
        <f t="shared" si="10"/>
        <v>12</v>
      </c>
      <c r="N127" s="66">
        <f t="shared" si="10"/>
        <v>12</v>
      </c>
      <c r="O127" s="66">
        <f t="shared" si="10"/>
        <v>10</v>
      </c>
      <c r="P127" s="66">
        <f t="shared" si="10"/>
        <v>13</v>
      </c>
      <c r="Q127" s="66">
        <f t="shared" si="10"/>
        <v>22</v>
      </c>
      <c r="R127" s="66">
        <f t="shared" si="10"/>
        <v>7</v>
      </c>
      <c r="S127" s="66">
        <f t="shared" si="10"/>
        <v>12</v>
      </c>
      <c r="T127" s="66">
        <f t="shared" si="10"/>
        <v>6</v>
      </c>
      <c r="U127" s="66">
        <f t="shared" si="10"/>
        <v>13</v>
      </c>
      <c r="V127" s="63"/>
      <c r="W127" s="67">
        <f>SUM(W35:W126)</f>
        <v>11</v>
      </c>
      <c r="X127" s="67">
        <f>SUM(X35:X126)</f>
        <v>2</v>
      </c>
    </row>
    <row r="128" spans="1:26" s="265" customFormat="1" x14ac:dyDescent="0.2">
      <c r="A128" s="368">
        <f>COUNTA(A8:A32,C35:C126)</f>
        <v>117</v>
      </c>
      <c r="B128" s="368">
        <f>COUNT(B8:B32)+COUNTIF(B35:B126,"N")</f>
        <v>19</v>
      </c>
      <c r="C128" s="69" t="s">
        <v>190</v>
      </c>
      <c r="D128" s="68"/>
      <c r="E128" s="70">
        <f>COUNTIF(E8:E32,"&gt;=0")+COUNTIF(E35:E126,"&gt;=0")</f>
        <v>10</v>
      </c>
      <c r="F128" s="70">
        <f t="shared" ref="F128:U128" si="11">COUNTIF(F8:F32,"&gt;=0")+COUNTIF(F35:F126,"&gt;=0")</f>
        <v>16</v>
      </c>
      <c r="G128" s="70">
        <f t="shared" si="11"/>
        <v>27</v>
      </c>
      <c r="H128" s="70">
        <f t="shared" si="11"/>
        <v>19</v>
      </c>
      <c r="I128" s="70">
        <f t="shared" si="11"/>
        <v>18</v>
      </c>
      <c r="J128" s="70">
        <f t="shared" si="11"/>
        <v>26</v>
      </c>
      <c r="K128" s="70">
        <f t="shared" si="11"/>
        <v>32</v>
      </c>
      <c r="L128" s="70">
        <f t="shared" si="11"/>
        <v>26</v>
      </c>
      <c r="M128" s="70">
        <f t="shared" si="11"/>
        <v>24</v>
      </c>
      <c r="N128" s="70">
        <f t="shared" si="11"/>
        <v>24</v>
      </c>
      <c r="O128" s="70">
        <f t="shared" si="11"/>
        <v>19</v>
      </c>
      <c r="P128" s="70">
        <f t="shared" si="11"/>
        <v>33</v>
      </c>
      <c r="Q128" s="70">
        <f t="shared" si="11"/>
        <v>38</v>
      </c>
      <c r="R128" s="70">
        <f t="shared" si="11"/>
        <v>24</v>
      </c>
      <c r="S128" s="70">
        <f t="shared" si="11"/>
        <v>27</v>
      </c>
      <c r="T128" s="70">
        <f t="shared" si="11"/>
        <v>20</v>
      </c>
      <c r="U128" s="70">
        <f t="shared" si="11"/>
        <v>30</v>
      </c>
      <c r="V128" s="50"/>
      <c r="W128" s="71">
        <f>SUM(W8:W32,W35:W126)</f>
        <v>92</v>
      </c>
      <c r="X128" s="71">
        <f>SUM(X8:X32,X35:X126)</f>
        <v>38</v>
      </c>
    </row>
    <row r="129" spans="1:24" x14ac:dyDescent="0.2">
      <c r="A129" s="50"/>
      <c r="B129" s="72"/>
      <c r="C129" s="47" t="s">
        <v>639</v>
      </c>
      <c r="D129" s="72"/>
      <c r="E129" s="73"/>
      <c r="F129" s="73">
        <v>8</v>
      </c>
      <c r="G129" s="73">
        <v>9</v>
      </c>
      <c r="H129" s="73"/>
      <c r="I129" s="73"/>
      <c r="J129" s="73">
        <v>13</v>
      </c>
      <c r="K129" s="73">
        <v>16</v>
      </c>
      <c r="L129" s="73">
        <v>13</v>
      </c>
      <c r="M129" s="73"/>
      <c r="N129" s="73">
        <v>8</v>
      </c>
      <c r="O129" s="73"/>
      <c r="P129" s="73">
        <v>11</v>
      </c>
      <c r="Q129" s="73">
        <v>19</v>
      </c>
      <c r="R129" s="73"/>
      <c r="S129" s="73">
        <v>9</v>
      </c>
      <c r="T129" s="73"/>
      <c r="U129" s="73">
        <v>15</v>
      </c>
      <c r="V129" s="50"/>
      <c r="W129" s="50"/>
      <c r="X129" s="50"/>
    </row>
    <row r="130" spans="1:24" x14ac:dyDescent="0.2">
      <c r="B130" s="74"/>
      <c r="C130" s="75"/>
      <c r="D130" s="74"/>
      <c r="K130" s="248"/>
      <c r="L130" s="248"/>
      <c r="M130" s="248"/>
      <c r="N130" s="248"/>
      <c r="P130" s="248"/>
      <c r="Q130" s="248"/>
      <c r="R130" s="248"/>
      <c r="S130" s="248"/>
      <c r="T130" s="248"/>
    </row>
    <row r="131" spans="1:24" x14ac:dyDescent="0.2">
      <c r="M131" s="26"/>
    </row>
    <row r="132" spans="1:24" x14ac:dyDescent="0.2">
      <c r="M132" s="26"/>
    </row>
    <row r="133" spans="1:24" x14ac:dyDescent="0.2">
      <c r="M133" s="26"/>
    </row>
    <row r="134" spans="1:24" x14ac:dyDescent="0.2">
      <c r="M134" s="26"/>
    </row>
    <row r="135" spans="1:24" x14ac:dyDescent="0.2">
      <c r="M135" s="26"/>
    </row>
    <row r="136" spans="1:24" x14ac:dyDescent="0.2">
      <c r="M136" s="26"/>
    </row>
    <row r="137" spans="1:24" x14ac:dyDescent="0.2">
      <c r="M137" s="26"/>
    </row>
    <row r="138" spans="1:24" x14ac:dyDescent="0.2">
      <c r="M138" s="26"/>
    </row>
    <row r="139" spans="1:24" x14ac:dyDescent="0.2">
      <c r="M139" s="26"/>
    </row>
    <row r="140" spans="1:24" x14ac:dyDescent="0.2">
      <c r="M140" s="26"/>
    </row>
    <row r="141" spans="1:24" x14ac:dyDescent="0.2">
      <c r="M141" s="26"/>
    </row>
    <row r="142" spans="1:24" x14ac:dyDescent="0.2">
      <c r="M142" s="26"/>
    </row>
    <row r="143" spans="1:24" x14ac:dyDescent="0.2">
      <c r="M143" s="26"/>
    </row>
    <row r="144" spans="1:24" x14ac:dyDescent="0.2">
      <c r="M144" s="26"/>
    </row>
    <row r="145" spans="13:13" x14ac:dyDescent="0.2">
      <c r="M145" s="26"/>
    </row>
    <row r="146" spans="13:13" x14ac:dyDescent="0.2">
      <c r="M146" s="26"/>
    </row>
    <row r="147" spans="13:13" x14ac:dyDescent="0.2">
      <c r="M147" s="26"/>
    </row>
    <row r="148" spans="13:13" x14ac:dyDescent="0.2">
      <c r="M148" s="26"/>
    </row>
    <row r="149" spans="13:13" x14ac:dyDescent="0.2">
      <c r="M149" s="26"/>
    </row>
    <row r="150" spans="13:13" x14ac:dyDescent="0.2">
      <c r="M150" s="26"/>
    </row>
    <row r="151" spans="13:13" x14ac:dyDescent="0.2">
      <c r="M151" s="26"/>
    </row>
    <row r="152" spans="13:13" x14ac:dyDescent="0.2">
      <c r="M152" s="26"/>
    </row>
    <row r="153" spans="13:13" x14ac:dyDescent="0.2">
      <c r="M153" s="26"/>
    </row>
    <row r="154" spans="13:13" x14ac:dyDescent="0.2">
      <c r="M154" s="26"/>
    </row>
    <row r="155" spans="13:13" x14ac:dyDescent="0.2">
      <c r="M155" s="26"/>
    </row>
    <row r="156" spans="13:13" x14ac:dyDescent="0.2">
      <c r="M156" s="26"/>
    </row>
  </sheetData>
  <mergeCells count="3">
    <mergeCell ref="V4:V6"/>
    <mergeCell ref="W4:W6"/>
    <mergeCell ref="X4:X6"/>
  </mergeCells>
  <conditionalFormatting sqref="W34 W7">
    <cfRule type="top10" dxfId="41" priority="22" stopIfTrue="1" rank="1"/>
  </conditionalFormatting>
  <conditionalFormatting sqref="X34 X7">
    <cfRule type="top10" dxfId="40" priority="23" stopIfTrue="1" rank="1"/>
  </conditionalFormatting>
  <conditionalFormatting sqref="V7:V32 V34:V126">
    <cfRule type="top10" dxfId="39" priority="24" stopIfTrue="1" rank="1"/>
  </conditionalFormatting>
  <conditionalFormatting sqref="E33:U33">
    <cfRule type="top10" dxfId="38" priority="21" stopIfTrue="1" rank="1"/>
  </conditionalFormatting>
  <conditionalFormatting sqref="E127:U128">
    <cfRule type="top10" dxfId="37" priority="17" stopIfTrue="1" rank="1"/>
  </conditionalFormatting>
  <conditionalFormatting sqref="E8:E32 H8:I32 M8:M32 O8:O32 R8:R32 T8:T32 E35:E126 H35:I126 M35:M126 O35:O126 R35:R126 T35:T126">
    <cfRule type="cellIs" dxfId="36" priority="13" stopIfTrue="1" operator="equal">
      <formula>60</formula>
    </cfRule>
    <cfRule type="cellIs" dxfId="35" priority="14" stopIfTrue="1" operator="equal">
      <formula>80</formula>
    </cfRule>
    <cfRule type="cellIs" dxfId="34" priority="15" stopIfTrue="1" operator="equal">
      <formula>100</formula>
    </cfRule>
  </conditionalFormatting>
  <conditionalFormatting sqref="F8:F32 J8:L32 Q8:Q32 U8:U32 F35:F126 J35:L126 Q35:Q126 U35:U126">
    <cfRule type="cellIs" dxfId="33" priority="12" stopIfTrue="1" operator="equal">
      <formula>75</formula>
    </cfRule>
  </conditionalFormatting>
  <conditionalFormatting sqref="F8:F32 J8:L32 Q8:Q32 U8:U32 F35:F126 J35:L126 Q35:Q126 U35:U126">
    <cfRule type="cellIs" dxfId="32" priority="11" stopIfTrue="1" operator="equal">
      <formula>60</formula>
    </cfRule>
  </conditionalFormatting>
  <conditionalFormatting sqref="F8:F32 J8:L32 Q8:Q32 U8:U32 F35:F126 J35:L126 Q35:Q126 U35:U126">
    <cfRule type="cellIs" dxfId="31" priority="10" stopIfTrue="1" operator="equal">
      <formula>45</formula>
    </cfRule>
  </conditionalFormatting>
  <conditionalFormatting sqref="G8:G32 N8:N32 P8:P32 S8:S32 G35:G126 N35:N126 P35:P126 S35:S126">
    <cfRule type="cellIs" dxfId="30" priority="7" stopIfTrue="1" operator="equal">
      <formula>30</formula>
    </cfRule>
    <cfRule type="cellIs" dxfId="29" priority="8" stopIfTrue="1" operator="equal">
      <formula>40</formula>
    </cfRule>
    <cfRule type="cellIs" dxfId="28" priority="9" stopIfTrue="1" operator="equal">
      <formula>50</formula>
    </cfRule>
  </conditionalFormatting>
  <conditionalFormatting sqref="X35:X126 X8:X32">
    <cfRule type="top10" dxfId="27" priority="2" stopIfTrue="1" rank="1"/>
  </conditionalFormatting>
  <conditionalFormatting sqref="W35:W126 W8:W32">
    <cfRule type="top10" dxfId="26" priority="1" stopIfTrue="1" rank="1"/>
  </conditionalFormatting>
  <pageMargins left="0.39370078740157483" right="0.27559055118110237" top="0.78740157480314965" bottom="0.39370078740157483" header="0.59055118110236227" footer="0"/>
  <pageSetup paperSize="9" fitToHeight="0" orientation="portrait" useFirstPageNumber="1" r:id="rId1"/>
  <headerFooter alignWithMargins="0">
    <oddHeader>&amp;R&amp;"Arial,Regular"&amp;9Page &amp;P of &amp;N</oddHeader>
  </headerFooter>
  <ignoredErrors>
    <ignoredError sqref="V33:Z34 V9:V32 V8 V36:V126 V35 Y35:Z35 Y36:Z126 W8:X32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Y58"/>
  <sheetViews>
    <sheetView showGridLines="0" showRowColHeaders="0" zoomScaleNormal="100" workbookViewId="0">
      <pane ySplit="6" topLeftCell="A7" activePane="bottomLeft" state="frozen"/>
      <selection activeCell="G1" sqref="G1"/>
      <selection pane="bottomLeft" activeCell="N1" sqref="N1"/>
    </sheetView>
  </sheetViews>
  <sheetFormatPr defaultRowHeight="12.75" x14ac:dyDescent="0.2"/>
  <cols>
    <col min="1" max="1" width="4" customWidth="1"/>
    <col min="2" max="2" width="3.28515625" style="259" customWidth="1"/>
    <col min="3" max="3" width="23.85546875" customWidth="1"/>
    <col min="4" max="4" width="13.42578125" hidden="1" customWidth="1"/>
    <col min="5" max="5" width="4" bestFit="1" customWidth="1"/>
    <col min="6" max="9" width="6.28515625" customWidth="1"/>
    <col min="10" max="10" width="3.28515625" style="259" customWidth="1"/>
    <col min="11" max="12" width="3.28515625" customWidth="1"/>
  </cols>
  <sheetData>
    <row r="1" spans="1:51" x14ac:dyDescent="0.2">
      <c r="C1" s="18" t="s">
        <v>640</v>
      </c>
      <c r="E1" s="82"/>
      <c r="F1" s="82"/>
      <c r="H1" s="82"/>
      <c r="I1" s="215" t="s">
        <v>652</v>
      </c>
      <c r="J1" s="215"/>
      <c r="K1" s="25" t="s">
        <v>52</v>
      </c>
      <c r="L1" s="298"/>
      <c r="M1" s="82"/>
      <c r="N1" s="82"/>
      <c r="Q1" s="82"/>
      <c r="S1" s="82"/>
      <c r="W1" s="82"/>
      <c r="Y1" s="82"/>
      <c r="AC1" s="82"/>
      <c r="AE1" s="82"/>
      <c r="AG1" s="82"/>
      <c r="AI1" s="82"/>
      <c r="AK1" s="82"/>
      <c r="AO1" s="82"/>
      <c r="AQ1" s="82"/>
      <c r="AS1" s="82"/>
      <c r="AU1" s="82"/>
      <c r="AW1" s="82"/>
      <c r="AY1" s="82"/>
    </row>
    <row r="2" spans="1:51" x14ac:dyDescent="0.2">
      <c r="C2" s="83" t="s">
        <v>654</v>
      </c>
      <c r="K2" s="28" t="s">
        <v>53</v>
      </c>
      <c r="L2" s="28"/>
    </row>
    <row r="3" spans="1:51" x14ac:dyDescent="0.2">
      <c r="C3" s="139" t="s">
        <v>655</v>
      </c>
      <c r="K3" s="29" t="s">
        <v>54</v>
      </c>
      <c r="L3" s="29"/>
    </row>
    <row r="4" spans="1:51" ht="31.5" customHeight="1" x14ac:dyDescent="0.2">
      <c r="A4" s="85"/>
      <c r="B4" s="85"/>
      <c r="C4" s="85"/>
      <c r="D4" s="85"/>
      <c r="E4" s="85"/>
      <c r="F4" s="299" t="str">
        <f>HYPERLINK("http://www.petanque.ee/idaviru/index.php?leht=v0010",MID(Kalend!A9,4,5))</f>
        <v>04.06</v>
      </c>
      <c r="G4" s="299" t="str">
        <f>HYPERLINK("http://www.petanque.ee/idaviru/index.php?leht=v0012",MID(Kalend!A11,4,5))</f>
        <v>18.06</v>
      </c>
      <c r="H4" s="299" t="str">
        <f>HYPERLINK("http://www.petanque.ee/idaviru/index.php?leht=v0018",MID(Kalend!A19,4,5))</f>
        <v>06.08</v>
      </c>
      <c r="I4" s="299" t="str">
        <f>HYPERLINK("http://www.petanque.ee/idaviru/index.php?leht=v0021",MID(Kalend!A22,4,5))</f>
        <v>20.08</v>
      </c>
      <c r="J4" s="398" t="s">
        <v>656</v>
      </c>
      <c r="K4" s="399" t="s">
        <v>63</v>
      </c>
      <c r="L4" s="399" t="s">
        <v>64</v>
      </c>
    </row>
    <row r="5" spans="1:51" x14ac:dyDescent="0.2">
      <c r="A5" s="362" t="s">
        <v>662</v>
      </c>
      <c r="B5" s="364"/>
      <c r="C5" s="85"/>
      <c r="D5" s="85"/>
      <c r="E5" s="365"/>
      <c r="F5" s="300" t="str">
        <f>HYPERLINK("#1!I1"," 1 ")</f>
        <v xml:space="preserve"> 1 </v>
      </c>
      <c r="G5" s="300" t="str">
        <f>HYPERLINK("#2!G1"," 2 ")</f>
        <v xml:space="preserve"> 2 </v>
      </c>
      <c r="H5" s="300" t="str">
        <f>HYPERLINK("#3!G1"," 3 ")</f>
        <v xml:space="preserve"> 3 </v>
      </c>
      <c r="I5" s="300" t="str">
        <f>HYPERLINK("#4!I1"," 4 ")</f>
        <v xml:space="preserve"> 4 </v>
      </c>
      <c r="J5" s="398"/>
      <c r="K5" s="399"/>
      <c r="L5" s="399"/>
    </row>
    <row r="6" spans="1:51" x14ac:dyDescent="0.2">
      <c r="A6" s="363" t="s">
        <v>663</v>
      </c>
      <c r="B6" s="295" t="s">
        <v>65</v>
      </c>
      <c r="C6" s="87" t="s">
        <v>66</v>
      </c>
      <c r="D6" s="87"/>
      <c r="E6" s="227" t="s">
        <v>67</v>
      </c>
      <c r="F6" s="350" t="s">
        <v>68</v>
      </c>
      <c r="G6" s="350" t="s">
        <v>69</v>
      </c>
      <c r="H6" s="350" t="s">
        <v>70</v>
      </c>
      <c r="I6" s="350" t="s">
        <v>68</v>
      </c>
    </row>
    <row r="7" spans="1:51" x14ac:dyDescent="0.2">
      <c r="A7" s="366">
        <v>1</v>
      </c>
      <c r="B7" s="91"/>
      <c r="C7" s="349" t="s">
        <v>73</v>
      </c>
      <c r="D7" s="85" t="s">
        <v>234</v>
      </c>
      <c r="E7" s="227">
        <v>148</v>
      </c>
      <c r="F7" s="88">
        <v>34</v>
      </c>
      <c r="G7" s="88">
        <v>40</v>
      </c>
      <c r="H7" s="88">
        <v>34</v>
      </c>
      <c r="I7" s="88">
        <v>40</v>
      </c>
      <c r="J7" s="297">
        <f>COUNTIF(F7:I7,"&gt;=0")</f>
        <v>4</v>
      </c>
      <c r="K7" s="36">
        <f>COUNTIF(F7:I7,"&gt;=30")</f>
        <v>4</v>
      </c>
      <c r="L7" s="36">
        <f>COUNTIF(F7:I7,"=40")</f>
        <v>2</v>
      </c>
    </row>
    <row r="8" spans="1:51" x14ac:dyDescent="0.2">
      <c r="A8" s="366">
        <v>2</v>
      </c>
      <c r="B8" s="91">
        <v>1</v>
      </c>
      <c r="C8" s="89" t="s">
        <v>75</v>
      </c>
      <c r="D8" s="85" t="s">
        <v>235</v>
      </c>
      <c r="E8" s="227">
        <v>144</v>
      </c>
      <c r="F8" s="88">
        <v>40</v>
      </c>
      <c r="G8" s="88">
        <v>40</v>
      </c>
      <c r="H8" s="88">
        <v>34</v>
      </c>
      <c r="I8" s="88">
        <v>30</v>
      </c>
      <c r="J8" s="297">
        <f t="shared" ref="J8:J55" si="0">COUNTIF(F8:I8,"&gt;=0")</f>
        <v>4</v>
      </c>
      <c r="K8" s="36">
        <f t="shared" ref="K8:K55" si="1">COUNTIF(F8:I8,"&gt;=30")</f>
        <v>4</v>
      </c>
      <c r="L8" s="36">
        <f t="shared" ref="L8:L55" si="2">COUNTIF(F8:I8,"=40")</f>
        <v>2</v>
      </c>
    </row>
    <row r="9" spans="1:51" x14ac:dyDescent="0.2">
      <c r="A9" s="366">
        <v>3</v>
      </c>
      <c r="B9" s="91"/>
      <c r="C9" s="90" t="s">
        <v>71</v>
      </c>
      <c r="D9" s="85" t="s">
        <v>236</v>
      </c>
      <c r="E9" s="227">
        <v>132</v>
      </c>
      <c r="F9" s="88">
        <v>24</v>
      </c>
      <c r="G9" s="88">
        <v>34</v>
      </c>
      <c r="H9" s="88">
        <v>40</v>
      </c>
      <c r="I9" s="88">
        <v>34</v>
      </c>
      <c r="J9" s="297">
        <f t="shared" si="0"/>
        <v>4</v>
      </c>
      <c r="K9" s="36">
        <f t="shared" si="1"/>
        <v>3</v>
      </c>
      <c r="L9" s="36">
        <f t="shared" si="2"/>
        <v>1</v>
      </c>
    </row>
    <row r="10" spans="1:51" x14ac:dyDescent="0.2">
      <c r="A10" s="366">
        <v>4</v>
      </c>
      <c r="B10" s="91"/>
      <c r="C10" s="85" t="s">
        <v>72</v>
      </c>
      <c r="D10" s="85" t="s">
        <v>236</v>
      </c>
      <c r="E10" s="227">
        <v>126</v>
      </c>
      <c r="F10" s="88">
        <v>26</v>
      </c>
      <c r="G10" s="88">
        <v>34</v>
      </c>
      <c r="H10" s="88">
        <v>40</v>
      </c>
      <c r="I10" s="88">
        <v>26</v>
      </c>
      <c r="J10" s="297">
        <f t="shared" si="0"/>
        <v>4</v>
      </c>
      <c r="K10" s="36">
        <f t="shared" si="1"/>
        <v>2</v>
      </c>
      <c r="L10" s="36">
        <f t="shared" si="2"/>
        <v>1</v>
      </c>
    </row>
    <row r="11" spans="1:51" x14ac:dyDescent="0.2">
      <c r="A11" s="366">
        <v>5</v>
      </c>
      <c r="B11" s="91"/>
      <c r="C11" s="85" t="s">
        <v>76</v>
      </c>
      <c r="D11" s="85" t="s">
        <v>236</v>
      </c>
      <c r="E11" s="227">
        <v>102</v>
      </c>
      <c r="F11" s="88">
        <v>30</v>
      </c>
      <c r="G11" s="88">
        <v>16</v>
      </c>
      <c r="H11" s="88">
        <v>40</v>
      </c>
      <c r="I11" s="88">
        <v>16</v>
      </c>
      <c r="J11" s="297">
        <f t="shared" si="0"/>
        <v>4</v>
      </c>
      <c r="K11" s="36">
        <f t="shared" si="1"/>
        <v>2</v>
      </c>
      <c r="L11" s="36">
        <f t="shared" si="2"/>
        <v>1</v>
      </c>
    </row>
    <row r="12" spans="1:51" x14ac:dyDescent="0.2">
      <c r="A12" s="366">
        <v>6</v>
      </c>
      <c r="B12" s="91"/>
      <c r="C12" s="85" t="s">
        <v>74</v>
      </c>
      <c r="D12" s="85" t="s">
        <v>237</v>
      </c>
      <c r="E12" s="227">
        <v>78</v>
      </c>
      <c r="F12" s="88">
        <v>22</v>
      </c>
      <c r="G12" s="88">
        <v>16</v>
      </c>
      <c r="H12" s="88">
        <v>16</v>
      </c>
      <c r="I12" s="88">
        <v>24</v>
      </c>
      <c r="J12" s="297">
        <f t="shared" si="0"/>
        <v>4</v>
      </c>
      <c r="K12" s="36">
        <f t="shared" si="1"/>
        <v>0</v>
      </c>
      <c r="L12" s="36">
        <f t="shared" si="2"/>
        <v>0</v>
      </c>
    </row>
    <row r="13" spans="1:51" x14ac:dyDescent="0.2">
      <c r="A13" s="366">
        <v>7</v>
      </c>
      <c r="B13" s="91"/>
      <c r="C13" s="85" t="s">
        <v>81</v>
      </c>
      <c r="D13" s="85" t="s">
        <v>238</v>
      </c>
      <c r="E13" s="227">
        <v>74</v>
      </c>
      <c r="F13" s="88">
        <v>16</v>
      </c>
      <c r="G13" s="88">
        <v>20</v>
      </c>
      <c r="H13" s="88">
        <v>18</v>
      </c>
      <c r="I13" s="88">
        <v>20</v>
      </c>
      <c r="J13" s="297">
        <f t="shared" si="0"/>
        <v>4</v>
      </c>
      <c r="K13" s="36">
        <f t="shared" si="1"/>
        <v>0</v>
      </c>
      <c r="L13" s="36">
        <f t="shared" si="2"/>
        <v>0</v>
      </c>
    </row>
    <row r="14" spans="1:51" x14ac:dyDescent="0.2">
      <c r="A14" s="366">
        <v>8</v>
      </c>
      <c r="B14" s="91"/>
      <c r="C14" s="85" t="s">
        <v>79</v>
      </c>
      <c r="D14" s="85" t="s">
        <v>238</v>
      </c>
      <c r="E14" s="227">
        <v>58</v>
      </c>
      <c r="F14" s="88">
        <v>14</v>
      </c>
      <c r="G14" s="88">
        <v>10</v>
      </c>
      <c r="H14" s="88">
        <v>34</v>
      </c>
      <c r="I14" s="88">
        <v>0</v>
      </c>
      <c r="J14" s="297">
        <f t="shared" si="0"/>
        <v>4</v>
      </c>
      <c r="K14" s="36">
        <f t="shared" si="1"/>
        <v>1</v>
      </c>
      <c r="L14" s="36">
        <f t="shared" si="2"/>
        <v>0</v>
      </c>
    </row>
    <row r="15" spans="1:51" x14ac:dyDescent="0.2">
      <c r="A15" s="366">
        <v>9</v>
      </c>
      <c r="B15" s="91"/>
      <c r="C15" s="85" t="s">
        <v>77</v>
      </c>
      <c r="D15" s="85" t="s">
        <v>238</v>
      </c>
      <c r="E15" s="227">
        <v>56</v>
      </c>
      <c r="F15" s="88">
        <v>10</v>
      </c>
      <c r="G15" s="88">
        <v>20</v>
      </c>
      <c r="H15" s="88">
        <v>18</v>
      </c>
      <c r="I15" s="88">
        <v>8</v>
      </c>
      <c r="J15" s="297">
        <f t="shared" si="0"/>
        <v>4</v>
      </c>
      <c r="K15" s="36">
        <f t="shared" si="1"/>
        <v>0</v>
      </c>
      <c r="L15" s="36">
        <f t="shared" si="2"/>
        <v>0</v>
      </c>
    </row>
    <row r="16" spans="1:51" x14ac:dyDescent="0.2">
      <c r="A16" s="366">
        <v>10</v>
      </c>
      <c r="B16" s="91"/>
      <c r="C16" s="85" t="s">
        <v>82</v>
      </c>
      <c r="D16" s="85" t="s">
        <v>239</v>
      </c>
      <c r="E16" s="227">
        <v>56</v>
      </c>
      <c r="F16" s="88">
        <v>6</v>
      </c>
      <c r="G16" s="88">
        <v>26</v>
      </c>
      <c r="H16" s="88">
        <v>24</v>
      </c>
      <c r="I16" s="88"/>
      <c r="J16" s="297">
        <f t="shared" si="0"/>
        <v>3</v>
      </c>
      <c r="K16" s="36">
        <f t="shared" si="1"/>
        <v>0</v>
      </c>
      <c r="L16" s="36">
        <f t="shared" si="2"/>
        <v>0</v>
      </c>
    </row>
    <row r="17" spans="1:12" x14ac:dyDescent="0.2">
      <c r="A17" s="366">
        <v>11</v>
      </c>
      <c r="B17" s="91">
        <v>2</v>
      </c>
      <c r="C17" s="91" t="s">
        <v>85</v>
      </c>
      <c r="D17" s="85" t="s">
        <v>522</v>
      </c>
      <c r="E17" s="227">
        <v>55</v>
      </c>
      <c r="F17" s="88"/>
      <c r="G17" s="88">
        <v>30</v>
      </c>
      <c r="H17" s="88">
        <v>22</v>
      </c>
      <c r="I17" s="88">
        <v>3</v>
      </c>
      <c r="J17" s="297">
        <f t="shared" si="0"/>
        <v>3</v>
      </c>
      <c r="K17" s="36">
        <f t="shared" si="1"/>
        <v>1</v>
      </c>
      <c r="L17" s="36">
        <f t="shared" si="2"/>
        <v>0</v>
      </c>
    </row>
    <row r="18" spans="1:12" x14ac:dyDescent="0.2">
      <c r="A18" s="366">
        <v>11</v>
      </c>
      <c r="B18" s="91"/>
      <c r="C18" s="85" t="s">
        <v>78</v>
      </c>
      <c r="D18" s="85" t="s">
        <v>522</v>
      </c>
      <c r="E18" s="227">
        <v>55</v>
      </c>
      <c r="F18" s="88"/>
      <c r="G18" s="88">
        <v>30</v>
      </c>
      <c r="H18" s="88">
        <v>22</v>
      </c>
      <c r="I18" s="88">
        <v>3</v>
      </c>
      <c r="J18" s="297">
        <f t="shared" si="0"/>
        <v>3</v>
      </c>
      <c r="K18" s="36">
        <f t="shared" si="1"/>
        <v>1</v>
      </c>
      <c r="L18" s="36">
        <f t="shared" si="2"/>
        <v>0</v>
      </c>
    </row>
    <row r="19" spans="1:12" x14ac:dyDescent="0.2">
      <c r="A19" s="366">
        <v>13</v>
      </c>
      <c r="B19" s="91">
        <v>3</v>
      </c>
      <c r="C19" s="302" t="s">
        <v>102</v>
      </c>
      <c r="D19" s="85" t="s">
        <v>521</v>
      </c>
      <c r="E19" s="227">
        <v>48</v>
      </c>
      <c r="F19" s="88"/>
      <c r="G19" s="88"/>
      <c r="H19" s="88">
        <v>26</v>
      </c>
      <c r="I19" s="88">
        <v>22</v>
      </c>
      <c r="J19" s="297">
        <f t="shared" si="0"/>
        <v>2</v>
      </c>
      <c r="K19" s="36">
        <f t="shared" si="1"/>
        <v>0</v>
      </c>
      <c r="L19" s="36">
        <f t="shared" si="2"/>
        <v>0</v>
      </c>
    </row>
    <row r="20" spans="1:12" x14ac:dyDescent="0.2">
      <c r="A20" s="366">
        <v>14</v>
      </c>
      <c r="B20" s="91"/>
      <c r="C20" s="85" t="s">
        <v>110</v>
      </c>
      <c r="D20" s="85" t="s">
        <v>523</v>
      </c>
      <c r="E20" s="227">
        <v>44</v>
      </c>
      <c r="F20" s="88">
        <v>20</v>
      </c>
      <c r="G20" s="88">
        <v>24</v>
      </c>
      <c r="H20" s="88"/>
      <c r="I20" s="88"/>
      <c r="J20" s="297">
        <f t="shared" si="0"/>
        <v>2</v>
      </c>
      <c r="K20" s="36">
        <f t="shared" si="1"/>
        <v>0</v>
      </c>
      <c r="L20" s="36">
        <f t="shared" si="2"/>
        <v>0</v>
      </c>
    </row>
    <row r="21" spans="1:12" x14ac:dyDescent="0.2">
      <c r="A21" s="366">
        <v>15</v>
      </c>
      <c r="B21" s="91"/>
      <c r="C21" s="85" t="s">
        <v>92</v>
      </c>
      <c r="D21" s="85" t="s">
        <v>522</v>
      </c>
      <c r="E21" s="227">
        <v>42</v>
      </c>
      <c r="F21" s="88"/>
      <c r="G21" s="88">
        <v>12</v>
      </c>
      <c r="H21" s="88">
        <v>12</v>
      </c>
      <c r="I21" s="88">
        <v>18</v>
      </c>
      <c r="J21" s="297">
        <f t="shared" si="0"/>
        <v>3</v>
      </c>
      <c r="K21" s="36">
        <f t="shared" si="1"/>
        <v>0</v>
      </c>
      <c r="L21" s="36">
        <f t="shared" si="2"/>
        <v>0</v>
      </c>
    </row>
    <row r="22" spans="1:12" x14ac:dyDescent="0.2">
      <c r="A22" s="366">
        <v>16</v>
      </c>
      <c r="B22" s="91"/>
      <c r="C22" s="85" t="s">
        <v>80</v>
      </c>
      <c r="D22" s="85" t="s">
        <v>520</v>
      </c>
      <c r="E22" s="227">
        <v>42</v>
      </c>
      <c r="F22" s="88"/>
      <c r="G22" s="88"/>
      <c r="H22" s="88">
        <v>30</v>
      </c>
      <c r="I22" s="88">
        <v>12</v>
      </c>
      <c r="J22" s="297">
        <f t="shared" si="0"/>
        <v>2</v>
      </c>
      <c r="K22" s="36">
        <f t="shared" si="1"/>
        <v>1</v>
      </c>
      <c r="L22" s="36">
        <f t="shared" si="2"/>
        <v>0</v>
      </c>
    </row>
    <row r="23" spans="1:12" x14ac:dyDescent="0.2">
      <c r="A23" s="366">
        <v>17</v>
      </c>
      <c r="B23" s="91"/>
      <c r="C23" s="85" t="s">
        <v>88</v>
      </c>
      <c r="D23" s="85" t="s">
        <v>241</v>
      </c>
      <c r="E23" s="227">
        <v>42</v>
      </c>
      <c r="F23" s="88"/>
      <c r="G23" s="88">
        <v>18</v>
      </c>
      <c r="H23" s="88">
        <v>24</v>
      </c>
      <c r="I23" s="88"/>
      <c r="J23" s="297">
        <f t="shared" si="0"/>
        <v>2</v>
      </c>
      <c r="K23" s="36">
        <f t="shared" si="1"/>
        <v>0</v>
      </c>
      <c r="L23" s="36">
        <f t="shared" si="2"/>
        <v>0</v>
      </c>
    </row>
    <row r="24" spans="1:12" x14ac:dyDescent="0.2">
      <c r="A24" s="366">
        <v>18</v>
      </c>
      <c r="B24" s="91"/>
      <c r="C24" s="85" t="s">
        <v>119</v>
      </c>
      <c r="D24" s="85" t="s">
        <v>241</v>
      </c>
      <c r="E24" s="227">
        <v>40</v>
      </c>
      <c r="F24" s="88">
        <v>0</v>
      </c>
      <c r="G24" s="88">
        <v>18</v>
      </c>
      <c r="H24" s="88">
        <v>12</v>
      </c>
      <c r="I24" s="88">
        <v>10</v>
      </c>
      <c r="J24" s="297">
        <f t="shared" si="0"/>
        <v>4</v>
      </c>
      <c r="K24" s="36">
        <f t="shared" si="1"/>
        <v>0</v>
      </c>
      <c r="L24" s="36">
        <f t="shared" si="2"/>
        <v>0</v>
      </c>
    </row>
    <row r="25" spans="1:12" x14ac:dyDescent="0.2">
      <c r="A25" s="366">
        <v>19</v>
      </c>
      <c r="B25" s="91"/>
      <c r="C25" s="85" t="s">
        <v>86</v>
      </c>
      <c r="D25" s="85" t="s">
        <v>521</v>
      </c>
      <c r="E25" s="227">
        <v>40</v>
      </c>
      <c r="F25" s="88"/>
      <c r="G25" s="88">
        <v>14</v>
      </c>
      <c r="H25" s="88">
        <v>26</v>
      </c>
      <c r="I25" s="88">
        <v>0</v>
      </c>
      <c r="J25" s="297">
        <f t="shared" si="0"/>
        <v>3</v>
      </c>
      <c r="K25" s="36">
        <f t="shared" si="1"/>
        <v>0</v>
      </c>
      <c r="L25" s="36">
        <f t="shared" si="2"/>
        <v>0</v>
      </c>
    </row>
    <row r="26" spans="1:12" x14ac:dyDescent="0.2">
      <c r="A26" s="366">
        <v>20</v>
      </c>
      <c r="B26" s="91"/>
      <c r="C26" s="85" t="s">
        <v>101</v>
      </c>
      <c r="D26" s="85" t="s">
        <v>240</v>
      </c>
      <c r="E26" s="227">
        <v>36</v>
      </c>
      <c r="F26" s="88"/>
      <c r="G26" s="88"/>
      <c r="H26" s="88">
        <v>30</v>
      </c>
      <c r="I26" s="88">
        <v>6</v>
      </c>
      <c r="J26" s="297">
        <f t="shared" si="0"/>
        <v>2</v>
      </c>
      <c r="K26" s="36">
        <f t="shared" si="1"/>
        <v>1</v>
      </c>
      <c r="L26" s="36">
        <f t="shared" si="2"/>
        <v>0</v>
      </c>
    </row>
    <row r="27" spans="1:12" x14ac:dyDescent="0.2">
      <c r="A27" s="366">
        <v>21</v>
      </c>
      <c r="B27" s="91"/>
      <c r="C27" s="92" t="s">
        <v>83</v>
      </c>
      <c r="D27" s="85" t="s">
        <v>238</v>
      </c>
      <c r="E27" s="227">
        <v>34</v>
      </c>
      <c r="F27" s="88">
        <v>12</v>
      </c>
      <c r="G27" s="88">
        <v>22</v>
      </c>
      <c r="H27" s="88"/>
      <c r="I27" s="88">
        <v>0</v>
      </c>
      <c r="J27" s="297">
        <f t="shared" si="0"/>
        <v>3</v>
      </c>
      <c r="K27" s="36">
        <f t="shared" si="1"/>
        <v>0</v>
      </c>
      <c r="L27" s="36">
        <f t="shared" si="2"/>
        <v>0</v>
      </c>
    </row>
    <row r="28" spans="1:12" x14ac:dyDescent="0.2">
      <c r="A28" s="366">
        <v>22</v>
      </c>
      <c r="B28" s="91"/>
      <c r="C28" s="85" t="s">
        <v>138</v>
      </c>
      <c r="D28" s="85" t="s">
        <v>240</v>
      </c>
      <c r="E28" s="227">
        <v>34</v>
      </c>
      <c r="F28" s="88"/>
      <c r="G28" s="88">
        <v>12</v>
      </c>
      <c r="H28" s="88">
        <v>22</v>
      </c>
      <c r="I28" s="88"/>
      <c r="J28" s="297">
        <f t="shared" si="0"/>
        <v>2</v>
      </c>
      <c r="K28" s="36">
        <f t="shared" si="1"/>
        <v>0</v>
      </c>
      <c r="L28" s="36">
        <f t="shared" si="2"/>
        <v>0</v>
      </c>
    </row>
    <row r="29" spans="1:12" x14ac:dyDescent="0.2">
      <c r="A29" s="366">
        <v>23</v>
      </c>
      <c r="B29" s="91"/>
      <c r="C29" s="85" t="s">
        <v>89</v>
      </c>
      <c r="D29" s="85" t="s">
        <v>240</v>
      </c>
      <c r="E29" s="227">
        <v>30</v>
      </c>
      <c r="F29" s="88"/>
      <c r="G29" s="88"/>
      <c r="H29" s="88">
        <v>30</v>
      </c>
      <c r="I29" s="88">
        <v>0</v>
      </c>
      <c r="J29" s="297">
        <f t="shared" si="0"/>
        <v>2</v>
      </c>
      <c r="K29" s="36">
        <f t="shared" si="1"/>
        <v>1</v>
      </c>
      <c r="L29" s="36">
        <f t="shared" si="2"/>
        <v>0</v>
      </c>
    </row>
    <row r="30" spans="1:12" x14ac:dyDescent="0.2">
      <c r="A30" s="366">
        <v>24</v>
      </c>
      <c r="B30" s="91"/>
      <c r="C30" s="85" t="s">
        <v>116</v>
      </c>
      <c r="D30" s="85" t="s">
        <v>239</v>
      </c>
      <c r="E30" s="227">
        <v>28</v>
      </c>
      <c r="F30" s="88">
        <v>2</v>
      </c>
      <c r="G30" s="88">
        <v>26</v>
      </c>
      <c r="H30" s="88"/>
      <c r="I30" s="88"/>
      <c r="J30" s="297">
        <f t="shared" si="0"/>
        <v>2</v>
      </c>
      <c r="K30" s="36">
        <f t="shared" si="1"/>
        <v>0</v>
      </c>
      <c r="L30" s="36">
        <f t="shared" si="2"/>
        <v>0</v>
      </c>
    </row>
    <row r="31" spans="1:12" x14ac:dyDescent="0.2">
      <c r="A31" s="366">
        <v>24</v>
      </c>
      <c r="B31" s="91">
        <v>4</v>
      </c>
      <c r="C31" s="91" t="s">
        <v>118</v>
      </c>
      <c r="D31" s="85" t="s">
        <v>240</v>
      </c>
      <c r="E31" s="227">
        <v>28</v>
      </c>
      <c r="F31" s="88">
        <v>4</v>
      </c>
      <c r="G31" s="88">
        <v>24</v>
      </c>
      <c r="H31" s="88"/>
      <c r="I31" s="88"/>
      <c r="J31" s="297">
        <f t="shared" si="0"/>
        <v>2</v>
      </c>
      <c r="K31" s="36">
        <f t="shared" si="1"/>
        <v>0</v>
      </c>
      <c r="L31" s="36">
        <f t="shared" si="2"/>
        <v>0</v>
      </c>
    </row>
    <row r="32" spans="1:12" x14ac:dyDescent="0.2">
      <c r="A32" s="366">
        <v>26</v>
      </c>
      <c r="B32" s="91"/>
      <c r="C32" s="85" t="s">
        <v>94</v>
      </c>
      <c r="D32" s="85" t="s">
        <v>240</v>
      </c>
      <c r="E32" s="227">
        <v>26</v>
      </c>
      <c r="F32" s="88"/>
      <c r="G32" s="88"/>
      <c r="H32" s="88">
        <v>26</v>
      </c>
      <c r="I32" s="88"/>
      <c r="J32" s="297">
        <f t="shared" si="0"/>
        <v>1</v>
      </c>
      <c r="K32" s="36">
        <f t="shared" si="1"/>
        <v>0</v>
      </c>
      <c r="L32" s="36">
        <f t="shared" si="2"/>
        <v>0</v>
      </c>
    </row>
    <row r="33" spans="1:12" x14ac:dyDescent="0.2">
      <c r="A33" s="366">
        <v>27</v>
      </c>
      <c r="B33" s="91"/>
      <c r="C33" s="85" t="s">
        <v>91</v>
      </c>
      <c r="D33" s="85" t="s">
        <v>522</v>
      </c>
      <c r="E33" s="227">
        <v>24</v>
      </c>
      <c r="F33" s="88"/>
      <c r="G33" s="88"/>
      <c r="H33" s="88">
        <v>24</v>
      </c>
      <c r="I33" s="88">
        <v>0</v>
      </c>
      <c r="J33" s="297">
        <f t="shared" si="0"/>
        <v>2</v>
      </c>
      <c r="K33" s="36">
        <f t="shared" si="1"/>
        <v>0</v>
      </c>
      <c r="L33" s="36">
        <f t="shared" si="2"/>
        <v>0</v>
      </c>
    </row>
    <row r="34" spans="1:12" x14ac:dyDescent="0.2">
      <c r="A34" s="366">
        <v>28</v>
      </c>
      <c r="B34" s="91">
        <v>5</v>
      </c>
      <c r="C34" s="91" t="s">
        <v>136</v>
      </c>
      <c r="D34" s="85" t="s">
        <v>238</v>
      </c>
      <c r="E34" s="227">
        <v>22</v>
      </c>
      <c r="F34" s="88"/>
      <c r="G34" s="88">
        <v>22</v>
      </c>
      <c r="H34" s="88"/>
      <c r="I34" s="88"/>
      <c r="J34" s="297">
        <f t="shared" si="0"/>
        <v>1</v>
      </c>
      <c r="K34" s="36">
        <f t="shared" si="1"/>
        <v>0</v>
      </c>
      <c r="L34" s="36">
        <f t="shared" si="2"/>
        <v>0</v>
      </c>
    </row>
    <row r="35" spans="1:12" x14ac:dyDescent="0.2">
      <c r="A35" s="366">
        <v>29</v>
      </c>
      <c r="B35" s="91"/>
      <c r="C35" s="85" t="s">
        <v>97</v>
      </c>
      <c r="D35" s="85" t="s">
        <v>242</v>
      </c>
      <c r="E35" s="227">
        <v>20</v>
      </c>
      <c r="F35" s="88"/>
      <c r="G35" s="88"/>
      <c r="H35" s="88">
        <v>20</v>
      </c>
      <c r="I35" s="88">
        <v>0</v>
      </c>
      <c r="J35" s="297">
        <f t="shared" si="0"/>
        <v>2</v>
      </c>
      <c r="K35" s="36">
        <f t="shared" si="1"/>
        <v>0</v>
      </c>
      <c r="L35" s="36">
        <f t="shared" si="2"/>
        <v>0</v>
      </c>
    </row>
    <row r="36" spans="1:12" x14ac:dyDescent="0.2">
      <c r="A36" s="366">
        <v>30</v>
      </c>
      <c r="B36" s="91"/>
      <c r="C36" s="85" t="s">
        <v>98</v>
      </c>
      <c r="D36" s="85" t="s">
        <v>242</v>
      </c>
      <c r="E36" s="227">
        <v>20</v>
      </c>
      <c r="F36" s="88"/>
      <c r="G36" s="88"/>
      <c r="H36" s="88">
        <v>20</v>
      </c>
      <c r="I36" s="88"/>
      <c r="J36" s="297">
        <f t="shared" si="0"/>
        <v>1</v>
      </c>
      <c r="K36" s="36">
        <f t="shared" si="1"/>
        <v>0</v>
      </c>
      <c r="L36" s="36">
        <f t="shared" si="2"/>
        <v>0</v>
      </c>
    </row>
    <row r="37" spans="1:12" x14ac:dyDescent="0.2">
      <c r="A37" s="366">
        <v>30</v>
      </c>
      <c r="B37" s="91"/>
      <c r="C37" s="85" t="s">
        <v>112</v>
      </c>
      <c r="D37" s="85" t="s">
        <v>240</v>
      </c>
      <c r="E37" s="227">
        <v>20</v>
      </c>
      <c r="F37" s="88"/>
      <c r="G37" s="88"/>
      <c r="H37" s="88">
        <v>20</v>
      </c>
      <c r="I37" s="88"/>
      <c r="J37" s="297">
        <f t="shared" si="0"/>
        <v>1</v>
      </c>
      <c r="K37" s="36">
        <f t="shared" si="1"/>
        <v>0</v>
      </c>
      <c r="L37" s="36">
        <f t="shared" si="2"/>
        <v>0</v>
      </c>
    </row>
    <row r="38" spans="1:12" x14ac:dyDescent="0.2">
      <c r="A38" s="366">
        <v>32</v>
      </c>
      <c r="B38" s="91"/>
      <c r="C38" s="85" t="s">
        <v>114</v>
      </c>
      <c r="D38" s="85" t="s">
        <v>239</v>
      </c>
      <c r="E38" s="227">
        <v>18</v>
      </c>
      <c r="F38" s="88">
        <v>18</v>
      </c>
      <c r="G38" s="88"/>
      <c r="H38" s="88"/>
      <c r="I38" s="88"/>
      <c r="J38" s="297">
        <f t="shared" si="0"/>
        <v>1</v>
      </c>
      <c r="K38" s="36">
        <f t="shared" si="1"/>
        <v>0</v>
      </c>
      <c r="L38" s="36">
        <f t="shared" si="2"/>
        <v>0</v>
      </c>
    </row>
    <row r="39" spans="1:12" x14ac:dyDescent="0.2">
      <c r="A39" s="366">
        <v>32</v>
      </c>
      <c r="B39" s="91"/>
      <c r="C39" s="85" t="s">
        <v>172</v>
      </c>
      <c r="D39" s="85" t="s">
        <v>240</v>
      </c>
      <c r="E39" s="227">
        <v>18</v>
      </c>
      <c r="F39" s="88"/>
      <c r="G39" s="88"/>
      <c r="H39" s="88">
        <v>18</v>
      </c>
      <c r="I39" s="88"/>
      <c r="J39" s="297">
        <f t="shared" si="0"/>
        <v>1</v>
      </c>
      <c r="K39" s="36">
        <f t="shared" si="1"/>
        <v>0</v>
      </c>
      <c r="L39" s="36">
        <f t="shared" si="2"/>
        <v>0</v>
      </c>
    </row>
    <row r="40" spans="1:12" x14ac:dyDescent="0.2">
      <c r="A40" s="366">
        <v>34</v>
      </c>
      <c r="B40" s="91">
        <v>6</v>
      </c>
      <c r="C40" s="91" t="s">
        <v>90</v>
      </c>
      <c r="D40" s="85" t="s">
        <v>240</v>
      </c>
      <c r="E40" s="227">
        <v>16</v>
      </c>
      <c r="F40" s="88"/>
      <c r="G40" s="88"/>
      <c r="H40" s="88">
        <v>16</v>
      </c>
      <c r="I40" s="88"/>
      <c r="J40" s="297">
        <f t="shared" si="0"/>
        <v>1</v>
      </c>
      <c r="K40" s="36">
        <f t="shared" si="1"/>
        <v>0</v>
      </c>
      <c r="L40" s="36">
        <f t="shared" si="2"/>
        <v>0</v>
      </c>
    </row>
    <row r="41" spans="1:12" x14ac:dyDescent="0.2">
      <c r="A41" s="366">
        <v>34</v>
      </c>
      <c r="B41" s="91"/>
      <c r="C41" s="85" t="s">
        <v>120</v>
      </c>
      <c r="D41" s="85" t="s">
        <v>240</v>
      </c>
      <c r="E41" s="227">
        <v>16</v>
      </c>
      <c r="F41" s="88"/>
      <c r="G41" s="88"/>
      <c r="H41" s="88">
        <v>16</v>
      </c>
      <c r="I41" s="88"/>
      <c r="J41" s="297">
        <f t="shared" si="0"/>
        <v>1</v>
      </c>
      <c r="K41" s="36">
        <f t="shared" si="1"/>
        <v>0</v>
      </c>
      <c r="L41" s="36">
        <f t="shared" si="2"/>
        <v>0</v>
      </c>
    </row>
    <row r="42" spans="1:12" x14ac:dyDescent="0.2">
      <c r="A42" s="366">
        <v>36</v>
      </c>
      <c r="B42" s="91">
        <v>7</v>
      </c>
      <c r="C42" s="91" t="s">
        <v>106</v>
      </c>
      <c r="D42" s="85" t="s">
        <v>240</v>
      </c>
      <c r="E42" s="227">
        <v>14</v>
      </c>
      <c r="F42" s="88"/>
      <c r="G42" s="88"/>
      <c r="H42" s="88"/>
      <c r="I42" s="88">
        <v>14</v>
      </c>
      <c r="J42" s="297">
        <f t="shared" si="0"/>
        <v>1</v>
      </c>
      <c r="K42" s="36">
        <f t="shared" si="1"/>
        <v>0</v>
      </c>
      <c r="L42" s="36">
        <f t="shared" si="2"/>
        <v>0</v>
      </c>
    </row>
    <row r="43" spans="1:12" x14ac:dyDescent="0.2">
      <c r="A43" s="366">
        <v>37</v>
      </c>
      <c r="B43" s="91"/>
      <c r="C43" s="85" t="s">
        <v>642</v>
      </c>
      <c r="D43" s="85" t="s">
        <v>240</v>
      </c>
      <c r="E43" s="227">
        <v>14</v>
      </c>
      <c r="F43" s="88"/>
      <c r="G43" s="88">
        <v>14</v>
      </c>
      <c r="H43" s="88"/>
      <c r="I43" s="88"/>
      <c r="J43" s="297">
        <f t="shared" si="0"/>
        <v>1</v>
      </c>
      <c r="K43" s="36">
        <f t="shared" si="1"/>
        <v>0</v>
      </c>
      <c r="L43" s="36">
        <f t="shared" si="2"/>
        <v>0</v>
      </c>
    </row>
    <row r="44" spans="1:12" x14ac:dyDescent="0.2">
      <c r="A44" s="366">
        <v>37</v>
      </c>
      <c r="B44" s="91"/>
      <c r="C44" s="85" t="s">
        <v>166</v>
      </c>
      <c r="D44" s="85" t="s">
        <v>524</v>
      </c>
      <c r="E44" s="227">
        <v>14</v>
      </c>
      <c r="F44" s="88"/>
      <c r="G44" s="88"/>
      <c r="H44" s="88">
        <v>14</v>
      </c>
      <c r="I44" s="88"/>
      <c r="J44" s="297">
        <f t="shared" si="0"/>
        <v>1</v>
      </c>
      <c r="K44" s="36">
        <f t="shared" si="1"/>
        <v>0</v>
      </c>
      <c r="L44" s="36">
        <f t="shared" si="2"/>
        <v>0</v>
      </c>
    </row>
    <row r="45" spans="1:12" x14ac:dyDescent="0.2">
      <c r="A45" s="366">
        <v>37</v>
      </c>
      <c r="B45" s="91"/>
      <c r="C45" s="85" t="s">
        <v>167</v>
      </c>
      <c r="D45" s="85" t="s">
        <v>240</v>
      </c>
      <c r="E45" s="227">
        <v>14</v>
      </c>
      <c r="F45" s="88"/>
      <c r="G45" s="88"/>
      <c r="H45" s="88">
        <v>14</v>
      </c>
      <c r="I45" s="88"/>
      <c r="J45" s="297">
        <f t="shared" si="0"/>
        <v>1</v>
      </c>
      <c r="K45" s="36">
        <f t="shared" si="1"/>
        <v>0</v>
      </c>
      <c r="L45" s="36">
        <f t="shared" si="2"/>
        <v>0</v>
      </c>
    </row>
    <row r="46" spans="1:12" x14ac:dyDescent="0.2">
      <c r="A46" s="366">
        <v>37</v>
      </c>
      <c r="B46" s="91"/>
      <c r="C46" s="85" t="s">
        <v>173</v>
      </c>
      <c r="D46" s="85" t="s">
        <v>240</v>
      </c>
      <c r="E46" s="227">
        <v>14</v>
      </c>
      <c r="F46" s="88"/>
      <c r="G46" s="88"/>
      <c r="H46" s="88">
        <v>14</v>
      </c>
      <c r="I46" s="88"/>
      <c r="J46" s="297">
        <f t="shared" si="0"/>
        <v>1</v>
      </c>
      <c r="K46" s="36">
        <f t="shared" si="1"/>
        <v>0</v>
      </c>
      <c r="L46" s="36">
        <f t="shared" si="2"/>
        <v>0</v>
      </c>
    </row>
    <row r="47" spans="1:12" x14ac:dyDescent="0.2">
      <c r="A47" s="366">
        <v>41</v>
      </c>
      <c r="B47" s="91"/>
      <c r="C47" s="85" t="s">
        <v>174</v>
      </c>
      <c r="D47" s="85" t="s">
        <v>240</v>
      </c>
      <c r="E47" s="227">
        <v>12</v>
      </c>
      <c r="F47" s="88"/>
      <c r="G47" s="88"/>
      <c r="H47" s="88">
        <v>12</v>
      </c>
      <c r="I47" s="88"/>
      <c r="J47" s="297">
        <f t="shared" si="0"/>
        <v>1</v>
      </c>
      <c r="K47" s="36">
        <f t="shared" si="1"/>
        <v>0</v>
      </c>
      <c r="L47" s="36">
        <f t="shared" si="2"/>
        <v>0</v>
      </c>
    </row>
    <row r="48" spans="1:12" x14ac:dyDescent="0.2">
      <c r="A48" s="366">
        <v>42</v>
      </c>
      <c r="B48" s="91">
        <v>8</v>
      </c>
      <c r="C48" s="91" t="s">
        <v>117</v>
      </c>
      <c r="D48" s="85" t="s">
        <v>238</v>
      </c>
      <c r="E48" s="227">
        <v>10</v>
      </c>
      <c r="F48" s="88"/>
      <c r="G48" s="88">
        <v>10</v>
      </c>
      <c r="H48" s="88"/>
      <c r="I48" s="88"/>
      <c r="J48" s="297">
        <f t="shared" si="0"/>
        <v>1</v>
      </c>
      <c r="K48" s="36">
        <f t="shared" si="1"/>
        <v>0</v>
      </c>
      <c r="L48" s="36">
        <f t="shared" si="2"/>
        <v>0</v>
      </c>
    </row>
    <row r="49" spans="1:12" x14ac:dyDescent="0.2">
      <c r="A49" s="366">
        <v>43</v>
      </c>
      <c r="B49" s="91"/>
      <c r="C49" s="85" t="s">
        <v>131</v>
      </c>
      <c r="D49" s="85" t="s">
        <v>240</v>
      </c>
      <c r="E49" s="227">
        <v>8</v>
      </c>
      <c r="F49" s="88">
        <v>8</v>
      </c>
      <c r="G49" s="88"/>
      <c r="H49" s="88"/>
      <c r="I49" s="88"/>
      <c r="J49" s="297">
        <f t="shared" si="0"/>
        <v>1</v>
      </c>
      <c r="K49" s="36">
        <f t="shared" si="1"/>
        <v>0</v>
      </c>
      <c r="L49" s="36">
        <f t="shared" si="2"/>
        <v>0</v>
      </c>
    </row>
    <row r="50" spans="1:12" x14ac:dyDescent="0.2">
      <c r="A50" s="366">
        <v>43</v>
      </c>
      <c r="B50" s="91"/>
      <c r="C50" s="85" t="s">
        <v>139</v>
      </c>
      <c r="D50" s="85" t="s">
        <v>240</v>
      </c>
      <c r="E50" s="227">
        <v>8</v>
      </c>
      <c r="F50" s="88"/>
      <c r="G50" s="88">
        <v>8</v>
      </c>
      <c r="H50" s="88"/>
      <c r="I50" s="88"/>
      <c r="J50" s="297">
        <f t="shared" si="0"/>
        <v>1</v>
      </c>
      <c r="K50" s="36">
        <f t="shared" si="1"/>
        <v>0</v>
      </c>
      <c r="L50" s="36">
        <f t="shared" si="2"/>
        <v>0</v>
      </c>
    </row>
    <row r="51" spans="1:12" x14ac:dyDescent="0.2">
      <c r="A51" s="366">
        <v>43</v>
      </c>
      <c r="B51" s="91"/>
      <c r="C51" s="85" t="s">
        <v>140</v>
      </c>
      <c r="D51" s="85" t="s">
        <v>240</v>
      </c>
      <c r="E51" s="227">
        <v>8</v>
      </c>
      <c r="F51" s="88"/>
      <c r="G51" s="88">
        <v>8</v>
      </c>
      <c r="H51" s="88"/>
      <c r="I51" s="88"/>
      <c r="J51" s="297">
        <f t="shared" si="0"/>
        <v>1</v>
      </c>
      <c r="K51" s="36">
        <f t="shared" si="1"/>
        <v>0</v>
      </c>
      <c r="L51" s="36">
        <f t="shared" si="2"/>
        <v>0</v>
      </c>
    </row>
    <row r="52" spans="1:12" x14ac:dyDescent="0.2">
      <c r="A52" s="366">
        <v>46</v>
      </c>
      <c r="B52" s="91"/>
      <c r="C52" s="301" t="s">
        <v>179</v>
      </c>
      <c r="D52" s="85" t="s">
        <v>243</v>
      </c>
      <c r="E52" s="227">
        <v>0</v>
      </c>
      <c r="F52" s="88"/>
      <c r="G52" s="88"/>
      <c r="H52" s="88"/>
      <c r="I52" s="88">
        <v>0</v>
      </c>
      <c r="J52" s="297">
        <f t="shared" si="0"/>
        <v>1</v>
      </c>
      <c r="K52" s="36">
        <f t="shared" si="1"/>
        <v>0</v>
      </c>
      <c r="L52" s="36">
        <f t="shared" si="2"/>
        <v>0</v>
      </c>
    </row>
    <row r="53" spans="1:12" x14ac:dyDescent="0.2">
      <c r="A53" s="366">
        <v>46</v>
      </c>
      <c r="B53" s="91"/>
      <c r="C53" s="85" t="s">
        <v>178</v>
      </c>
      <c r="D53" s="85" t="s">
        <v>522</v>
      </c>
      <c r="E53" s="227">
        <v>0</v>
      </c>
      <c r="F53" s="88"/>
      <c r="G53" s="88"/>
      <c r="H53" s="88"/>
      <c r="I53" s="88">
        <v>0</v>
      </c>
      <c r="J53" s="297">
        <f t="shared" si="0"/>
        <v>1</v>
      </c>
      <c r="K53" s="36">
        <f t="shared" si="1"/>
        <v>0</v>
      </c>
      <c r="L53" s="36">
        <f t="shared" si="2"/>
        <v>0</v>
      </c>
    </row>
    <row r="54" spans="1:12" x14ac:dyDescent="0.2">
      <c r="A54" s="366">
        <v>48</v>
      </c>
      <c r="B54" s="91"/>
      <c r="C54" s="85" t="s">
        <v>95</v>
      </c>
      <c r="D54" s="238" t="s">
        <v>239</v>
      </c>
      <c r="E54" s="227">
        <v>0</v>
      </c>
      <c r="F54" s="88">
        <v>0</v>
      </c>
      <c r="G54" s="88"/>
      <c r="H54" s="88"/>
      <c r="I54" s="88"/>
      <c r="J54" s="297">
        <f t="shared" si="0"/>
        <v>1</v>
      </c>
      <c r="K54" s="36">
        <f t="shared" si="1"/>
        <v>0</v>
      </c>
      <c r="L54" s="36">
        <f t="shared" si="2"/>
        <v>0</v>
      </c>
    </row>
    <row r="55" spans="1:12" x14ac:dyDescent="0.2">
      <c r="A55" s="366">
        <v>48</v>
      </c>
      <c r="B55" s="91"/>
      <c r="C55" s="85" t="s">
        <v>132</v>
      </c>
      <c r="D55" s="85"/>
      <c r="E55" s="227">
        <v>0</v>
      </c>
      <c r="F55" s="88">
        <v>0</v>
      </c>
      <c r="G55" s="88"/>
      <c r="H55" s="88"/>
      <c r="I55" s="88"/>
      <c r="J55" s="297">
        <f t="shared" si="0"/>
        <v>1</v>
      </c>
      <c r="K55" s="36">
        <f t="shared" si="1"/>
        <v>0</v>
      </c>
      <c r="L55" s="36">
        <f t="shared" si="2"/>
        <v>0</v>
      </c>
    </row>
    <row r="56" spans="1:12" x14ac:dyDescent="0.2">
      <c r="A56" s="218">
        <f>COUNT(A7:A55)</f>
        <v>49</v>
      </c>
      <c r="B56" s="296">
        <f>COUNT(B7:B55)</f>
        <v>8</v>
      </c>
      <c r="C56" s="47" t="s">
        <v>96</v>
      </c>
      <c r="D56" s="219"/>
      <c r="E56" s="219"/>
      <c r="F56" s="49">
        <f>COUNTIF(F7:F55,"&gt;=0")</f>
        <v>19</v>
      </c>
      <c r="G56" s="49">
        <f>COUNTIF(G7:G55,"&gt;=0")</f>
        <v>26</v>
      </c>
      <c r="H56" s="49">
        <f>COUNTIF(H7:H55,"&gt;=0")</f>
        <v>33</v>
      </c>
      <c r="I56" s="49">
        <f>COUNTIF(I7:I55,"&gt;=0")</f>
        <v>24</v>
      </c>
      <c r="J56" s="49"/>
      <c r="K56" s="220">
        <f>SUM(K7:K55)</f>
        <v>21</v>
      </c>
      <c r="L56" s="220">
        <f>SUM(L7:L55)</f>
        <v>7</v>
      </c>
    </row>
    <row r="57" spans="1:12" s="86" customFormat="1" x14ac:dyDescent="0.2">
      <c r="A57" s="221"/>
      <c r="B57" s="221"/>
      <c r="C57" s="47" t="s">
        <v>191</v>
      </c>
      <c r="D57" s="221"/>
      <c r="E57" s="221"/>
      <c r="F57" s="73"/>
      <c r="G57" s="73">
        <v>13</v>
      </c>
      <c r="H57" s="73">
        <v>11</v>
      </c>
      <c r="I57" s="73"/>
      <c r="J57" s="73"/>
      <c r="K57" s="222"/>
      <c r="L57" s="222"/>
    </row>
    <row r="58" spans="1:12" s="86" customFormat="1" x14ac:dyDescent="0.2">
      <c r="K58" s="84"/>
      <c r="L58" s="84"/>
    </row>
  </sheetData>
  <mergeCells count="3">
    <mergeCell ref="J4:J5"/>
    <mergeCell ref="K4:K5"/>
    <mergeCell ref="L4:L5"/>
  </mergeCells>
  <conditionalFormatting sqref="F56:J56">
    <cfRule type="top10" dxfId="25" priority="7" stopIfTrue="1" rank="1"/>
  </conditionalFormatting>
  <conditionalFormatting sqref="K7:K55">
    <cfRule type="top10" dxfId="24" priority="5" stopIfTrue="1" rank="1"/>
  </conditionalFormatting>
  <conditionalFormatting sqref="L7:L55">
    <cfRule type="top10" dxfId="23" priority="6" stopIfTrue="1" rank="1"/>
  </conditionalFormatting>
  <conditionalFormatting sqref="F7:J55">
    <cfRule type="cellIs" dxfId="22" priority="2" stopIfTrue="1" operator="equal">
      <formula>30</formula>
    </cfRule>
    <cfRule type="cellIs" dxfId="21" priority="3" stopIfTrue="1" operator="equal">
      <formula>34</formula>
    </cfRule>
    <cfRule type="cellIs" dxfId="20" priority="4" stopIfTrue="1" operator="equal">
      <formula>40</formula>
    </cfRule>
  </conditionalFormatting>
  <conditionalFormatting sqref="J7:J55">
    <cfRule type="top10" dxfId="19" priority="1" rank="1"/>
  </conditionalFormatting>
  <hyperlinks>
    <hyperlink ref="I5" location="'14'!I1" display="14."/>
  </hyperlinks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&amp;R&amp;9Page &amp;P of &amp;N</oddHeader>
  </headerFooter>
  <ignoredErrors>
    <ignoredError sqref="K7:L56 J7:J55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5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J1" sqref="J1"/>
    </sheetView>
  </sheetViews>
  <sheetFormatPr defaultColWidth="9.42578125" defaultRowHeight="12.75" x14ac:dyDescent="0.2"/>
  <cols>
    <col min="1" max="1" width="3.28515625" style="20" customWidth="1"/>
    <col min="2" max="2" width="32.5703125" style="20" bestFit="1" customWidth="1"/>
    <col min="3" max="3" width="7.28515625" style="20" customWidth="1"/>
    <col min="4" max="4" width="7.42578125" style="20" bestFit="1" customWidth="1"/>
    <col min="5" max="5" width="9.140625" style="20" bestFit="1" customWidth="1"/>
    <col min="6" max="6" width="6.7109375" style="20" bestFit="1" customWidth="1"/>
    <col min="7" max="7" width="5.140625" style="20" bestFit="1" customWidth="1"/>
    <col min="8" max="208" width="9.140625" style="20" customWidth="1"/>
    <col min="209" max="16384" width="9.42578125" style="20"/>
  </cols>
  <sheetData>
    <row r="1" spans="1:8" x14ac:dyDescent="0.2">
      <c r="A1" s="21" t="str">
        <f>UPPER((Kalend!E5)&amp;" - "&amp;(Kalend!C5)&amp;" - "&amp;(Kalend!D5))</f>
        <v>1 - K-JÄRVE 3. MV - ÜKSIK</v>
      </c>
      <c r="F1" s="284" t="str">
        <f>HYPERLINK("#Kalend!J1","Kalender")</f>
        <v>Kalender</v>
      </c>
      <c r="G1" s="93"/>
      <c r="H1" s="284" t="str">
        <f>HYPERLINK("#Reit!J1","Reiting")</f>
        <v>Reiting</v>
      </c>
    </row>
    <row r="2" spans="1:8" x14ac:dyDescent="0.2">
      <c r="A2" s="93" t="str">
        <f>"Toimumisaeg: "&amp;(Kalend!A5)&amp;" kell "&amp;(Kalend!B5)</f>
        <v>Toimumisaeg: T, 07.05.2002 kell 18:00</v>
      </c>
      <c r="G2" s="93"/>
    </row>
    <row r="3" spans="1:8" x14ac:dyDescent="0.2">
      <c r="A3" s="93" t="str">
        <f>"Toimumiskoht: "&amp;(Kalend!F5)</f>
        <v>Toimumiskoht: K-Järve spordihoone tagune väljak</v>
      </c>
      <c r="G3" s="93"/>
    </row>
    <row r="4" spans="1:8" x14ac:dyDescent="0.2">
      <c r="A4" s="93" t="str">
        <f>"Korraldaja: "&amp;(Kalend!G5)</f>
        <v>Korraldaja: K-Järve SHK</v>
      </c>
      <c r="G4" s="93"/>
    </row>
    <row r="5" spans="1:8" s="93" customFormat="1" x14ac:dyDescent="0.2"/>
    <row r="6" spans="1:8" s="93" customFormat="1" x14ac:dyDescent="0.2">
      <c r="A6" s="94">
        <v>1</v>
      </c>
      <c r="B6" s="334" t="s">
        <v>244</v>
      </c>
    </row>
    <row r="7" spans="1:8" s="93" customFormat="1" x14ac:dyDescent="0.2">
      <c r="A7" s="94">
        <v>2</v>
      </c>
      <c r="B7" s="335" t="s">
        <v>245</v>
      </c>
    </row>
    <row r="8" spans="1:8" s="93" customFormat="1" x14ac:dyDescent="0.2">
      <c r="A8" s="94">
        <v>3</v>
      </c>
      <c r="B8" s="336" t="s">
        <v>246</v>
      </c>
    </row>
    <row r="9" spans="1:8" s="93" customFormat="1" x14ac:dyDescent="0.2">
      <c r="A9" s="94">
        <v>4</v>
      </c>
      <c r="B9" s="37" t="s">
        <v>91</v>
      </c>
    </row>
    <row r="10" spans="1:8" s="93" customFormat="1" x14ac:dyDescent="0.2">
      <c r="A10" s="94">
        <v>5</v>
      </c>
      <c r="B10" s="37" t="s">
        <v>247</v>
      </c>
    </row>
    <row r="11" spans="1:8" s="93" customFormat="1" x14ac:dyDescent="0.2">
      <c r="A11" s="94">
        <v>6</v>
      </c>
      <c r="B11" s="37" t="s">
        <v>248</v>
      </c>
    </row>
    <row r="12" spans="1:8" s="93" customFormat="1" x14ac:dyDescent="0.2">
      <c r="A12" s="94">
        <v>7</v>
      </c>
      <c r="B12" s="37" t="s">
        <v>249</v>
      </c>
    </row>
    <row r="13" spans="1:8" s="93" customFormat="1" x14ac:dyDescent="0.2">
      <c r="A13" s="94">
        <v>8</v>
      </c>
      <c r="B13" s="37" t="s">
        <v>250</v>
      </c>
    </row>
    <row r="14" spans="1:8" x14ac:dyDescent="0.2">
      <c r="A14" s="94">
        <v>9</v>
      </c>
      <c r="B14" s="11" t="s">
        <v>251</v>
      </c>
    </row>
    <row r="15" spans="1:8" x14ac:dyDescent="0.2">
      <c r="A15" s="94">
        <v>10</v>
      </c>
      <c r="B15" s="11" t="s">
        <v>252</v>
      </c>
    </row>
  </sheetData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3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H1" sqref="H1"/>
    </sheetView>
  </sheetViews>
  <sheetFormatPr defaultColWidth="9.42578125" defaultRowHeight="12.75" x14ac:dyDescent="0.2"/>
  <cols>
    <col min="1" max="1" width="3.28515625" style="20" customWidth="1"/>
    <col min="2" max="2" width="49.7109375" style="20" bestFit="1" customWidth="1"/>
    <col min="3" max="9" width="6.7109375" style="20" customWidth="1"/>
    <col min="10" max="209" width="9.140625" style="20" customWidth="1"/>
    <col min="210" max="16384" width="9.42578125" style="20"/>
  </cols>
  <sheetData>
    <row r="1" spans="1:9" x14ac:dyDescent="0.2">
      <c r="A1" s="21" t="str">
        <f>UPPER((Kalend!E6)&amp;" - "&amp;(Kalend!C6)&amp;" - "&amp;(Kalend!D6))</f>
        <v>2 - K-JÄRVE 3. MV - DUO</v>
      </c>
      <c r="D1" s="284" t="str">
        <f>HYPERLINK("#Kalend!J1","Kalender")</f>
        <v>Kalender</v>
      </c>
      <c r="E1" s="277"/>
      <c r="F1" s="284" t="str">
        <f>HYPERLINK("#Reit!J1","Reiting")</f>
        <v>Reiting</v>
      </c>
      <c r="G1" s="248"/>
      <c r="H1" s="248"/>
    </row>
    <row r="2" spans="1:9" x14ac:dyDescent="0.2">
      <c r="A2" s="93" t="str">
        <f>"Toimumisaeg: "&amp;(Kalend!A6)&amp;" kell "&amp;(Kalend!B6)</f>
        <v>Toimumisaeg: T, 14.05.2002 kell 18:00</v>
      </c>
      <c r="G2" s="93"/>
    </row>
    <row r="3" spans="1:9" x14ac:dyDescent="0.2">
      <c r="A3" s="93" t="str">
        <f>"Toimumiskoht: "&amp;(Kalend!F6)</f>
        <v>Toimumiskoht: K-Järve spordihoone tagune väljak</v>
      </c>
      <c r="G3" s="93"/>
    </row>
    <row r="4" spans="1:9" x14ac:dyDescent="0.2">
      <c r="A4" s="93" t="str">
        <f>"Korraldaja: "&amp;(Kalend!G6)</f>
        <v>Korraldaja: K-Järve SHK</v>
      </c>
      <c r="G4" s="93"/>
    </row>
    <row r="5" spans="1:9" s="93" customFormat="1" x14ac:dyDescent="0.2">
      <c r="A5" s="95"/>
    </row>
    <row r="6" spans="1:9" s="97" customFormat="1" x14ac:dyDescent="0.2">
      <c r="A6" s="96" t="s">
        <v>253</v>
      </c>
      <c r="B6" s="96"/>
      <c r="C6" s="87">
        <v>1</v>
      </c>
      <c r="D6" s="87">
        <v>2</v>
      </c>
      <c r="E6" s="87">
        <v>3</v>
      </c>
      <c r="F6" s="87">
        <v>4</v>
      </c>
      <c r="G6" s="87" t="s">
        <v>254</v>
      </c>
      <c r="H6" s="87"/>
      <c r="I6" s="87" t="s">
        <v>67</v>
      </c>
    </row>
    <row r="7" spans="1:9" s="97" customFormat="1" x14ac:dyDescent="0.2">
      <c r="A7" s="96">
        <v>1</v>
      </c>
      <c r="B7" s="98" t="s">
        <v>255</v>
      </c>
      <c r="C7" s="99"/>
      <c r="D7" s="100">
        <v>7</v>
      </c>
      <c r="E7" s="100">
        <v>7</v>
      </c>
      <c r="F7" s="100">
        <v>7</v>
      </c>
      <c r="G7" s="101" t="s">
        <v>256</v>
      </c>
      <c r="H7" s="101" t="s">
        <v>257</v>
      </c>
      <c r="I7" s="100" t="s">
        <v>258</v>
      </c>
    </row>
    <row r="8" spans="1:9" s="97" customFormat="1" x14ac:dyDescent="0.2">
      <c r="A8" s="96">
        <v>2</v>
      </c>
      <c r="B8" s="102" t="s">
        <v>259</v>
      </c>
      <c r="C8" s="100">
        <v>2</v>
      </c>
      <c r="D8" s="99"/>
      <c r="E8" s="100">
        <v>7</v>
      </c>
      <c r="F8" s="100">
        <v>7</v>
      </c>
      <c r="G8" s="101" t="s">
        <v>260</v>
      </c>
      <c r="H8" s="101" t="s">
        <v>261</v>
      </c>
      <c r="I8" s="100" t="s">
        <v>262</v>
      </c>
    </row>
    <row r="9" spans="1:9" s="97" customFormat="1" x14ac:dyDescent="0.2">
      <c r="A9" s="96">
        <v>3</v>
      </c>
      <c r="B9" s="98" t="s">
        <v>263</v>
      </c>
      <c r="C9" s="100">
        <v>0</v>
      </c>
      <c r="D9" s="103">
        <v>2</v>
      </c>
      <c r="E9" s="99"/>
      <c r="F9" s="100">
        <v>2</v>
      </c>
      <c r="G9" s="101" t="s">
        <v>264</v>
      </c>
      <c r="H9" s="104" t="s">
        <v>265</v>
      </c>
      <c r="I9" s="100" t="s">
        <v>266</v>
      </c>
    </row>
    <row r="10" spans="1:9" s="97" customFormat="1" x14ac:dyDescent="0.2">
      <c r="A10" s="96">
        <v>4</v>
      </c>
      <c r="B10" s="98" t="s">
        <v>267</v>
      </c>
      <c r="C10" s="100">
        <v>5</v>
      </c>
      <c r="D10" s="100">
        <v>3</v>
      </c>
      <c r="E10" s="100">
        <v>7</v>
      </c>
      <c r="F10" s="99"/>
      <c r="G10" s="101" t="s">
        <v>268</v>
      </c>
      <c r="H10" s="101" t="s">
        <v>269</v>
      </c>
      <c r="I10" s="100" t="s">
        <v>270</v>
      </c>
    </row>
    <row r="11" spans="1:9" s="97" customFormat="1" x14ac:dyDescent="0.2"/>
    <row r="12" spans="1:9" s="97" customFormat="1" x14ac:dyDescent="0.2">
      <c r="A12" s="96" t="s">
        <v>271</v>
      </c>
      <c r="B12" s="96"/>
      <c r="C12" s="87">
        <v>1</v>
      </c>
      <c r="D12" s="87">
        <v>2</v>
      </c>
      <c r="E12" s="87">
        <v>3</v>
      </c>
      <c r="F12" s="87">
        <v>4</v>
      </c>
      <c r="G12" s="87" t="s">
        <v>254</v>
      </c>
      <c r="H12" s="87"/>
      <c r="I12" s="87" t="s">
        <v>67</v>
      </c>
    </row>
    <row r="13" spans="1:9" s="97" customFormat="1" x14ac:dyDescent="0.2">
      <c r="A13" s="96">
        <v>1</v>
      </c>
      <c r="B13" s="105" t="s">
        <v>272</v>
      </c>
      <c r="C13" s="99"/>
      <c r="D13" s="100">
        <v>7</v>
      </c>
      <c r="E13" s="100">
        <v>7</v>
      </c>
      <c r="F13" s="100">
        <v>7</v>
      </c>
      <c r="G13" s="101" t="s">
        <v>256</v>
      </c>
      <c r="H13" s="101" t="s">
        <v>273</v>
      </c>
      <c r="I13" s="100" t="s">
        <v>258</v>
      </c>
    </row>
    <row r="14" spans="1:9" s="97" customFormat="1" x14ac:dyDescent="0.2">
      <c r="A14" s="96">
        <v>2</v>
      </c>
      <c r="B14" s="78" t="s">
        <v>274</v>
      </c>
      <c r="C14" s="100">
        <v>6</v>
      </c>
      <c r="D14" s="99"/>
      <c r="E14" s="100">
        <v>7</v>
      </c>
      <c r="F14" s="100">
        <v>7</v>
      </c>
      <c r="G14" s="101" t="s">
        <v>260</v>
      </c>
      <c r="H14" s="101" t="s">
        <v>275</v>
      </c>
      <c r="I14" s="100" t="s">
        <v>262</v>
      </c>
    </row>
    <row r="15" spans="1:9" s="97" customFormat="1" x14ac:dyDescent="0.2">
      <c r="A15" s="96">
        <v>3</v>
      </c>
      <c r="B15" s="78" t="s">
        <v>276</v>
      </c>
      <c r="C15" s="100">
        <v>0</v>
      </c>
      <c r="D15" s="103">
        <v>0</v>
      </c>
      <c r="E15" s="99"/>
      <c r="F15" s="100">
        <v>7</v>
      </c>
      <c r="G15" s="101" t="s">
        <v>268</v>
      </c>
      <c r="H15" s="104" t="s">
        <v>277</v>
      </c>
      <c r="I15" s="100" t="s">
        <v>270</v>
      </c>
    </row>
    <row r="16" spans="1:9" s="97" customFormat="1" x14ac:dyDescent="0.2">
      <c r="A16" s="96">
        <v>4</v>
      </c>
      <c r="B16" s="105" t="s">
        <v>278</v>
      </c>
      <c r="C16" s="100">
        <v>4</v>
      </c>
      <c r="D16" s="100">
        <v>3</v>
      </c>
      <c r="E16" s="100">
        <v>4</v>
      </c>
      <c r="F16" s="99"/>
      <c r="G16" s="101" t="s">
        <v>264</v>
      </c>
      <c r="H16" s="101" t="s">
        <v>279</v>
      </c>
      <c r="I16" s="100" t="s">
        <v>266</v>
      </c>
    </row>
    <row r="17" spans="1:8" s="97" customFormat="1" x14ac:dyDescent="0.2"/>
    <row r="18" spans="1:8" s="106" customFormat="1" x14ac:dyDescent="0.2">
      <c r="B18" s="107" t="s">
        <v>280</v>
      </c>
      <c r="C18" s="108" t="s">
        <v>281</v>
      </c>
      <c r="D18" s="108" t="s">
        <v>282</v>
      </c>
    </row>
    <row r="19" spans="1:8" s="106" customFormat="1" x14ac:dyDescent="0.2">
      <c r="B19" s="107" t="s">
        <v>283</v>
      </c>
      <c r="C19" s="108" t="s">
        <v>284</v>
      </c>
      <c r="D19" s="108" t="s">
        <v>285</v>
      </c>
    </row>
    <row r="20" spans="1:8" s="106" customFormat="1" x14ac:dyDescent="0.2">
      <c r="B20" s="107" t="s">
        <v>286</v>
      </c>
      <c r="C20" s="108" t="s">
        <v>268</v>
      </c>
      <c r="D20" s="108" t="s">
        <v>287</v>
      </c>
    </row>
    <row r="21" spans="1:8" s="97" customFormat="1" x14ac:dyDescent="0.2"/>
    <row r="22" spans="1:8" s="134" customFormat="1" x14ac:dyDescent="0.2">
      <c r="A22" s="153" t="s">
        <v>467</v>
      </c>
    </row>
    <row r="23" spans="1:8" s="134" customFormat="1" x14ac:dyDescent="0.2">
      <c r="A23" s="153"/>
    </row>
    <row r="24" spans="1:8" s="97" customFormat="1" x14ac:dyDescent="0.2">
      <c r="A24" s="109" t="s">
        <v>288</v>
      </c>
      <c r="B24" s="97" t="s">
        <v>255</v>
      </c>
      <c r="C24" s="110">
        <v>5</v>
      </c>
    </row>
    <row r="25" spans="1:8" s="97" customFormat="1" x14ac:dyDescent="0.2">
      <c r="A25" s="111"/>
      <c r="B25" s="112"/>
      <c r="C25" s="113" t="s">
        <v>274</v>
      </c>
      <c r="D25" s="114"/>
      <c r="F25" s="110">
        <v>7</v>
      </c>
    </row>
    <row r="26" spans="1:8" s="97" customFormat="1" x14ac:dyDescent="0.2">
      <c r="A26" s="111" t="s">
        <v>289</v>
      </c>
      <c r="B26" s="114" t="s">
        <v>274</v>
      </c>
      <c r="C26" s="115">
        <v>7</v>
      </c>
      <c r="E26" s="116"/>
    </row>
    <row r="27" spans="1:8" s="97" customFormat="1" ht="13.5" thickBot="1" x14ac:dyDescent="0.25">
      <c r="A27" s="111"/>
      <c r="D27" s="117"/>
      <c r="E27" s="118"/>
      <c r="G27" s="97" t="s">
        <v>274</v>
      </c>
    </row>
    <row r="28" spans="1:8" s="97" customFormat="1" x14ac:dyDescent="0.2">
      <c r="A28" s="111" t="s">
        <v>290</v>
      </c>
      <c r="B28" s="97" t="s">
        <v>272</v>
      </c>
      <c r="C28" s="119">
        <v>4</v>
      </c>
      <c r="E28" s="118"/>
      <c r="F28" s="120"/>
      <c r="G28" s="121" t="s">
        <v>664</v>
      </c>
      <c r="H28" s="122"/>
    </row>
    <row r="29" spans="1:8" s="97" customFormat="1" x14ac:dyDescent="0.2">
      <c r="A29" s="111"/>
      <c r="B29" s="112"/>
      <c r="C29" s="123" t="s">
        <v>259</v>
      </c>
      <c r="E29" s="124"/>
      <c r="F29" s="119">
        <v>6</v>
      </c>
    </row>
    <row r="30" spans="1:8" s="97" customFormat="1" ht="13.5" thickBot="1" x14ac:dyDescent="0.25">
      <c r="A30" s="111" t="s">
        <v>291</v>
      </c>
      <c r="B30" s="114" t="s">
        <v>259</v>
      </c>
      <c r="C30" s="125">
        <v>7</v>
      </c>
      <c r="D30" s="112"/>
      <c r="F30" s="117"/>
      <c r="G30" s="117" t="s">
        <v>259</v>
      </c>
      <c r="H30" s="126"/>
    </row>
    <row r="31" spans="1:8" s="97" customFormat="1" x14ac:dyDescent="0.2">
      <c r="A31" s="18"/>
      <c r="F31" s="117"/>
      <c r="G31" s="121" t="s">
        <v>665</v>
      </c>
      <c r="H31" s="117"/>
    </row>
    <row r="32" spans="1:8" s="97" customFormat="1" x14ac:dyDescent="0.2">
      <c r="A32" s="18"/>
      <c r="C32" s="97" t="s">
        <v>255</v>
      </c>
      <c r="F32" s="119">
        <v>7</v>
      </c>
      <c r="G32" s="117"/>
      <c r="H32" s="117"/>
    </row>
    <row r="33" spans="1:8" s="97" customFormat="1" ht="13.5" thickBot="1" x14ac:dyDescent="0.25">
      <c r="A33" s="18"/>
      <c r="C33" s="112"/>
      <c r="D33" s="112"/>
      <c r="E33" s="116"/>
      <c r="F33" s="126"/>
      <c r="G33" s="126" t="s">
        <v>255</v>
      </c>
      <c r="H33" s="126"/>
    </row>
    <row r="34" spans="1:8" s="97" customFormat="1" x14ac:dyDescent="0.2">
      <c r="A34" s="18"/>
      <c r="C34" s="114" t="s">
        <v>272</v>
      </c>
      <c r="D34" s="114"/>
      <c r="E34" s="124"/>
      <c r="F34" s="110">
        <v>3</v>
      </c>
      <c r="G34" s="127" t="s">
        <v>666</v>
      </c>
      <c r="H34" s="117"/>
    </row>
    <row r="35" spans="1:8" s="97" customFormat="1" x14ac:dyDescent="0.2">
      <c r="A35" s="18"/>
      <c r="G35" s="117"/>
      <c r="H35" s="117"/>
    </row>
    <row r="36" spans="1:8" s="97" customFormat="1" ht="13.5" thickBot="1" x14ac:dyDescent="0.25">
      <c r="A36" s="18"/>
      <c r="D36" s="117"/>
      <c r="E36" s="117"/>
      <c r="G36" s="126" t="s">
        <v>272</v>
      </c>
      <c r="H36" s="126"/>
    </row>
    <row r="37" spans="1:8" s="97" customFormat="1" x14ac:dyDescent="0.2">
      <c r="A37" s="18"/>
      <c r="D37" s="117"/>
      <c r="E37" s="117"/>
      <c r="G37" s="18" t="s">
        <v>292</v>
      </c>
    </row>
    <row r="38" spans="1:8" s="97" customFormat="1" x14ac:dyDescent="0.2">
      <c r="A38" s="127"/>
      <c r="B38" s="117"/>
      <c r="C38" s="128"/>
      <c r="D38" s="129"/>
      <c r="E38" s="129"/>
      <c r="F38" s="130"/>
      <c r="G38" s="129"/>
      <c r="H38" s="128"/>
    </row>
    <row r="39" spans="1:8" s="97" customFormat="1" x14ac:dyDescent="0.2">
      <c r="A39" s="153" t="s">
        <v>479</v>
      </c>
      <c r="D39" s="117"/>
      <c r="E39" s="117"/>
      <c r="G39" s="18"/>
    </row>
    <row r="40" spans="1:8" s="97" customFormat="1" x14ac:dyDescent="0.2">
      <c r="A40" s="18"/>
      <c r="D40" s="117"/>
      <c r="E40" s="117"/>
      <c r="G40" s="18"/>
    </row>
    <row r="41" spans="1:8" s="97" customFormat="1" x14ac:dyDescent="0.2">
      <c r="A41" s="109" t="s">
        <v>293</v>
      </c>
      <c r="B41" s="97" t="s">
        <v>267</v>
      </c>
      <c r="C41" s="110">
        <v>2</v>
      </c>
    </row>
    <row r="42" spans="1:8" s="97" customFormat="1" x14ac:dyDescent="0.2">
      <c r="A42" s="111"/>
      <c r="B42" s="112"/>
      <c r="C42" s="113" t="s">
        <v>278</v>
      </c>
      <c r="D42" s="114"/>
      <c r="E42" s="114"/>
      <c r="F42" s="110">
        <v>5</v>
      </c>
    </row>
    <row r="43" spans="1:8" s="97" customFormat="1" x14ac:dyDescent="0.2">
      <c r="A43" s="111" t="s">
        <v>294</v>
      </c>
      <c r="B43" s="114" t="s">
        <v>278</v>
      </c>
      <c r="C43" s="115">
        <v>7</v>
      </c>
      <c r="E43" s="118"/>
    </row>
    <row r="44" spans="1:8" s="97" customFormat="1" ht="13.5" thickBot="1" x14ac:dyDescent="0.25">
      <c r="A44" s="111"/>
      <c r="C44" s="117"/>
      <c r="E44" s="118"/>
      <c r="G44" s="97" t="s">
        <v>276</v>
      </c>
    </row>
    <row r="45" spans="1:8" s="97" customFormat="1" x14ac:dyDescent="0.2">
      <c r="A45" s="111" t="s">
        <v>295</v>
      </c>
      <c r="B45" s="97" t="s">
        <v>276</v>
      </c>
      <c r="C45" s="119">
        <v>7</v>
      </c>
      <c r="E45" s="118"/>
      <c r="F45" s="120"/>
      <c r="G45" s="121" t="s">
        <v>296</v>
      </c>
      <c r="H45" s="122"/>
    </row>
    <row r="46" spans="1:8" s="97" customFormat="1" x14ac:dyDescent="0.2">
      <c r="A46" s="111"/>
      <c r="B46" s="112"/>
      <c r="C46" s="123" t="s">
        <v>276</v>
      </c>
      <c r="E46" s="124"/>
      <c r="F46" s="119">
        <v>7</v>
      </c>
    </row>
    <row r="47" spans="1:8" s="97" customFormat="1" ht="13.5" thickBot="1" x14ac:dyDescent="0.25">
      <c r="A47" s="111" t="s">
        <v>297</v>
      </c>
      <c r="B47" s="114" t="s">
        <v>263</v>
      </c>
      <c r="C47" s="125">
        <v>6</v>
      </c>
      <c r="D47" s="112"/>
      <c r="F47" s="117"/>
      <c r="G47" s="117" t="s">
        <v>278</v>
      </c>
      <c r="H47" s="126"/>
    </row>
    <row r="48" spans="1:8" s="97" customFormat="1" x14ac:dyDescent="0.2">
      <c r="F48" s="117"/>
      <c r="G48" s="121" t="s">
        <v>298</v>
      </c>
      <c r="H48" s="117"/>
    </row>
    <row r="49" spans="1:8" s="97" customFormat="1" x14ac:dyDescent="0.2">
      <c r="C49" s="97" t="s">
        <v>267</v>
      </c>
      <c r="F49" s="119">
        <v>4</v>
      </c>
      <c r="G49" s="117"/>
      <c r="H49" s="117"/>
    </row>
    <row r="50" spans="1:8" s="97" customFormat="1" ht="13.5" thickBot="1" x14ac:dyDescent="0.25">
      <c r="C50" s="112"/>
      <c r="D50" s="112"/>
      <c r="E50" s="116"/>
      <c r="F50" s="126"/>
      <c r="G50" s="126" t="s">
        <v>263</v>
      </c>
      <c r="H50" s="126"/>
    </row>
    <row r="51" spans="1:8" s="97" customFormat="1" x14ac:dyDescent="0.2">
      <c r="C51" s="114" t="s">
        <v>263</v>
      </c>
      <c r="D51" s="114"/>
      <c r="E51" s="124"/>
      <c r="F51" s="110">
        <v>7</v>
      </c>
      <c r="G51" s="127" t="s">
        <v>299</v>
      </c>
      <c r="H51" s="117"/>
    </row>
    <row r="52" spans="1:8" s="97" customFormat="1" x14ac:dyDescent="0.2">
      <c r="G52" s="117"/>
      <c r="H52" s="117"/>
    </row>
    <row r="53" spans="1:8" s="97" customFormat="1" ht="13.5" thickBot="1" x14ac:dyDescent="0.25">
      <c r="D53" s="117"/>
      <c r="E53" s="117"/>
      <c r="G53" s="126" t="s">
        <v>267</v>
      </c>
      <c r="H53" s="126"/>
    </row>
    <row r="54" spans="1:8" s="97" customFormat="1" x14ac:dyDescent="0.2">
      <c r="D54" s="117"/>
      <c r="E54" s="117"/>
      <c r="G54" s="18" t="s">
        <v>300</v>
      </c>
    </row>
    <row r="55" spans="1:8" s="93" customFormat="1" x14ac:dyDescent="0.2"/>
    <row r="56" spans="1:8" s="93" customFormat="1" x14ac:dyDescent="0.2">
      <c r="A56" s="131">
        <v>1</v>
      </c>
      <c r="B56" s="334" t="s">
        <v>274</v>
      </c>
      <c r="C56" s="132"/>
      <c r="D56" s="133"/>
    </row>
    <row r="57" spans="1:8" s="93" customFormat="1" x14ac:dyDescent="0.2">
      <c r="A57" s="131">
        <v>2</v>
      </c>
      <c r="B57" s="335" t="s">
        <v>259</v>
      </c>
      <c r="C57" s="132"/>
      <c r="D57" s="133"/>
    </row>
    <row r="58" spans="1:8" s="93" customFormat="1" ht="12.75" customHeight="1" x14ac:dyDescent="0.2">
      <c r="A58" s="131">
        <v>3</v>
      </c>
      <c r="B58" s="336" t="s">
        <v>255</v>
      </c>
      <c r="C58" s="132"/>
      <c r="D58" s="133"/>
    </row>
    <row r="59" spans="1:8" s="93" customFormat="1" ht="12.75" customHeight="1" x14ac:dyDescent="0.2">
      <c r="A59" s="131">
        <v>4</v>
      </c>
      <c r="B59" s="105" t="s">
        <v>272</v>
      </c>
      <c r="C59" s="132"/>
      <c r="D59" s="133"/>
    </row>
    <row r="60" spans="1:8" s="93" customFormat="1" ht="12.75" customHeight="1" x14ac:dyDescent="0.2">
      <c r="A60" s="131">
        <v>5</v>
      </c>
      <c r="B60" s="78" t="s">
        <v>276</v>
      </c>
      <c r="C60" s="132"/>
      <c r="D60" s="133"/>
    </row>
    <row r="61" spans="1:8" s="93" customFormat="1" ht="12.75" customHeight="1" x14ac:dyDescent="0.2">
      <c r="A61" s="131">
        <v>6</v>
      </c>
      <c r="B61" s="105" t="s">
        <v>278</v>
      </c>
      <c r="C61" s="132"/>
      <c r="D61" s="133"/>
    </row>
    <row r="62" spans="1:8" s="93" customFormat="1" x14ac:dyDescent="0.2">
      <c r="A62" s="131">
        <v>7</v>
      </c>
      <c r="B62" s="105" t="s">
        <v>263</v>
      </c>
      <c r="C62" s="132"/>
      <c r="D62" s="133"/>
    </row>
    <row r="63" spans="1:8" s="93" customFormat="1" ht="12.75" customHeight="1" x14ac:dyDescent="0.2">
      <c r="A63" s="131">
        <v>8</v>
      </c>
      <c r="B63" s="105" t="s">
        <v>267</v>
      </c>
      <c r="C63" s="132"/>
      <c r="D63" s="133"/>
    </row>
  </sheetData>
  <conditionalFormatting sqref="C7:F51">
    <cfRule type="cellIs" dxfId="18" priority="1" operator="equal">
      <formula>7</formula>
    </cfRule>
  </conditionalFormatting>
  <pageMargins left="0.59055118110236227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37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5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G1" sqref="G1"/>
    </sheetView>
  </sheetViews>
  <sheetFormatPr defaultColWidth="9.42578125" defaultRowHeight="12.75" x14ac:dyDescent="0.2"/>
  <cols>
    <col min="1" max="1" width="3.28515625" style="20" customWidth="1"/>
    <col min="2" max="2" width="63.85546875" style="20" customWidth="1"/>
    <col min="3" max="7" width="6.7109375" style="20" customWidth="1"/>
    <col min="8" max="208" width="9.140625" style="20" customWidth="1"/>
    <col min="209" max="16384" width="9.42578125" style="20"/>
  </cols>
  <sheetData>
    <row r="1" spans="1:7" x14ac:dyDescent="0.2">
      <c r="A1" s="21" t="str">
        <f>UPPER((Kalend!E7)&amp;" - "&amp;(Kalend!C7)&amp;" - "&amp;(Kalend!D7))</f>
        <v>3 - K-JÄRVE 1. MV - TRIO</v>
      </c>
      <c r="C1" s="284" t="str">
        <f>HYPERLINK("#Kalend!J1","Kalender")</f>
        <v>Kalender</v>
      </c>
      <c r="D1" s="277"/>
      <c r="E1" s="284" t="str">
        <f>HYPERLINK("#Reit!J1","Reiting")</f>
        <v>Reiting</v>
      </c>
      <c r="F1" s="248"/>
      <c r="G1" s="248"/>
    </row>
    <row r="2" spans="1:7" x14ac:dyDescent="0.2">
      <c r="A2" s="93" t="str">
        <f>"Toimumisaeg: "&amp;(Kalend!A7)&amp;" kell "&amp;(Kalend!B7)</f>
        <v>Toimumisaeg: T, 28.05.2002 kell 18:00</v>
      </c>
      <c r="G2" s="93"/>
    </row>
    <row r="3" spans="1:7" x14ac:dyDescent="0.2">
      <c r="A3" s="93" t="str">
        <f>"Toimumiskoht: "&amp;(Kalend!F7)</f>
        <v>Toimumiskoht: K-Järve spordihoone tagune väljak</v>
      </c>
      <c r="G3" s="93"/>
    </row>
    <row r="4" spans="1:7" x14ac:dyDescent="0.2">
      <c r="A4" s="93" t="str">
        <f>"Korraldaja: "&amp;(Kalend!G7)</f>
        <v>Korraldaja: K-Järve SHK</v>
      </c>
      <c r="G4" s="93"/>
    </row>
    <row r="5" spans="1:7" s="134" customFormat="1" x14ac:dyDescent="0.2"/>
    <row r="6" spans="1:7" s="97" customFormat="1" x14ac:dyDescent="0.2">
      <c r="A6" s="96" t="s">
        <v>253</v>
      </c>
      <c r="B6" s="96"/>
      <c r="C6" s="87">
        <v>1</v>
      </c>
      <c r="D6" s="87">
        <v>2</v>
      </c>
      <c r="E6" s="87">
        <v>3</v>
      </c>
      <c r="F6" s="87" t="s">
        <v>254</v>
      </c>
      <c r="G6" s="87" t="s">
        <v>67</v>
      </c>
    </row>
    <row r="7" spans="1:7" s="97" customFormat="1" x14ac:dyDescent="0.2">
      <c r="A7" s="96">
        <v>1</v>
      </c>
      <c r="B7" s="14" t="s">
        <v>301</v>
      </c>
      <c r="C7" s="99"/>
      <c r="D7" s="87">
        <v>9</v>
      </c>
      <c r="E7" s="87">
        <v>9</v>
      </c>
      <c r="F7" s="101" t="s">
        <v>302</v>
      </c>
      <c r="G7" s="100" t="s">
        <v>258</v>
      </c>
    </row>
    <row r="8" spans="1:7" s="97" customFormat="1" x14ac:dyDescent="0.2">
      <c r="A8" s="96">
        <v>2</v>
      </c>
      <c r="B8" s="14" t="s">
        <v>303</v>
      </c>
      <c r="C8" s="100">
        <v>4</v>
      </c>
      <c r="D8" s="99"/>
      <c r="E8" s="100">
        <v>8</v>
      </c>
      <c r="F8" s="101" t="s">
        <v>304</v>
      </c>
      <c r="G8" s="100" t="s">
        <v>270</v>
      </c>
    </row>
    <row r="9" spans="1:7" s="97" customFormat="1" x14ac:dyDescent="0.2">
      <c r="A9" s="96">
        <v>3</v>
      </c>
      <c r="B9" s="135" t="s">
        <v>305</v>
      </c>
      <c r="C9" s="100">
        <v>1</v>
      </c>
      <c r="D9" s="144">
        <v>9</v>
      </c>
      <c r="E9" s="99"/>
      <c r="F9" s="101" t="s">
        <v>306</v>
      </c>
      <c r="G9" s="103" t="s">
        <v>262</v>
      </c>
    </row>
    <row r="10" spans="1:7" s="97" customFormat="1" x14ac:dyDescent="0.2"/>
    <row r="11" spans="1:7" s="97" customFormat="1" x14ac:dyDescent="0.2">
      <c r="A11" s="96" t="s">
        <v>271</v>
      </c>
      <c r="B11" s="96"/>
      <c r="C11" s="87">
        <v>1</v>
      </c>
      <c r="D11" s="87">
        <v>2</v>
      </c>
      <c r="E11" s="87">
        <v>3</v>
      </c>
      <c r="F11" s="87" t="s">
        <v>254</v>
      </c>
      <c r="G11" s="87" t="s">
        <v>67</v>
      </c>
    </row>
    <row r="12" spans="1:7" s="97" customFormat="1" x14ac:dyDescent="0.2">
      <c r="A12" s="96">
        <v>1</v>
      </c>
      <c r="B12" s="135" t="s">
        <v>307</v>
      </c>
      <c r="C12" s="99"/>
      <c r="D12" s="87">
        <v>9</v>
      </c>
      <c r="E12" s="87">
        <v>9</v>
      </c>
      <c r="F12" s="101" t="s">
        <v>302</v>
      </c>
      <c r="G12" s="100" t="s">
        <v>258</v>
      </c>
    </row>
    <row r="13" spans="1:7" s="97" customFormat="1" x14ac:dyDescent="0.2">
      <c r="A13" s="96">
        <v>2</v>
      </c>
      <c r="B13" s="135" t="s">
        <v>308</v>
      </c>
      <c r="C13" s="100">
        <v>5</v>
      </c>
      <c r="D13" s="99"/>
      <c r="E13" s="100">
        <v>4</v>
      </c>
      <c r="F13" s="101" t="s">
        <v>304</v>
      </c>
      <c r="G13" s="100" t="s">
        <v>270</v>
      </c>
    </row>
    <row r="14" spans="1:7" s="97" customFormat="1" x14ac:dyDescent="0.2">
      <c r="A14" s="96">
        <v>3</v>
      </c>
      <c r="B14" s="135" t="s">
        <v>309</v>
      </c>
      <c r="C14" s="100">
        <v>3</v>
      </c>
      <c r="D14" s="144">
        <v>9</v>
      </c>
      <c r="E14" s="99"/>
      <c r="F14" s="101" t="s">
        <v>306</v>
      </c>
      <c r="G14" s="103" t="s">
        <v>262</v>
      </c>
    </row>
    <row r="15" spans="1:7" s="97" customFormat="1" x14ac:dyDescent="0.2"/>
    <row r="16" spans="1:7" s="97" customFormat="1" x14ac:dyDescent="0.2">
      <c r="A16" s="96" t="s">
        <v>310</v>
      </c>
      <c r="B16" s="96"/>
      <c r="C16" s="87">
        <v>1</v>
      </c>
      <c r="D16" s="87">
        <v>2</v>
      </c>
      <c r="E16" s="87">
        <v>3</v>
      </c>
      <c r="F16" s="87" t="s">
        <v>254</v>
      </c>
      <c r="G16" s="87" t="s">
        <v>67</v>
      </c>
    </row>
    <row r="17" spans="1:8" s="97" customFormat="1" x14ac:dyDescent="0.2">
      <c r="A17" s="96">
        <v>1</v>
      </c>
      <c r="B17" s="135" t="s">
        <v>311</v>
      </c>
      <c r="C17" s="99"/>
      <c r="D17" s="87">
        <v>9</v>
      </c>
      <c r="E17" s="87">
        <v>9</v>
      </c>
      <c r="F17" s="101" t="s">
        <v>302</v>
      </c>
      <c r="G17" s="100" t="s">
        <v>258</v>
      </c>
    </row>
    <row r="18" spans="1:8" s="97" customFormat="1" x14ac:dyDescent="0.2">
      <c r="A18" s="96">
        <v>2</v>
      </c>
      <c r="B18" s="135" t="s">
        <v>312</v>
      </c>
      <c r="C18" s="100">
        <v>0</v>
      </c>
      <c r="D18" s="99"/>
      <c r="E18" s="100">
        <v>1</v>
      </c>
      <c r="F18" s="101" t="s">
        <v>304</v>
      </c>
      <c r="G18" s="100" t="s">
        <v>270</v>
      </c>
    </row>
    <row r="19" spans="1:8" s="97" customFormat="1" x14ac:dyDescent="0.2">
      <c r="A19" s="96">
        <v>3</v>
      </c>
      <c r="B19" s="14" t="s">
        <v>313</v>
      </c>
      <c r="C19" s="100">
        <v>6</v>
      </c>
      <c r="D19" s="144">
        <v>9</v>
      </c>
      <c r="E19" s="99"/>
      <c r="F19" s="101" t="s">
        <v>306</v>
      </c>
      <c r="G19" s="103" t="s">
        <v>262</v>
      </c>
    </row>
    <row r="20" spans="1:8" s="97" customFormat="1" x14ac:dyDescent="0.2"/>
    <row r="21" spans="1:8" s="97" customFormat="1" x14ac:dyDescent="0.2">
      <c r="A21" s="127"/>
      <c r="B21" s="136" t="s">
        <v>280</v>
      </c>
      <c r="C21" s="129" t="s">
        <v>284</v>
      </c>
      <c r="F21" s="130"/>
      <c r="G21" s="129"/>
      <c r="H21" s="128"/>
    </row>
    <row r="22" spans="1:8" s="97" customFormat="1" x14ac:dyDescent="0.2">
      <c r="A22" s="127"/>
      <c r="B22" s="136" t="s">
        <v>283</v>
      </c>
      <c r="C22" s="129" t="s">
        <v>282</v>
      </c>
      <c r="E22" s="129"/>
      <c r="F22" s="130"/>
      <c r="G22" s="129"/>
      <c r="H22" s="128"/>
    </row>
    <row r="23" spans="1:8" s="97" customFormat="1" x14ac:dyDescent="0.2">
      <c r="A23" s="127"/>
      <c r="B23" s="136" t="s">
        <v>286</v>
      </c>
      <c r="C23" s="129" t="s">
        <v>268</v>
      </c>
      <c r="E23" s="129"/>
      <c r="F23" s="130"/>
      <c r="G23" s="129"/>
      <c r="H23" s="128"/>
    </row>
    <row r="24" spans="1:8" s="97" customFormat="1" x14ac:dyDescent="0.2">
      <c r="B24" s="136"/>
      <c r="C24" s="129"/>
      <c r="D24" s="129"/>
    </row>
    <row r="25" spans="1:8" s="97" customFormat="1" x14ac:dyDescent="0.2">
      <c r="A25" s="137" t="s">
        <v>314</v>
      </c>
      <c r="B25" s="136"/>
      <c r="C25" s="129"/>
      <c r="D25" s="129"/>
    </row>
    <row r="26" spans="1:8" s="134" customFormat="1" x14ac:dyDescent="0.2">
      <c r="G26" s="138"/>
    </row>
    <row r="27" spans="1:8" s="97" customFormat="1" x14ac:dyDescent="0.2">
      <c r="A27" s="96"/>
      <c r="B27" s="96"/>
      <c r="C27" s="87">
        <v>1</v>
      </c>
      <c r="D27" s="87">
        <v>2</v>
      </c>
      <c r="E27" s="87">
        <v>3</v>
      </c>
      <c r="F27" s="87" t="s">
        <v>254</v>
      </c>
      <c r="G27" s="87" t="s">
        <v>67</v>
      </c>
    </row>
    <row r="28" spans="1:8" s="97" customFormat="1" x14ac:dyDescent="0.2">
      <c r="A28" s="96">
        <v>1</v>
      </c>
      <c r="B28" s="14" t="s">
        <v>301</v>
      </c>
      <c r="C28" s="99"/>
      <c r="D28" s="100">
        <v>4</v>
      </c>
      <c r="E28" s="100">
        <v>6</v>
      </c>
      <c r="F28" s="101" t="s">
        <v>304</v>
      </c>
      <c r="G28" s="100" t="s">
        <v>270</v>
      </c>
    </row>
    <row r="29" spans="1:8" s="97" customFormat="1" x14ac:dyDescent="0.2">
      <c r="A29" s="96">
        <v>2</v>
      </c>
      <c r="B29" s="135" t="s">
        <v>307</v>
      </c>
      <c r="C29" s="87">
        <v>9</v>
      </c>
      <c r="D29" s="99"/>
      <c r="E29" s="87">
        <v>9</v>
      </c>
      <c r="F29" s="101" t="s">
        <v>302</v>
      </c>
      <c r="G29" s="100" t="s">
        <v>258</v>
      </c>
    </row>
    <row r="30" spans="1:8" s="97" customFormat="1" x14ac:dyDescent="0.2">
      <c r="A30" s="96">
        <v>3</v>
      </c>
      <c r="B30" s="135" t="s">
        <v>311</v>
      </c>
      <c r="C30" s="87">
        <v>9</v>
      </c>
      <c r="D30" s="103">
        <v>3</v>
      </c>
      <c r="E30" s="99"/>
      <c r="F30" s="101" t="s">
        <v>306</v>
      </c>
      <c r="G30" s="103" t="s">
        <v>262</v>
      </c>
    </row>
    <row r="31" spans="1:8" s="97" customFormat="1" x14ac:dyDescent="0.2">
      <c r="A31" s="117"/>
      <c r="B31" s="117"/>
      <c r="C31" s="128"/>
      <c r="D31" s="180"/>
      <c r="E31" s="130"/>
      <c r="F31" s="129"/>
      <c r="G31" s="180"/>
    </row>
    <row r="32" spans="1:8" s="97" customFormat="1" x14ac:dyDescent="0.2">
      <c r="A32" s="146" t="s">
        <v>315</v>
      </c>
      <c r="B32" s="117"/>
      <c r="C32" s="128"/>
      <c r="D32" s="180"/>
      <c r="E32" s="130"/>
      <c r="F32" s="129"/>
      <c r="G32" s="180"/>
    </row>
    <row r="33" spans="1:7" s="97" customFormat="1" x14ac:dyDescent="0.2"/>
    <row r="34" spans="1:7" s="97" customFormat="1" x14ac:dyDescent="0.2">
      <c r="A34" s="96"/>
      <c r="B34" s="96"/>
      <c r="C34" s="87">
        <v>1</v>
      </c>
      <c r="D34" s="87">
        <v>2</v>
      </c>
      <c r="E34" s="87">
        <v>3</v>
      </c>
      <c r="F34" s="87" t="s">
        <v>254</v>
      </c>
      <c r="G34" s="87" t="s">
        <v>67</v>
      </c>
    </row>
    <row r="35" spans="1:7" s="97" customFormat="1" x14ac:dyDescent="0.2">
      <c r="A35" s="96">
        <v>1</v>
      </c>
      <c r="B35" s="135" t="s">
        <v>305</v>
      </c>
      <c r="C35" s="99"/>
      <c r="D35" s="100">
        <v>2</v>
      </c>
      <c r="E35" s="100">
        <v>2</v>
      </c>
      <c r="F35" s="101" t="s">
        <v>304</v>
      </c>
      <c r="G35" s="100" t="s">
        <v>270</v>
      </c>
    </row>
    <row r="36" spans="1:7" s="97" customFormat="1" x14ac:dyDescent="0.2">
      <c r="A36" s="96">
        <v>2</v>
      </c>
      <c r="B36" s="135" t="s">
        <v>309</v>
      </c>
      <c r="C36" s="100">
        <v>9</v>
      </c>
      <c r="D36" s="99"/>
      <c r="E36" s="100">
        <v>0</v>
      </c>
      <c r="F36" s="101" t="s">
        <v>306</v>
      </c>
      <c r="G36" s="100" t="s">
        <v>262</v>
      </c>
    </row>
    <row r="37" spans="1:7" s="97" customFormat="1" x14ac:dyDescent="0.2">
      <c r="A37" s="96">
        <v>3</v>
      </c>
      <c r="B37" s="14" t="s">
        <v>313</v>
      </c>
      <c r="C37" s="100">
        <v>9</v>
      </c>
      <c r="D37" s="103">
        <v>9</v>
      </c>
      <c r="E37" s="99"/>
      <c r="F37" s="101" t="s">
        <v>302</v>
      </c>
      <c r="G37" s="103" t="s">
        <v>258</v>
      </c>
    </row>
    <row r="38" spans="1:7" s="178" customFormat="1" x14ac:dyDescent="0.2">
      <c r="A38" s="232"/>
      <c r="B38" s="271"/>
      <c r="C38" s="130"/>
      <c r="D38" s="272"/>
      <c r="E38" s="130"/>
      <c r="F38" s="273"/>
      <c r="G38" s="272"/>
    </row>
    <row r="39" spans="1:7" s="178" customFormat="1" x14ac:dyDescent="0.2">
      <c r="A39" s="274" t="s">
        <v>316</v>
      </c>
      <c r="B39" s="271"/>
      <c r="C39" s="130"/>
      <c r="D39" s="272"/>
      <c r="E39" s="130"/>
      <c r="F39" s="273"/>
      <c r="G39" s="272"/>
    </row>
    <row r="40" spans="1:7" s="178" customFormat="1" x14ac:dyDescent="0.2"/>
    <row r="41" spans="1:7" s="97" customFormat="1" x14ac:dyDescent="0.2">
      <c r="A41" s="96"/>
      <c r="B41" s="96"/>
      <c r="C41" s="87">
        <v>1</v>
      </c>
      <c r="D41" s="87">
        <v>2</v>
      </c>
      <c r="E41" s="87">
        <v>3</v>
      </c>
      <c r="F41" s="87" t="s">
        <v>254</v>
      </c>
      <c r="G41" s="87" t="s">
        <v>67</v>
      </c>
    </row>
    <row r="42" spans="1:7" s="97" customFormat="1" x14ac:dyDescent="0.2">
      <c r="A42" s="96">
        <v>1</v>
      </c>
      <c r="B42" s="14" t="s">
        <v>303</v>
      </c>
      <c r="C42" s="99"/>
      <c r="D42" s="100">
        <v>6</v>
      </c>
      <c r="E42" s="100">
        <v>9</v>
      </c>
      <c r="F42" s="101" t="s">
        <v>306</v>
      </c>
      <c r="G42" s="100" t="s">
        <v>262</v>
      </c>
    </row>
    <row r="43" spans="1:7" s="97" customFormat="1" x14ac:dyDescent="0.2">
      <c r="A43" s="96">
        <v>2</v>
      </c>
      <c r="B43" s="135" t="s">
        <v>308</v>
      </c>
      <c r="C43" s="100">
        <v>9</v>
      </c>
      <c r="D43" s="99"/>
      <c r="E43" s="100">
        <v>9</v>
      </c>
      <c r="F43" s="101" t="s">
        <v>302</v>
      </c>
      <c r="G43" s="100" t="s">
        <v>258</v>
      </c>
    </row>
    <row r="44" spans="1:7" s="97" customFormat="1" x14ac:dyDescent="0.2">
      <c r="A44" s="96">
        <v>3</v>
      </c>
      <c r="B44" s="135" t="s">
        <v>312</v>
      </c>
      <c r="C44" s="100">
        <v>4</v>
      </c>
      <c r="D44" s="103">
        <v>5</v>
      </c>
      <c r="E44" s="99"/>
      <c r="F44" s="101" t="s">
        <v>304</v>
      </c>
      <c r="G44" s="103" t="s">
        <v>270</v>
      </c>
    </row>
    <row r="45" spans="1:7" s="97" customFormat="1" x14ac:dyDescent="0.2">
      <c r="A45" s="127"/>
      <c r="B45" s="117"/>
      <c r="C45" s="128"/>
      <c r="D45" s="180"/>
      <c r="E45" s="130"/>
      <c r="F45" s="129"/>
      <c r="G45" s="180"/>
    </row>
    <row r="46" spans="1:7" s="97" customFormat="1" x14ac:dyDescent="0.2"/>
    <row r="47" spans="1:7" s="93" customFormat="1" x14ac:dyDescent="0.2">
      <c r="A47" s="94">
        <v>1</v>
      </c>
      <c r="B47" s="334" t="s">
        <v>307</v>
      </c>
    </row>
    <row r="48" spans="1:7" s="93" customFormat="1" x14ac:dyDescent="0.2">
      <c r="A48" s="94">
        <v>2</v>
      </c>
      <c r="B48" s="335" t="s">
        <v>311</v>
      </c>
    </row>
    <row r="49" spans="1:2" s="93" customFormat="1" x14ac:dyDescent="0.2">
      <c r="A49" s="94">
        <v>3</v>
      </c>
      <c r="B49" s="336" t="s">
        <v>301</v>
      </c>
    </row>
    <row r="50" spans="1:2" s="93" customFormat="1" x14ac:dyDescent="0.2">
      <c r="A50" s="94">
        <v>4</v>
      </c>
      <c r="B50" s="14" t="s">
        <v>313</v>
      </c>
    </row>
    <row r="51" spans="1:2" s="93" customFormat="1" x14ac:dyDescent="0.2">
      <c r="A51" s="94">
        <v>5</v>
      </c>
      <c r="B51" s="135" t="s">
        <v>309</v>
      </c>
    </row>
    <row r="52" spans="1:2" s="93" customFormat="1" x14ac:dyDescent="0.2">
      <c r="A52" s="94">
        <v>6</v>
      </c>
      <c r="B52" s="135" t="s">
        <v>305</v>
      </c>
    </row>
    <row r="53" spans="1:2" s="93" customFormat="1" x14ac:dyDescent="0.2">
      <c r="A53" s="94">
        <v>7</v>
      </c>
      <c r="B53" s="135" t="s">
        <v>308</v>
      </c>
    </row>
    <row r="54" spans="1:2" x14ac:dyDescent="0.2">
      <c r="A54" s="94">
        <v>8</v>
      </c>
      <c r="B54" s="14" t="s">
        <v>303</v>
      </c>
    </row>
    <row r="55" spans="1:2" x14ac:dyDescent="0.2">
      <c r="A55" s="94">
        <v>9</v>
      </c>
      <c r="B55" s="135" t="s">
        <v>312</v>
      </c>
    </row>
  </sheetData>
  <conditionalFormatting sqref="C35:E44">
    <cfRule type="cellIs" dxfId="17" priority="1" operator="equal">
      <formula>9</formula>
    </cfRule>
  </conditionalFormatting>
  <pageMargins left="0.59055118110236227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80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J1" sqref="J1"/>
    </sheetView>
  </sheetViews>
  <sheetFormatPr defaultColWidth="9.42578125" defaultRowHeight="12.75" x14ac:dyDescent="0.2"/>
  <cols>
    <col min="1" max="1" width="3.28515625" style="20" customWidth="1"/>
    <col min="2" max="2" width="33.7109375" style="20" customWidth="1"/>
    <col min="3" max="9" width="6.7109375" style="20" customWidth="1"/>
    <col min="10" max="10" width="3.28515625" style="20" customWidth="1"/>
    <col min="11" max="11" width="3.85546875" style="20" customWidth="1"/>
    <col min="12" max="205" width="9.140625" style="20" customWidth="1"/>
    <col min="206" max="16384" width="9.42578125" style="20"/>
  </cols>
  <sheetData>
    <row r="1" spans="1:10" x14ac:dyDescent="0.2">
      <c r="A1" s="21" t="str">
        <f>UPPER((Kalend!E9)&amp;" - "&amp;(Kalend!C9)&amp;" - "&amp;(Kalend!D9))</f>
        <v>4 - K-JÄRVE 1. KV 1. ETAPP - ÜKSIK</v>
      </c>
      <c r="F1" s="284" t="str">
        <f>HYPERLINK("#Kalend!J1","Kalender")</f>
        <v>Kalender</v>
      </c>
      <c r="G1" s="277"/>
      <c r="H1" s="284" t="str">
        <f>HYPERLINK("#Reit!J1","Reiting")</f>
        <v>Reiting</v>
      </c>
      <c r="I1" s="248"/>
      <c r="J1" s="248"/>
    </row>
    <row r="2" spans="1:10" x14ac:dyDescent="0.2">
      <c r="A2" s="93" t="str">
        <f>"Toimumisaeg: "&amp;(Kalend!A9)&amp;" kell "&amp;(Kalend!B9)</f>
        <v>Toimumisaeg: T, 04.06.2002 kell 18:00</v>
      </c>
      <c r="G2" s="93"/>
    </row>
    <row r="3" spans="1:10" x14ac:dyDescent="0.2">
      <c r="A3" s="93" t="str">
        <f>"Toimumiskoht: "&amp;(Kalend!F9)</f>
        <v>Toimumiskoht: K-Järve spordihoone tagune väljak</v>
      </c>
      <c r="G3" s="93"/>
    </row>
    <row r="4" spans="1:10" x14ac:dyDescent="0.2">
      <c r="A4" s="93" t="str">
        <f>"Korraldaja: "&amp;(Kalend!G9)</f>
        <v>Korraldaja: K-Järve SHK</v>
      </c>
      <c r="G4" s="93"/>
    </row>
    <row r="5" spans="1:10" x14ac:dyDescent="0.2">
      <c r="A5" s="93"/>
      <c r="G5" s="93"/>
    </row>
    <row r="6" spans="1:10" x14ac:dyDescent="0.2">
      <c r="A6" s="139" t="s">
        <v>317</v>
      </c>
      <c r="G6" s="93"/>
    </row>
    <row r="7" spans="1:10" x14ac:dyDescent="0.2">
      <c r="A7" s="93"/>
      <c r="G7" s="93"/>
    </row>
    <row r="8" spans="1:10" s="97" customFormat="1" x14ac:dyDescent="0.2">
      <c r="A8" s="96" t="s">
        <v>253</v>
      </c>
      <c r="B8" s="96"/>
      <c r="C8" s="87">
        <v>1</v>
      </c>
      <c r="D8" s="87">
        <v>2</v>
      </c>
      <c r="E8" s="87">
        <v>3</v>
      </c>
      <c r="F8" s="87">
        <v>4</v>
      </c>
      <c r="G8" s="87">
        <v>5</v>
      </c>
      <c r="H8" s="87" t="s">
        <v>254</v>
      </c>
      <c r="I8" s="87" t="s">
        <v>67</v>
      </c>
    </row>
    <row r="9" spans="1:10" s="97" customFormat="1" x14ac:dyDescent="0.2">
      <c r="A9" s="96">
        <v>1</v>
      </c>
      <c r="B9" s="140" t="s">
        <v>318</v>
      </c>
      <c r="C9" s="141"/>
      <c r="D9" s="103">
        <v>3</v>
      </c>
      <c r="E9" s="144">
        <v>7</v>
      </c>
      <c r="F9" s="144">
        <v>7</v>
      </c>
      <c r="G9" s="144">
        <v>7</v>
      </c>
      <c r="H9" s="104" t="s">
        <v>319</v>
      </c>
      <c r="I9" s="103" t="s">
        <v>262</v>
      </c>
    </row>
    <row r="10" spans="1:10" s="97" customFormat="1" x14ac:dyDescent="0.2">
      <c r="A10" s="96">
        <v>2</v>
      </c>
      <c r="B10" s="140" t="s">
        <v>320</v>
      </c>
      <c r="C10" s="144">
        <v>7</v>
      </c>
      <c r="D10" s="141"/>
      <c r="E10" s="144">
        <v>7</v>
      </c>
      <c r="F10" s="144">
        <v>7</v>
      </c>
      <c r="G10" s="144">
        <v>7</v>
      </c>
      <c r="H10" s="104" t="s">
        <v>321</v>
      </c>
      <c r="I10" s="103" t="s">
        <v>258</v>
      </c>
    </row>
    <row r="11" spans="1:10" s="97" customFormat="1" x14ac:dyDescent="0.2">
      <c r="A11" s="96">
        <v>3</v>
      </c>
      <c r="B11" s="142" t="s">
        <v>131</v>
      </c>
      <c r="C11" s="103">
        <v>0</v>
      </c>
      <c r="D11" s="103">
        <v>5</v>
      </c>
      <c r="E11" s="141"/>
      <c r="F11" s="144">
        <v>7</v>
      </c>
      <c r="G11" s="103">
        <v>3</v>
      </c>
      <c r="H11" s="104" t="s">
        <v>284</v>
      </c>
      <c r="I11" s="103" t="s">
        <v>266</v>
      </c>
    </row>
    <row r="12" spans="1:10" s="97" customFormat="1" x14ac:dyDescent="0.2">
      <c r="A12" s="96">
        <v>4</v>
      </c>
      <c r="B12" s="142" t="s">
        <v>322</v>
      </c>
      <c r="C12" s="103">
        <v>0</v>
      </c>
      <c r="D12" s="103">
        <v>1</v>
      </c>
      <c r="E12" s="103">
        <v>4</v>
      </c>
      <c r="F12" s="141"/>
      <c r="G12" s="103">
        <v>4</v>
      </c>
      <c r="H12" s="104" t="s">
        <v>323</v>
      </c>
      <c r="I12" s="103" t="s">
        <v>324</v>
      </c>
    </row>
    <row r="13" spans="1:10" s="97" customFormat="1" x14ac:dyDescent="0.2">
      <c r="A13" s="96">
        <v>5</v>
      </c>
      <c r="B13" s="140" t="s">
        <v>325</v>
      </c>
      <c r="C13" s="103">
        <v>3</v>
      </c>
      <c r="D13" s="103">
        <v>6</v>
      </c>
      <c r="E13" s="144">
        <v>7</v>
      </c>
      <c r="F13" s="144">
        <v>7</v>
      </c>
      <c r="G13" s="141"/>
      <c r="H13" s="104" t="s">
        <v>326</v>
      </c>
      <c r="I13" s="103" t="s">
        <v>270</v>
      </c>
    </row>
    <row r="14" spans="1:10" s="97" customFormat="1" x14ac:dyDescent="0.2">
      <c r="B14" s="106"/>
      <c r="C14" s="106"/>
      <c r="D14" s="106"/>
      <c r="E14" s="106"/>
      <c r="F14" s="106"/>
      <c r="G14" s="106"/>
      <c r="H14" s="106"/>
      <c r="I14" s="106"/>
    </row>
    <row r="15" spans="1:10" s="97" customFormat="1" x14ac:dyDescent="0.2">
      <c r="A15" s="143" t="s">
        <v>271</v>
      </c>
      <c r="B15" s="143"/>
      <c r="C15" s="144">
        <v>1</v>
      </c>
      <c r="D15" s="144">
        <v>2</v>
      </c>
      <c r="E15" s="144">
        <v>3</v>
      </c>
      <c r="F15" s="144">
        <v>4</v>
      </c>
      <c r="G15" s="144">
        <v>5</v>
      </c>
      <c r="H15" s="144" t="s">
        <v>254</v>
      </c>
      <c r="I15" s="144" t="s">
        <v>67</v>
      </c>
    </row>
    <row r="16" spans="1:10" s="97" customFormat="1" x14ac:dyDescent="0.2">
      <c r="A16" s="143">
        <v>1</v>
      </c>
      <c r="B16" s="140" t="s">
        <v>327</v>
      </c>
      <c r="C16" s="141"/>
      <c r="D16" s="144">
        <v>7</v>
      </c>
      <c r="E16" s="144">
        <v>7</v>
      </c>
      <c r="F16" s="103">
        <v>5</v>
      </c>
      <c r="G16" s="144">
        <v>7</v>
      </c>
      <c r="H16" s="104" t="s">
        <v>319</v>
      </c>
      <c r="I16" s="103" t="s">
        <v>258</v>
      </c>
      <c r="J16" s="184"/>
    </row>
    <row r="17" spans="1:10" s="97" customFormat="1" x14ac:dyDescent="0.2">
      <c r="A17" s="143">
        <v>2</v>
      </c>
      <c r="B17" s="140" t="s">
        <v>110</v>
      </c>
      <c r="C17" s="103">
        <v>6</v>
      </c>
      <c r="D17" s="141"/>
      <c r="E17" s="103">
        <v>6</v>
      </c>
      <c r="F17" s="420">
        <v>7</v>
      </c>
      <c r="G17" s="420">
        <v>7</v>
      </c>
      <c r="H17" s="418" t="s">
        <v>326</v>
      </c>
      <c r="I17" s="103" t="s">
        <v>262</v>
      </c>
      <c r="J17" s="419" t="s">
        <v>676</v>
      </c>
    </row>
    <row r="18" spans="1:10" s="97" customFormat="1" x14ac:dyDescent="0.2">
      <c r="A18" s="143">
        <v>3</v>
      </c>
      <c r="B18" s="142" t="s">
        <v>132</v>
      </c>
      <c r="C18" s="103">
        <v>6</v>
      </c>
      <c r="D18" s="144">
        <v>7</v>
      </c>
      <c r="E18" s="141"/>
      <c r="F18" s="103">
        <v>3</v>
      </c>
      <c r="G18" s="103">
        <v>6</v>
      </c>
      <c r="H18" s="104" t="s">
        <v>284</v>
      </c>
      <c r="I18" s="103" t="s">
        <v>324</v>
      </c>
      <c r="J18" s="184"/>
    </row>
    <row r="19" spans="1:10" s="97" customFormat="1" x14ac:dyDescent="0.2">
      <c r="A19" s="143">
        <v>4</v>
      </c>
      <c r="B19" s="142" t="s">
        <v>328</v>
      </c>
      <c r="C19" s="144">
        <v>7</v>
      </c>
      <c r="D19" s="421">
        <v>2</v>
      </c>
      <c r="E19" s="144">
        <v>7</v>
      </c>
      <c r="F19" s="141"/>
      <c r="G19" s="421">
        <v>5</v>
      </c>
      <c r="H19" s="418" t="s">
        <v>326</v>
      </c>
      <c r="I19" s="103" t="s">
        <v>266</v>
      </c>
      <c r="J19" s="419" t="s">
        <v>677</v>
      </c>
    </row>
    <row r="20" spans="1:10" s="97" customFormat="1" x14ac:dyDescent="0.2">
      <c r="A20" s="143">
        <v>5</v>
      </c>
      <c r="B20" s="142" t="s">
        <v>329</v>
      </c>
      <c r="C20" s="103">
        <v>2</v>
      </c>
      <c r="D20" s="421">
        <v>2</v>
      </c>
      <c r="E20" s="144">
        <v>7</v>
      </c>
      <c r="F20" s="420">
        <v>7</v>
      </c>
      <c r="G20" s="141"/>
      <c r="H20" s="418" t="s">
        <v>326</v>
      </c>
      <c r="I20" s="103" t="s">
        <v>270</v>
      </c>
      <c r="J20" s="419" t="s">
        <v>678</v>
      </c>
    </row>
    <row r="21" spans="1:10" s="97" customFormat="1" x14ac:dyDescent="0.2">
      <c r="B21" s="106"/>
      <c r="C21" s="106"/>
      <c r="D21" s="106"/>
      <c r="E21" s="106"/>
      <c r="F21" s="106"/>
      <c r="G21" s="106"/>
      <c r="H21" s="106"/>
      <c r="I21" s="106"/>
    </row>
    <row r="22" spans="1:10" s="97" customFormat="1" x14ac:dyDescent="0.2">
      <c r="A22" s="96" t="s">
        <v>310</v>
      </c>
      <c r="B22" s="143"/>
      <c r="C22" s="144">
        <v>1</v>
      </c>
      <c r="D22" s="144">
        <v>2</v>
      </c>
      <c r="E22" s="144">
        <v>3</v>
      </c>
      <c r="F22" s="144">
        <v>4</v>
      </c>
      <c r="G22" s="144">
        <v>5</v>
      </c>
      <c r="H22" s="144" t="s">
        <v>254</v>
      </c>
      <c r="I22" s="144" t="s">
        <v>67</v>
      </c>
    </row>
    <row r="23" spans="1:10" s="97" customFormat="1" x14ac:dyDescent="0.2">
      <c r="A23" s="96">
        <v>1</v>
      </c>
      <c r="B23" s="140" t="s">
        <v>330</v>
      </c>
      <c r="C23" s="141"/>
      <c r="D23" s="420">
        <v>7</v>
      </c>
      <c r="E23" s="103">
        <v>5</v>
      </c>
      <c r="F23" s="421">
        <v>5</v>
      </c>
      <c r="G23" s="144">
        <v>7</v>
      </c>
      <c r="H23" s="418" t="s">
        <v>326</v>
      </c>
      <c r="I23" s="103" t="s">
        <v>262</v>
      </c>
      <c r="J23" s="422" t="s">
        <v>331</v>
      </c>
    </row>
    <row r="24" spans="1:10" s="97" customFormat="1" x14ac:dyDescent="0.2">
      <c r="A24" s="96">
        <v>2</v>
      </c>
      <c r="B24" s="142" t="s">
        <v>332</v>
      </c>
      <c r="C24" s="421">
        <v>2</v>
      </c>
      <c r="D24" s="141"/>
      <c r="E24" s="103">
        <v>5</v>
      </c>
      <c r="F24" s="420">
        <v>7</v>
      </c>
      <c r="G24" s="144">
        <v>7</v>
      </c>
      <c r="H24" s="418" t="s">
        <v>326</v>
      </c>
      <c r="I24" s="103" t="s">
        <v>266</v>
      </c>
      <c r="J24" s="422" t="s">
        <v>333</v>
      </c>
    </row>
    <row r="25" spans="1:10" s="97" customFormat="1" x14ac:dyDescent="0.2">
      <c r="A25" s="96">
        <v>3</v>
      </c>
      <c r="B25" s="140" t="s">
        <v>75</v>
      </c>
      <c r="C25" s="144">
        <v>7</v>
      </c>
      <c r="D25" s="144">
        <v>7</v>
      </c>
      <c r="E25" s="141"/>
      <c r="F25" s="144">
        <v>7</v>
      </c>
      <c r="G25" s="144">
        <v>7</v>
      </c>
      <c r="H25" s="104" t="s">
        <v>321</v>
      </c>
      <c r="I25" s="103" t="s">
        <v>258</v>
      </c>
      <c r="J25" s="228"/>
    </row>
    <row r="26" spans="1:10" s="97" customFormat="1" x14ac:dyDescent="0.2">
      <c r="A26" s="96">
        <v>4</v>
      </c>
      <c r="B26" s="140" t="s">
        <v>334</v>
      </c>
      <c r="C26" s="420">
        <v>7</v>
      </c>
      <c r="D26" s="421">
        <v>6</v>
      </c>
      <c r="E26" s="103">
        <v>5</v>
      </c>
      <c r="F26" s="141"/>
      <c r="G26" s="144">
        <v>7</v>
      </c>
      <c r="H26" s="418" t="s">
        <v>326</v>
      </c>
      <c r="I26" s="103" t="s">
        <v>270</v>
      </c>
      <c r="J26" s="422" t="s">
        <v>335</v>
      </c>
    </row>
    <row r="27" spans="1:10" s="97" customFormat="1" x14ac:dyDescent="0.2">
      <c r="A27" s="96">
        <v>5</v>
      </c>
      <c r="B27" s="142" t="s">
        <v>336</v>
      </c>
      <c r="C27" s="103">
        <v>2</v>
      </c>
      <c r="D27" s="103">
        <v>4</v>
      </c>
      <c r="E27" s="103">
        <v>0</v>
      </c>
      <c r="F27" s="103">
        <v>5</v>
      </c>
      <c r="G27" s="141"/>
      <c r="H27" s="104" t="s">
        <v>323</v>
      </c>
      <c r="I27" s="103" t="s">
        <v>324</v>
      </c>
      <c r="J27" s="145"/>
    </row>
    <row r="28" spans="1:10" s="97" customFormat="1" x14ac:dyDescent="0.2"/>
    <row r="29" spans="1:10" s="97" customFormat="1" x14ac:dyDescent="0.2">
      <c r="A29" s="96" t="s">
        <v>337</v>
      </c>
      <c r="B29" s="96"/>
      <c r="C29" s="87">
        <v>1</v>
      </c>
      <c r="D29" s="87">
        <v>2</v>
      </c>
      <c r="E29" s="87">
        <v>3</v>
      </c>
      <c r="F29" s="87">
        <v>4</v>
      </c>
      <c r="G29" s="87" t="s">
        <v>254</v>
      </c>
      <c r="H29" s="87" t="s">
        <v>67</v>
      </c>
    </row>
    <row r="30" spans="1:10" s="97" customFormat="1" x14ac:dyDescent="0.2">
      <c r="A30" s="96">
        <v>1</v>
      </c>
      <c r="B30" s="37" t="s">
        <v>338</v>
      </c>
      <c r="C30" s="99"/>
      <c r="D30" s="100">
        <v>1</v>
      </c>
      <c r="E30" s="87">
        <v>7</v>
      </c>
      <c r="F30" s="87">
        <v>7</v>
      </c>
      <c r="G30" s="101" t="s">
        <v>260</v>
      </c>
      <c r="H30" s="100" t="s">
        <v>262</v>
      </c>
    </row>
    <row r="31" spans="1:10" s="97" customFormat="1" x14ac:dyDescent="0.2">
      <c r="A31" s="96">
        <v>2</v>
      </c>
      <c r="B31" s="37" t="s">
        <v>339</v>
      </c>
      <c r="C31" s="87">
        <v>7</v>
      </c>
      <c r="D31" s="99"/>
      <c r="E31" s="87">
        <v>7</v>
      </c>
      <c r="F31" s="87">
        <v>7</v>
      </c>
      <c r="G31" s="101" t="s">
        <v>256</v>
      </c>
      <c r="H31" s="100" t="s">
        <v>258</v>
      </c>
    </row>
    <row r="32" spans="1:10" s="97" customFormat="1" x14ac:dyDescent="0.2">
      <c r="A32" s="96">
        <v>3</v>
      </c>
      <c r="B32" s="11" t="s">
        <v>118</v>
      </c>
      <c r="C32" s="100">
        <v>2</v>
      </c>
      <c r="D32" s="103">
        <v>3</v>
      </c>
      <c r="E32" s="99"/>
      <c r="F32" s="100">
        <v>5</v>
      </c>
      <c r="G32" s="101" t="s">
        <v>264</v>
      </c>
      <c r="H32" s="103" t="s">
        <v>266</v>
      </c>
    </row>
    <row r="33" spans="1:11" s="97" customFormat="1" x14ac:dyDescent="0.2">
      <c r="A33" s="96">
        <v>4</v>
      </c>
      <c r="B33" s="37" t="s">
        <v>340</v>
      </c>
      <c r="C33" s="100">
        <v>3</v>
      </c>
      <c r="D33" s="100">
        <v>0</v>
      </c>
      <c r="E33" s="87">
        <v>7</v>
      </c>
      <c r="F33" s="99"/>
      <c r="G33" s="101" t="s">
        <v>268</v>
      </c>
      <c r="H33" s="100" t="s">
        <v>270</v>
      </c>
    </row>
    <row r="34" spans="1:11" s="97" customFormat="1" x14ac:dyDescent="0.2">
      <c r="A34" s="127"/>
      <c r="B34" s="117"/>
      <c r="C34" s="128"/>
      <c r="D34" s="128"/>
      <c r="E34" s="128"/>
      <c r="F34" s="130"/>
      <c r="G34" s="129"/>
      <c r="H34" s="128"/>
    </row>
    <row r="35" spans="1:11" s="97" customFormat="1" x14ac:dyDescent="0.2">
      <c r="A35" s="127"/>
      <c r="B35" s="136" t="s">
        <v>280</v>
      </c>
      <c r="C35" s="129" t="s">
        <v>341</v>
      </c>
      <c r="D35" s="129" t="s">
        <v>285</v>
      </c>
      <c r="F35" s="117"/>
      <c r="G35" s="130"/>
      <c r="H35" s="117"/>
      <c r="I35" s="117"/>
    </row>
    <row r="36" spans="1:11" s="97" customFormat="1" x14ac:dyDescent="0.2">
      <c r="A36" s="127"/>
      <c r="B36" s="136" t="s">
        <v>283</v>
      </c>
      <c r="C36" s="129" t="s">
        <v>284</v>
      </c>
      <c r="D36" s="129" t="s">
        <v>342</v>
      </c>
      <c r="F36" s="117"/>
      <c r="G36" s="130"/>
      <c r="H36" s="117"/>
      <c r="I36" s="117"/>
    </row>
    <row r="37" spans="1:11" s="97" customFormat="1" x14ac:dyDescent="0.2">
      <c r="A37" s="127"/>
      <c r="B37" s="136" t="s">
        <v>286</v>
      </c>
      <c r="C37" s="129" t="s">
        <v>343</v>
      </c>
      <c r="D37" s="129" t="s">
        <v>287</v>
      </c>
      <c r="F37" s="117"/>
      <c r="G37" s="130"/>
      <c r="H37" s="117"/>
      <c r="I37" s="117"/>
    </row>
    <row r="38" spans="1:11" s="97" customFormat="1" x14ac:dyDescent="0.2">
      <c r="A38" s="127"/>
      <c r="B38" s="136" t="s">
        <v>344</v>
      </c>
      <c r="C38" s="129" t="s">
        <v>260</v>
      </c>
      <c r="D38" s="129" t="s">
        <v>345</v>
      </c>
      <c r="F38" s="117"/>
      <c r="G38" s="130"/>
      <c r="H38" s="117"/>
      <c r="I38" s="117"/>
    </row>
    <row r="39" spans="1:11" s="97" customFormat="1" x14ac:dyDescent="0.2">
      <c r="A39" s="127"/>
      <c r="B39" s="136" t="s">
        <v>346</v>
      </c>
      <c r="C39" s="129" t="s">
        <v>282</v>
      </c>
      <c r="D39" s="129" t="s">
        <v>281</v>
      </c>
      <c r="F39" s="117"/>
      <c r="G39" s="130"/>
      <c r="H39" s="117"/>
      <c r="I39" s="117"/>
    </row>
    <row r="40" spans="1:11" s="97" customFormat="1" x14ac:dyDescent="0.2">
      <c r="A40" s="127"/>
      <c r="B40" s="136"/>
      <c r="C40" s="129"/>
      <c r="D40" s="129"/>
      <c r="F40" s="117"/>
      <c r="G40" s="130"/>
      <c r="H40" s="117"/>
      <c r="I40" s="117"/>
    </row>
    <row r="41" spans="1:11" s="97" customFormat="1" x14ac:dyDescent="0.2">
      <c r="A41" s="146" t="s">
        <v>347</v>
      </c>
      <c r="B41" s="136"/>
      <c r="C41" s="129"/>
      <c r="D41" s="129"/>
      <c r="F41" s="117"/>
      <c r="G41" s="130"/>
      <c r="H41" s="117"/>
      <c r="I41" s="117"/>
    </row>
    <row r="42" spans="1:11" s="97" customFormat="1" x14ac:dyDescent="0.2">
      <c r="A42" s="127"/>
      <c r="B42" s="136"/>
      <c r="C42" s="129"/>
      <c r="D42" s="129"/>
      <c r="F42" s="117"/>
      <c r="G42" s="130"/>
      <c r="H42" s="117"/>
      <c r="I42" s="117"/>
    </row>
    <row r="43" spans="1:11" s="97" customFormat="1" x14ac:dyDescent="0.2">
      <c r="A43" s="147"/>
      <c r="B43" s="96"/>
      <c r="C43" s="87">
        <v>1</v>
      </c>
      <c r="D43" s="87">
        <v>2</v>
      </c>
      <c r="E43" s="87">
        <v>3</v>
      </c>
      <c r="F43" s="87">
        <v>4</v>
      </c>
      <c r="G43" s="87" t="s">
        <v>254</v>
      </c>
      <c r="H43" s="87" t="s">
        <v>67</v>
      </c>
      <c r="I43" s="117"/>
    </row>
    <row r="44" spans="1:11" s="97" customFormat="1" x14ac:dyDescent="0.2">
      <c r="A44" s="96">
        <v>1</v>
      </c>
      <c r="B44" s="37" t="s">
        <v>348</v>
      </c>
      <c r="C44" s="99"/>
      <c r="D44" s="100">
        <v>7</v>
      </c>
      <c r="E44" s="426">
        <v>5</v>
      </c>
      <c r="F44" s="100">
        <v>7</v>
      </c>
      <c r="G44" s="425" t="s">
        <v>260</v>
      </c>
      <c r="H44" s="100" t="s">
        <v>262</v>
      </c>
      <c r="I44" s="427" t="s">
        <v>667</v>
      </c>
      <c r="J44" s="429" t="s">
        <v>665</v>
      </c>
      <c r="K44" s="382"/>
    </row>
    <row r="45" spans="1:11" s="97" customFormat="1" x14ac:dyDescent="0.2">
      <c r="A45" s="96">
        <v>2</v>
      </c>
      <c r="B45" s="140" t="s">
        <v>327</v>
      </c>
      <c r="C45" s="100">
        <v>5</v>
      </c>
      <c r="D45" s="99"/>
      <c r="E45" s="100">
        <v>7</v>
      </c>
      <c r="F45" s="424">
        <v>2</v>
      </c>
      <c r="G45" s="423" t="s">
        <v>268</v>
      </c>
      <c r="H45" s="100" t="s">
        <v>266</v>
      </c>
      <c r="I45" s="428" t="s">
        <v>667</v>
      </c>
      <c r="J45" s="429" t="s">
        <v>292</v>
      </c>
      <c r="K45" s="382"/>
    </row>
    <row r="46" spans="1:11" s="97" customFormat="1" x14ac:dyDescent="0.2">
      <c r="A46" s="96">
        <v>3</v>
      </c>
      <c r="B46" s="37" t="s">
        <v>75</v>
      </c>
      <c r="C46" s="426">
        <v>7</v>
      </c>
      <c r="D46" s="103">
        <v>5</v>
      </c>
      <c r="E46" s="99"/>
      <c r="F46" s="100">
        <v>7</v>
      </c>
      <c r="G46" s="425" t="s">
        <v>260</v>
      </c>
      <c r="H46" s="103" t="s">
        <v>258</v>
      </c>
      <c r="I46" s="427" t="s">
        <v>668</v>
      </c>
      <c r="J46" s="429" t="s">
        <v>664</v>
      </c>
      <c r="K46" s="382"/>
    </row>
    <row r="47" spans="1:11" s="97" customFormat="1" x14ac:dyDescent="0.2">
      <c r="A47" s="96">
        <v>4</v>
      </c>
      <c r="B47" s="37" t="s">
        <v>339</v>
      </c>
      <c r="C47" s="100">
        <v>5</v>
      </c>
      <c r="D47" s="424">
        <v>7</v>
      </c>
      <c r="E47" s="100">
        <v>6</v>
      </c>
      <c r="F47" s="99"/>
      <c r="G47" s="423" t="s">
        <v>268</v>
      </c>
      <c r="H47" s="100" t="s">
        <v>270</v>
      </c>
      <c r="I47" s="428" t="s">
        <v>668</v>
      </c>
      <c r="J47" s="429" t="s">
        <v>666</v>
      </c>
      <c r="K47" s="382"/>
    </row>
    <row r="48" spans="1:11" s="178" customFormat="1" x14ac:dyDescent="0.2">
      <c r="A48" s="232"/>
      <c r="B48" s="276"/>
      <c r="C48" s="130"/>
      <c r="D48" s="130"/>
      <c r="E48" s="130"/>
      <c r="F48" s="130"/>
      <c r="G48" s="273"/>
      <c r="H48" s="130"/>
      <c r="I48" s="232"/>
      <c r="K48" s="386"/>
    </row>
    <row r="49" spans="1:11" s="178" customFormat="1" x14ac:dyDescent="0.2">
      <c r="A49" s="274" t="s">
        <v>349</v>
      </c>
      <c r="B49" s="276"/>
      <c r="C49" s="130"/>
      <c r="D49" s="130"/>
      <c r="E49" s="130"/>
      <c r="F49" s="130"/>
      <c r="G49" s="273"/>
      <c r="H49" s="130"/>
      <c r="I49" s="232"/>
      <c r="K49" s="386"/>
    </row>
    <row r="50" spans="1:11" s="97" customFormat="1" x14ac:dyDescent="0.2">
      <c r="A50" s="127"/>
      <c r="B50" s="136"/>
      <c r="C50" s="129"/>
      <c r="D50" s="129"/>
      <c r="F50" s="117"/>
      <c r="G50" s="130"/>
      <c r="H50" s="117"/>
      <c r="I50" s="117"/>
      <c r="K50" s="387"/>
    </row>
    <row r="51" spans="1:11" s="97" customFormat="1" x14ac:dyDescent="0.2">
      <c r="A51" s="147"/>
      <c r="B51" s="96"/>
      <c r="C51" s="87">
        <v>1</v>
      </c>
      <c r="D51" s="87">
        <v>2</v>
      </c>
      <c r="E51" s="87">
        <v>3</v>
      </c>
      <c r="F51" s="87">
        <v>4</v>
      </c>
      <c r="G51" s="87" t="s">
        <v>254</v>
      </c>
      <c r="H51" s="87" t="s">
        <v>67</v>
      </c>
      <c r="I51" s="117"/>
      <c r="K51" s="387"/>
    </row>
    <row r="52" spans="1:11" s="97" customFormat="1" x14ac:dyDescent="0.2">
      <c r="A52" s="96">
        <v>1</v>
      </c>
      <c r="B52" s="37" t="s">
        <v>318</v>
      </c>
      <c r="C52" s="99"/>
      <c r="D52" s="100">
        <v>7</v>
      </c>
      <c r="E52" s="100">
        <v>4</v>
      </c>
      <c r="F52" s="426">
        <v>7</v>
      </c>
      <c r="G52" s="425" t="s">
        <v>260</v>
      </c>
      <c r="H52" s="100" t="s">
        <v>258</v>
      </c>
      <c r="I52" s="427" t="s">
        <v>668</v>
      </c>
      <c r="K52" s="111" t="s">
        <v>296</v>
      </c>
    </row>
    <row r="53" spans="1:11" s="97" customFormat="1" x14ac:dyDescent="0.2">
      <c r="A53" s="96">
        <v>2</v>
      </c>
      <c r="B53" s="140" t="s">
        <v>110</v>
      </c>
      <c r="C53" s="100">
        <v>4</v>
      </c>
      <c r="D53" s="99"/>
      <c r="E53" s="424">
        <v>7</v>
      </c>
      <c r="F53" s="100">
        <v>6</v>
      </c>
      <c r="G53" s="423" t="s">
        <v>268</v>
      </c>
      <c r="H53" s="100" t="s">
        <v>270</v>
      </c>
      <c r="I53" s="428" t="s">
        <v>668</v>
      </c>
      <c r="K53" s="111" t="s">
        <v>299</v>
      </c>
    </row>
    <row r="54" spans="1:11" s="97" customFormat="1" x14ac:dyDescent="0.2">
      <c r="A54" s="96">
        <v>3</v>
      </c>
      <c r="B54" s="37" t="s">
        <v>330</v>
      </c>
      <c r="C54" s="100">
        <v>7</v>
      </c>
      <c r="D54" s="421">
        <v>1</v>
      </c>
      <c r="E54" s="99"/>
      <c r="F54" s="100">
        <v>6</v>
      </c>
      <c r="G54" s="423" t="s">
        <v>268</v>
      </c>
      <c r="H54" s="103" t="s">
        <v>266</v>
      </c>
      <c r="I54" s="428" t="s">
        <v>667</v>
      </c>
      <c r="K54" s="111" t="s">
        <v>300</v>
      </c>
    </row>
    <row r="55" spans="1:11" s="97" customFormat="1" x14ac:dyDescent="0.2">
      <c r="A55" s="96">
        <v>4</v>
      </c>
      <c r="B55" s="37" t="s">
        <v>338</v>
      </c>
      <c r="C55" s="426">
        <v>4</v>
      </c>
      <c r="D55" s="100">
        <v>7</v>
      </c>
      <c r="E55" s="100">
        <v>7</v>
      </c>
      <c r="F55" s="99"/>
      <c r="G55" s="425" t="s">
        <v>260</v>
      </c>
      <c r="H55" s="100" t="s">
        <v>262</v>
      </c>
      <c r="I55" s="427" t="s">
        <v>667</v>
      </c>
      <c r="K55" s="111" t="s">
        <v>298</v>
      </c>
    </row>
    <row r="56" spans="1:11" s="97" customFormat="1" x14ac:dyDescent="0.2">
      <c r="A56" s="127"/>
      <c r="B56" s="148"/>
      <c r="C56" s="128"/>
      <c r="D56" s="128"/>
      <c r="E56" s="128"/>
      <c r="F56" s="130"/>
      <c r="G56" s="129"/>
      <c r="H56" s="128"/>
      <c r="I56" s="117"/>
    </row>
    <row r="57" spans="1:11" x14ac:dyDescent="0.2">
      <c r="A57" s="277" t="s">
        <v>649</v>
      </c>
      <c r="G57" s="93"/>
    </row>
    <row r="58" spans="1:11" s="248" customFormat="1" x14ac:dyDescent="0.2">
      <c r="A58" s="277" t="s">
        <v>648</v>
      </c>
      <c r="G58" s="93"/>
    </row>
    <row r="59" spans="1:11" x14ac:dyDescent="0.2">
      <c r="A59" s="277" t="s">
        <v>646</v>
      </c>
      <c r="G59" s="93"/>
    </row>
    <row r="60" spans="1:11" x14ac:dyDescent="0.2">
      <c r="A60" s="93" t="s">
        <v>647</v>
      </c>
      <c r="G60" s="93"/>
    </row>
    <row r="61" spans="1:11" x14ac:dyDescent="0.2">
      <c r="A61" s="93"/>
      <c r="G61" s="93"/>
    </row>
    <row r="62" spans="1:11" s="93" customFormat="1" x14ac:dyDescent="0.2">
      <c r="A62" s="149">
        <v>1</v>
      </c>
      <c r="B62" s="334" t="s">
        <v>75</v>
      </c>
    </row>
    <row r="63" spans="1:11" s="93" customFormat="1" x14ac:dyDescent="0.2">
      <c r="A63" s="149">
        <v>2</v>
      </c>
      <c r="B63" s="335" t="s">
        <v>348</v>
      </c>
    </row>
    <row r="64" spans="1:11" s="93" customFormat="1" x14ac:dyDescent="0.2">
      <c r="A64" s="149">
        <v>3</v>
      </c>
      <c r="B64" s="336" t="s">
        <v>339</v>
      </c>
    </row>
    <row r="65" spans="1:2" s="93" customFormat="1" x14ac:dyDescent="0.2">
      <c r="A65" s="149">
        <v>4</v>
      </c>
      <c r="B65" s="37" t="s">
        <v>327</v>
      </c>
    </row>
    <row r="66" spans="1:2" s="93" customFormat="1" x14ac:dyDescent="0.2">
      <c r="A66" s="149">
        <v>5</v>
      </c>
      <c r="B66" s="37" t="s">
        <v>318</v>
      </c>
    </row>
    <row r="67" spans="1:2" s="93" customFormat="1" x14ac:dyDescent="0.2">
      <c r="A67" s="149">
        <v>6</v>
      </c>
      <c r="B67" s="37" t="s">
        <v>338</v>
      </c>
    </row>
    <row r="68" spans="1:2" s="93" customFormat="1" x14ac:dyDescent="0.2">
      <c r="A68" s="149">
        <v>7</v>
      </c>
      <c r="B68" s="37" t="s">
        <v>110</v>
      </c>
    </row>
    <row r="69" spans="1:2" x14ac:dyDescent="0.2">
      <c r="A69" s="149">
        <v>8</v>
      </c>
      <c r="B69" s="37" t="s">
        <v>330</v>
      </c>
    </row>
    <row r="70" spans="1:2" x14ac:dyDescent="0.2">
      <c r="A70" s="149">
        <v>9</v>
      </c>
      <c r="B70" s="37" t="s">
        <v>325</v>
      </c>
    </row>
    <row r="71" spans="1:2" x14ac:dyDescent="0.2">
      <c r="A71" s="149">
        <v>10</v>
      </c>
      <c r="B71" s="37" t="s">
        <v>334</v>
      </c>
    </row>
    <row r="72" spans="1:2" x14ac:dyDescent="0.2">
      <c r="A72" s="149">
        <v>11</v>
      </c>
      <c r="B72" s="37" t="s">
        <v>340</v>
      </c>
    </row>
    <row r="73" spans="1:2" x14ac:dyDescent="0.2">
      <c r="A73" s="149">
        <v>12</v>
      </c>
      <c r="B73" s="11" t="s">
        <v>329</v>
      </c>
    </row>
    <row r="74" spans="1:2" x14ac:dyDescent="0.2">
      <c r="A74" s="149">
        <v>13</v>
      </c>
      <c r="B74" s="11" t="s">
        <v>131</v>
      </c>
    </row>
    <row r="75" spans="1:2" x14ac:dyDescent="0.2">
      <c r="A75" s="149">
        <v>14</v>
      </c>
      <c r="B75" s="11" t="s">
        <v>332</v>
      </c>
    </row>
    <row r="76" spans="1:2" x14ac:dyDescent="0.2">
      <c r="A76" s="149">
        <v>15</v>
      </c>
      <c r="B76" s="11" t="s">
        <v>118</v>
      </c>
    </row>
    <row r="77" spans="1:2" x14ac:dyDescent="0.2">
      <c r="A77" s="149">
        <v>16</v>
      </c>
      <c r="B77" s="11" t="s">
        <v>328</v>
      </c>
    </row>
    <row r="78" spans="1:2" x14ac:dyDescent="0.2">
      <c r="A78" s="149">
        <v>17</v>
      </c>
      <c r="B78" s="11" t="s">
        <v>322</v>
      </c>
    </row>
    <row r="79" spans="1:2" x14ac:dyDescent="0.2">
      <c r="A79" s="149">
        <v>18</v>
      </c>
      <c r="B79" s="11" t="s">
        <v>336</v>
      </c>
    </row>
    <row r="80" spans="1:2" x14ac:dyDescent="0.2">
      <c r="A80" s="149">
        <v>19</v>
      </c>
      <c r="B80" s="11" t="s">
        <v>132</v>
      </c>
    </row>
  </sheetData>
  <conditionalFormatting sqref="C44:F55">
    <cfRule type="cellIs" dxfId="16" priority="1" operator="equal">
      <formula>7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  <rowBreaks count="1" manualBreakCount="1">
    <brk id="39" max="16383" man="1"/>
  </rowBreaks>
  <ignoredErrors>
    <ignoredError sqref="J23:J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1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ColWidth="9.42578125" defaultRowHeight="12.75" x14ac:dyDescent="0.2"/>
  <cols>
    <col min="1" max="1" width="3.28515625" style="20" customWidth="1"/>
    <col min="2" max="2" width="34.42578125" style="20" bestFit="1" customWidth="1"/>
    <col min="3" max="197" width="9.140625" style="20" customWidth="1"/>
    <col min="198" max="16384" width="9.42578125" style="20"/>
  </cols>
  <sheetData>
    <row r="1" spans="1:10" x14ac:dyDescent="0.2">
      <c r="A1" s="21" t="str">
        <f>UPPER((Kalend!E10)&amp;" - "&amp;(Kalend!C10)&amp;" - "&amp;(Kalend!D10))</f>
        <v>5 - JÕHVI PETANGITEISIPÄEVAKUTE 1. ETAPP - ÜKSIK</v>
      </c>
      <c r="E1" s="284" t="str">
        <f>HYPERLINK("#Kalend!J1","Kalender")</f>
        <v>Kalender</v>
      </c>
      <c r="F1" s="277"/>
      <c r="G1" s="284" t="str">
        <f>HYPERLINK("#Reit!J1","Reiting")</f>
        <v>Reiting</v>
      </c>
      <c r="H1" s="248"/>
      <c r="J1" s="248"/>
    </row>
    <row r="2" spans="1:10" x14ac:dyDescent="0.2">
      <c r="A2" s="93" t="str">
        <f>"Toimumisaeg: "&amp;(Kalend!A10)&amp;" kell "&amp;(Kalend!B10)</f>
        <v>Toimumisaeg: T, 11.06.2002 kell 18:00</v>
      </c>
    </row>
    <row r="3" spans="1:10" x14ac:dyDescent="0.2">
      <c r="A3" s="93" t="str">
        <f>"Toimumiskoht: "&amp;(Kalend!F10)</f>
        <v>Toimumiskoht: Jõhvi erakooli staadion (Jaama 37)</v>
      </c>
    </row>
    <row r="4" spans="1:10" x14ac:dyDescent="0.2">
      <c r="A4" s="93" t="str">
        <f>"Korraldaja: "&amp;(Kalend!G10)</f>
        <v>Korraldaja: LTK Üks-Teist</v>
      </c>
    </row>
    <row r="5" spans="1:10" s="134" customFormat="1" x14ac:dyDescent="0.2"/>
    <row r="6" spans="1:10" s="134" customFormat="1" x14ac:dyDescent="0.2">
      <c r="A6" s="150" t="s">
        <v>350</v>
      </c>
    </row>
    <row r="7" spans="1:10" s="134" customFormat="1" x14ac:dyDescent="0.2">
      <c r="A7" s="150" t="s">
        <v>351</v>
      </c>
    </row>
    <row r="8" spans="1:10" s="93" customFormat="1" x14ac:dyDescent="0.2"/>
    <row r="9" spans="1:10" s="93" customFormat="1" x14ac:dyDescent="0.2">
      <c r="A9" s="137" t="s">
        <v>352</v>
      </c>
    </row>
    <row r="10" spans="1:10" s="93" customFormat="1" x14ac:dyDescent="0.2">
      <c r="A10" s="137"/>
    </row>
    <row r="11" spans="1:10" s="93" customFormat="1" x14ac:dyDescent="0.2">
      <c r="A11" s="137"/>
      <c r="B11" s="97" t="s">
        <v>353</v>
      </c>
      <c r="C11" s="110">
        <v>7</v>
      </c>
      <c r="D11" s="97"/>
      <c r="E11" s="97"/>
    </row>
    <row r="12" spans="1:10" s="93" customFormat="1" ht="13.5" thickBot="1" x14ac:dyDescent="0.25">
      <c r="A12" s="137"/>
      <c r="B12" s="116"/>
      <c r="C12" s="97"/>
      <c r="D12" s="97" t="s">
        <v>354</v>
      </c>
      <c r="E12" s="97"/>
    </row>
    <row r="13" spans="1:10" s="93" customFormat="1" x14ac:dyDescent="0.2">
      <c r="A13" s="137"/>
      <c r="B13" s="124" t="s">
        <v>354</v>
      </c>
      <c r="C13" s="151">
        <v>11</v>
      </c>
      <c r="D13" s="121" t="s">
        <v>664</v>
      </c>
      <c r="E13" s="122"/>
    </row>
    <row r="14" spans="1:10" s="93" customFormat="1" x14ac:dyDescent="0.2">
      <c r="A14" s="137"/>
      <c r="C14" s="119"/>
      <c r="D14" s="97"/>
      <c r="E14" s="97"/>
    </row>
    <row r="15" spans="1:10" s="93" customFormat="1" ht="13.5" thickBot="1" x14ac:dyDescent="0.25">
      <c r="A15" s="137"/>
      <c r="B15" s="97"/>
      <c r="C15" s="117"/>
      <c r="D15" s="117" t="s">
        <v>353</v>
      </c>
      <c r="E15" s="126"/>
    </row>
    <row r="16" spans="1:10" s="93" customFormat="1" x14ac:dyDescent="0.2">
      <c r="A16" s="137"/>
      <c r="B16" s="97"/>
      <c r="C16" s="117"/>
      <c r="D16" s="121" t="s">
        <v>665</v>
      </c>
      <c r="E16" s="117"/>
    </row>
    <row r="17" spans="1:5" s="93" customFormat="1" x14ac:dyDescent="0.2">
      <c r="A17" s="137"/>
      <c r="B17" s="97" t="s">
        <v>355</v>
      </c>
      <c r="C17" s="119">
        <v>8</v>
      </c>
      <c r="D17" s="117"/>
      <c r="E17" s="117"/>
    </row>
    <row r="18" spans="1:5" s="93" customFormat="1" ht="13.5" thickBot="1" x14ac:dyDescent="0.25">
      <c r="A18" s="137"/>
      <c r="B18" s="116"/>
      <c r="C18" s="126"/>
      <c r="D18" s="126" t="s">
        <v>356</v>
      </c>
      <c r="E18" s="126"/>
    </row>
    <row r="19" spans="1:5" s="93" customFormat="1" x14ac:dyDescent="0.2">
      <c r="A19" s="137"/>
      <c r="B19" s="124" t="s">
        <v>356</v>
      </c>
      <c r="C19" s="110">
        <v>11</v>
      </c>
      <c r="D19" s="127" t="s">
        <v>666</v>
      </c>
      <c r="E19" s="117"/>
    </row>
    <row r="20" spans="1:5" s="93" customFormat="1" x14ac:dyDescent="0.2">
      <c r="A20" s="137"/>
      <c r="B20" s="97"/>
      <c r="C20" s="97"/>
      <c r="D20" s="117"/>
      <c r="E20" s="117"/>
    </row>
    <row r="21" spans="1:5" s="93" customFormat="1" ht="13.5" thickBot="1" x14ac:dyDescent="0.25">
      <c r="A21" s="137"/>
      <c r="B21" s="117"/>
      <c r="C21" s="97"/>
      <c r="D21" s="126" t="s">
        <v>355</v>
      </c>
      <c r="E21" s="126"/>
    </row>
    <row r="22" spans="1:5" s="93" customFormat="1" x14ac:dyDescent="0.2">
      <c r="A22" s="137"/>
      <c r="B22" s="117"/>
      <c r="C22" s="97"/>
      <c r="D22" s="18" t="s">
        <v>292</v>
      </c>
      <c r="E22" s="97"/>
    </row>
    <row r="23" spans="1:5" s="93" customFormat="1" x14ac:dyDescent="0.2"/>
    <row r="24" spans="1:5" s="93" customFormat="1" x14ac:dyDescent="0.2">
      <c r="A24" s="94">
        <v>1</v>
      </c>
      <c r="B24" s="334" t="s">
        <v>354</v>
      </c>
    </row>
    <row r="25" spans="1:5" s="93" customFormat="1" x14ac:dyDescent="0.2">
      <c r="A25" s="94">
        <v>2</v>
      </c>
      <c r="B25" s="335" t="s">
        <v>353</v>
      </c>
    </row>
    <row r="26" spans="1:5" s="93" customFormat="1" x14ac:dyDescent="0.2">
      <c r="A26" s="94">
        <v>3</v>
      </c>
      <c r="B26" s="336" t="s">
        <v>356</v>
      </c>
    </row>
    <row r="27" spans="1:5" s="93" customFormat="1" x14ac:dyDescent="0.2">
      <c r="A27" s="94">
        <v>4</v>
      </c>
      <c r="B27" s="37" t="s">
        <v>355</v>
      </c>
    </row>
    <row r="28" spans="1:5" s="93" customFormat="1" x14ac:dyDescent="0.2">
      <c r="A28" s="94">
        <v>5</v>
      </c>
      <c r="B28" s="37" t="s">
        <v>85</v>
      </c>
      <c r="C28" s="93" t="s">
        <v>357</v>
      </c>
    </row>
    <row r="29" spans="1:5" s="93" customFormat="1" x14ac:dyDescent="0.2">
      <c r="A29" s="94">
        <v>6</v>
      </c>
      <c r="B29" s="37" t="s">
        <v>358</v>
      </c>
    </row>
    <row r="30" spans="1:5" s="93" customFormat="1" x14ac:dyDescent="0.2">
      <c r="A30" s="94">
        <v>7</v>
      </c>
      <c r="B30" s="37" t="s">
        <v>247</v>
      </c>
    </row>
    <row r="31" spans="1:5" x14ac:dyDescent="0.2">
      <c r="A31" s="94">
        <v>8</v>
      </c>
      <c r="B31" s="37" t="s">
        <v>359</v>
      </c>
    </row>
    <row r="32" spans="1:5" x14ac:dyDescent="0.2">
      <c r="A32" s="94">
        <v>9</v>
      </c>
      <c r="B32" s="37" t="s">
        <v>360</v>
      </c>
    </row>
    <row r="33" spans="1:3" x14ac:dyDescent="0.2">
      <c r="A33" s="94">
        <v>10</v>
      </c>
      <c r="B33" s="37" t="s">
        <v>361</v>
      </c>
    </row>
    <row r="34" spans="1:3" x14ac:dyDescent="0.2">
      <c r="A34" s="94">
        <v>11</v>
      </c>
      <c r="B34" s="37" t="s">
        <v>252</v>
      </c>
    </row>
    <row r="35" spans="1:3" x14ac:dyDescent="0.2">
      <c r="A35" s="94">
        <v>12</v>
      </c>
      <c r="B35" s="11" t="s">
        <v>362</v>
      </c>
    </row>
    <row r="36" spans="1:3" x14ac:dyDescent="0.2">
      <c r="A36" s="94">
        <v>13</v>
      </c>
      <c r="B36" s="11" t="s">
        <v>363</v>
      </c>
    </row>
    <row r="37" spans="1:3" x14ac:dyDescent="0.2">
      <c r="A37" s="94">
        <v>14</v>
      </c>
      <c r="B37" s="11" t="s">
        <v>525</v>
      </c>
    </row>
    <row r="38" spans="1:3" x14ac:dyDescent="0.2">
      <c r="A38" s="94">
        <v>15</v>
      </c>
      <c r="B38" s="11" t="s">
        <v>133</v>
      </c>
      <c r="C38" s="20" t="s">
        <v>364</v>
      </c>
    </row>
    <row r="39" spans="1:3" x14ac:dyDescent="0.2">
      <c r="A39" s="94">
        <v>16</v>
      </c>
      <c r="B39" s="11" t="s">
        <v>365</v>
      </c>
      <c r="C39" s="20" t="s">
        <v>366</v>
      </c>
    </row>
    <row r="40" spans="1:3" x14ac:dyDescent="0.2">
      <c r="A40" s="94">
        <v>17</v>
      </c>
      <c r="B40" s="11" t="s">
        <v>134</v>
      </c>
    </row>
    <row r="41" spans="1:3" x14ac:dyDescent="0.2">
      <c r="A41" s="94">
        <v>18</v>
      </c>
      <c r="B41" s="11" t="s">
        <v>367</v>
      </c>
    </row>
  </sheetData>
  <conditionalFormatting sqref="C11:C19">
    <cfRule type="cellIs" dxfId="15" priority="1" operator="equal">
      <formula>11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9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ColWidth="9.42578125" defaultRowHeight="12.75" x14ac:dyDescent="0.2"/>
  <cols>
    <col min="1" max="1" width="3.28515625" style="20" customWidth="1"/>
    <col min="2" max="2" width="44.28515625" style="20" customWidth="1"/>
    <col min="3" max="11" width="5.7109375" style="20" customWidth="1"/>
    <col min="12" max="207" width="9.140625" style="20" customWidth="1"/>
    <col min="208" max="16384" width="9.42578125" style="20"/>
  </cols>
  <sheetData>
    <row r="1" spans="1:11" x14ac:dyDescent="0.2">
      <c r="A1" s="21" t="str">
        <f>UPPER((Kalend!E11)&amp;" - "&amp;(Kalend!C11)&amp;" - "&amp;(Kalend!D11))</f>
        <v>6 - K-JÄRVE 1. KV 2. ETAPP - DUO</v>
      </c>
      <c r="E1" s="284" t="str">
        <f>HYPERLINK("#Kalend!J1","Kalender")</f>
        <v>Kalender</v>
      </c>
      <c r="F1" s="277"/>
      <c r="G1" s="284" t="str">
        <f>HYPERLINK("#Reit!J1","Reiting")</f>
        <v>Reiting</v>
      </c>
      <c r="H1" s="248"/>
      <c r="I1" s="248"/>
    </row>
    <row r="2" spans="1:11" x14ac:dyDescent="0.2">
      <c r="A2" s="93" t="str">
        <f>"Toimumisaeg: "&amp;(Kalend!A11)&amp;" kell "&amp;(Kalend!B11)</f>
        <v>Toimumisaeg: T, 18.06.2002 kell 18:00</v>
      </c>
      <c r="G2" s="93"/>
    </row>
    <row r="3" spans="1:11" x14ac:dyDescent="0.2">
      <c r="A3" s="93" t="str">
        <f>"Toimumiskoht: "&amp;(Kalend!F11)</f>
        <v>Toimumiskoht: K-Järve Järve gümnaasiumi staadion</v>
      </c>
      <c r="D3" s="248"/>
      <c r="E3" s="248"/>
      <c r="F3" s="248"/>
      <c r="G3" s="277"/>
      <c r="H3" s="248"/>
      <c r="I3" s="248"/>
      <c r="J3" s="248"/>
      <c r="K3" s="248"/>
    </row>
    <row r="4" spans="1:11" x14ac:dyDescent="0.2">
      <c r="A4" s="93" t="str">
        <f>"Korraldaja: "&amp;(Kalend!G11)</f>
        <v>Korraldaja: K-Järve SHK</v>
      </c>
      <c r="C4" s="187"/>
      <c r="D4" s="248"/>
      <c r="E4" s="248"/>
      <c r="F4" s="248"/>
      <c r="G4" s="277"/>
      <c r="H4" s="248"/>
      <c r="I4" s="248"/>
      <c r="J4" s="248"/>
      <c r="K4" s="248"/>
    </row>
    <row r="5" spans="1:11" s="248" customFormat="1" x14ac:dyDescent="0.2">
      <c r="A5" s="277"/>
      <c r="C5" s="187"/>
      <c r="G5" s="277"/>
    </row>
    <row r="6" spans="1:11" s="248" customFormat="1" x14ac:dyDescent="0.2">
      <c r="A6" s="139" t="s">
        <v>368</v>
      </c>
      <c r="C6" s="187"/>
      <c r="G6" s="277"/>
    </row>
    <row r="7" spans="1:11" s="134" customFormat="1" x14ac:dyDescent="0.2">
      <c r="A7" s="97"/>
      <c r="G7" s="138"/>
      <c r="H7" s="138"/>
      <c r="J7" s="152"/>
    </row>
    <row r="8" spans="1:11" s="134" customFormat="1" x14ac:dyDescent="0.2">
      <c r="A8" s="153" t="s">
        <v>370</v>
      </c>
    </row>
    <row r="9" spans="1:11" s="134" customFormat="1" x14ac:dyDescent="0.2">
      <c r="A9" s="153"/>
    </row>
    <row r="10" spans="1:11" s="134" customFormat="1" x14ac:dyDescent="0.2">
      <c r="A10" s="152"/>
      <c r="B10" s="240" t="s">
        <v>255</v>
      </c>
      <c r="C10" s="155">
        <v>11</v>
      </c>
    </row>
    <row r="11" spans="1:11" s="134" customFormat="1" x14ac:dyDescent="0.2">
      <c r="B11" s="156"/>
      <c r="C11" s="157" t="s">
        <v>255</v>
      </c>
      <c r="D11" s="158"/>
      <c r="F11" s="155">
        <v>11</v>
      </c>
    </row>
    <row r="12" spans="1:11" s="134" customFormat="1" x14ac:dyDescent="0.2">
      <c r="A12" s="152"/>
      <c r="B12" s="159" t="s">
        <v>556</v>
      </c>
      <c r="C12" s="160">
        <v>2</v>
      </c>
      <c r="E12" s="161"/>
    </row>
    <row r="13" spans="1:11" s="134" customFormat="1" x14ac:dyDescent="0.2">
      <c r="D13" s="138"/>
      <c r="E13" s="162"/>
      <c r="F13" s="134" t="s">
        <v>255</v>
      </c>
      <c r="I13" s="155">
        <v>5</v>
      </c>
    </row>
    <row r="14" spans="1:11" s="134" customFormat="1" x14ac:dyDescent="0.2">
      <c r="A14" s="152"/>
      <c r="B14" s="163" t="s">
        <v>557</v>
      </c>
      <c r="C14" s="164">
        <v>6</v>
      </c>
      <c r="E14" s="162"/>
      <c r="F14" s="156"/>
      <c r="G14" s="156"/>
      <c r="H14" s="161"/>
    </row>
    <row r="15" spans="1:11" s="134" customFormat="1" x14ac:dyDescent="0.2">
      <c r="B15" s="156"/>
      <c r="C15" s="165" t="s">
        <v>371</v>
      </c>
      <c r="E15" s="166"/>
      <c r="F15" s="164">
        <v>9</v>
      </c>
      <c r="G15" s="138"/>
      <c r="H15" s="162"/>
    </row>
    <row r="16" spans="1:11" s="134" customFormat="1" x14ac:dyDescent="0.2">
      <c r="A16" s="152"/>
      <c r="B16" s="239" t="s">
        <v>371</v>
      </c>
      <c r="C16" s="168">
        <v>11</v>
      </c>
      <c r="D16" s="156"/>
      <c r="F16" s="138"/>
      <c r="G16" s="138"/>
      <c r="H16" s="162"/>
    </row>
    <row r="17" spans="1:11" s="134" customFormat="1" ht="13.5" thickBot="1" x14ac:dyDescent="0.25">
      <c r="F17" s="138"/>
      <c r="G17" s="138"/>
      <c r="H17" s="162"/>
      <c r="J17" s="134" t="s">
        <v>372</v>
      </c>
    </row>
    <row r="18" spans="1:11" s="134" customFormat="1" x14ac:dyDescent="0.2">
      <c r="A18" s="152"/>
      <c r="B18" s="134" t="s">
        <v>514</v>
      </c>
      <c r="C18" s="155">
        <v>7</v>
      </c>
      <c r="F18" s="138"/>
      <c r="G18" s="138"/>
      <c r="H18" s="162"/>
      <c r="I18" s="169"/>
      <c r="J18" s="170" t="s">
        <v>664</v>
      </c>
      <c r="K18" s="171"/>
    </row>
    <row r="19" spans="1:11" s="134" customFormat="1" x14ac:dyDescent="0.2">
      <c r="B19" s="156"/>
      <c r="C19" s="157" t="s">
        <v>372</v>
      </c>
      <c r="D19" s="158"/>
      <c r="F19" s="164">
        <v>11</v>
      </c>
      <c r="G19" s="138"/>
      <c r="H19" s="162"/>
    </row>
    <row r="20" spans="1:11" s="134" customFormat="1" ht="13.5" thickBot="1" x14ac:dyDescent="0.25">
      <c r="A20" s="152"/>
      <c r="B20" s="158" t="s">
        <v>372</v>
      </c>
      <c r="C20" s="160">
        <v>11</v>
      </c>
      <c r="E20" s="161"/>
      <c r="F20" s="138"/>
      <c r="G20" s="138"/>
      <c r="H20" s="162"/>
      <c r="J20" s="172" t="s">
        <v>255</v>
      </c>
      <c r="K20" s="172"/>
    </row>
    <row r="21" spans="1:11" s="134" customFormat="1" x14ac:dyDescent="0.2">
      <c r="D21" s="138"/>
      <c r="E21" s="162"/>
      <c r="F21" s="158" t="s">
        <v>372</v>
      </c>
      <c r="G21" s="158"/>
      <c r="H21" s="166"/>
      <c r="I21" s="155">
        <v>11</v>
      </c>
      <c r="J21" s="170" t="s">
        <v>665</v>
      </c>
    </row>
    <row r="22" spans="1:11" s="134" customFormat="1" x14ac:dyDescent="0.2">
      <c r="A22" s="152"/>
      <c r="B22" s="134" t="s">
        <v>373</v>
      </c>
      <c r="C22" s="164">
        <v>11</v>
      </c>
      <c r="E22" s="162"/>
    </row>
    <row r="23" spans="1:11" s="134" customFormat="1" x14ac:dyDescent="0.2">
      <c r="B23" s="156"/>
      <c r="C23" s="165" t="s">
        <v>373</v>
      </c>
      <c r="E23" s="166"/>
      <c r="F23" s="155">
        <v>0</v>
      </c>
    </row>
    <row r="24" spans="1:11" s="134" customFormat="1" x14ac:dyDescent="0.2">
      <c r="A24" s="152"/>
      <c r="B24" s="158" t="s">
        <v>263</v>
      </c>
      <c r="C24" s="168">
        <v>4</v>
      </c>
      <c r="D24" s="156"/>
    </row>
    <row r="25" spans="1:11" s="134" customFormat="1" x14ac:dyDescent="0.2">
      <c r="F25" s="134" t="s">
        <v>371</v>
      </c>
      <c r="I25" s="164">
        <v>11</v>
      </c>
      <c r="J25" s="138"/>
      <c r="K25" s="138"/>
    </row>
    <row r="26" spans="1:11" s="134" customFormat="1" ht="13.5" thickBot="1" x14ac:dyDescent="0.25">
      <c r="F26" s="156"/>
      <c r="G26" s="156"/>
      <c r="H26" s="161"/>
      <c r="I26" s="172"/>
      <c r="J26" s="172" t="s">
        <v>371</v>
      </c>
      <c r="K26" s="172"/>
    </row>
    <row r="27" spans="1:11" s="134" customFormat="1" x14ac:dyDescent="0.2">
      <c r="F27" s="158" t="s">
        <v>373</v>
      </c>
      <c r="G27" s="158"/>
      <c r="H27" s="166"/>
      <c r="I27" s="155">
        <v>5</v>
      </c>
      <c r="J27" s="173" t="s">
        <v>666</v>
      </c>
      <c r="K27" s="138"/>
    </row>
    <row r="28" spans="1:11" s="134" customFormat="1" x14ac:dyDescent="0.2">
      <c r="J28" s="138"/>
      <c r="K28" s="138"/>
    </row>
    <row r="29" spans="1:11" s="134" customFormat="1" ht="13.5" thickBot="1" x14ac:dyDescent="0.25">
      <c r="G29" s="138"/>
      <c r="H29" s="138"/>
      <c r="J29" s="172" t="s">
        <v>373</v>
      </c>
      <c r="K29" s="172"/>
    </row>
    <row r="30" spans="1:11" s="134" customFormat="1" x14ac:dyDescent="0.2">
      <c r="G30" s="138"/>
      <c r="H30" s="138"/>
      <c r="J30" s="152" t="s">
        <v>292</v>
      </c>
    </row>
    <row r="31" spans="1:11" s="134" customFormat="1" x14ac:dyDescent="0.2">
      <c r="G31" s="138"/>
      <c r="H31" s="138"/>
      <c r="J31" s="152"/>
    </row>
    <row r="32" spans="1:11" s="134" customFormat="1" x14ac:dyDescent="0.2">
      <c r="C32" s="134" t="s">
        <v>556</v>
      </c>
      <c r="F32" s="155">
        <v>10</v>
      </c>
    </row>
    <row r="33" spans="1:11" s="134" customFormat="1" x14ac:dyDescent="0.2">
      <c r="C33" s="156"/>
      <c r="D33" s="156"/>
      <c r="E33" s="161"/>
      <c r="F33" s="157" t="s">
        <v>557</v>
      </c>
      <c r="G33" s="158"/>
      <c r="H33" s="158"/>
      <c r="I33" s="155">
        <v>8</v>
      </c>
    </row>
    <row r="34" spans="1:11" s="134" customFormat="1" x14ac:dyDescent="0.2">
      <c r="C34" s="158" t="s">
        <v>557</v>
      </c>
      <c r="D34" s="158"/>
      <c r="E34" s="166"/>
      <c r="F34" s="160">
        <v>11</v>
      </c>
      <c r="H34" s="162"/>
    </row>
    <row r="35" spans="1:11" s="134" customFormat="1" ht="13.5" thickBot="1" x14ac:dyDescent="0.25">
      <c r="F35" s="138"/>
      <c r="H35" s="162"/>
      <c r="J35" s="134" t="s">
        <v>263</v>
      </c>
    </row>
    <row r="36" spans="1:11" s="134" customFormat="1" x14ac:dyDescent="0.2">
      <c r="C36" s="134" t="s">
        <v>514</v>
      </c>
      <c r="F36" s="164">
        <v>3</v>
      </c>
      <c r="H36" s="162"/>
      <c r="I36" s="169"/>
      <c r="J36" s="170" t="s">
        <v>296</v>
      </c>
      <c r="K36" s="171"/>
    </row>
    <row r="37" spans="1:11" s="134" customFormat="1" x14ac:dyDescent="0.2">
      <c r="C37" s="156"/>
      <c r="D37" s="156"/>
      <c r="E37" s="161"/>
      <c r="F37" s="165" t="s">
        <v>263</v>
      </c>
      <c r="H37" s="166"/>
      <c r="I37" s="164">
        <v>11</v>
      </c>
    </row>
    <row r="38" spans="1:11" s="134" customFormat="1" ht="13.5" thickBot="1" x14ac:dyDescent="0.25">
      <c r="C38" s="158" t="s">
        <v>263</v>
      </c>
      <c r="D38" s="158"/>
      <c r="E38" s="166"/>
      <c r="F38" s="168">
        <v>11</v>
      </c>
      <c r="G38" s="156"/>
      <c r="I38" s="138"/>
      <c r="J38" s="138" t="s">
        <v>557</v>
      </c>
      <c r="K38" s="172"/>
    </row>
    <row r="39" spans="1:11" s="134" customFormat="1" x14ac:dyDescent="0.2">
      <c r="I39" s="138"/>
      <c r="J39" s="170" t="s">
        <v>298</v>
      </c>
      <c r="K39" s="138"/>
    </row>
    <row r="40" spans="1:11" s="134" customFormat="1" x14ac:dyDescent="0.2">
      <c r="I40" s="138"/>
      <c r="J40" s="173"/>
      <c r="K40" s="138"/>
    </row>
    <row r="41" spans="1:11" s="134" customFormat="1" x14ac:dyDescent="0.2">
      <c r="F41" s="134" t="s">
        <v>556</v>
      </c>
      <c r="I41" s="164">
        <v>0</v>
      </c>
      <c r="J41" s="138"/>
      <c r="K41" s="138"/>
    </row>
    <row r="42" spans="1:11" s="134" customFormat="1" ht="13.5" thickBot="1" x14ac:dyDescent="0.25">
      <c r="F42" s="156"/>
      <c r="G42" s="156"/>
      <c r="H42" s="161"/>
      <c r="I42" s="172"/>
      <c r="J42" s="172" t="s">
        <v>514</v>
      </c>
      <c r="K42" s="172"/>
    </row>
    <row r="43" spans="1:11" s="134" customFormat="1" x14ac:dyDescent="0.2">
      <c r="F43" s="158" t="s">
        <v>514</v>
      </c>
      <c r="G43" s="158"/>
      <c r="H43" s="166"/>
      <c r="I43" s="155">
        <v>11</v>
      </c>
      <c r="J43" s="173" t="s">
        <v>299</v>
      </c>
      <c r="K43" s="138"/>
    </row>
    <row r="44" spans="1:11" s="134" customFormat="1" x14ac:dyDescent="0.2">
      <c r="J44" s="138"/>
      <c r="K44" s="138"/>
    </row>
    <row r="45" spans="1:11" s="134" customFormat="1" ht="13.5" thickBot="1" x14ac:dyDescent="0.25">
      <c r="G45" s="138"/>
      <c r="H45" s="138"/>
      <c r="J45" s="172" t="s">
        <v>556</v>
      </c>
      <c r="K45" s="172"/>
    </row>
    <row r="46" spans="1:11" s="134" customFormat="1" x14ac:dyDescent="0.2">
      <c r="G46" s="138"/>
      <c r="H46" s="138"/>
      <c r="J46" s="152" t="s">
        <v>300</v>
      </c>
    </row>
    <row r="47" spans="1:11" s="134" customFormat="1" x14ac:dyDescent="0.2">
      <c r="G47" s="138"/>
      <c r="H47" s="138"/>
      <c r="J47" s="152"/>
    </row>
    <row r="48" spans="1:11" s="134" customFormat="1" x14ac:dyDescent="0.2">
      <c r="A48" s="153" t="s">
        <v>374</v>
      </c>
    </row>
    <row r="49" spans="1:10" s="134" customFormat="1" x14ac:dyDescent="0.2">
      <c r="G49" s="138"/>
      <c r="H49" s="138"/>
      <c r="J49" s="152"/>
    </row>
    <row r="50" spans="1:10" s="97" customFormat="1" x14ac:dyDescent="0.2">
      <c r="A50" s="96" t="s">
        <v>253</v>
      </c>
      <c r="B50" s="96"/>
      <c r="C50" s="87">
        <v>1</v>
      </c>
      <c r="D50" s="87">
        <v>2</v>
      </c>
      <c r="E50" s="87">
        <v>3</v>
      </c>
      <c r="F50" s="87">
        <v>4</v>
      </c>
      <c r="G50" s="87" t="s">
        <v>254</v>
      </c>
      <c r="H50" s="87" t="s">
        <v>67</v>
      </c>
    </row>
    <row r="51" spans="1:10" s="97" customFormat="1" x14ac:dyDescent="0.2">
      <c r="A51" s="96">
        <v>1</v>
      </c>
      <c r="B51" s="37" t="s">
        <v>375</v>
      </c>
      <c r="C51" s="99"/>
      <c r="D51" s="100"/>
      <c r="E51" s="100"/>
      <c r="F51" s="100"/>
      <c r="G51" s="425" t="s">
        <v>268</v>
      </c>
      <c r="H51" s="100" t="s">
        <v>270</v>
      </c>
      <c r="J51" s="111" t="s">
        <v>406</v>
      </c>
    </row>
    <row r="52" spans="1:10" s="97" customFormat="1" x14ac:dyDescent="0.2">
      <c r="A52" s="96">
        <v>2</v>
      </c>
      <c r="B52" s="37" t="s">
        <v>526</v>
      </c>
      <c r="C52" s="100"/>
      <c r="D52" s="99"/>
      <c r="E52" s="100"/>
      <c r="F52" s="100"/>
      <c r="G52" s="423" t="s">
        <v>260</v>
      </c>
      <c r="H52" s="100" t="s">
        <v>262</v>
      </c>
      <c r="J52" s="111" t="s">
        <v>403</v>
      </c>
    </row>
    <row r="53" spans="1:10" s="97" customFormat="1" x14ac:dyDescent="0.2">
      <c r="A53" s="96">
        <v>3</v>
      </c>
      <c r="B53" s="11" t="s">
        <v>376</v>
      </c>
      <c r="C53" s="100"/>
      <c r="D53" s="103"/>
      <c r="E53" s="99"/>
      <c r="F53" s="100"/>
      <c r="G53" s="425" t="s">
        <v>268</v>
      </c>
      <c r="H53" s="103" t="s">
        <v>266</v>
      </c>
      <c r="J53" s="111" t="s">
        <v>407</v>
      </c>
    </row>
    <row r="54" spans="1:10" s="97" customFormat="1" x14ac:dyDescent="0.2">
      <c r="A54" s="96">
        <v>4</v>
      </c>
      <c r="B54" s="37" t="s">
        <v>377</v>
      </c>
      <c r="C54" s="100"/>
      <c r="D54" s="100"/>
      <c r="E54" s="100"/>
      <c r="F54" s="99"/>
      <c r="G54" s="423" t="s">
        <v>260</v>
      </c>
      <c r="H54" s="100" t="s">
        <v>258</v>
      </c>
      <c r="J54" s="111" t="s">
        <v>402</v>
      </c>
    </row>
    <row r="55" spans="1:10" s="97" customFormat="1" x14ac:dyDescent="0.2">
      <c r="A55" s="127"/>
      <c r="B55" s="148"/>
      <c r="C55" s="128"/>
      <c r="D55" s="128"/>
      <c r="E55" s="128"/>
      <c r="F55" s="130"/>
      <c r="G55" s="129"/>
      <c r="H55" s="128"/>
    </row>
    <row r="56" spans="1:10" s="97" customFormat="1" x14ac:dyDescent="0.2"/>
    <row r="57" spans="1:10" s="93" customFormat="1" x14ac:dyDescent="0.2">
      <c r="A57" s="94">
        <v>1</v>
      </c>
      <c r="B57" s="334" t="s">
        <v>372</v>
      </c>
    </row>
    <row r="58" spans="1:10" s="93" customFormat="1" x14ac:dyDescent="0.2">
      <c r="A58" s="94">
        <v>2</v>
      </c>
      <c r="B58" s="335" t="s">
        <v>255</v>
      </c>
    </row>
    <row r="59" spans="1:10" s="93" customFormat="1" x14ac:dyDescent="0.2">
      <c r="A59" s="94">
        <v>3</v>
      </c>
      <c r="B59" s="336" t="s">
        <v>371</v>
      </c>
    </row>
    <row r="60" spans="1:10" s="93" customFormat="1" x14ac:dyDescent="0.2">
      <c r="A60" s="94">
        <v>4</v>
      </c>
      <c r="B60" s="37" t="s">
        <v>373</v>
      </c>
    </row>
    <row r="61" spans="1:10" s="93" customFormat="1" x14ac:dyDescent="0.2">
      <c r="A61" s="94">
        <v>5</v>
      </c>
      <c r="B61" s="37" t="s">
        <v>263</v>
      </c>
    </row>
    <row r="62" spans="1:10" s="93" customFormat="1" x14ac:dyDescent="0.2">
      <c r="A62" s="94">
        <v>6</v>
      </c>
      <c r="B62" s="37" t="s">
        <v>557</v>
      </c>
    </row>
    <row r="63" spans="1:10" s="93" customFormat="1" x14ac:dyDescent="0.2">
      <c r="A63" s="94">
        <v>7</v>
      </c>
      <c r="B63" s="37" t="s">
        <v>514</v>
      </c>
    </row>
    <row r="64" spans="1:10" x14ac:dyDescent="0.2">
      <c r="A64" s="94">
        <v>8</v>
      </c>
      <c r="B64" s="37" t="s">
        <v>556</v>
      </c>
    </row>
    <row r="65" spans="1:2" x14ac:dyDescent="0.2">
      <c r="A65" s="94">
        <v>9</v>
      </c>
      <c r="B65" s="37" t="s">
        <v>377</v>
      </c>
    </row>
    <row r="66" spans="1:2" x14ac:dyDescent="0.2">
      <c r="A66" s="94">
        <v>10</v>
      </c>
      <c r="B66" s="37" t="s">
        <v>526</v>
      </c>
    </row>
    <row r="67" spans="1:2" x14ac:dyDescent="0.2">
      <c r="A67" s="94">
        <v>11</v>
      </c>
      <c r="B67" s="37" t="s">
        <v>375</v>
      </c>
    </row>
    <row r="68" spans="1:2" x14ac:dyDescent="0.2">
      <c r="A68" s="94">
        <v>12</v>
      </c>
      <c r="B68" s="11" t="s">
        <v>376</v>
      </c>
    </row>
    <row r="69" spans="1:2" x14ac:dyDescent="0.2">
      <c r="A69" s="94">
        <v>13</v>
      </c>
      <c r="B69" s="11" t="s">
        <v>378</v>
      </c>
    </row>
  </sheetData>
  <conditionalFormatting sqref="C10:I43">
    <cfRule type="cellIs" dxfId="14" priority="1" operator="equal">
      <formula>11</formula>
    </cfRule>
  </conditionalFormatting>
  <pageMargins left="0.78740157480314965" right="0.39370078740157483" top="0.78740157480314965" bottom="0.27559055118110237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80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ColWidth="9.42578125" defaultRowHeight="12.75" x14ac:dyDescent="0.2"/>
  <cols>
    <col min="1" max="1" width="3.28515625" style="20" customWidth="1"/>
    <col min="2" max="2" width="45.5703125" style="20" customWidth="1"/>
    <col min="3" max="11" width="5.7109375" style="20" customWidth="1"/>
    <col min="12" max="202" width="9.140625" style="20" customWidth="1"/>
    <col min="203" max="16384" width="9.42578125" style="20"/>
  </cols>
  <sheetData>
    <row r="1" spans="1:11" x14ac:dyDescent="0.2">
      <c r="A1" s="21" t="str">
        <f>UPPER((Kalend!E12)&amp;" - "&amp;(Kalend!C12)&amp;" - "&amp;(Kalend!D12))</f>
        <v>7 - K-NÕMME 1. MV - DUO</v>
      </c>
      <c r="E1" s="284" t="str">
        <f>HYPERLINK("#Kalend!J1","Kalender")</f>
        <v>Kalender</v>
      </c>
      <c r="F1" s="277"/>
      <c r="G1" s="284" t="str">
        <f>HYPERLINK("#Reit!J1","Reiting")</f>
        <v>Reiting</v>
      </c>
      <c r="H1" s="248"/>
      <c r="I1" s="248"/>
    </row>
    <row r="2" spans="1:11" x14ac:dyDescent="0.2">
      <c r="A2" s="93" t="str">
        <f>"Toimumisaeg: "&amp;(Kalend!A12)&amp;" kell "&amp;(Kalend!B12)</f>
        <v>Toimumisaeg: N, 20.06.2002 kell 18:00</v>
      </c>
      <c r="G2" s="93"/>
    </row>
    <row r="3" spans="1:11" x14ac:dyDescent="0.2">
      <c r="A3" s="93" t="str">
        <f>"Toimumiskoht: "&amp;(Kalend!F12)</f>
        <v>Toimumiskoht: K-Nõmme põhikooli staadion</v>
      </c>
      <c r="G3" s="93"/>
    </row>
    <row r="4" spans="1:11" x14ac:dyDescent="0.2">
      <c r="A4" s="93" t="str">
        <f>"Korraldaja: "&amp;(Kalend!G12)</f>
        <v>Korraldaja: K-Nõmme SK</v>
      </c>
      <c r="G4" s="93"/>
    </row>
    <row r="5" spans="1:11" s="134" customFormat="1" x14ac:dyDescent="0.2">
      <c r="I5" s="138"/>
      <c r="K5" s="138"/>
    </row>
    <row r="6" spans="1:11" s="134" customFormat="1" x14ac:dyDescent="0.2">
      <c r="A6" s="139" t="s">
        <v>379</v>
      </c>
      <c r="G6" s="138"/>
      <c r="H6" s="138"/>
      <c r="J6" s="152"/>
    </row>
    <row r="7" spans="1:11" s="93" customFormat="1" x14ac:dyDescent="0.2"/>
    <row r="8" spans="1:11" s="134" customFormat="1" x14ac:dyDescent="0.2">
      <c r="A8" s="153" t="s">
        <v>370</v>
      </c>
    </row>
    <row r="9" spans="1:11" s="134" customFormat="1" x14ac:dyDescent="0.2">
      <c r="A9" s="153"/>
    </row>
    <row r="10" spans="1:11" s="134" customFormat="1" x14ac:dyDescent="0.2">
      <c r="A10" s="152"/>
      <c r="B10" s="154" t="s">
        <v>380</v>
      </c>
      <c r="C10" s="164">
        <v>5</v>
      </c>
    </row>
    <row r="11" spans="1:11" s="134" customFormat="1" x14ac:dyDescent="0.2">
      <c r="B11" s="156"/>
      <c r="C11" s="157" t="s">
        <v>527</v>
      </c>
      <c r="D11" s="158"/>
      <c r="F11" s="155">
        <v>11</v>
      </c>
    </row>
    <row r="12" spans="1:11" s="134" customFormat="1" x14ac:dyDescent="0.2">
      <c r="A12" s="152"/>
      <c r="B12" s="167" t="s">
        <v>527</v>
      </c>
      <c r="C12" s="160">
        <v>11</v>
      </c>
      <c r="E12" s="161"/>
    </row>
    <row r="13" spans="1:11" s="134" customFormat="1" x14ac:dyDescent="0.2">
      <c r="D13" s="138"/>
      <c r="E13" s="162"/>
      <c r="F13" s="134" t="s">
        <v>527</v>
      </c>
      <c r="I13" s="155">
        <v>3</v>
      </c>
    </row>
    <row r="14" spans="1:11" s="134" customFormat="1" x14ac:dyDescent="0.2">
      <c r="A14" s="152"/>
      <c r="B14" s="134" t="s">
        <v>381</v>
      </c>
      <c r="C14" s="164">
        <v>1</v>
      </c>
      <c r="E14" s="162"/>
      <c r="F14" s="156"/>
      <c r="G14" s="156"/>
      <c r="H14" s="161"/>
    </row>
    <row r="15" spans="1:11" s="134" customFormat="1" x14ac:dyDescent="0.2">
      <c r="B15" s="156"/>
      <c r="C15" s="165" t="s">
        <v>255</v>
      </c>
      <c r="E15" s="166"/>
      <c r="F15" s="164">
        <v>3</v>
      </c>
      <c r="G15" s="138"/>
      <c r="H15" s="162"/>
    </row>
    <row r="16" spans="1:11" s="134" customFormat="1" x14ac:dyDescent="0.2">
      <c r="A16" s="152"/>
      <c r="B16" s="158" t="s">
        <v>255</v>
      </c>
      <c r="C16" s="168">
        <v>11</v>
      </c>
      <c r="D16" s="156"/>
      <c r="F16" s="138"/>
      <c r="G16" s="138"/>
      <c r="H16" s="162"/>
    </row>
    <row r="17" spans="1:11" s="134" customFormat="1" ht="13.5" thickBot="1" x14ac:dyDescent="0.25">
      <c r="F17" s="138"/>
      <c r="G17" s="138"/>
      <c r="H17" s="162"/>
      <c r="J17" s="134" t="s">
        <v>382</v>
      </c>
    </row>
    <row r="18" spans="1:11" s="134" customFormat="1" x14ac:dyDescent="0.2">
      <c r="A18" s="152"/>
      <c r="B18" s="134" t="s">
        <v>383</v>
      </c>
      <c r="C18" s="155">
        <v>11</v>
      </c>
      <c r="F18" s="138"/>
      <c r="G18" s="138"/>
      <c r="H18" s="162"/>
      <c r="I18" s="169"/>
      <c r="J18" s="170" t="s">
        <v>664</v>
      </c>
      <c r="K18" s="171"/>
    </row>
    <row r="19" spans="1:11" s="134" customFormat="1" x14ac:dyDescent="0.2">
      <c r="B19" s="156"/>
      <c r="C19" s="157" t="s">
        <v>383</v>
      </c>
      <c r="D19" s="158"/>
      <c r="F19" s="164">
        <v>0</v>
      </c>
      <c r="G19" s="138"/>
      <c r="H19" s="162"/>
    </row>
    <row r="20" spans="1:11" s="134" customFormat="1" ht="13.5" thickBot="1" x14ac:dyDescent="0.25">
      <c r="A20" s="152"/>
      <c r="B20" s="158" t="s">
        <v>384</v>
      </c>
      <c r="C20" s="160">
        <v>6</v>
      </c>
      <c r="E20" s="161"/>
      <c r="F20" s="138"/>
      <c r="G20" s="138"/>
      <c r="H20" s="162"/>
      <c r="J20" s="172" t="s">
        <v>527</v>
      </c>
      <c r="K20" s="172"/>
    </row>
    <row r="21" spans="1:11" s="134" customFormat="1" x14ac:dyDescent="0.2">
      <c r="D21" s="138"/>
      <c r="E21" s="162"/>
      <c r="F21" s="158" t="s">
        <v>382</v>
      </c>
      <c r="G21" s="158"/>
      <c r="H21" s="166"/>
      <c r="I21" s="155">
        <v>11</v>
      </c>
      <c r="J21" s="170" t="s">
        <v>665</v>
      </c>
    </row>
    <row r="22" spans="1:11" s="134" customFormat="1" x14ac:dyDescent="0.2">
      <c r="A22" s="152"/>
      <c r="B22" s="163" t="s">
        <v>382</v>
      </c>
      <c r="C22" s="164">
        <v>11</v>
      </c>
      <c r="E22" s="162"/>
    </row>
    <row r="23" spans="1:11" s="134" customFormat="1" x14ac:dyDescent="0.2">
      <c r="B23" s="156"/>
      <c r="C23" s="165" t="s">
        <v>382</v>
      </c>
      <c r="E23" s="166"/>
      <c r="F23" s="155">
        <v>11</v>
      </c>
    </row>
    <row r="24" spans="1:11" s="134" customFormat="1" x14ac:dyDescent="0.2">
      <c r="A24" s="152"/>
      <c r="B24" s="159" t="s">
        <v>385</v>
      </c>
      <c r="C24" s="168">
        <v>0</v>
      </c>
      <c r="D24" s="156"/>
    </row>
    <row r="25" spans="1:11" s="134" customFormat="1" x14ac:dyDescent="0.2">
      <c r="F25" s="134" t="s">
        <v>255</v>
      </c>
      <c r="I25" s="164">
        <v>11</v>
      </c>
      <c r="J25" s="138"/>
      <c r="K25" s="138"/>
    </row>
    <row r="26" spans="1:11" s="134" customFormat="1" ht="13.5" thickBot="1" x14ac:dyDescent="0.25">
      <c r="F26" s="156"/>
      <c r="G26" s="156"/>
      <c r="H26" s="161"/>
      <c r="I26" s="172"/>
      <c r="J26" s="172" t="s">
        <v>255</v>
      </c>
      <c r="K26" s="172"/>
    </row>
    <row r="27" spans="1:11" s="134" customFormat="1" x14ac:dyDescent="0.2">
      <c r="F27" s="158" t="s">
        <v>383</v>
      </c>
      <c r="G27" s="158"/>
      <c r="H27" s="166"/>
      <c r="I27" s="155">
        <v>4</v>
      </c>
      <c r="J27" s="173" t="s">
        <v>666</v>
      </c>
      <c r="K27" s="138"/>
    </row>
    <row r="28" spans="1:11" s="134" customFormat="1" x14ac:dyDescent="0.2">
      <c r="J28" s="138"/>
      <c r="K28" s="138"/>
    </row>
    <row r="29" spans="1:11" s="134" customFormat="1" ht="13.5" thickBot="1" x14ac:dyDescent="0.25">
      <c r="G29" s="138"/>
      <c r="H29" s="138"/>
      <c r="J29" s="172" t="s">
        <v>383</v>
      </c>
      <c r="K29" s="172"/>
    </row>
    <row r="30" spans="1:11" s="134" customFormat="1" x14ac:dyDescent="0.2">
      <c r="G30" s="138"/>
      <c r="H30" s="138"/>
      <c r="J30" s="152" t="s">
        <v>292</v>
      </c>
    </row>
    <row r="31" spans="1:11" s="134" customFormat="1" x14ac:dyDescent="0.2">
      <c r="G31" s="138"/>
      <c r="H31" s="138"/>
      <c r="J31" s="152"/>
    </row>
    <row r="32" spans="1:11" s="134" customFormat="1" x14ac:dyDescent="0.2">
      <c r="C32" s="134" t="s">
        <v>380</v>
      </c>
      <c r="F32" s="155">
        <v>3</v>
      </c>
    </row>
    <row r="33" spans="1:11" s="134" customFormat="1" x14ac:dyDescent="0.2">
      <c r="C33" s="156"/>
      <c r="D33" s="156"/>
      <c r="E33" s="161"/>
      <c r="F33" s="157" t="s">
        <v>381</v>
      </c>
      <c r="G33" s="158"/>
      <c r="H33" s="158"/>
      <c r="I33" s="155">
        <v>1</v>
      </c>
    </row>
    <row r="34" spans="1:11" s="134" customFormat="1" x14ac:dyDescent="0.2">
      <c r="C34" s="158" t="s">
        <v>381</v>
      </c>
      <c r="D34" s="158"/>
      <c r="E34" s="166"/>
      <c r="F34" s="160">
        <v>11</v>
      </c>
      <c r="H34" s="162"/>
    </row>
    <row r="35" spans="1:11" s="134" customFormat="1" ht="13.5" thickBot="1" x14ac:dyDescent="0.25">
      <c r="F35" s="138"/>
      <c r="H35" s="162"/>
      <c r="J35" s="134" t="s">
        <v>384</v>
      </c>
    </row>
    <row r="36" spans="1:11" s="134" customFormat="1" x14ac:dyDescent="0.2">
      <c r="C36" s="134" t="s">
        <v>384</v>
      </c>
      <c r="F36" s="164">
        <v>11</v>
      </c>
      <c r="H36" s="162"/>
      <c r="I36" s="169"/>
      <c r="J36" s="170" t="s">
        <v>296</v>
      </c>
      <c r="K36" s="171"/>
    </row>
    <row r="37" spans="1:11" s="134" customFormat="1" x14ac:dyDescent="0.2">
      <c r="C37" s="156"/>
      <c r="D37" s="156"/>
      <c r="E37" s="161"/>
      <c r="F37" s="165" t="s">
        <v>384</v>
      </c>
      <c r="H37" s="166"/>
      <c r="I37" s="164">
        <v>11</v>
      </c>
    </row>
    <row r="38" spans="1:11" s="134" customFormat="1" ht="13.5" thickBot="1" x14ac:dyDescent="0.25">
      <c r="C38" s="158" t="s">
        <v>385</v>
      </c>
      <c r="D38" s="158"/>
      <c r="E38" s="166"/>
      <c r="F38" s="168">
        <v>9</v>
      </c>
      <c r="G38" s="156"/>
      <c r="I38" s="138"/>
      <c r="J38" s="138" t="s">
        <v>381</v>
      </c>
      <c r="K38" s="172"/>
    </row>
    <row r="39" spans="1:11" s="134" customFormat="1" x14ac:dyDescent="0.2">
      <c r="I39" s="138"/>
      <c r="J39" s="170" t="s">
        <v>298</v>
      </c>
      <c r="K39" s="138"/>
    </row>
    <row r="40" spans="1:11" s="134" customFormat="1" x14ac:dyDescent="0.2">
      <c r="I40" s="138"/>
      <c r="J40" s="173"/>
      <c r="K40" s="138"/>
    </row>
    <row r="41" spans="1:11" s="134" customFormat="1" x14ac:dyDescent="0.2">
      <c r="F41" s="134" t="s">
        <v>380</v>
      </c>
      <c r="I41" s="164">
        <v>2</v>
      </c>
      <c r="J41" s="138"/>
      <c r="K41" s="138"/>
    </row>
    <row r="42" spans="1:11" s="134" customFormat="1" ht="13.5" thickBot="1" x14ac:dyDescent="0.25">
      <c r="F42" s="156"/>
      <c r="G42" s="156"/>
      <c r="H42" s="161"/>
      <c r="I42" s="172"/>
      <c r="J42" s="172" t="s">
        <v>385</v>
      </c>
      <c r="K42" s="172"/>
    </row>
    <row r="43" spans="1:11" s="134" customFormat="1" x14ac:dyDescent="0.2">
      <c r="F43" s="158" t="s">
        <v>385</v>
      </c>
      <c r="G43" s="158"/>
      <c r="H43" s="166"/>
      <c r="I43" s="155">
        <v>11</v>
      </c>
      <c r="J43" s="173" t="s">
        <v>299</v>
      </c>
      <c r="K43" s="138"/>
    </row>
    <row r="44" spans="1:11" s="134" customFormat="1" x14ac:dyDescent="0.2">
      <c r="J44" s="138"/>
      <c r="K44" s="138"/>
    </row>
    <row r="45" spans="1:11" s="134" customFormat="1" ht="13.5" thickBot="1" x14ac:dyDescent="0.25">
      <c r="G45" s="138"/>
      <c r="H45" s="138"/>
      <c r="J45" s="172" t="s">
        <v>380</v>
      </c>
      <c r="K45" s="172"/>
    </row>
    <row r="46" spans="1:11" s="134" customFormat="1" x14ac:dyDescent="0.2">
      <c r="G46" s="138"/>
      <c r="H46" s="138"/>
      <c r="J46" s="152" t="s">
        <v>300</v>
      </c>
    </row>
    <row r="47" spans="1:11" s="134" customFormat="1" x14ac:dyDescent="0.2">
      <c r="G47" s="138"/>
      <c r="H47" s="138"/>
      <c r="J47" s="152"/>
    </row>
    <row r="48" spans="1:11" s="134" customFormat="1" x14ac:dyDescent="0.2">
      <c r="A48" s="153" t="s">
        <v>374</v>
      </c>
    </row>
    <row r="49" spans="1:10" s="93" customFormat="1" x14ac:dyDescent="0.2"/>
    <row r="50" spans="1:10" s="97" customFormat="1" x14ac:dyDescent="0.2">
      <c r="A50" s="96" t="s">
        <v>253</v>
      </c>
      <c r="B50" s="96"/>
      <c r="C50" s="87">
        <v>1</v>
      </c>
      <c r="D50" s="87">
        <v>2</v>
      </c>
      <c r="E50" s="87">
        <v>3</v>
      </c>
      <c r="F50" s="87">
        <v>4</v>
      </c>
      <c r="G50" s="87" t="s">
        <v>254</v>
      </c>
      <c r="H50" s="87" t="s">
        <v>67</v>
      </c>
    </row>
    <row r="51" spans="1:10" s="97" customFormat="1" x14ac:dyDescent="0.2">
      <c r="A51" s="96">
        <v>1</v>
      </c>
      <c r="B51" s="37" t="s">
        <v>386</v>
      </c>
      <c r="C51" s="99"/>
      <c r="D51" s="100"/>
      <c r="E51" s="100"/>
      <c r="F51" s="100"/>
      <c r="G51" s="101" t="s">
        <v>284</v>
      </c>
      <c r="H51" s="100" t="s">
        <v>270</v>
      </c>
      <c r="J51" s="388" t="s">
        <v>406</v>
      </c>
    </row>
    <row r="52" spans="1:10" s="97" customFormat="1" x14ac:dyDescent="0.2">
      <c r="A52" s="96">
        <v>2</v>
      </c>
      <c r="B52" s="37" t="s">
        <v>387</v>
      </c>
      <c r="C52" s="100"/>
      <c r="D52" s="99"/>
      <c r="E52" s="100"/>
      <c r="F52" s="100"/>
      <c r="G52" s="101" t="s">
        <v>326</v>
      </c>
      <c r="H52" s="100" t="s">
        <v>262</v>
      </c>
      <c r="J52" s="388" t="s">
        <v>403</v>
      </c>
    </row>
    <row r="53" spans="1:10" s="97" customFormat="1" x14ac:dyDescent="0.2">
      <c r="A53" s="96">
        <v>3</v>
      </c>
      <c r="B53" s="11" t="s">
        <v>388</v>
      </c>
      <c r="C53" s="100"/>
      <c r="D53" s="103"/>
      <c r="E53" s="99"/>
      <c r="F53" s="100"/>
      <c r="G53" s="101" t="s">
        <v>323</v>
      </c>
      <c r="H53" s="103" t="s">
        <v>266</v>
      </c>
      <c r="J53" s="388" t="s">
        <v>407</v>
      </c>
    </row>
    <row r="54" spans="1:10" s="97" customFormat="1" x14ac:dyDescent="0.2">
      <c r="A54" s="96">
        <v>4</v>
      </c>
      <c r="B54" s="37" t="s">
        <v>389</v>
      </c>
      <c r="C54" s="100"/>
      <c r="D54" s="100"/>
      <c r="E54" s="100"/>
      <c r="F54" s="99"/>
      <c r="G54" s="101" t="s">
        <v>319</v>
      </c>
      <c r="H54" s="100" t="s">
        <v>258</v>
      </c>
      <c r="J54" s="388" t="s">
        <v>402</v>
      </c>
    </row>
    <row r="55" spans="1:10" s="97" customFormat="1" x14ac:dyDescent="0.2">
      <c r="J55" s="387"/>
    </row>
    <row r="56" spans="1:10" s="134" customFormat="1" x14ac:dyDescent="0.2">
      <c r="A56" s="153" t="s">
        <v>390</v>
      </c>
      <c r="J56" s="389"/>
    </row>
    <row r="57" spans="1:10" s="93" customFormat="1" x14ac:dyDescent="0.2">
      <c r="J57" s="390"/>
    </row>
    <row r="58" spans="1:10" s="97" customFormat="1" x14ac:dyDescent="0.2">
      <c r="A58" s="96" t="s">
        <v>271</v>
      </c>
      <c r="B58" s="96"/>
      <c r="C58" s="87">
        <v>1</v>
      </c>
      <c r="D58" s="87">
        <v>2</v>
      </c>
      <c r="E58" s="87">
        <v>3</v>
      </c>
      <c r="F58" s="87">
        <v>4</v>
      </c>
      <c r="G58" s="87" t="s">
        <v>254</v>
      </c>
      <c r="H58" s="87" t="s">
        <v>67</v>
      </c>
      <c r="J58" s="387"/>
    </row>
    <row r="59" spans="1:10" s="97" customFormat="1" x14ac:dyDescent="0.2">
      <c r="A59" s="96">
        <v>1</v>
      </c>
      <c r="B59" s="11" t="s">
        <v>391</v>
      </c>
      <c r="C59" s="99"/>
      <c r="D59" s="100"/>
      <c r="E59" s="100"/>
      <c r="F59" s="100"/>
      <c r="G59" s="423" t="s">
        <v>326</v>
      </c>
      <c r="H59" s="100" t="s">
        <v>262</v>
      </c>
      <c r="J59" s="388" t="s">
        <v>416</v>
      </c>
    </row>
    <row r="60" spans="1:10" s="97" customFormat="1" x14ac:dyDescent="0.2">
      <c r="A60" s="96">
        <v>2</v>
      </c>
      <c r="B60" s="11" t="s">
        <v>392</v>
      </c>
      <c r="C60" s="100"/>
      <c r="D60" s="99"/>
      <c r="E60" s="100"/>
      <c r="F60" s="100"/>
      <c r="G60" s="423" t="s">
        <v>326</v>
      </c>
      <c r="H60" s="100" t="s">
        <v>270</v>
      </c>
      <c r="J60" s="388" t="s">
        <v>417</v>
      </c>
    </row>
    <row r="61" spans="1:10" s="97" customFormat="1" x14ac:dyDescent="0.2">
      <c r="A61" s="96">
        <v>3</v>
      </c>
      <c r="B61" s="11" t="s">
        <v>393</v>
      </c>
      <c r="C61" s="100"/>
      <c r="D61" s="103"/>
      <c r="E61" s="99"/>
      <c r="F61" s="100"/>
      <c r="G61" s="101" t="s">
        <v>323</v>
      </c>
      <c r="H61" s="103" t="s">
        <v>266</v>
      </c>
      <c r="J61" s="388" t="s">
        <v>418</v>
      </c>
    </row>
    <row r="62" spans="1:10" s="97" customFormat="1" x14ac:dyDescent="0.2">
      <c r="A62" s="96">
        <v>4</v>
      </c>
      <c r="B62" s="11" t="s">
        <v>394</v>
      </c>
      <c r="C62" s="100"/>
      <c r="D62" s="100"/>
      <c r="E62" s="100"/>
      <c r="F62" s="99"/>
      <c r="G62" s="423" t="s">
        <v>326</v>
      </c>
      <c r="H62" s="100" t="s">
        <v>258</v>
      </c>
      <c r="J62" s="388" t="s">
        <v>415</v>
      </c>
    </row>
    <row r="63" spans="1:10" s="178" customFormat="1" x14ac:dyDescent="0.2">
      <c r="A63" s="275"/>
      <c r="B63" s="278"/>
      <c r="C63" s="130"/>
      <c r="D63" s="130"/>
      <c r="E63" s="130"/>
      <c r="F63" s="130"/>
      <c r="G63" s="273"/>
      <c r="H63" s="130"/>
    </row>
    <row r="64" spans="1:10" s="97" customFormat="1" x14ac:dyDescent="0.2"/>
    <row r="65" spans="1:2" s="93" customFormat="1" x14ac:dyDescent="0.2">
      <c r="A65" s="94">
        <v>1</v>
      </c>
      <c r="B65" s="334" t="s">
        <v>382</v>
      </c>
    </row>
    <row r="66" spans="1:2" s="93" customFormat="1" x14ac:dyDescent="0.2">
      <c r="A66" s="94">
        <v>2</v>
      </c>
      <c r="B66" s="335" t="s">
        <v>527</v>
      </c>
    </row>
    <row r="67" spans="1:2" s="93" customFormat="1" x14ac:dyDescent="0.2">
      <c r="A67" s="94">
        <v>3</v>
      </c>
      <c r="B67" s="336" t="s">
        <v>255</v>
      </c>
    </row>
    <row r="68" spans="1:2" s="93" customFormat="1" x14ac:dyDescent="0.2">
      <c r="A68" s="94">
        <v>4</v>
      </c>
      <c r="B68" s="37" t="s">
        <v>383</v>
      </c>
    </row>
    <row r="69" spans="1:2" s="93" customFormat="1" x14ac:dyDescent="0.2">
      <c r="A69" s="94">
        <v>5</v>
      </c>
      <c r="B69" s="37" t="s">
        <v>384</v>
      </c>
    </row>
    <row r="70" spans="1:2" s="93" customFormat="1" x14ac:dyDescent="0.2">
      <c r="A70" s="94">
        <v>6</v>
      </c>
      <c r="B70" s="37" t="s">
        <v>381</v>
      </c>
    </row>
    <row r="71" spans="1:2" s="93" customFormat="1" x14ac:dyDescent="0.2">
      <c r="A71" s="94">
        <v>7</v>
      </c>
      <c r="B71" s="37" t="s">
        <v>385</v>
      </c>
    </row>
    <row r="72" spans="1:2" x14ac:dyDescent="0.2">
      <c r="A72" s="94">
        <v>8</v>
      </c>
      <c r="B72" s="37" t="s">
        <v>380</v>
      </c>
    </row>
    <row r="73" spans="1:2" x14ac:dyDescent="0.2">
      <c r="A73" s="94">
        <v>9</v>
      </c>
      <c r="B73" s="37" t="s">
        <v>389</v>
      </c>
    </row>
    <row r="74" spans="1:2" x14ac:dyDescent="0.2">
      <c r="A74" s="94">
        <v>10</v>
      </c>
      <c r="B74" s="37" t="s">
        <v>387</v>
      </c>
    </row>
    <row r="75" spans="1:2" x14ac:dyDescent="0.2">
      <c r="A75" s="94">
        <v>11</v>
      </c>
      <c r="B75" s="37" t="s">
        <v>386</v>
      </c>
    </row>
    <row r="76" spans="1:2" x14ac:dyDescent="0.2">
      <c r="A76" s="94">
        <v>12</v>
      </c>
      <c r="B76" s="11" t="s">
        <v>388</v>
      </c>
    </row>
    <row r="77" spans="1:2" x14ac:dyDescent="0.2">
      <c r="A77" s="94">
        <v>13</v>
      </c>
      <c r="B77" s="11" t="s">
        <v>394</v>
      </c>
    </row>
    <row r="78" spans="1:2" x14ac:dyDescent="0.2">
      <c r="A78" s="94">
        <v>14</v>
      </c>
      <c r="B78" s="11" t="s">
        <v>391</v>
      </c>
    </row>
    <row r="79" spans="1:2" x14ac:dyDescent="0.2">
      <c r="A79" s="94">
        <v>15</v>
      </c>
      <c r="B79" s="11" t="s">
        <v>392</v>
      </c>
    </row>
    <row r="80" spans="1:2" x14ac:dyDescent="0.2">
      <c r="A80" s="94">
        <v>16</v>
      </c>
      <c r="B80" s="11" t="s">
        <v>393</v>
      </c>
    </row>
  </sheetData>
  <conditionalFormatting sqref="C10:I43">
    <cfRule type="cellIs" dxfId="13" priority="1" operator="equal">
      <formula>11</formula>
    </cfRule>
  </conditionalFormatting>
  <pageMargins left="0.78740157480314965" right="0.39370078740157483" top="0.78740157480314965" bottom="0.27559055118110237" header="0.59055118110236227" footer="0"/>
  <pageSetup paperSize="9" fitToHeight="0" orientation="landscape" r:id="rId1"/>
  <headerFooter>
    <oddHeader>&amp;R&amp;"Arial,Regular"&amp;9Page &amp;P of &amp;N</oddHeader>
  </headerFooter>
  <rowBreaks count="2" manualBreakCount="2">
    <brk id="30" max="16383" man="1"/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69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H1" sqref="H1"/>
    </sheetView>
  </sheetViews>
  <sheetFormatPr defaultColWidth="9.42578125" defaultRowHeight="12.75" x14ac:dyDescent="0.2"/>
  <cols>
    <col min="1" max="1" width="3.28515625" style="20" customWidth="1"/>
    <col min="2" max="2" width="47.42578125" style="20" bestFit="1" customWidth="1"/>
    <col min="3" max="8" width="6.7109375" style="20" customWidth="1"/>
    <col min="9" max="200" width="9.140625" style="20" customWidth="1"/>
    <col min="201" max="16384" width="9.42578125" style="20"/>
  </cols>
  <sheetData>
    <row r="1" spans="1:8" x14ac:dyDescent="0.2">
      <c r="A1" s="21" t="str">
        <f>UPPER((Kalend!E13)&amp;" - "&amp;(Kalend!C13)&amp;" - "&amp;(Kalend!D13))</f>
        <v>8 - JÕHVI PETANGITEISIPÄEVAKUTE 2. ETAPP - DUO</v>
      </c>
      <c r="D1" s="284" t="str">
        <f>HYPERLINK("#Kalend!J1","Kalender")</f>
        <v>Kalender</v>
      </c>
      <c r="E1" s="277"/>
      <c r="F1" s="284" t="str">
        <f>HYPERLINK("#Reit!J1","Reiting")</f>
        <v>Reiting</v>
      </c>
      <c r="G1" s="248"/>
    </row>
    <row r="2" spans="1:8" x14ac:dyDescent="0.2">
      <c r="A2" s="93" t="str">
        <f>"Toimumisaeg: "&amp;(Kalend!A13)&amp;" kell "&amp;(Kalend!B13)</f>
        <v>Toimumisaeg: T, 25.06.2002 kell 18:00</v>
      </c>
      <c r="G2" s="93"/>
    </row>
    <row r="3" spans="1:8" x14ac:dyDescent="0.2">
      <c r="A3" s="93" t="str">
        <f>"Toimumiskoht: "&amp;(Kalend!F13)</f>
        <v>Toimumiskoht: Jõhvi erakooli staadion (Jaama 37)</v>
      </c>
      <c r="G3" s="93"/>
    </row>
    <row r="4" spans="1:8" x14ac:dyDescent="0.2">
      <c r="A4" s="93" t="str">
        <f>"Korraldaja: "&amp;(Kalend!G13)</f>
        <v>Korraldaja: LTK Üks-Teist</v>
      </c>
      <c r="G4" s="93"/>
    </row>
    <row r="5" spans="1:8" s="134" customFormat="1" x14ac:dyDescent="0.2"/>
    <row r="6" spans="1:8" s="134" customFormat="1" x14ac:dyDescent="0.2">
      <c r="A6" s="139" t="s">
        <v>395</v>
      </c>
      <c r="G6" s="138"/>
      <c r="H6" s="138"/>
    </row>
    <row r="7" spans="1:8" s="93" customFormat="1" x14ac:dyDescent="0.2"/>
    <row r="8" spans="1:8" s="134" customFormat="1" x14ac:dyDescent="0.2">
      <c r="A8" s="153" t="s">
        <v>467</v>
      </c>
    </row>
    <row r="9" spans="1:8" s="93" customFormat="1" x14ac:dyDescent="0.2"/>
    <row r="10" spans="1:8" s="97" customFormat="1" x14ac:dyDescent="0.2">
      <c r="A10" s="109"/>
      <c r="B10" s="97" t="s">
        <v>396</v>
      </c>
      <c r="C10" s="110">
        <v>5</v>
      </c>
    </row>
    <row r="11" spans="1:8" s="97" customFormat="1" x14ac:dyDescent="0.2">
      <c r="A11" s="111"/>
      <c r="B11" s="112"/>
      <c r="C11" s="113" t="s">
        <v>397</v>
      </c>
      <c r="D11" s="114"/>
      <c r="F11" s="110">
        <v>11</v>
      </c>
    </row>
    <row r="12" spans="1:8" s="97" customFormat="1" x14ac:dyDescent="0.2">
      <c r="A12" s="111"/>
      <c r="B12" s="114" t="s">
        <v>397</v>
      </c>
      <c r="C12" s="115">
        <v>11</v>
      </c>
      <c r="E12" s="116"/>
    </row>
    <row r="13" spans="1:8" s="97" customFormat="1" ht="13.5" thickBot="1" x14ac:dyDescent="0.25">
      <c r="A13" s="111"/>
      <c r="D13" s="117"/>
      <c r="E13" s="118"/>
      <c r="G13" s="97" t="s">
        <v>397</v>
      </c>
    </row>
    <row r="14" spans="1:8" s="97" customFormat="1" x14ac:dyDescent="0.2">
      <c r="A14" s="111"/>
      <c r="B14" s="97" t="s">
        <v>554</v>
      </c>
      <c r="C14" s="119">
        <v>9</v>
      </c>
      <c r="E14" s="118"/>
      <c r="F14" s="120"/>
      <c r="G14" s="121" t="s">
        <v>664</v>
      </c>
      <c r="H14" s="122"/>
    </row>
    <row r="15" spans="1:8" s="97" customFormat="1" x14ac:dyDescent="0.2">
      <c r="A15" s="111"/>
      <c r="B15" s="112"/>
      <c r="C15" s="123" t="s">
        <v>555</v>
      </c>
      <c r="E15" s="124"/>
      <c r="F15" s="119">
        <v>3</v>
      </c>
    </row>
    <row r="16" spans="1:8" s="97" customFormat="1" ht="13.5" thickBot="1" x14ac:dyDescent="0.25">
      <c r="A16" s="111"/>
      <c r="B16" s="114" t="s">
        <v>555</v>
      </c>
      <c r="C16" s="125">
        <v>11</v>
      </c>
      <c r="D16" s="112"/>
      <c r="F16" s="117"/>
      <c r="G16" s="117" t="s">
        <v>555</v>
      </c>
      <c r="H16" s="126"/>
    </row>
    <row r="17" spans="1:8" s="97" customFormat="1" x14ac:dyDescent="0.2">
      <c r="A17" s="18"/>
      <c r="F17" s="117"/>
      <c r="G17" s="121" t="s">
        <v>665</v>
      </c>
      <c r="H17" s="117"/>
    </row>
    <row r="18" spans="1:8" s="97" customFormat="1" x14ac:dyDescent="0.2">
      <c r="A18" s="18"/>
      <c r="C18" s="97" t="s">
        <v>396</v>
      </c>
      <c r="F18" s="119">
        <v>6</v>
      </c>
      <c r="G18" s="117"/>
      <c r="H18" s="117"/>
    </row>
    <row r="19" spans="1:8" s="97" customFormat="1" ht="13.5" thickBot="1" x14ac:dyDescent="0.25">
      <c r="A19" s="18"/>
      <c r="C19" s="112"/>
      <c r="D19" s="112"/>
      <c r="E19" s="116"/>
      <c r="F19" s="126"/>
      <c r="G19" s="126" t="s">
        <v>554</v>
      </c>
      <c r="H19" s="126"/>
    </row>
    <row r="20" spans="1:8" s="97" customFormat="1" x14ac:dyDescent="0.2">
      <c r="A20" s="18"/>
      <c r="C20" s="114" t="s">
        <v>554</v>
      </c>
      <c r="D20" s="114"/>
      <c r="E20" s="124"/>
      <c r="F20" s="110">
        <v>11</v>
      </c>
      <c r="G20" s="127" t="s">
        <v>666</v>
      </c>
      <c r="H20" s="117"/>
    </row>
    <row r="21" spans="1:8" s="97" customFormat="1" x14ac:dyDescent="0.2">
      <c r="A21" s="18"/>
      <c r="G21" s="117"/>
      <c r="H21" s="117"/>
    </row>
    <row r="22" spans="1:8" s="97" customFormat="1" ht="13.5" thickBot="1" x14ac:dyDescent="0.25">
      <c r="A22" s="18"/>
      <c r="D22" s="117"/>
      <c r="E22" s="117"/>
      <c r="G22" s="126" t="s">
        <v>396</v>
      </c>
      <c r="H22" s="126"/>
    </row>
    <row r="23" spans="1:8" s="97" customFormat="1" x14ac:dyDescent="0.2">
      <c r="A23" s="18"/>
      <c r="D23" s="117"/>
      <c r="E23" s="117"/>
      <c r="G23" s="18" t="s">
        <v>292</v>
      </c>
    </row>
    <row r="24" spans="1:8" s="134" customFormat="1" x14ac:dyDescent="0.2">
      <c r="A24" s="153" t="s">
        <v>479</v>
      </c>
    </row>
    <row r="25" spans="1:8" s="93" customFormat="1" x14ac:dyDescent="0.2"/>
    <row r="26" spans="1:8" s="97" customFormat="1" x14ac:dyDescent="0.2">
      <c r="A26" s="109"/>
      <c r="B26" s="97" t="s">
        <v>381</v>
      </c>
      <c r="C26" s="110">
        <v>11</v>
      </c>
    </row>
    <row r="27" spans="1:8" s="97" customFormat="1" x14ac:dyDescent="0.2">
      <c r="A27" s="111"/>
      <c r="B27" s="112"/>
      <c r="C27" s="113" t="s">
        <v>381</v>
      </c>
      <c r="D27" s="114"/>
      <c r="E27" s="114"/>
      <c r="F27" s="110">
        <v>8</v>
      </c>
    </row>
    <row r="28" spans="1:8" s="97" customFormat="1" x14ac:dyDescent="0.2">
      <c r="A28" s="111"/>
      <c r="B28" s="114" t="s">
        <v>398</v>
      </c>
      <c r="C28" s="115">
        <v>10</v>
      </c>
      <c r="E28" s="118"/>
    </row>
    <row r="29" spans="1:8" s="97" customFormat="1" ht="13.5" thickBot="1" x14ac:dyDescent="0.25">
      <c r="A29" s="111"/>
      <c r="C29" s="117"/>
      <c r="E29" s="118"/>
      <c r="G29" s="97" t="s">
        <v>528</v>
      </c>
    </row>
    <row r="30" spans="1:8" s="97" customFormat="1" x14ac:dyDescent="0.2">
      <c r="A30" s="111"/>
      <c r="B30" s="114" t="s">
        <v>399</v>
      </c>
      <c r="C30" s="119">
        <v>3</v>
      </c>
      <c r="E30" s="118"/>
      <c r="F30" s="120"/>
      <c r="G30" s="121" t="s">
        <v>296</v>
      </c>
      <c r="H30" s="122"/>
    </row>
    <row r="31" spans="1:8" s="97" customFormat="1" x14ac:dyDescent="0.2">
      <c r="A31" s="111"/>
      <c r="B31" s="112"/>
      <c r="C31" s="123" t="s">
        <v>528</v>
      </c>
      <c r="E31" s="124"/>
      <c r="F31" s="119">
        <v>11</v>
      </c>
    </row>
    <row r="32" spans="1:8" s="97" customFormat="1" ht="13.5" thickBot="1" x14ac:dyDescent="0.25">
      <c r="A32" s="111"/>
      <c r="B32" s="114" t="s">
        <v>528</v>
      </c>
      <c r="C32" s="125">
        <v>11</v>
      </c>
      <c r="D32" s="112"/>
      <c r="F32" s="117"/>
      <c r="G32" s="117" t="s">
        <v>381</v>
      </c>
      <c r="H32" s="126"/>
    </row>
    <row r="33" spans="1:8" s="97" customFormat="1" x14ac:dyDescent="0.2">
      <c r="F33" s="117"/>
      <c r="G33" s="121" t="s">
        <v>298</v>
      </c>
      <c r="H33" s="117"/>
    </row>
    <row r="34" spans="1:8" s="97" customFormat="1" x14ac:dyDescent="0.2">
      <c r="C34" s="97" t="s">
        <v>398</v>
      </c>
      <c r="F34" s="119">
        <v>11</v>
      </c>
      <c r="G34" s="117"/>
      <c r="H34" s="117"/>
    </row>
    <row r="35" spans="1:8" s="97" customFormat="1" ht="13.5" thickBot="1" x14ac:dyDescent="0.25">
      <c r="C35" s="112"/>
      <c r="D35" s="112"/>
      <c r="E35" s="116"/>
      <c r="F35" s="126"/>
      <c r="G35" s="126" t="s">
        <v>398</v>
      </c>
      <c r="H35" s="126"/>
    </row>
    <row r="36" spans="1:8" s="97" customFormat="1" x14ac:dyDescent="0.2">
      <c r="C36" s="114" t="s">
        <v>399</v>
      </c>
      <c r="D36" s="114"/>
      <c r="E36" s="124"/>
      <c r="F36" s="110">
        <v>8</v>
      </c>
      <c r="G36" s="127" t="s">
        <v>299</v>
      </c>
      <c r="H36" s="117"/>
    </row>
    <row r="37" spans="1:8" s="97" customFormat="1" x14ac:dyDescent="0.2">
      <c r="G37" s="117"/>
      <c r="H37" s="117"/>
    </row>
    <row r="38" spans="1:8" s="97" customFormat="1" ht="13.5" thickBot="1" x14ac:dyDescent="0.25">
      <c r="D38" s="117"/>
      <c r="E38" s="117"/>
      <c r="G38" s="126" t="s">
        <v>399</v>
      </c>
      <c r="H38" s="126"/>
    </row>
    <row r="39" spans="1:8" s="97" customFormat="1" x14ac:dyDescent="0.2">
      <c r="D39" s="117"/>
      <c r="E39" s="117"/>
      <c r="G39" s="18" t="s">
        <v>300</v>
      </c>
    </row>
    <row r="40" spans="1:8" s="97" customFormat="1" x14ac:dyDescent="0.2">
      <c r="D40" s="117"/>
      <c r="E40" s="117"/>
      <c r="G40" s="18"/>
    </row>
    <row r="41" spans="1:8" x14ac:dyDescent="0.2">
      <c r="A41" s="174" t="s">
        <v>400</v>
      </c>
      <c r="G41" s="93"/>
    </row>
    <row r="42" spans="1:8" x14ac:dyDescent="0.2">
      <c r="A42" s="93"/>
      <c r="G42" s="93"/>
    </row>
    <row r="43" spans="1:8" x14ac:dyDescent="0.2">
      <c r="A43" s="93"/>
      <c r="C43" s="154" t="s">
        <v>401</v>
      </c>
      <c r="D43" s="97"/>
      <c r="E43" s="97"/>
      <c r="F43" s="119">
        <v>11</v>
      </c>
      <c r="G43" s="117"/>
      <c r="H43" s="117"/>
    </row>
    <row r="44" spans="1:8" ht="13.5" thickBot="1" x14ac:dyDescent="0.25">
      <c r="A44" s="93"/>
      <c r="C44" s="112"/>
      <c r="D44" s="112"/>
      <c r="E44" s="116"/>
      <c r="F44" s="126"/>
      <c r="G44" s="126" t="s">
        <v>401</v>
      </c>
      <c r="H44" s="126"/>
    </row>
    <row r="45" spans="1:8" x14ac:dyDescent="0.2">
      <c r="A45" s="93"/>
      <c r="C45" s="114" t="s">
        <v>387</v>
      </c>
      <c r="D45" s="114"/>
      <c r="E45" s="124"/>
      <c r="F45" s="110">
        <v>9</v>
      </c>
      <c r="G45" s="127" t="s">
        <v>402</v>
      </c>
      <c r="H45" s="117"/>
    </row>
    <row r="46" spans="1:8" x14ac:dyDescent="0.2">
      <c r="A46" s="93"/>
      <c r="C46" s="97"/>
      <c r="D46" s="97"/>
      <c r="E46" s="97"/>
      <c r="F46" s="97"/>
      <c r="G46" s="117"/>
      <c r="H46" s="117"/>
    </row>
    <row r="47" spans="1:8" ht="13.5" thickBot="1" x14ac:dyDescent="0.25">
      <c r="A47" s="93"/>
      <c r="C47" s="97"/>
      <c r="D47" s="117"/>
      <c r="E47" s="117"/>
      <c r="F47" s="97"/>
      <c r="G47" s="126" t="s">
        <v>387</v>
      </c>
      <c r="H47" s="126"/>
    </row>
    <row r="48" spans="1:8" x14ac:dyDescent="0.2">
      <c r="A48" s="93"/>
      <c r="C48" s="97"/>
      <c r="D48" s="117"/>
      <c r="E48" s="117"/>
      <c r="F48" s="97"/>
      <c r="G48" s="18" t="s">
        <v>403</v>
      </c>
      <c r="H48" s="97"/>
    </row>
    <row r="49" spans="1:8" x14ac:dyDescent="0.2">
      <c r="A49" s="93"/>
      <c r="G49" s="93"/>
    </row>
    <row r="50" spans="1:8" x14ac:dyDescent="0.2">
      <c r="A50" s="93"/>
      <c r="C50" s="154" t="s">
        <v>404</v>
      </c>
      <c r="D50" s="97"/>
      <c r="E50" s="97"/>
      <c r="F50" s="119">
        <v>11</v>
      </c>
      <c r="G50" s="117"/>
      <c r="H50" s="117"/>
    </row>
    <row r="51" spans="1:8" ht="13.5" thickBot="1" x14ac:dyDescent="0.25">
      <c r="A51" s="93"/>
      <c r="C51" s="112"/>
      <c r="D51" s="112"/>
      <c r="E51" s="116"/>
      <c r="F51" s="126"/>
      <c r="G51" s="126" t="s">
        <v>404</v>
      </c>
      <c r="H51" s="126"/>
    </row>
    <row r="52" spans="1:8" x14ac:dyDescent="0.2">
      <c r="A52" s="93"/>
      <c r="C52" s="114" t="s">
        <v>405</v>
      </c>
      <c r="D52" s="114"/>
      <c r="E52" s="124"/>
      <c r="F52" s="110">
        <v>7</v>
      </c>
      <c r="G52" s="127" t="s">
        <v>406</v>
      </c>
      <c r="H52" s="117"/>
    </row>
    <row r="53" spans="1:8" x14ac:dyDescent="0.2">
      <c r="A53" s="93"/>
      <c r="C53" s="97"/>
      <c r="D53" s="97"/>
      <c r="E53" s="97"/>
      <c r="F53" s="97"/>
      <c r="G53" s="117"/>
      <c r="H53" s="117"/>
    </row>
    <row r="54" spans="1:8" ht="13.5" thickBot="1" x14ac:dyDescent="0.25">
      <c r="A54" s="93"/>
      <c r="C54" s="97"/>
      <c r="D54" s="117"/>
      <c r="E54" s="117"/>
      <c r="F54" s="97"/>
      <c r="G54" s="126" t="s">
        <v>405</v>
      </c>
      <c r="H54" s="126"/>
    </row>
    <row r="55" spans="1:8" s="93" customFormat="1" x14ac:dyDescent="0.2">
      <c r="C55" s="97"/>
      <c r="D55" s="117"/>
      <c r="E55" s="117"/>
      <c r="F55" s="97"/>
      <c r="G55" s="18" t="s">
        <v>407</v>
      </c>
      <c r="H55" s="97"/>
    </row>
    <row r="56" spans="1:8" s="93" customFormat="1" x14ac:dyDescent="0.2"/>
    <row r="57" spans="1:8" s="93" customFormat="1" x14ac:dyDescent="0.2">
      <c r="A57" s="94">
        <v>1</v>
      </c>
      <c r="B57" s="334" t="s">
        <v>397</v>
      </c>
    </row>
    <row r="58" spans="1:8" s="93" customFormat="1" x14ac:dyDescent="0.2">
      <c r="A58" s="94">
        <v>2</v>
      </c>
      <c r="B58" s="335" t="s">
        <v>555</v>
      </c>
    </row>
    <row r="59" spans="1:8" s="93" customFormat="1" x14ac:dyDescent="0.2">
      <c r="A59" s="94">
        <v>3</v>
      </c>
      <c r="B59" s="336" t="s">
        <v>554</v>
      </c>
    </row>
    <row r="60" spans="1:8" s="93" customFormat="1" x14ac:dyDescent="0.2">
      <c r="A60" s="94">
        <v>4</v>
      </c>
      <c r="B60" s="37" t="s">
        <v>396</v>
      </c>
    </row>
    <row r="61" spans="1:8" s="93" customFormat="1" x14ac:dyDescent="0.2">
      <c r="A61" s="94">
        <v>5</v>
      </c>
      <c r="B61" s="37" t="s">
        <v>528</v>
      </c>
    </row>
    <row r="62" spans="1:8" s="93" customFormat="1" x14ac:dyDescent="0.2">
      <c r="A62" s="94">
        <v>6</v>
      </c>
      <c r="B62" s="37" t="s">
        <v>381</v>
      </c>
    </row>
    <row r="63" spans="1:8" s="93" customFormat="1" x14ac:dyDescent="0.2">
      <c r="A63" s="94">
        <v>7</v>
      </c>
      <c r="B63" s="37" t="s">
        <v>398</v>
      </c>
    </row>
    <row r="64" spans="1:8" x14ac:dyDescent="0.2">
      <c r="A64" s="94">
        <v>8</v>
      </c>
      <c r="B64" s="37" t="s">
        <v>399</v>
      </c>
    </row>
    <row r="65" spans="1:2" x14ac:dyDescent="0.2">
      <c r="A65" s="94">
        <v>9</v>
      </c>
      <c r="B65" s="37" t="s">
        <v>401</v>
      </c>
    </row>
    <row r="66" spans="1:2" x14ac:dyDescent="0.2">
      <c r="A66" s="94">
        <v>10</v>
      </c>
      <c r="B66" s="37" t="s">
        <v>387</v>
      </c>
    </row>
    <row r="67" spans="1:2" x14ac:dyDescent="0.2">
      <c r="A67" s="94">
        <v>11</v>
      </c>
      <c r="B67" s="37" t="s">
        <v>404</v>
      </c>
    </row>
    <row r="68" spans="1:2" x14ac:dyDescent="0.2">
      <c r="A68" s="94">
        <v>12</v>
      </c>
      <c r="B68" s="11" t="s">
        <v>405</v>
      </c>
    </row>
    <row r="69" spans="1:2" x14ac:dyDescent="0.2">
      <c r="A69" s="94">
        <v>13</v>
      </c>
      <c r="B69" s="11" t="s">
        <v>408</v>
      </c>
    </row>
  </sheetData>
  <conditionalFormatting sqref="C10:F52">
    <cfRule type="cellIs" dxfId="12" priority="1" operator="equal">
      <formula>11</formula>
    </cfRule>
  </conditionalFormatting>
  <pageMargins left="0.78740157480314965" right="0.39370078740157483" top="0.78740157480314965" bottom="0.27559055118110237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2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K1" sqref="K1"/>
    </sheetView>
  </sheetViews>
  <sheetFormatPr defaultColWidth="9.42578125" defaultRowHeight="12.75" x14ac:dyDescent="0.2"/>
  <cols>
    <col min="1" max="1" width="5.5703125" style="20" customWidth="1"/>
    <col min="2" max="2" width="19.140625" style="20" bestFit="1" customWidth="1"/>
    <col min="3" max="204" width="9.140625" style="20" customWidth="1"/>
    <col min="205" max="16384" width="9.42578125" style="20"/>
  </cols>
  <sheetData>
    <row r="1" spans="1:11" x14ac:dyDescent="0.2">
      <c r="A1" s="21" t="str">
        <f>UPPER((Kalend!E14)&amp;" - "&amp;(Kalend!C14)&amp;" - "&amp;(Kalend!D14))</f>
        <v>9 - VOKA 1. MV - ÜKSIK</v>
      </c>
      <c r="G1" s="284" t="str">
        <f>HYPERLINK("#Kalend!J1","Kalender")</f>
        <v>Kalender</v>
      </c>
      <c r="H1" s="277"/>
      <c r="I1" s="284" t="str">
        <f>HYPERLINK("#Reit!J1","Reiting")</f>
        <v>Reiting</v>
      </c>
      <c r="J1" s="248"/>
      <c r="K1" s="248"/>
    </row>
    <row r="2" spans="1:11" x14ac:dyDescent="0.2">
      <c r="A2" s="93" t="str">
        <f>"Toimumisaeg: "&amp;(Kalend!A14)&amp;" kell "&amp;(Kalend!B14)</f>
        <v>Toimumisaeg: N, 27.06.2002 kell 18:00</v>
      </c>
    </row>
    <row r="3" spans="1:11" x14ac:dyDescent="0.2">
      <c r="A3" s="93" t="str">
        <f>"Toimumiskoht: "&amp;(Kalend!F14)</f>
        <v>Toimumiskoht: Voka poe esine väljak</v>
      </c>
    </row>
    <row r="4" spans="1:11" x14ac:dyDescent="0.2">
      <c r="A4" s="93" t="str">
        <f>"Korraldaja: "&amp;(Kalend!G14)</f>
        <v xml:space="preserve">Korraldaja: </v>
      </c>
    </row>
    <row r="5" spans="1:11" s="134" customFormat="1" x14ac:dyDescent="0.2"/>
    <row r="6" spans="1:11" s="134" customFormat="1" x14ac:dyDescent="0.2">
      <c r="A6" s="150" t="s">
        <v>529</v>
      </c>
    </row>
    <row r="7" spans="1:11" s="93" customFormat="1" x14ac:dyDescent="0.2">
      <c r="A7" s="95" t="s">
        <v>409</v>
      </c>
    </row>
    <row r="8" spans="1:11" s="93" customFormat="1" x14ac:dyDescent="0.2"/>
    <row r="9" spans="1:11" s="93" customFormat="1" x14ac:dyDescent="0.2">
      <c r="A9" s="175">
        <v>1</v>
      </c>
      <c r="B9" s="334" t="s">
        <v>410</v>
      </c>
      <c r="C9" s="176"/>
    </row>
    <row r="10" spans="1:11" s="93" customFormat="1" x14ac:dyDescent="0.2">
      <c r="A10" s="175">
        <v>2</v>
      </c>
      <c r="B10" s="335" t="s">
        <v>94</v>
      </c>
    </row>
    <row r="11" spans="1:11" s="93" customFormat="1" x14ac:dyDescent="0.2">
      <c r="A11" s="175">
        <v>3</v>
      </c>
      <c r="B11" s="336" t="s">
        <v>78</v>
      </c>
    </row>
    <row r="12" spans="1:11" s="93" customFormat="1" x14ac:dyDescent="0.2">
      <c r="A12" s="175">
        <v>4</v>
      </c>
      <c r="B12" s="135" t="s">
        <v>86</v>
      </c>
    </row>
    <row r="13" spans="1:11" s="93" customFormat="1" x14ac:dyDescent="0.2">
      <c r="A13" s="175">
        <v>5</v>
      </c>
      <c r="B13" s="135" t="s">
        <v>92</v>
      </c>
    </row>
    <row r="14" spans="1:11" s="93" customFormat="1" x14ac:dyDescent="0.2">
      <c r="A14" s="175">
        <v>6</v>
      </c>
      <c r="B14" s="135" t="s">
        <v>74</v>
      </c>
    </row>
    <row r="15" spans="1:11" s="93" customFormat="1" x14ac:dyDescent="0.2">
      <c r="A15" s="177" t="s">
        <v>411</v>
      </c>
      <c r="B15" s="135" t="s">
        <v>76</v>
      </c>
    </row>
    <row r="16" spans="1:11" x14ac:dyDescent="0.2">
      <c r="A16" s="177"/>
      <c r="B16" s="135" t="s">
        <v>180</v>
      </c>
    </row>
    <row r="17" spans="1:2" x14ac:dyDescent="0.2">
      <c r="A17" s="177" t="s">
        <v>412</v>
      </c>
      <c r="B17" s="135" t="s">
        <v>71</v>
      </c>
    </row>
    <row r="18" spans="1:2" x14ac:dyDescent="0.2">
      <c r="A18" s="177"/>
      <c r="B18" s="135" t="s">
        <v>181</v>
      </c>
    </row>
    <row r="19" spans="1:2" x14ac:dyDescent="0.2">
      <c r="A19" s="177"/>
      <c r="B19" s="135" t="s">
        <v>182</v>
      </c>
    </row>
    <row r="20" spans="1:2" x14ac:dyDescent="0.2">
      <c r="A20" s="177"/>
      <c r="B20" s="135" t="s">
        <v>183</v>
      </c>
    </row>
    <row r="21" spans="1:2" x14ac:dyDescent="0.2">
      <c r="A21" s="177" t="s">
        <v>413</v>
      </c>
      <c r="B21" s="135" t="s">
        <v>80</v>
      </c>
    </row>
    <row r="22" spans="1:2" x14ac:dyDescent="0.2">
      <c r="A22" s="177"/>
      <c r="B22" s="135" t="s">
        <v>184</v>
      </c>
    </row>
    <row r="23" spans="1:2" x14ac:dyDescent="0.2">
      <c r="A23" s="177"/>
      <c r="B23" s="135" t="s">
        <v>185</v>
      </c>
    </row>
    <row r="24" spans="1:2" x14ac:dyDescent="0.2">
      <c r="A24" s="177"/>
      <c r="B24" s="135" t="s">
        <v>186</v>
      </c>
    </row>
    <row r="25" spans="1:2" x14ac:dyDescent="0.2">
      <c r="A25" s="177" t="s">
        <v>414</v>
      </c>
      <c r="B25" s="135" t="s">
        <v>187</v>
      </c>
    </row>
    <row r="26" spans="1:2" x14ac:dyDescent="0.2">
      <c r="A26" s="175"/>
      <c r="B26" s="135" t="s">
        <v>188</v>
      </c>
    </row>
    <row r="27" spans="1:2" x14ac:dyDescent="0.2">
      <c r="A27" s="175"/>
      <c r="B27" s="135" t="s">
        <v>72</v>
      </c>
    </row>
    <row r="28" spans="1:2" x14ac:dyDescent="0.2">
      <c r="A28" s="175"/>
      <c r="B28" s="135" t="s">
        <v>104</v>
      </c>
    </row>
    <row r="29" spans="1:2" x14ac:dyDescent="0.2">
      <c r="A29" s="175"/>
      <c r="B29" s="135" t="s">
        <v>81</v>
      </c>
    </row>
    <row r="30" spans="1:2" x14ac:dyDescent="0.2">
      <c r="A30" s="175"/>
      <c r="B30" s="135" t="s">
        <v>189</v>
      </c>
    </row>
    <row r="31" spans="1:2" x14ac:dyDescent="0.2">
      <c r="A31" s="175"/>
      <c r="B31" s="135" t="s">
        <v>102</v>
      </c>
    </row>
    <row r="32" spans="1:2" x14ac:dyDescent="0.2">
      <c r="A32" s="175"/>
      <c r="B32" s="135" t="s">
        <v>82</v>
      </c>
    </row>
  </sheetData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9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G1" sqref="G1"/>
    </sheetView>
  </sheetViews>
  <sheetFormatPr defaultColWidth="9.42578125" defaultRowHeight="12.75" x14ac:dyDescent="0.2"/>
  <cols>
    <col min="1" max="1" width="3.28515625" style="20" customWidth="1"/>
    <col min="2" max="2" width="54.7109375" style="20" customWidth="1"/>
    <col min="3" max="7" width="5.7109375" style="20" customWidth="1"/>
    <col min="8" max="8" width="6" style="20" customWidth="1"/>
    <col min="9" max="202" width="9.140625" style="20" customWidth="1"/>
    <col min="203" max="16384" width="9.42578125" style="20"/>
  </cols>
  <sheetData>
    <row r="1" spans="1:8" x14ac:dyDescent="0.2">
      <c r="A1" s="21" t="str">
        <f>UPPER((Kalend!E16)&amp;"- "&amp;(Kalend!C16)&amp;" - "&amp;(Kalend!D16))</f>
        <v>10- JÕHVI PETANGITEISIPÄEVAKUTE 3. ETAPP - TRIO</v>
      </c>
      <c r="C1" s="284" t="str">
        <f>HYPERLINK("#Kalend!J1","Kalender")</f>
        <v>Kalender</v>
      </c>
      <c r="D1" s="277"/>
      <c r="E1" s="284" t="str">
        <f>HYPERLINK("#Reit!J1","Reiting")</f>
        <v>Reiting</v>
      </c>
      <c r="F1" s="248"/>
      <c r="G1" s="248"/>
    </row>
    <row r="2" spans="1:8" x14ac:dyDescent="0.2">
      <c r="A2" s="93" t="str">
        <f>"Toimumisaeg: "&amp;(Kalend!A16)&amp;" kell "&amp;(Kalend!B16)</f>
        <v>Toimumisaeg: T, 09.07.2002 kell 18:00</v>
      </c>
      <c r="G2" s="93"/>
    </row>
    <row r="3" spans="1:8" x14ac:dyDescent="0.2">
      <c r="A3" s="93" t="str">
        <f>"Toimumiskoht: "&amp;(Kalend!F16)</f>
        <v>Toimumiskoht: Jõhvi erakooli staadion (Jaama 37)</v>
      </c>
      <c r="G3" s="93"/>
    </row>
    <row r="4" spans="1:8" x14ac:dyDescent="0.2">
      <c r="A4" s="93" t="str">
        <f>"Korraldaja: "&amp;(Kalend!G16)</f>
        <v>Korraldaja: LTK Üks-Teist</v>
      </c>
      <c r="G4" s="93"/>
    </row>
    <row r="5" spans="1:8" x14ac:dyDescent="0.2">
      <c r="A5" s="93"/>
      <c r="G5" s="93"/>
    </row>
    <row r="6" spans="1:8" s="134" customFormat="1" x14ac:dyDescent="0.2">
      <c r="A6" s="139" t="s">
        <v>395</v>
      </c>
      <c r="G6" s="138"/>
      <c r="H6" s="138"/>
    </row>
    <row r="7" spans="1:8" s="134" customFormat="1" x14ac:dyDescent="0.2">
      <c r="A7" s="178" t="s">
        <v>369</v>
      </c>
      <c r="G7" s="138"/>
      <c r="H7" s="138"/>
    </row>
    <row r="8" spans="1:8" s="93" customFormat="1" x14ac:dyDescent="0.2"/>
    <row r="9" spans="1:8" x14ac:dyDescent="0.2">
      <c r="A9" s="174" t="s">
        <v>347</v>
      </c>
      <c r="G9" s="93"/>
    </row>
    <row r="10" spans="1:8" x14ac:dyDescent="0.2">
      <c r="A10" s="93"/>
      <c r="G10" s="93"/>
    </row>
    <row r="11" spans="1:8" s="97" customFormat="1" x14ac:dyDescent="0.2">
      <c r="A11" s="109"/>
      <c r="B11" s="97" t="s">
        <v>536</v>
      </c>
      <c r="C11" s="110">
        <v>11</v>
      </c>
    </row>
    <row r="12" spans="1:8" s="97" customFormat="1" x14ac:dyDescent="0.2">
      <c r="A12" s="111"/>
      <c r="B12" s="112"/>
      <c r="C12" s="113" t="s">
        <v>536</v>
      </c>
      <c r="D12" s="114"/>
      <c r="F12" s="110">
        <v>11</v>
      </c>
    </row>
    <row r="13" spans="1:8" s="97" customFormat="1" x14ac:dyDescent="0.2">
      <c r="A13" s="111"/>
      <c r="B13" s="114" t="s">
        <v>549</v>
      </c>
      <c r="C13" s="115">
        <v>4</v>
      </c>
      <c r="E13" s="116"/>
    </row>
    <row r="14" spans="1:8" s="97" customFormat="1" ht="13.5" thickBot="1" x14ac:dyDescent="0.25">
      <c r="A14" s="111"/>
      <c r="D14" s="117"/>
      <c r="E14" s="118"/>
      <c r="G14" s="97" t="s">
        <v>536</v>
      </c>
    </row>
    <row r="15" spans="1:8" s="97" customFormat="1" x14ac:dyDescent="0.2">
      <c r="A15" s="111"/>
      <c r="B15" s="97" t="s">
        <v>530</v>
      </c>
      <c r="C15" s="119">
        <v>4</v>
      </c>
      <c r="E15" s="118"/>
      <c r="F15" s="120"/>
      <c r="G15" s="121" t="s">
        <v>664</v>
      </c>
      <c r="H15" s="122"/>
    </row>
    <row r="16" spans="1:8" s="97" customFormat="1" x14ac:dyDescent="0.2">
      <c r="A16" s="111"/>
      <c r="B16" s="112"/>
      <c r="C16" s="123" t="s">
        <v>307</v>
      </c>
      <c r="E16" s="124"/>
      <c r="F16" s="119">
        <v>7</v>
      </c>
    </row>
    <row r="17" spans="1:8" s="97" customFormat="1" ht="13.5" thickBot="1" x14ac:dyDescent="0.25">
      <c r="A17" s="111"/>
      <c r="B17" s="114" t="s">
        <v>307</v>
      </c>
      <c r="C17" s="125">
        <v>11</v>
      </c>
      <c r="D17" s="112"/>
      <c r="F17" s="117"/>
      <c r="G17" s="117" t="s">
        <v>307</v>
      </c>
      <c r="H17" s="126"/>
    </row>
    <row r="18" spans="1:8" s="97" customFormat="1" x14ac:dyDescent="0.2">
      <c r="A18" s="18"/>
      <c r="F18" s="117"/>
      <c r="G18" s="121" t="s">
        <v>665</v>
      </c>
      <c r="H18" s="117"/>
    </row>
    <row r="19" spans="1:8" s="97" customFormat="1" x14ac:dyDescent="0.2">
      <c r="A19" s="18"/>
      <c r="C19" s="97" t="s">
        <v>549</v>
      </c>
      <c r="F19" s="119">
        <v>11</v>
      </c>
      <c r="G19" s="117"/>
      <c r="H19" s="117"/>
    </row>
    <row r="20" spans="1:8" s="97" customFormat="1" ht="13.5" thickBot="1" x14ac:dyDescent="0.25">
      <c r="A20" s="18"/>
      <c r="C20" s="112"/>
      <c r="D20" s="112"/>
      <c r="E20" s="116"/>
      <c r="F20" s="126"/>
      <c r="G20" s="126" t="s">
        <v>549</v>
      </c>
      <c r="H20" s="126"/>
    </row>
    <row r="21" spans="1:8" s="97" customFormat="1" x14ac:dyDescent="0.2">
      <c r="A21" s="18"/>
      <c r="C21" s="114" t="s">
        <v>530</v>
      </c>
      <c r="D21" s="114"/>
      <c r="E21" s="124"/>
      <c r="F21" s="110">
        <v>9</v>
      </c>
      <c r="G21" s="127" t="s">
        <v>666</v>
      </c>
      <c r="H21" s="117"/>
    </row>
    <row r="22" spans="1:8" s="97" customFormat="1" x14ac:dyDescent="0.2">
      <c r="A22" s="18"/>
      <c r="G22" s="117"/>
      <c r="H22" s="117"/>
    </row>
    <row r="23" spans="1:8" s="97" customFormat="1" ht="13.5" thickBot="1" x14ac:dyDescent="0.25">
      <c r="A23" s="18"/>
      <c r="D23" s="117"/>
      <c r="E23" s="117"/>
      <c r="G23" s="126" t="s">
        <v>530</v>
      </c>
      <c r="H23" s="126"/>
    </row>
    <row r="24" spans="1:8" s="97" customFormat="1" x14ac:dyDescent="0.2">
      <c r="A24" s="18"/>
      <c r="D24" s="117"/>
      <c r="E24" s="117"/>
      <c r="G24" s="18" t="s">
        <v>292</v>
      </c>
    </row>
    <row r="25" spans="1:8" s="97" customFormat="1" x14ac:dyDescent="0.2">
      <c r="A25" s="127"/>
      <c r="B25" s="117"/>
      <c r="C25" s="128"/>
      <c r="D25" s="129"/>
      <c r="E25" s="129"/>
      <c r="F25" s="130"/>
      <c r="G25" s="129"/>
      <c r="H25" s="128"/>
    </row>
    <row r="26" spans="1:8" x14ac:dyDescent="0.2">
      <c r="A26" s="174" t="s">
        <v>349</v>
      </c>
      <c r="G26" s="93"/>
    </row>
    <row r="27" spans="1:8" x14ac:dyDescent="0.2">
      <c r="A27" s="93"/>
      <c r="G27" s="93"/>
    </row>
    <row r="28" spans="1:8" x14ac:dyDescent="0.2">
      <c r="A28" s="93"/>
      <c r="C28" s="154" t="s">
        <v>551</v>
      </c>
      <c r="D28" s="97"/>
      <c r="E28" s="97"/>
      <c r="F28" s="119">
        <v>7</v>
      </c>
      <c r="G28" s="117"/>
      <c r="H28" s="117"/>
    </row>
    <row r="29" spans="1:8" ht="13.5" thickBot="1" x14ac:dyDescent="0.25">
      <c r="A29" s="93"/>
      <c r="C29" s="112"/>
      <c r="D29" s="112"/>
      <c r="E29" s="116"/>
      <c r="F29" s="126"/>
      <c r="G29" s="126" t="s">
        <v>550</v>
      </c>
      <c r="H29" s="126"/>
    </row>
    <row r="30" spans="1:8" x14ac:dyDescent="0.2">
      <c r="A30" s="93"/>
      <c r="C30" s="114" t="s">
        <v>550</v>
      </c>
      <c r="D30" s="114"/>
      <c r="E30" s="124"/>
      <c r="F30" s="110">
        <v>11</v>
      </c>
      <c r="G30" s="127" t="s">
        <v>296</v>
      </c>
      <c r="H30" s="117"/>
    </row>
    <row r="31" spans="1:8" x14ac:dyDescent="0.2">
      <c r="A31" s="93"/>
      <c r="C31" s="97"/>
      <c r="D31" s="97"/>
      <c r="E31" s="97"/>
      <c r="F31" s="97"/>
      <c r="G31" s="117"/>
      <c r="H31" s="117"/>
    </row>
    <row r="32" spans="1:8" ht="13.5" thickBot="1" x14ac:dyDescent="0.25">
      <c r="A32" s="93"/>
      <c r="C32" s="97"/>
      <c r="D32" s="117"/>
      <c r="E32" s="117"/>
      <c r="F32" s="97"/>
      <c r="G32" s="126" t="s">
        <v>551</v>
      </c>
      <c r="H32" s="126"/>
    </row>
    <row r="33" spans="1:8" x14ac:dyDescent="0.2">
      <c r="A33" s="93"/>
      <c r="C33" s="97"/>
      <c r="D33" s="117"/>
      <c r="E33" s="117"/>
      <c r="F33" s="97"/>
      <c r="G33" s="18" t="s">
        <v>298</v>
      </c>
      <c r="H33" s="97"/>
    </row>
    <row r="34" spans="1:8" x14ac:dyDescent="0.2">
      <c r="A34" s="93"/>
      <c r="G34" s="93"/>
    </row>
    <row r="35" spans="1:8" x14ac:dyDescent="0.2">
      <c r="A35" s="93"/>
      <c r="C35" s="154" t="s">
        <v>552</v>
      </c>
      <c r="D35" s="97"/>
      <c r="E35" s="97"/>
      <c r="F35" s="119">
        <v>11</v>
      </c>
      <c r="G35" s="117"/>
      <c r="H35" s="117"/>
    </row>
    <row r="36" spans="1:8" ht="13.5" thickBot="1" x14ac:dyDescent="0.25">
      <c r="A36" s="93"/>
      <c r="C36" s="112"/>
      <c r="D36" s="112"/>
      <c r="E36" s="116"/>
      <c r="F36" s="126"/>
      <c r="G36" s="126" t="s">
        <v>552</v>
      </c>
      <c r="H36" s="126"/>
    </row>
    <row r="37" spans="1:8" x14ac:dyDescent="0.2">
      <c r="A37" s="93"/>
      <c r="C37" s="114" t="s">
        <v>553</v>
      </c>
      <c r="D37" s="114"/>
      <c r="E37" s="124"/>
      <c r="F37" s="110">
        <v>2</v>
      </c>
      <c r="G37" s="127" t="s">
        <v>299</v>
      </c>
      <c r="H37" s="117"/>
    </row>
    <row r="38" spans="1:8" x14ac:dyDescent="0.2">
      <c r="A38" s="93"/>
      <c r="C38" s="97"/>
      <c r="D38" s="97"/>
      <c r="E38" s="97"/>
      <c r="F38" s="97"/>
      <c r="G38" s="117"/>
      <c r="H38" s="117"/>
    </row>
    <row r="39" spans="1:8" ht="13.5" thickBot="1" x14ac:dyDescent="0.25">
      <c r="A39" s="93"/>
      <c r="C39" s="97"/>
      <c r="D39" s="117"/>
      <c r="E39" s="117"/>
      <c r="F39" s="97"/>
      <c r="G39" s="126" t="s">
        <v>553</v>
      </c>
      <c r="H39" s="126"/>
    </row>
    <row r="40" spans="1:8" s="93" customFormat="1" x14ac:dyDescent="0.2">
      <c r="C40" s="97"/>
      <c r="D40" s="117"/>
      <c r="E40" s="117"/>
      <c r="F40" s="97"/>
      <c r="G40" s="18" t="s">
        <v>300</v>
      </c>
      <c r="H40" s="97"/>
    </row>
    <row r="41" spans="1:8" s="93" customFormat="1" x14ac:dyDescent="0.2">
      <c r="C41" s="97"/>
      <c r="D41" s="117"/>
      <c r="E41" s="117"/>
      <c r="F41" s="97"/>
      <c r="G41" s="18"/>
      <c r="H41" s="97"/>
    </row>
    <row r="42" spans="1:8" s="93" customFormat="1" x14ac:dyDescent="0.2">
      <c r="A42" s="94">
        <v>1</v>
      </c>
      <c r="B42" s="334" t="s">
        <v>536</v>
      </c>
    </row>
    <row r="43" spans="1:8" s="93" customFormat="1" x14ac:dyDescent="0.2">
      <c r="A43" s="94">
        <v>2</v>
      </c>
      <c r="B43" s="335" t="s">
        <v>307</v>
      </c>
    </row>
    <row r="44" spans="1:8" s="93" customFormat="1" x14ac:dyDescent="0.2">
      <c r="A44" s="94">
        <v>3</v>
      </c>
      <c r="B44" s="336" t="s">
        <v>549</v>
      </c>
    </row>
    <row r="45" spans="1:8" s="93" customFormat="1" x14ac:dyDescent="0.2">
      <c r="A45" s="94">
        <v>4</v>
      </c>
      <c r="B45" s="237" t="s">
        <v>530</v>
      </c>
    </row>
    <row r="46" spans="1:8" s="93" customFormat="1" x14ac:dyDescent="0.2">
      <c r="A46" s="94">
        <v>5</v>
      </c>
      <c r="B46" s="237" t="s">
        <v>550</v>
      </c>
    </row>
    <row r="47" spans="1:8" s="93" customFormat="1" x14ac:dyDescent="0.2">
      <c r="A47" s="94">
        <v>6</v>
      </c>
      <c r="B47" s="237" t="s">
        <v>551</v>
      </c>
    </row>
    <row r="48" spans="1:8" s="93" customFormat="1" x14ac:dyDescent="0.2">
      <c r="A48" s="94">
        <v>7</v>
      </c>
      <c r="B48" s="237" t="s">
        <v>552</v>
      </c>
    </row>
    <row r="49" spans="1:2" s="93" customFormat="1" x14ac:dyDescent="0.2">
      <c r="A49" s="94">
        <v>8</v>
      </c>
      <c r="B49" s="237" t="s">
        <v>553</v>
      </c>
    </row>
  </sheetData>
  <conditionalFormatting sqref="C11:F37">
    <cfRule type="cellIs" dxfId="11" priority="1" operator="equal">
      <formula>11</formula>
    </cfRule>
  </conditionalFormatting>
  <pageMargins left="0.59055118110236227" right="0.39370078740157483" top="0.78740157480314965" bottom="0.27559055118110237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91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J1" sqref="J1"/>
    </sheetView>
  </sheetViews>
  <sheetFormatPr defaultColWidth="9.42578125" defaultRowHeight="12.75" x14ac:dyDescent="0.2"/>
  <cols>
    <col min="1" max="1" width="3.28515625" style="20" customWidth="1"/>
    <col min="2" max="2" width="30" style="20" bestFit="1" customWidth="1"/>
    <col min="3" max="4" width="9.140625" style="20" customWidth="1"/>
    <col min="5" max="6" width="5.7109375" style="20" customWidth="1"/>
    <col min="7" max="210" width="9.140625" style="20" customWidth="1"/>
    <col min="211" max="16384" width="9.42578125" style="20"/>
  </cols>
  <sheetData>
    <row r="1" spans="1:10" x14ac:dyDescent="0.2">
      <c r="A1" s="21" t="str">
        <f>UPPER((Kalend!E17)&amp;" - "&amp;(Kalend!C17)&amp;" - "&amp;(Kalend!D17))</f>
        <v>11 - JÕHVI PETANGITEISIPÄEVAKUTE 4. ETAPP - ÜKSIK</v>
      </c>
      <c r="F1" s="284" t="str">
        <f>HYPERLINK("#Kalend!J1","Kalender")</f>
        <v>Kalender</v>
      </c>
      <c r="G1" s="277"/>
      <c r="H1" s="284" t="str">
        <f>HYPERLINK("#Reit!J1","Reiting")</f>
        <v>Reiting</v>
      </c>
      <c r="I1" s="248"/>
      <c r="J1" s="248"/>
    </row>
    <row r="2" spans="1:10" x14ac:dyDescent="0.2">
      <c r="A2" s="93" t="str">
        <f>"Toimumisaeg: "&amp;(Kalend!A17)&amp;" kell "&amp;(Kalend!B17)</f>
        <v>Toimumisaeg: T, 23.07.2002 kell 18:00</v>
      </c>
      <c r="G2" s="93"/>
    </row>
    <row r="3" spans="1:10" x14ac:dyDescent="0.2">
      <c r="A3" s="93" t="str">
        <f>"Toimumiskoht: "&amp;(Kalend!F17)</f>
        <v>Toimumiskoht: Jõhvi erakooli staadion (Jaama 37)</v>
      </c>
      <c r="G3" s="93"/>
    </row>
    <row r="4" spans="1:10" x14ac:dyDescent="0.2">
      <c r="A4" s="93" t="str">
        <f>"Korraldaja: "&amp;(Kalend!G17)</f>
        <v>Korraldaja: LTK Üks-Teist</v>
      </c>
      <c r="G4" s="93"/>
    </row>
    <row r="5" spans="1:10" s="248" customFormat="1" x14ac:dyDescent="0.2">
      <c r="A5" s="277"/>
      <c r="G5" s="277"/>
    </row>
    <row r="6" spans="1:10" s="93" customFormat="1" x14ac:dyDescent="0.2">
      <c r="A6" s="139" t="s">
        <v>395</v>
      </c>
    </row>
    <row r="7" spans="1:10" s="93" customFormat="1" x14ac:dyDescent="0.2">
      <c r="A7" s="139"/>
    </row>
    <row r="8" spans="1:10" x14ac:dyDescent="0.2">
      <c r="A8" s="174" t="s">
        <v>347</v>
      </c>
      <c r="G8" s="93"/>
    </row>
    <row r="9" spans="1:10" s="248" customFormat="1" x14ac:dyDescent="0.2">
      <c r="A9" s="174"/>
      <c r="G9" s="277"/>
    </row>
    <row r="10" spans="1:10" s="97" customFormat="1" x14ac:dyDescent="0.2">
      <c r="A10" s="109"/>
      <c r="B10" s="114" t="s">
        <v>329</v>
      </c>
      <c r="C10" s="110">
        <v>3</v>
      </c>
    </row>
    <row r="11" spans="1:10" s="97" customFormat="1" x14ac:dyDescent="0.2">
      <c r="A11" s="111"/>
      <c r="B11" s="116"/>
      <c r="C11" s="113" t="s">
        <v>327</v>
      </c>
      <c r="D11" s="114"/>
      <c r="F11" s="110">
        <v>11</v>
      </c>
    </row>
    <row r="12" spans="1:10" s="97" customFormat="1" x14ac:dyDescent="0.2">
      <c r="A12" s="111"/>
      <c r="B12" s="124" t="s">
        <v>327</v>
      </c>
      <c r="C12" s="115">
        <v>11</v>
      </c>
      <c r="E12" s="116"/>
    </row>
    <row r="13" spans="1:10" s="97" customFormat="1" ht="13.5" thickBot="1" x14ac:dyDescent="0.25">
      <c r="A13" s="111"/>
      <c r="D13" s="117"/>
      <c r="E13" s="118"/>
      <c r="G13" s="97" t="s">
        <v>327</v>
      </c>
    </row>
    <row r="14" spans="1:10" s="97" customFormat="1" x14ac:dyDescent="0.2">
      <c r="A14" s="111"/>
      <c r="B14" s="97" t="s">
        <v>339</v>
      </c>
      <c r="C14" s="119">
        <v>5</v>
      </c>
      <c r="E14" s="118"/>
      <c r="F14" s="120"/>
      <c r="G14" s="121" t="s">
        <v>664</v>
      </c>
      <c r="H14" s="122"/>
    </row>
    <row r="15" spans="1:10" s="97" customFormat="1" x14ac:dyDescent="0.2">
      <c r="A15" s="111"/>
      <c r="B15" s="112"/>
      <c r="C15" s="123" t="s">
        <v>354</v>
      </c>
      <c r="E15" s="124"/>
      <c r="F15" s="119">
        <v>5</v>
      </c>
    </row>
    <row r="16" spans="1:10" s="97" customFormat="1" ht="13.5" thickBot="1" x14ac:dyDescent="0.25">
      <c r="A16" s="111"/>
      <c r="B16" s="114" t="s">
        <v>354</v>
      </c>
      <c r="C16" s="125">
        <v>11</v>
      </c>
      <c r="D16" s="112"/>
      <c r="F16" s="117"/>
      <c r="G16" s="117" t="s">
        <v>354</v>
      </c>
      <c r="H16" s="126"/>
    </row>
    <row r="17" spans="1:8" s="97" customFormat="1" x14ac:dyDescent="0.2">
      <c r="A17" s="18"/>
      <c r="F17" s="117"/>
      <c r="G17" s="121" t="s">
        <v>665</v>
      </c>
      <c r="H17" s="117"/>
    </row>
    <row r="18" spans="1:8" s="97" customFormat="1" x14ac:dyDescent="0.2">
      <c r="A18" s="18"/>
      <c r="C18" s="97" t="s">
        <v>329</v>
      </c>
      <c r="F18" s="119">
        <v>11</v>
      </c>
      <c r="G18" s="117"/>
      <c r="H18" s="117"/>
    </row>
    <row r="19" spans="1:8" s="97" customFormat="1" ht="13.5" thickBot="1" x14ac:dyDescent="0.25">
      <c r="A19" s="18"/>
      <c r="C19" s="112"/>
      <c r="D19" s="112"/>
      <c r="E19" s="116"/>
      <c r="F19" s="126"/>
      <c r="G19" s="126" t="s">
        <v>329</v>
      </c>
      <c r="H19" s="126"/>
    </row>
    <row r="20" spans="1:8" s="97" customFormat="1" x14ac:dyDescent="0.2">
      <c r="A20" s="18"/>
      <c r="C20" s="114" t="s">
        <v>339</v>
      </c>
      <c r="D20" s="114"/>
      <c r="E20" s="124"/>
      <c r="F20" s="110">
        <v>3</v>
      </c>
      <c r="G20" s="127" t="s">
        <v>666</v>
      </c>
      <c r="H20" s="117"/>
    </row>
    <row r="21" spans="1:8" s="97" customFormat="1" x14ac:dyDescent="0.2">
      <c r="A21" s="18"/>
      <c r="G21" s="117"/>
      <c r="H21" s="117"/>
    </row>
    <row r="22" spans="1:8" s="97" customFormat="1" ht="13.5" thickBot="1" x14ac:dyDescent="0.25">
      <c r="A22" s="18"/>
      <c r="D22" s="117"/>
      <c r="E22" s="117"/>
      <c r="G22" s="126" t="s">
        <v>339</v>
      </c>
      <c r="H22" s="126"/>
    </row>
    <row r="23" spans="1:8" s="97" customFormat="1" x14ac:dyDescent="0.2">
      <c r="A23" s="18"/>
      <c r="D23" s="117"/>
      <c r="E23" s="117"/>
      <c r="G23" s="18" t="s">
        <v>292</v>
      </c>
    </row>
    <row r="24" spans="1:8" s="97" customFormat="1" x14ac:dyDescent="0.2">
      <c r="A24" s="18"/>
      <c r="D24" s="117"/>
      <c r="E24" s="117"/>
      <c r="G24" s="18"/>
    </row>
    <row r="25" spans="1:8" s="97" customFormat="1" x14ac:dyDescent="0.2">
      <c r="A25" s="174" t="s">
        <v>349</v>
      </c>
      <c r="D25" s="117"/>
      <c r="E25" s="117"/>
      <c r="G25" s="18"/>
    </row>
    <row r="26" spans="1:8" s="97" customFormat="1" x14ac:dyDescent="0.2">
      <c r="A26" s="18"/>
      <c r="D26" s="117"/>
      <c r="E26" s="117"/>
      <c r="G26" s="18"/>
    </row>
    <row r="27" spans="1:8" x14ac:dyDescent="0.2">
      <c r="C27" s="154" t="s">
        <v>80</v>
      </c>
      <c r="D27" s="97"/>
      <c r="E27" s="97"/>
      <c r="F27" s="119">
        <v>11</v>
      </c>
      <c r="G27" s="117"/>
      <c r="H27" s="117"/>
    </row>
    <row r="28" spans="1:8" ht="13.5" thickBot="1" x14ac:dyDescent="0.25">
      <c r="A28" s="214"/>
      <c r="C28" s="112"/>
      <c r="D28" s="112"/>
      <c r="E28" s="116"/>
      <c r="F28" s="126"/>
      <c r="G28" s="126" t="s">
        <v>80</v>
      </c>
      <c r="H28" s="126"/>
    </row>
    <row r="29" spans="1:8" x14ac:dyDescent="0.2">
      <c r="A29" s="214"/>
      <c r="C29" s="114" t="s">
        <v>98</v>
      </c>
      <c r="D29" s="114"/>
      <c r="E29" s="124"/>
      <c r="F29" s="110">
        <v>5</v>
      </c>
      <c r="G29" s="127" t="s">
        <v>296</v>
      </c>
      <c r="H29" s="117"/>
    </row>
    <row r="30" spans="1:8" x14ac:dyDescent="0.2">
      <c r="A30" s="214"/>
      <c r="C30" s="97"/>
      <c r="D30" s="97"/>
      <c r="E30" s="97"/>
      <c r="F30" s="97"/>
      <c r="G30" s="117"/>
      <c r="H30" s="117"/>
    </row>
    <row r="31" spans="1:8" ht="13.5" thickBot="1" x14ac:dyDescent="0.25">
      <c r="A31" s="214"/>
      <c r="C31" s="97"/>
      <c r="D31" s="117"/>
      <c r="E31" s="117"/>
      <c r="F31" s="97"/>
      <c r="G31" s="126" t="s">
        <v>98</v>
      </c>
      <c r="H31" s="126"/>
    </row>
    <row r="32" spans="1:8" x14ac:dyDescent="0.2">
      <c r="A32" s="214"/>
      <c r="C32" s="97"/>
      <c r="D32" s="117"/>
      <c r="E32" s="117"/>
      <c r="F32" s="97"/>
      <c r="G32" s="18" t="s">
        <v>298</v>
      </c>
      <c r="H32" s="97"/>
    </row>
    <row r="33" spans="1:8" x14ac:dyDescent="0.2">
      <c r="A33" s="214"/>
      <c r="C33" s="154" t="s">
        <v>79</v>
      </c>
      <c r="D33" s="97"/>
      <c r="E33" s="97"/>
      <c r="F33" s="119">
        <v>11</v>
      </c>
      <c r="G33" s="117"/>
      <c r="H33" s="117"/>
    </row>
    <row r="34" spans="1:8" ht="13.5" thickBot="1" x14ac:dyDescent="0.25">
      <c r="A34" s="214"/>
      <c r="C34" s="112"/>
      <c r="D34" s="112"/>
      <c r="E34" s="116"/>
      <c r="F34" s="126"/>
      <c r="G34" s="126" t="s">
        <v>79</v>
      </c>
      <c r="H34" s="126"/>
    </row>
    <row r="35" spans="1:8" x14ac:dyDescent="0.2">
      <c r="A35" s="214"/>
      <c r="C35" s="114" t="s">
        <v>97</v>
      </c>
      <c r="D35" s="114"/>
      <c r="E35" s="124"/>
      <c r="F35" s="110">
        <v>7</v>
      </c>
      <c r="G35" s="127" t="s">
        <v>299</v>
      </c>
      <c r="H35" s="117"/>
    </row>
    <row r="36" spans="1:8" x14ac:dyDescent="0.2">
      <c r="A36" s="214"/>
      <c r="C36" s="97"/>
      <c r="D36" s="97"/>
      <c r="E36" s="97"/>
      <c r="F36" s="97"/>
      <c r="G36" s="117"/>
      <c r="H36" s="117"/>
    </row>
    <row r="37" spans="1:8" ht="13.5" thickBot="1" x14ac:dyDescent="0.25">
      <c r="A37" s="214"/>
      <c r="C37" s="97"/>
      <c r="D37" s="117"/>
      <c r="E37" s="117"/>
      <c r="F37" s="97"/>
      <c r="G37" s="126" t="s">
        <v>97</v>
      </c>
      <c r="H37" s="126"/>
    </row>
    <row r="38" spans="1:8" s="93" customFormat="1" x14ac:dyDescent="0.2">
      <c r="A38" s="214"/>
      <c r="C38" s="97"/>
      <c r="D38" s="117"/>
      <c r="E38" s="117"/>
      <c r="F38" s="97"/>
      <c r="G38" s="18" t="s">
        <v>300</v>
      </c>
      <c r="H38" s="97"/>
    </row>
    <row r="39" spans="1:8" s="277" customFormat="1" x14ac:dyDescent="0.2">
      <c r="A39" s="214"/>
      <c r="C39" s="97"/>
      <c r="D39" s="117"/>
      <c r="E39" s="117"/>
      <c r="F39" s="97"/>
      <c r="G39" s="18"/>
      <c r="H39" s="97"/>
    </row>
    <row r="40" spans="1:8" s="277" customFormat="1" x14ac:dyDescent="0.2">
      <c r="A40" s="153" t="s">
        <v>519</v>
      </c>
      <c r="C40" s="97"/>
      <c r="D40" s="117"/>
      <c r="E40" s="117"/>
      <c r="F40" s="97"/>
      <c r="G40" s="18"/>
      <c r="H40" s="97"/>
    </row>
    <row r="41" spans="1:8" s="277" customFormat="1" x14ac:dyDescent="0.2">
      <c r="A41" s="93"/>
      <c r="C41" s="97"/>
      <c r="D41" s="117"/>
      <c r="E41" s="117"/>
      <c r="F41" s="97"/>
      <c r="G41" s="18"/>
      <c r="H41" s="97"/>
    </row>
    <row r="42" spans="1:8" x14ac:dyDescent="0.2">
      <c r="C42" s="154" t="s">
        <v>86</v>
      </c>
      <c r="D42" s="97"/>
      <c r="E42" s="97"/>
      <c r="F42" s="119">
        <v>11</v>
      </c>
      <c r="G42" s="117"/>
      <c r="H42" s="117"/>
    </row>
    <row r="43" spans="1:8" ht="13.5" thickBot="1" x14ac:dyDescent="0.25">
      <c r="C43" s="112"/>
      <c r="D43" s="112"/>
      <c r="E43" s="116"/>
      <c r="F43" s="126"/>
      <c r="G43" s="126" t="s">
        <v>86</v>
      </c>
      <c r="H43" s="126"/>
    </row>
    <row r="44" spans="1:8" x14ac:dyDescent="0.2">
      <c r="A44" s="93"/>
      <c r="C44" s="114" t="s">
        <v>81</v>
      </c>
      <c r="D44" s="114"/>
      <c r="E44" s="124"/>
      <c r="F44" s="110">
        <v>10</v>
      </c>
      <c r="G44" s="127" t="s">
        <v>402</v>
      </c>
      <c r="H44" s="117"/>
    </row>
    <row r="45" spans="1:8" x14ac:dyDescent="0.2">
      <c r="A45" s="93"/>
      <c r="C45" s="97"/>
      <c r="D45" s="97"/>
      <c r="E45" s="97"/>
      <c r="F45" s="97"/>
      <c r="G45" s="117"/>
      <c r="H45" s="117"/>
    </row>
    <row r="46" spans="1:8" ht="13.5" thickBot="1" x14ac:dyDescent="0.25">
      <c r="A46" s="93"/>
      <c r="C46" s="97"/>
      <c r="D46" s="117"/>
      <c r="E46" s="117"/>
      <c r="F46" s="97"/>
      <c r="G46" s="126" t="s">
        <v>81</v>
      </c>
      <c r="H46" s="126"/>
    </row>
    <row r="47" spans="1:8" x14ac:dyDescent="0.2">
      <c r="A47" s="93"/>
      <c r="C47" s="97"/>
      <c r="D47" s="117"/>
      <c r="E47" s="117"/>
      <c r="F47" s="97"/>
      <c r="G47" s="18" t="s">
        <v>403</v>
      </c>
      <c r="H47" s="97"/>
    </row>
    <row r="48" spans="1:8" x14ac:dyDescent="0.2">
      <c r="A48" s="93"/>
      <c r="C48" s="154" t="s">
        <v>166</v>
      </c>
      <c r="D48" s="97"/>
      <c r="E48" s="97"/>
      <c r="F48" s="119">
        <v>11</v>
      </c>
      <c r="G48" s="117"/>
      <c r="H48" s="117"/>
    </row>
    <row r="49" spans="1:8" ht="13.5" thickBot="1" x14ac:dyDescent="0.25">
      <c r="A49" s="93"/>
      <c r="C49" s="112"/>
      <c r="D49" s="112"/>
      <c r="E49" s="116"/>
      <c r="F49" s="126"/>
      <c r="G49" s="126" t="s">
        <v>166</v>
      </c>
      <c r="H49" s="126"/>
    </row>
    <row r="50" spans="1:8" x14ac:dyDescent="0.2">
      <c r="A50" s="93"/>
      <c r="C50" s="114" t="s">
        <v>83</v>
      </c>
      <c r="D50" s="114"/>
      <c r="E50" s="124"/>
      <c r="F50" s="110">
        <v>9</v>
      </c>
      <c r="G50" s="127" t="s">
        <v>406</v>
      </c>
      <c r="H50" s="117"/>
    </row>
    <row r="51" spans="1:8" x14ac:dyDescent="0.2">
      <c r="A51" s="93"/>
      <c r="C51" s="97"/>
      <c r="D51" s="97"/>
      <c r="E51" s="97"/>
      <c r="F51" s="97"/>
      <c r="G51" s="117"/>
      <c r="H51" s="117"/>
    </row>
    <row r="52" spans="1:8" ht="13.5" thickBot="1" x14ac:dyDescent="0.25">
      <c r="A52" s="93"/>
      <c r="C52" s="97"/>
      <c r="D52" s="117"/>
      <c r="E52" s="117"/>
      <c r="F52" s="97"/>
      <c r="G52" s="126" t="s">
        <v>83</v>
      </c>
      <c r="H52" s="126"/>
    </row>
    <row r="53" spans="1:8" s="93" customFormat="1" x14ac:dyDescent="0.2">
      <c r="C53" s="97"/>
      <c r="D53" s="117"/>
      <c r="E53" s="117"/>
      <c r="F53" s="97"/>
      <c r="G53" s="18" t="s">
        <v>407</v>
      </c>
      <c r="H53" s="97"/>
    </row>
    <row r="54" spans="1:8" x14ac:dyDescent="0.2">
      <c r="A54" s="93"/>
      <c r="C54" s="154" t="s">
        <v>104</v>
      </c>
      <c r="D54" s="97"/>
      <c r="E54" s="97"/>
      <c r="F54" s="119">
        <v>11</v>
      </c>
      <c r="G54" s="117"/>
      <c r="H54" s="117"/>
    </row>
    <row r="55" spans="1:8" ht="13.5" thickBot="1" x14ac:dyDescent="0.25">
      <c r="A55" s="93"/>
      <c r="C55" s="112"/>
      <c r="D55" s="112"/>
      <c r="E55" s="116"/>
      <c r="F55" s="126"/>
      <c r="G55" s="126" t="s">
        <v>104</v>
      </c>
      <c r="H55" s="126"/>
    </row>
    <row r="56" spans="1:8" x14ac:dyDescent="0.2">
      <c r="A56" s="93"/>
      <c r="C56" s="114" t="s">
        <v>135</v>
      </c>
      <c r="D56" s="114"/>
      <c r="E56" s="124"/>
      <c r="F56" s="110">
        <v>10</v>
      </c>
      <c r="G56" s="127" t="s">
        <v>415</v>
      </c>
      <c r="H56" s="117"/>
    </row>
    <row r="57" spans="1:8" x14ac:dyDescent="0.2">
      <c r="A57" s="93"/>
      <c r="C57" s="97"/>
      <c r="D57" s="97"/>
      <c r="E57" s="97"/>
      <c r="F57" s="97"/>
      <c r="G57" s="117"/>
      <c r="H57" s="117"/>
    </row>
    <row r="58" spans="1:8" ht="13.5" thickBot="1" x14ac:dyDescent="0.25">
      <c r="A58" s="93"/>
      <c r="C58" s="97"/>
      <c r="D58" s="117"/>
      <c r="E58" s="117"/>
      <c r="F58" s="97"/>
      <c r="G58" s="126" t="s">
        <v>135</v>
      </c>
      <c r="H58" s="126"/>
    </row>
    <row r="59" spans="1:8" x14ac:dyDescent="0.2">
      <c r="A59" s="93"/>
      <c r="C59" s="97"/>
      <c r="D59" s="117"/>
      <c r="E59" s="117"/>
      <c r="F59" s="97"/>
      <c r="G59" s="18" t="s">
        <v>416</v>
      </c>
      <c r="H59" s="97"/>
    </row>
    <row r="60" spans="1:8" x14ac:dyDescent="0.2">
      <c r="A60" s="93"/>
      <c r="C60" s="154" t="s">
        <v>170</v>
      </c>
      <c r="D60" s="97"/>
      <c r="E60" s="97"/>
      <c r="F60" s="119">
        <v>11</v>
      </c>
      <c r="G60" s="117"/>
      <c r="H60" s="117"/>
    </row>
    <row r="61" spans="1:8" ht="13.5" thickBot="1" x14ac:dyDescent="0.25">
      <c r="A61" s="93"/>
      <c r="C61" s="112"/>
      <c r="D61" s="112"/>
      <c r="E61" s="116"/>
      <c r="F61" s="126"/>
      <c r="G61" s="126" t="s">
        <v>170</v>
      </c>
      <c r="H61" s="126"/>
    </row>
    <row r="62" spans="1:8" x14ac:dyDescent="0.2">
      <c r="A62" s="93"/>
      <c r="C62" s="114" t="s">
        <v>103</v>
      </c>
      <c r="D62" s="114"/>
      <c r="E62" s="124"/>
      <c r="F62" s="110">
        <v>8</v>
      </c>
      <c r="G62" s="127" t="s">
        <v>417</v>
      </c>
      <c r="H62" s="117"/>
    </row>
    <row r="63" spans="1:8" x14ac:dyDescent="0.2">
      <c r="A63" s="93"/>
      <c r="C63" s="97"/>
      <c r="D63" s="97"/>
      <c r="E63" s="97"/>
      <c r="F63" s="97"/>
      <c r="G63" s="117"/>
      <c r="H63" s="117"/>
    </row>
    <row r="64" spans="1:8" ht="13.5" thickBot="1" x14ac:dyDescent="0.25">
      <c r="A64" s="93"/>
      <c r="C64" s="97"/>
      <c r="D64" s="117"/>
      <c r="E64" s="117"/>
      <c r="F64" s="97"/>
      <c r="G64" s="126" t="s">
        <v>103</v>
      </c>
      <c r="H64" s="126"/>
    </row>
    <row r="65" spans="1:8" s="93" customFormat="1" x14ac:dyDescent="0.2">
      <c r="C65" s="97"/>
      <c r="D65" s="117"/>
      <c r="E65" s="117"/>
      <c r="F65" s="97"/>
      <c r="G65" s="18" t="s">
        <v>418</v>
      </c>
      <c r="H65" s="97"/>
    </row>
    <row r="66" spans="1:8" x14ac:dyDescent="0.2">
      <c r="A66" s="93"/>
      <c r="C66" s="154" t="s">
        <v>113</v>
      </c>
      <c r="D66" s="97"/>
      <c r="E66" s="97"/>
      <c r="F66" s="119">
        <v>11</v>
      </c>
      <c r="G66" s="117"/>
      <c r="H66" s="117"/>
    </row>
    <row r="67" spans="1:8" ht="13.5" thickBot="1" x14ac:dyDescent="0.25">
      <c r="A67" s="93"/>
      <c r="C67" s="112"/>
      <c r="D67" s="112"/>
      <c r="E67" s="116"/>
      <c r="F67" s="126"/>
      <c r="G67" s="126" t="s">
        <v>113</v>
      </c>
      <c r="H67" s="126"/>
    </row>
    <row r="68" spans="1:8" x14ac:dyDescent="0.2">
      <c r="A68" s="93"/>
      <c r="C68" s="114" t="s">
        <v>517</v>
      </c>
      <c r="D68" s="114"/>
      <c r="E68" s="124"/>
      <c r="F68" s="110">
        <v>4</v>
      </c>
      <c r="G68" s="127" t="s">
        <v>419</v>
      </c>
      <c r="H68" s="117"/>
    </row>
    <row r="69" spans="1:8" x14ac:dyDescent="0.2">
      <c r="A69" s="93"/>
      <c r="C69" s="97"/>
      <c r="D69" s="97"/>
      <c r="E69" s="97"/>
      <c r="F69" s="97"/>
      <c r="G69" s="117"/>
      <c r="H69" s="117"/>
    </row>
    <row r="70" spans="1:8" ht="13.5" thickBot="1" x14ac:dyDescent="0.25">
      <c r="A70" s="93"/>
      <c r="C70" s="97"/>
      <c r="D70" s="117"/>
      <c r="E70" s="117"/>
      <c r="F70" s="97"/>
      <c r="G70" s="126" t="s">
        <v>517</v>
      </c>
      <c r="H70" s="126"/>
    </row>
    <row r="71" spans="1:8" s="93" customFormat="1" x14ac:dyDescent="0.2">
      <c r="C71" s="97"/>
      <c r="D71" s="117"/>
      <c r="E71" s="117"/>
      <c r="F71" s="97"/>
      <c r="G71" s="18" t="s">
        <v>420</v>
      </c>
      <c r="H71" s="97"/>
    </row>
    <row r="72" spans="1:8" s="93" customFormat="1" x14ac:dyDescent="0.2">
      <c r="A72" s="139"/>
    </row>
    <row r="73" spans="1:8" s="93" customFormat="1" x14ac:dyDescent="0.2">
      <c r="A73" s="94">
        <v>1</v>
      </c>
      <c r="B73" s="334" t="s">
        <v>327</v>
      </c>
    </row>
    <row r="74" spans="1:8" s="93" customFormat="1" x14ac:dyDescent="0.2">
      <c r="A74" s="94">
        <v>2</v>
      </c>
      <c r="B74" s="335" t="s">
        <v>354</v>
      </c>
    </row>
    <row r="75" spans="1:8" s="93" customFormat="1" x14ac:dyDescent="0.2">
      <c r="A75" s="94">
        <v>3</v>
      </c>
      <c r="B75" s="336" t="s">
        <v>329</v>
      </c>
    </row>
    <row r="76" spans="1:8" s="93" customFormat="1" x14ac:dyDescent="0.2">
      <c r="A76" s="94">
        <v>4</v>
      </c>
      <c r="B76" s="37" t="s">
        <v>339</v>
      </c>
    </row>
    <row r="77" spans="1:8" s="93" customFormat="1" x14ac:dyDescent="0.2">
      <c r="A77" s="94">
        <v>5</v>
      </c>
      <c r="B77" s="37" t="s">
        <v>421</v>
      </c>
    </row>
    <row r="78" spans="1:8" s="93" customFormat="1" x14ac:dyDescent="0.2">
      <c r="A78" s="94">
        <v>6</v>
      </c>
      <c r="B78" s="37" t="s">
        <v>422</v>
      </c>
    </row>
    <row r="79" spans="1:8" s="93" customFormat="1" x14ac:dyDescent="0.2">
      <c r="A79" s="94">
        <v>7</v>
      </c>
      <c r="B79" s="37" t="s">
        <v>334</v>
      </c>
    </row>
    <row r="80" spans="1:8" s="93" customFormat="1" x14ac:dyDescent="0.2">
      <c r="A80" s="94">
        <v>8</v>
      </c>
      <c r="B80" s="37" t="s">
        <v>423</v>
      </c>
    </row>
    <row r="81" spans="1:2" x14ac:dyDescent="0.2">
      <c r="A81" s="94">
        <v>9</v>
      </c>
      <c r="B81" s="11" t="s">
        <v>525</v>
      </c>
    </row>
    <row r="82" spans="1:2" x14ac:dyDescent="0.2">
      <c r="A82" s="94">
        <v>10</v>
      </c>
      <c r="B82" s="11" t="s">
        <v>325</v>
      </c>
    </row>
    <row r="83" spans="1:2" x14ac:dyDescent="0.2">
      <c r="A83" s="94">
        <v>11</v>
      </c>
      <c r="B83" s="236" t="s">
        <v>424</v>
      </c>
    </row>
    <row r="84" spans="1:2" x14ac:dyDescent="0.2">
      <c r="A84" s="94">
        <v>12</v>
      </c>
      <c r="B84" s="11" t="s">
        <v>340</v>
      </c>
    </row>
    <row r="85" spans="1:2" x14ac:dyDescent="0.2">
      <c r="A85" s="94">
        <v>13</v>
      </c>
      <c r="B85" s="11" t="s">
        <v>104</v>
      </c>
    </row>
    <row r="86" spans="1:2" x14ac:dyDescent="0.2">
      <c r="A86" s="94">
        <v>14</v>
      </c>
      <c r="B86" s="236" t="s">
        <v>367</v>
      </c>
    </row>
    <row r="87" spans="1:2" x14ac:dyDescent="0.2">
      <c r="A87" s="94">
        <v>15</v>
      </c>
      <c r="B87" s="11" t="s">
        <v>425</v>
      </c>
    </row>
    <row r="88" spans="1:2" x14ac:dyDescent="0.2">
      <c r="A88" s="94">
        <v>16</v>
      </c>
      <c r="B88" s="11" t="s">
        <v>365</v>
      </c>
    </row>
    <row r="89" spans="1:2" x14ac:dyDescent="0.2">
      <c r="A89" s="94">
        <v>17</v>
      </c>
      <c r="B89" s="11" t="s">
        <v>426</v>
      </c>
    </row>
    <row r="90" spans="1:2" x14ac:dyDescent="0.2">
      <c r="A90" s="94">
        <v>18</v>
      </c>
      <c r="B90" s="11" t="s">
        <v>427</v>
      </c>
    </row>
    <row r="91" spans="1:2" x14ac:dyDescent="0.2">
      <c r="A91" s="94">
        <v>19</v>
      </c>
      <c r="B91" s="11" t="s">
        <v>171</v>
      </c>
    </row>
  </sheetData>
  <conditionalFormatting sqref="C10:F68">
    <cfRule type="cellIs" dxfId="10" priority="1" operator="equal">
      <formula>11</formula>
    </cfRule>
  </conditionalFormatting>
  <pageMargins left="0.78740157480314965" right="0.39370078740157483" top="0.78740157480314965" bottom="0.27559055118110237" header="0.59055118110236227" footer="0"/>
  <pageSetup paperSize="9" fitToHeight="0" orientation="portrait" r:id="rId1"/>
  <headerFooter>
    <oddHeader>&amp;R&amp;"Arial,Regular"&amp;9Page &amp;P of &amp;N</oddHeader>
  </headerFooter>
  <rowBreaks count="1" manualBreakCount="1">
    <brk id="3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9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J1" sqref="J1"/>
    </sheetView>
  </sheetViews>
  <sheetFormatPr defaultColWidth="9.42578125" defaultRowHeight="12.75" x14ac:dyDescent="0.2"/>
  <cols>
    <col min="1" max="1" width="3.28515625" style="20" customWidth="1"/>
    <col min="2" max="2" width="42.42578125" style="20" bestFit="1" customWidth="1"/>
    <col min="3" max="7" width="6.28515625" style="20" customWidth="1"/>
    <col min="8" max="8" width="3.140625" style="20" bestFit="1" customWidth="1"/>
    <col min="9" max="9" width="3.140625" style="20" customWidth="1"/>
    <col min="10" max="10" width="7" style="20" bestFit="1" customWidth="1"/>
    <col min="11" max="207" width="9.140625" style="20" customWidth="1"/>
    <col min="208" max="16384" width="9.42578125" style="20"/>
  </cols>
  <sheetData>
    <row r="1" spans="1:10" x14ac:dyDescent="0.2">
      <c r="A1" s="21" t="str">
        <f>UPPER((Kalend!E19)&amp;" - "&amp;(Kalend!C19)&amp;" - "&amp;(Kalend!D19))</f>
        <v>12 - K-JÄRVE 1. KV 3. ETAPP - TRIO</v>
      </c>
      <c r="E1" s="284" t="str">
        <f>HYPERLINK("#Kalend!J1","Kalender")</f>
        <v>Kalender</v>
      </c>
      <c r="F1" s="277"/>
      <c r="G1" s="284" t="str">
        <f>HYPERLINK("#Reit!J1","Reiting")</f>
        <v>Reiting</v>
      </c>
      <c r="H1" s="248"/>
      <c r="I1" s="248"/>
    </row>
    <row r="2" spans="1:10" x14ac:dyDescent="0.2">
      <c r="A2" s="93" t="str">
        <f>"Toimumisaeg: "&amp;(Kalend!A19)&amp;" kell "&amp;(Kalend!B19)</f>
        <v>Toimumisaeg: T, 06.08.2002 kell 18:00</v>
      </c>
      <c r="G2" s="93"/>
    </row>
    <row r="3" spans="1:10" x14ac:dyDescent="0.2">
      <c r="A3" s="93" t="str">
        <f>"Toimumiskoht: "&amp;(Kalend!F19)</f>
        <v>Toimumiskoht: K-Järve Järve gümnaasiumi staadion</v>
      </c>
      <c r="G3" s="93"/>
    </row>
    <row r="4" spans="1:10" x14ac:dyDescent="0.2">
      <c r="A4" s="93" t="str">
        <f>"Korraldaja: "&amp;(Kalend!G19)</f>
        <v>Korraldaja: K-Järve SHK</v>
      </c>
      <c r="G4" s="93"/>
    </row>
    <row r="5" spans="1:10" x14ac:dyDescent="0.2">
      <c r="A5" s="93"/>
      <c r="G5" s="93"/>
    </row>
    <row r="6" spans="1:10" x14ac:dyDescent="0.2">
      <c r="A6" s="139" t="s">
        <v>428</v>
      </c>
      <c r="G6" s="93"/>
    </row>
    <row r="7" spans="1:10" x14ac:dyDescent="0.2">
      <c r="A7" s="139" t="s">
        <v>429</v>
      </c>
      <c r="G7" s="93"/>
    </row>
    <row r="8" spans="1:10" x14ac:dyDescent="0.2">
      <c r="A8" s="93"/>
      <c r="G8" s="93"/>
    </row>
    <row r="9" spans="1:10" s="97" customFormat="1" x14ac:dyDescent="0.2">
      <c r="A9" s="369" t="s">
        <v>314</v>
      </c>
      <c r="B9" s="370"/>
      <c r="C9" s="87">
        <v>1</v>
      </c>
      <c r="D9" s="87">
        <v>2</v>
      </c>
      <c r="E9" s="87">
        <v>3</v>
      </c>
      <c r="F9" s="87" t="s">
        <v>254</v>
      </c>
      <c r="G9" s="87" t="s">
        <v>67</v>
      </c>
    </row>
    <row r="10" spans="1:10" s="97" customFormat="1" x14ac:dyDescent="0.2">
      <c r="A10" s="96">
        <v>1</v>
      </c>
      <c r="B10" s="179" t="s">
        <v>543</v>
      </c>
      <c r="C10" s="99" t="s">
        <v>161</v>
      </c>
      <c r="D10" s="100">
        <v>13</v>
      </c>
      <c r="E10" s="100">
        <v>8</v>
      </c>
      <c r="F10" s="104" t="s">
        <v>306</v>
      </c>
      <c r="G10" s="103" t="s">
        <v>258</v>
      </c>
      <c r="H10" s="241" t="s">
        <v>430</v>
      </c>
      <c r="J10" s="173" t="s">
        <v>664</v>
      </c>
    </row>
    <row r="11" spans="1:10" s="97" customFormat="1" x14ac:dyDescent="0.2">
      <c r="A11" s="96">
        <v>2</v>
      </c>
      <c r="B11" s="135" t="s">
        <v>544</v>
      </c>
      <c r="C11" s="100">
        <v>3</v>
      </c>
      <c r="D11" s="99"/>
      <c r="E11" s="100">
        <v>13</v>
      </c>
      <c r="F11" s="104" t="s">
        <v>306</v>
      </c>
      <c r="G11" s="103" t="s">
        <v>270</v>
      </c>
      <c r="H11" s="241" t="s">
        <v>431</v>
      </c>
      <c r="J11" s="173" t="s">
        <v>666</v>
      </c>
    </row>
    <row r="12" spans="1:10" s="97" customFormat="1" x14ac:dyDescent="0.2">
      <c r="A12" s="96">
        <v>3</v>
      </c>
      <c r="B12" s="135" t="s">
        <v>545</v>
      </c>
      <c r="C12" s="100">
        <v>13</v>
      </c>
      <c r="D12" s="103">
        <v>6</v>
      </c>
      <c r="E12" s="99"/>
      <c r="F12" s="104" t="s">
        <v>306</v>
      </c>
      <c r="G12" s="103" t="s">
        <v>262</v>
      </c>
      <c r="H12" s="241" t="s">
        <v>432</v>
      </c>
      <c r="J12" s="173" t="s">
        <v>665</v>
      </c>
    </row>
    <row r="13" spans="1:10" s="178" customFormat="1" x14ac:dyDescent="0.2">
      <c r="A13" s="232"/>
      <c r="B13" s="232"/>
      <c r="C13" s="130"/>
      <c r="D13" s="272"/>
      <c r="E13" s="130"/>
      <c r="F13" s="279"/>
      <c r="G13" s="272"/>
      <c r="H13" s="280"/>
    </row>
    <row r="14" spans="1:10" s="97" customFormat="1" x14ac:dyDescent="0.2">
      <c r="A14" s="127"/>
      <c r="B14" s="117"/>
      <c r="C14" s="128"/>
      <c r="D14" s="180"/>
      <c r="E14" s="130"/>
      <c r="F14" s="181"/>
      <c r="G14" s="182"/>
      <c r="H14" s="183"/>
    </row>
    <row r="15" spans="1:10" s="97" customFormat="1" x14ac:dyDescent="0.2">
      <c r="A15" s="369" t="s">
        <v>315</v>
      </c>
      <c r="B15" s="370"/>
      <c r="C15" s="87">
        <v>1</v>
      </c>
      <c r="D15" s="87">
        <v>2</v>
      </c>
      <c r="E15" s="87">
        <v>3</v>
      </c>
      <c r="F15" s="87" t="s">
        <v>254</v>
      </c>
      <c r="G15" s="87" t="s">
        <v>67</v>
      </c>
    </row>
    <row r="16" spans="1:10" s="97" customFormat="1" x14ac:dyDescent="0.2">
      <c r="A16" s="96">
        <v>1</v>
      </c>
      <c r="B16" s="135" t="s">
        <v>546</v>
      </c>
      <c r="C16" s="99"/>
      <c r="D16" s="100">
        <v>10</v>
      </c>
      <c r="E16" s="100">
        <v>10</v>
      </c>
      <c r="F16" s="101" t="s">
        <v>302</v>
      </c>
      <c r="G16" s="100" t="s">
        <v>258</v>
      </c>
      <c r="J16" s="173" t="s">
        <v>292</v>
      </c>
    </row>
    <row r="17" spans="1:10" s="97" customFormat="1" x14ac:dyDescent="0.2">
      <c r="A17" s="96">
        <v>2</v>
      </c>
      <c r="B17" s="135" t="s">
        <v>433</v>
      </c>
      <c r="C17" s="100">
        <v>5</v>
      </c>
      <c r="D17" s="99"/>
      <c r="E17" s="100">
        <v>8</v>
      </c>
      <c r="F17" s="101" t="s">
        <v>304</v>
      </c>
      <c r="G17" s="100" t="s">
        <v>270</v>
      </c>
      <c r="J17" s="173" t="s">
        <v>298</v>
      </c>
    </row>
    <row r="18" spans="1:10" s="97" customFormat="1" x14ac:dyDescent="0.2">
      <c r="A18" s="96">
        <v>3</v>
      </c>
      <c r="B18" s="135" t="s">
        <v>547</v>
      </c>
      <c r="C18" s="100">
        <v>4</v>
      </c>
      <c r="D18" s="103">
        <v>10</v>
      </c>
      <c r="E18" s="99"/>
      <c r="F18" s="101" t="s">
        <v>306</v>
      </c>
      <c r="G18" s="103" t="s">
        <v>262</v>
      </c>
      <c r="J18" s="173" t="s">
        <v>296</v>
      </c>
    </row>
    <row r="19" spans="1:10" s="178" customFormat="1" x14ac:dyDescent="0.2">
      <c r="A19" s="232"/>
      <c r="B19" s="232"/>
      <c r="C19" s="130"/>
      <c r="D19" s="272"/>
      <c r="E19" s="130"/>
      <c r="F19" s="273"/>
      <c r="G19" s="272"/>
    </row>
    <row r="20" spans="1:10" s="97" customFormat="1" x14ac:dyDescent="0.2"/>
    <row r="21" spans="1:10" s="97" customFormat="1" x14ac:dyDescent="0.2">
      <c r="A21" s="369" t="s">
        <v>316</v>
      </c>
      <c r="B21" s="370"/>
      <c r="C21" s="87">
        <v>1</v>
      </c>
      <c r="D21" s="87">
        <v>2</v>
      </c>
      <c r="E21" s="87">
        <v>3</v>
      </c>
      <c r="F21" s="87" t="s">
        <v>254</v>
      </c>
      <c r="G21" s="87" t="s">
        <v>67</v>
      </c>
    </row>
    <row r="22" spans="1:10" s="97" customFormat="1" x14ac:dyDescent="0.2">
      <c r="A22" s="96">
        <v>1</v>
      </c>
      <c r="B22" s="135" t="s">
        <v>548</v>
      </c>
      <c r="C22" s="99"/>
      <c r="D22" s="100">
        <v>10</v>
      </c>
      <c r="E22" s="100">
        <v>10</v>
      </c>
      <c r="F22" s="101" t="s">
        <v>302</v>
      </c>
      <c r="G22" s="100" t="s">
        <v>258</v>
      </c>
      <c r="J22" s="173" t="s">
        <v>299</v>
      </c>
    </row>
    <row r="23" spans="1:10" s="97" customFormat="1" x14ac:dyDescent="0.2">
      <c r="A23" s="96">
        <v>2</v>
      </c>
      <c r="B23" s="135" t="s">
        <v>434</v>
      </c>
      <c r="C23" s="100">
        <v>9</v>
      </c>
      <c r="D23" s="99"/>
      <c r="E23" s="100">
        <v>0</v>
      </c>
      <c r="F23" s="101" t="s">
        <v>304</v>
      </c>
      <c r="G23" s="100" t="s">
        <v>270</v>
      </c>
      <c r="J23" s="173" t="s">
        <v>402</v>
      </c>
    </row>
    <row r="24" spans="1:10" s="97" customFormat="1" x14ac:dyDescent="0.2">
      <c r="A24" s="96">
        <v>3</v>
      </c>
      <c r="B24" s="135" t="s">
        <v>435</v>
      </c>
      <c r="C24" s="100">
        <v>8</v>
      </c>
      <c r="D24" s="103">
        <v>10</v>
      </c>
      <c r="E24" s="99"/>
      <c r="F24" s="101" t="s">
        <v>306</v>
      </c>
      <c r="G24" s="103" t="s">
        <v>262</v>
      </c>
      <c r="J24" s="173" t="s">
        <v>300</v>
      </c>
    </row>
    <row r="25" spans="1:10" s="97" customFormat="1" x14ac:dyDescent="0.2"/>
    <row r="26" spans="1:10" s="97" customFormat="1" x14ac:dyDescent="0.2">
      <c r="A26" s="127"/>
      <c r="B26" s="136" t="s">
        <v>280</v>
      </c>
      <c r="C26" s="129" t="s">
        <v>284</v>
      </c>
      <c r="F26" s="130"/>
      <c r="G26" s="129"/>
      <c r="H26" s="128"/>
    </row>
    <row r="27" spans="1:10" s="97" customFormat="1" x14ac:dyDescent="0.2">
      <c r="A27" s="127"/>
      <c r="B27" s="136" t="s">
        <v>283</v>
      </c>
      <c r="C27" s="129" t="s">
        <v>282</v>
      </c>
      <c r="E27" s="129"/>
      <c r="F27" s="130"/>
      <c r="G27" s="129"/>
      <c r="H27" s="128"/>
    </row>
    <row r="28" spans="1:10" s="97" customFormat="1" x14ac:dyDescent="0.2">
      <c r="A28" s="127"/>
      <c r="B28" s="136" t="s">
        <v>286</v>
      </c>
      <c r="C28" s="129" t="s">
        <v>268</v>
      </c>
      <c r="E28" s="129"/>
      <c r="F28" s="130"/>
      <c r="G28" s="129"/>
      <c r="H28" s="128"/>
    </row>
    <row r="29" spans="1:10" s="97" customFormat="1" x14ac:dyDescent="0.2"/>
    <row r="30" spans="1:10" x14ac:dyDescent="0.2">
      <c r="A30" s="137" t="s">
        <v>436</v>
      </c>
      <c r="G30" s="93"/>
    </row>
    <row r="31" spans="1:10" x14ac:dyDescent="0.2">
      <c r="A31" s="137"/>
      <c r="G31" s="93"/>
    </row>
    <row r="32" spans="1:10" x14ac:dyDescent="0.2">
      <c r="A32" s="137"/>
      <c r="B32" s="134" t="s">
        <v>437</v>
      </c>
      <c r="C32" s="164">
        <v>10</v>
      </c>
      <c r="D32" s="138"/>
      <c r="E32" s="138"/>
    </row>
    <row r="33" spans="1:5" ht="13.5" thickBot="1" x14ac:dyDescent="0.25">
      <c r="A33" s="137"/>
      <c r="B33" s="161"/>
      <c r="C33" s="172"/>
      <c r="D33" s="172" t="s">
        <v>437</v>
      </c>
      <c r="E33" s="172"/>
    </row>
    <row r="34" spans="1:5" x14ac:dyDescent="0.2">
      <c r="A34" s="137"/>
      <c r="B34" s="166" t="s">
        <v>438</v>
      </c>
      <c r="C34" s="155">
        <v>4</v>
      </c>
      <c r="D34" s="173" t="s">
        <v>403</v>
      </c>
      <c r="E34" s="138"/>
    </row>
    <row r="35" spans="1:5" x14ac:dyDescent="0.2">
      <c r="A35" s="137"/>
      <c r="B35" s="134"/>
      <c r="C35" s="134"/>
      <c r="D35" s="138"/>
      <c r="E35" s="138"/>
    </row>
    <row r="36" spans="1:5" ht="13.5" thickBot="1" x14ac:dyDescent="0.25">
      <c r="A36" s="137"/>
      <c r="B36" s="134"/>
      <c r="C36" s="134"/>
      <c r="D36" s="172" t="s">
        <v>438</v>
      </c>
      <c r="E36" s="172"/>
    </row>
    <row r="37" spans="1:5" x14ac:dyDescent="0.2">
      <c r="A37" s="137"/>
      <c r="B37" s="134"/>
      <c r="C37" s="134"/>
      <c r="D37" s="152" t="s">
        <v>406</v>
      </c>
      <c r="E37" s="134"/>
    </row>
    <row r="38" spans="1:5" s="93" customFormat="1" x14ac:dyDescent="0.2"/>
    <row r="39" spans="1:5" s="93" customFormat="1" x14ac:dyDescent="0.2">
      <c r="A39" s="94">
        <v>1</v>
      </c>
      <c r="B39" s="334" t="s">
        <v>543</v>
      </c>
    </row>
    <row r="40" spans="1:5" s="93" customFormat="1" x14ac:dyDescent="0.2">
      <c r="A40" s="94">
        <v>2</v>
      </c>
      <c r="B40" s="335" t="s">
        <v>545</v>
      </c>
    </row>
    <row r="41" spans="1:5" s="93" customFormat="1" x14ac:dyDescent="0.2">
      <c r="A41" s="94">
        <v>3</v>
      </c>
      <c r="B41" s="336" t="s">
        <v>544</v>
      </c>
    </row>
    <row r="42" spans="1:5" s="93" customFormat="1" x14ac:dyDescent="0.2">
      <c r="A42" s="94">
        <v>4</v>
      </c>
      <c r="B42" s="135" t="s">
        <v>546</v>
      </c>
    </row>
    <row r="43" spans="1:5" s="93" customFormat="1" x14ac:dyDescent="0.2">
      <c r="A43" s="94">
        <v>5</v>
      </c>
      <c r="B43" s="135" t="s">
        <v>547</v>
      </c>
    </row>
    <row r="44" spans="1:5" s="93" customFormat="1" x14ac:dyDescent="0.2">
      <c r="A44" s="94">
        <v>6</v>
      </c>
      <c r="B44" s="135" t="s">
        <v>433</v>
      </c>
    </row>
    <row r="45" spans="1:5" s="93" customFormat="1" x14ac:dyDescent="0.2">
      <c r="A45" s="94">
        <v>7</v>
      </c>
      <c r="B45" s="135" t="s">
        <v>548</v>
      </c>
    </row>
    <row r="46" spans="1:5" s="93" customFormat="1" x14ac:dyDescent="0.2">
      <c r="A46" s="94">
        <v>8</v>
      </c>
      <c r="B46" s="135" t="s">
        <v>435</v>
      </c>
    </row>
    <row r="47" spans="1:5" x14ac:dyDescent="0.2">
      <c r="A47" s="94">
        <v>9</v>
      </c>
      <c r="B47" s="135" t="s">
        <v>434</v>
      </c>
    </row>
    <row r="48" spans="1:5" x14ac:dyDescent="0.2">
      <c r="A48" s="94">
        <v>10</v>
      </c>
      <c r="B48" s="135" t="s">
        <v>437</v>
      </c>
    </row>
    <row r="49" spans="1:2" x14ac:dyDescent="0.2">
      <c r="A49" s="94">
        <v>11</v>
      </c>
      <c r="B49" s="135" t="s">
        <v>438</v>
      </c>
    </row>
  </sheetData>
  <conditionalFormatting sqref="C10:E12">
    <cfRule type="cellIs" dxfId="9" priority="3" operator="equal">
      <formula>13</formula>
    </cfRule>
  </conditionalFormatting>
  <conditionalFormatting sqref="C16:E24">
    <cfRule type="cellIs" dxfId="8" priority="2" operator="equal">
      <formula>10</formula>
    </cfRule>
  </conditionalFormatting>
  <conditionalFormatting sqref="C32:C34">
    <cfRule type="cellIs" dxfId="7" priority="1" operator="equal">
      <formula>10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  <ignoredErrors>
    <ignoredError sqref="H10:H1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M1" sqref="M1"/>
    </sheetView>
  </sheetViews>
  <sheetFormatPr defaultColWidth="9.42578125" defaultRowHeight="12.75" x14ac:dyDescent="0.2"/>
  <cols>
    <col min="1" max="1" width="3.28515625" style="20" customWidth="1"/>
    <col min="2" max="2" width="16.7109375" style="20" bestFit="1" customWidth="1"/>
    <col min="3" max="8" width="7.28515625" style="20" customWidth="1"/>
    <col min="9" max="9" width="8.28515625" style="20" customWidth="1"/>
    <col min="10" max="10" width="6.85546875" style="20" bestFit="1" customWidth="1"/>
    <col min="11" max="11" width="5.7109375" style="20" bestFit="1" customWidth="1"/>
    <col min="12" max="12" width="6.85546875" style="20" bestFit="1" customWidth="1"/>
    <col min="13" max="204" width="9.140625" style="20" customWidth="1"/>
    <col min="205" max="16384" width="9.42578125" style="20"/>
  </cols>
  <sheetData>
    <row r="1" spans="1:12" x14ac:dyDescent="0.2">
      <c r="A1" s="21" t="str">
        <f>UPPER((Kalend!E20)&amp;" - "&amp;(Kalend!C20)&amp;" - "&amp;(Kalend!D20))</f>
        <v>NV - IDA-VIRUMAA NOORTE JA VETERANIDE MV - ÜKSIK</v>
      </c>
      <c r="I1" s="284" t="str">
        <f>HYPERLINK("#Kalend!J1","Kalender")</f>
        <v>Kalender</v>
      </c>
      <c r="J1" s="277"/>
      <c r="K1" s="284" t="str">
        <f>HYPERLINK("#Reit!J1","Reiting")</f>
        <v>Reiting</v>
      </c>
      <c r="L1" s="248"/>
    </row>
    <row r="2" spans="1:12" x14ac:dyDescent="0.2">
      <c r="A2" s="93" t="str">
        <f>"Toimumisaeg: "&amp;(Kalend!A20)&amp;" kell "&amp;(Kalend!B20)</f>
        <v>Toimumisaeg: P, 11.08.2002 kell 12:00</v>
      </c>
    </row>
    <row r="3" spans="1:12" x14ac:dyDescent="0.2">
      <c r="A3" s="93" t="str">
        <f>"Toimumiskoht: "&amp;(Kalend!F20)</f>
        <v>Toimumiskoht: K-Järve Järve gümnaasiumi staadion</v>
      </c>
    </row>
    <row r="4" spans="1:12" x14ac:dyDescent="0.2">
      <c r="A4" s="93" t="str">
        <f>"Korraldaja: "&amp;(Kalend!G20)</f>
        <v>Korraldaja: K-Järve SHK</v>
      </c>
    </row>
    <row r="5" spans="1:12" x14ac:dyDescent="0.2">
      <c r="A5" s="93"/>
    </row>
    <row r="6" spans="1:12" x14ac:dyDescent="0.2">
      <c r="A6" s="255" t="s">
        <v>635</v>
      </c>
    </row>
    <row r="7" spans="1:12" x14ac:dyDescent="0.2">
      <c r="A7" s="257" t="s">
        <v>636</v>
      </c>
    </row>
    <row r="8" spans="1:12" x14ac:dyDescent="0.2">
      <c r="A8" s="265" t="s">
        <v>629</v>
      </c>
      <c r="B8" s="22"/>
      <c r="C8" s="22"/>
    </row>
    <row r="9" spans="1:12" x14ac:dyDescent="0.2">
      <c r="A9" s="22" t="s">
        <v>630</v>
      </c>
      <c r="B9" s="22"/>
      <c r="C9" s="22"/>
    </row>
    <row r="10" spans="1:12" x14ac:dyDescent="0.2">
      <c r="A10" s="22" t="s">
        <v>631</v>
      </c>
      <c r="B10" s="22"/>
      <c r="C10" s="22"/>
    </row>
    <row r="11" spans="1:12" x14ac:dyDescent="0.2">
      <c r="A11" s="266" t="s">
        <v>637</v>
      </c>
    </row>
    <row r="12" spans="1:12" x14ac:dyDescent="0.2">
      <c r="A12" s="20" t="s">
        <v>632</v>
      </c>
    </row>
    <row r="13" spans="1:12" x14ac:dyDescent="0.2">
      <c r="A13" s="20" t="s">
        <v>633</v>
      </c>
    </row>
    <row r="14" spans="1:12" x14ac:dyDescent="0.2">
      <c r="A14" s="20" t="s">
        <v>634</v>
      </c>
    </row>
    <row r="15" spans="1:12" x14ac:dyDescent="0.2">
      <c r="A15" s="93"/>
    </row>
    <row r="16" spans="1:12" x14ac:dyDescent="0.2">
      <c r="A16" s="254" t="s">
        <v>599</v>
      </c>
    </row>
    <row r="17" spans="1:12" x14ac:dyDescent="0.2">
      <c r="A17" s="93"/>
    </row>
    <row r="18" spans="1:12" ht="25.5" x14ac:dyDescent="0.2">
      <c r="A18" s="267" t="s">
        <v>253</v>
      </c>
      <c r="B18" s="267"/>
      <c r="C18" s="190">
        <v>1</v>
      </c>
      <c r="D18" s="190">
        <v>2</v>
      </c>
      <c r="E18" s="190">
        <v>3</v>
      </c>
      <c r="F18" s="190" t="s">
        <v>254</v>
      </c>
      <c r="G18" s="190" t="s">
        <v>598</v>
      </c>
      <c r="H18" s="34" t="s">
        <v>595</v>
      </c>
      <c r="I18" s="34" t="s">
        <v>596</v>
      </c>
      <c r="J18" s="344" t="s">
        <v>597</v>
      </c>
      <c r="K18" s="22"/>
      <c r="L18" s="22"/>
    </row>
    <row r="19" spans="1:12" x14ac:dyDescent="0.2">
      <c r="A19" s="413">
        <v>1</v>
      </c>
      <c r="B19" s="415" t="s">
        <v>83</v>
      </c>
      <c r="C19" s="405"/>
      <c r="D19" s="339">
        <v>13</v>
      </c>
      <c r="E19" s="339">
        <v>13</v>
      </c>
      <c r="F19" s="417" t="s">
        <v>326</v>
      </c>
      <c r="G19" s="417" t="s">
        <v>592</v>
      </c>
      <c r="H19" s="412" t="s">
        <v>262</v>
      </c>
      <c r="I19" s="412" t="s">
        <v>572</v>
      </c>
      <c r="J19" s="412" t="s">
        <v>258</v>
      </c>
      <c r="K19" s="22"/>
      <c r="L19" s="22"/>
    </row>
    <row r="20" spans="1:12" x14ac:dyDescent="0.2">
      <c r="A20" s="414"/>
      <c r="B20" s="415"/>
      <c r="C20" s="405"/>
      <c r="D20" s="339">
        <v>10</v>
      </c>
      <c r="E20" s="339">
        <v>9</v>
      </c>
      <c r="F20" s="417"/>
      <c r="G20" s="417"/>
      <c r="H20" s="412"/>
      <c r="I20" s="412"/>
      <c r="J20" s="412"/>
      <c r="K20" s="22"/>
      <c r="L20" s="22"/>
    </row>
    <row r="21" spans="1:12" x14ac:dyDescent="0.2">
      <c r="A21" s="413">
        <v>2</v>
      </c>
      <c r="B21" s="416" t="s">
        <v>102</v>
      </c>
      <c r="C21" s="339">
        <v>10</v>
      </c>
      <c r="D21" s="405"/>
      <c r="E21" s="339">
        <v>13</v>
      </c>
      <c r="F21" s="417" t="s">
        <v>319</v>
      </c>
      <c r="G21" s="417" t="s">
        <v>593</v>
      </c>
      <c r="H21" s="412" t="s">
        <v>258</v>
      </c>
      <c r="I21" s="412" t="s">
        <v>573</v>
      </c>
      <c r="J21" s="412" t="s">
        <v>258</v>
      </c>
      <c r="K21" s="22"/>
      <c r="L21" s="22"/>
    </row>
    <row r="22" spans="1:12" x14ac:dyDescent="0.2">
      <c r="A22" s="414"/>
      <c r="B22" s="416"/>
      <c r="C22" s="339">
        <v>13</v>
      </c>
      <c r="D22" s="405"/>
      <c r="E22" s="339">
        <v>13</v>
      </c>
      <c r="F22" s="417"/>
      <c r="G22" s="417"/>
      <c r="H22" s="412"/>
      <c r="I22" s="412"/>
      <c r="J22" s="412"/>
      <c r="K22" s="22"/>
      <c r="L22" s="22"/>
    </row>
    <row r="23" spans="1:12" x14ac:dyDescent="0.2">
      <c r="A23" s="413">
        <v>3</v>
      </c>
      <c r="B23" s="415" t="s">
        <v>111</v>
      </c>
      <c r="C23" s="339">
        <v>9</v>
      </c>
      <c r="D23" s="339">
        <v>9</v>
      </c>
      <c r="E23" s="405"/>
      <c r="F23" s="417" t="s">
        <v>284</v>
      </c>
      <c r="G23" s="417" t="s">
        <v>594</v>
      </c>
      <c r="H23" s="412" t="s">
        <v>270</v>
      </c>
      <c r="I23" s="412" t="s">
        <v>574</v>
      </c>
      <c r="J23" s="412" t="s">
        <v>258</v>
      </c>
      <c r="K23" s="22"/>
      <c r="L23" s="22"/>
    </row>
    <row r="24" spans="1:12" x14ac:dyDescent="0.2">
      <c r="A24" s="414"/>
      <c r="B24" s="415"/>
      <c r="C24" s="339">
        <v>13</v>
      </c>
      <c r="D24" s="339">
        <v>6</v>
      </c>
      <c r="E24" s="405"/>
      <c r="F24" s="417"/>
      <c r="G24" s="417"/>
      <c r="H24" s="412"/>
      <c r="I24" s="412"/>
      <c r="J24" s="412"/>
      <c r="K24" s="22"/>
      <c r="L24" s="22"/>
    </row>
    <row r="25" spans="1:12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x14ac:dyDescent="0.2">
      <c r="A26" s="268" t="s">
        <v>600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25.5" x14ac:dyDescent="0.2">
      <c r="A28" s="267"/>
      <c r="B28" s="267"/>
      <c r="C28" s="190">
        <v>1</v>
      </c>
      <c r="D28" s="190">
        <v>2</v>
      </c>
      <c r="E28" s="190">
        <v>3</v>
      </c>
      <c r="F28" s="190">
        <v>4</v>
      </c>
      <c r="G28" s="190">
        <v>5</v>
      </c>
      <c r="H28" s="190" t="s">
        <v>254</v>
      </c>
      <c r="I28" s="190" t="s">
        <v>598</v>
      </c>
      <c r="J28" s="34" t="s">
        <v>595</v>
      </c>
      <c r="K28" s="34" t="s">
        <v>596</v>
      </c>
      <c r="L28" s="344" t="s">
        <v>597</v>
      </c>
    </row>
    <row r="29" spans="1:12" x14ac:dyDescent="0.2">
      <c r="A29" s="267">
        <v>1</v>
      </c>
      <c r="B29" s="337" t="s">
        <v>575</v>
      </c>
      <c r="C29" s="340"/>
      <c r="D29" s="341">
        <v>3</v>
      </c>
      <c r="E29" s="341">
        <v>8</v>
      </c>
      <c r="F29" s="341">
        <v>11</v>
      </c>
      <c r="G29" s="341">
        <v>13</v>
      </c>
      <c r="H29" s="269" t="s">
        <v>281</v>
      </c>
      <c r="I29" s="269" t="s">
        <v>601</v>
      </c>
      <c r="J29" s="270" t="s">
        <v>266</v>
      </c>
      <c r="K29" s="270" t="s">
        <v>576</v>
      </c>
      <c r="L29" s="270" t="s">
        <v>270</v>
      </c>
    </row>
    <row r="30" spans="1:12" x14ac:dyDescent="0.2">
      <c r="A30" s="267">
        <v>2</v>
      </c>
      <c r="B30" s="337" t="s">
        <v>577</v>
      </c>
      <c r="C30" s="341">
        <v>13</v>
      </c>
      <c r="D30" s="340"/>
      <c r="E30" s="341">
        <v>8</v>
      </c>
      <c r="F30" s="341">
        <v>13</v>
      </c>
      <c r="G30" s="341">
        <v>13</v>
      </c>
      <c r="H30" s="269" t="s">
        <v>319</v>
      </c>
      <c r="I30" s="269" t="s">
        <v>602</v>
      </c>
      <c r="J30" s="270" t="s">
        <v>262</v>
      </c>
      <c r="K30" s="270" t="s">
        <v>576</v>
      </c>
      <c r="L30" s="270" t="s">
        <v>262</v>
      </c>
    </row>
    <row r="31" spans="1:12" x14ac:dyDescent="0.2">
      <c r="A31" s="267">
        <v>3</v>
      </c>
      <c r="B31" s="337" t="s">
        <v>135</v>
      </c>
      <c r="C31" s="341">
        <v>13</v>
      </c>
      <c r="D31" s="341">
        <v>13</v>
      </c>
      <c r="E31" s="340"/>
      <c r="F31" s="341">
        <v>13</v>
      </c>
      <c r="G31" s="341">
        <v>13</v>
      </c>
      <c r="H31" s="269" t="s">
        <v>321</v>
      </c>
      <c r="I31" s="269" t="s">
        <v>603</v>
      </c>
      <c r="J31" s="270" t="s">
        <v>258</v>
      </c>
      <c r="K31" s="270" t="s">
        <v>576</v>
      </c>
      <c r="L31" s="270" t="s">
        <v>258</v>
      </c>
    </row>
    <row r="32" spans="1:12" x14ac:dyDescent="0.2">
      <c r="A32" s="267">
        <v>4</v>
      </c>
      <c r="B32" s="338" t="s">
        <v>103</v>
      </c>
      <c r="C32" s="341">
        <v>13</v>
      </c>
      <c r="D32" s="341">
        <v>3</v>
      </c>
      <c r="E32" s="341">
        <v>6</v>
      </c>
      <c r="F32" s="340"/>
      <c r="G32" s="341">
        <v>13</v>
      </c>
      <c r="H32" s="269" t="s">
        <v>326</v>
      </c>
      <c r="I32" s="269" t="s">
        <v>601</v>
      </c>
      <c r="J32" s="270" t="s">
        <v>270</v>
      </c>
      <c r="K32" s="270" t="s">
        <v>578</v>
      </c>
      <c r="L32" s="270" t="s">
        <v>258</v>
      </c>
    </row>
    <row r="33" spans="1:12" x14ac:dyDescent="0.2">
      <c r="A33" s="267">
        <v>5</v>
      </c>
      <c r="B33" s="338" t="s">
        <v>579</v>
      </c>
      <c r="C33" s="341">
        <v>12</v>
      </c>
      <c r="D33" s="341">
        <v>5</v>
      </c>
      <c r="E33" s="341">
        <v>12</v>
      </c>
      <c r="F33" s="341">
        <v>4</v>
      </c>
      <c r="G33" s="340"/>
      <c r="H33" s="269" t="s">
        <v>323</v>
      </c>
      <c r="I33" s="269" t="s">
        <v>604</v>
      </c>
      <c r="J33" s="270" t="s">
        <v>324</v>
      </c>
      <c r="K33" s="270" t="s">
        <v>578</v>
      </c>
      <c r="L33" s="270" t="s">
        <v>262</v>
      </c>
    </row>
    <row r="34" spans="1:12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2">
      <c r="A35" s="255" t="s">
        <v>605</v>
      </c>
    </row>
    <row r="37" spans="1:12" x14ac:dyDescent="0.2">
      <c r="A37" s="96"/>
      <c r="B37" s="96"/>
      <c r="C37" s="87">
        <v>1</v>
      </c>
      <c r="D37" s="87">
        <v>2</v>
      </c>
      <c r="E37" s="87">
        <v>3</v>
      </c>
      <c r="F37" s="87">
        <v>4</v>
      </c>
      <c r="G37" s="87" t="s">
        <v>254</v>
      </c>
      <c r="H37" s="87" t="s">
        <v>598</v>
      </c>
      <c r="I37" s="35" t="s">
        <v>595</v>
      </c>
    </row>
    <row r="38" spans="1:12" x14ac:dyDescent="0.2">
      <c r="A38" s="96">
        <v>1</v>
      </c>
      <c r="B38" s="246" t="s">
        <v>583</v>
      </c>
      <c r="C38" s="340"/>
      <c r="D38" s="342">
        <v>7</v>
      </c>
      <c r="E38" s="342">
        <v>6</v>
      </c>
      <c r="F38" s="342">
        <v>13</v>
      </c>
      <c r="G38" s="247" t="s">
        <v>268</v>
      </c>
      <c r="H38" s="247" t="s">
        <v>606</v>
      </c>
      <c r="I38" s="245" t="s">
        <v>270</v>
      </c>
    </row>
    <row r="39" spans="1:12" x14ac:dyDescent="0.2">
      <c r="A39" s="96">
        <v>2</v>
      </c>
      <c r="B39" s="246" t="s">
        <v>566</v>
      </c>
      <c r="C39" s="342">
        <v>13</v>
      </c>
      <c r="D39" s="340"/>
      <c r="E39" s="342">
        <v>13</v>
      </c>
      <c r="F39" s="342">
        <v>13</v>
      </c>
      <c r="G39" s="247" t="s">
        <v>256</v>
      </c>
      <c r="H39" s="247" t="s">
        <v>607</v>
      </c>
      <c r="I39" s="245" t="s">
        <v>258</v>
      </c>
    </row>
    <row r="40" spans="1:12" x14ac:dyDescent="0.2">
      <c r="A40" s="96">
        <v>3</v>
      </c>
      <c r="B40" s="246" t="s">
        <v>74</v>
      </c>
      <c r="C40" s="342">
        <v>13</v>
      </c>
      <c r="D40" s="342">
        <v>5</v>
      </c>
      <c r="E40" s="340"/>
      <c r="F40" s="342">
        <v>13</v>
      </c>
      <c r="G40" s="247" t="s">
        <v>260</v>
      </c>
      <c r="H40" s="247" t="s">
        <v>608</v>
      </c>
      <c r="I40" s="245" t="s">
        <v>262</v>
      </c>
    </row>
    <row r="41" spans="1:12" x14ac:dyDescent="0.2">
      <c r="A41" s="96">
        <v>4</v>
      </c>
      <c r="B41" s="246" t="s">
        <v>86</v>
      </c>
      <c r="C41" s="342">
        <v>12</v>
      </c>
      <c r="D41" s="342">
        <v>5</v>
      </c>
      <c r="E41" s="342">
        <v>4</v>
      </c>
      <c r="F41" s="340"/>
      <c r="G41" s="247" t="s">
        <v>264</v>
      </c>
      <c r="H41" s="247" t="s">
        <v>609</v>
      </c>
      <c r="I41" s="245" t="s">
        <v>266</v>
      </c>
    </row>
    <row r="43" spans="1:12" customFormat="1" x14ac:dyDescent="0.2">
      <c r="A43" s="281" t="s">
        <v>582</v>
      </c>
    </row>
    <row r="44" spans="1:12" customFormat="1" x14ac:dyDescent="0.2">
      <c r="A44" s="253" t="s">
        <v>628</v>
      </c>
    </row>
    <row r="45" spans="1:12" customFormat="1" x14ac:dyDescent="0.2"/>
    <row r="46" spans="1:12" customFormat="1" x14ac:dyDescent="0.2">
      <c r="A46" s="281" t="s">
        <v>581</v>
      </c>
    </row>
    <row r="47" spans="1:12" customFormat="1" x14ac:dyDescent="0.2">
      <c r="A47" s="252" t="s">
        <v>627</v>
      </c>
    </row>
    <row r="48" spans="1:12" customFormat="1" x14ac:dyDescent="0.2">
      <c r="A48" s="244"/>
    </row>
    <row r="49" spans="1:14" customFormat="1" x14ac:dyDescent="0.2">
      <c r="A49" s="281" t="s">
        <v>580</v>
      </c>
    </row>
    <row r="50" spans="1:14" customFormat="1" x14ac:dyDescent="0.2">
      <c r="A50" s="244" t="s">
        <v>626</v>
      </c>
    </row>
    <row r="51" spans="1:14" customFormat="1" x14ac:dyDescent="0.2">
      <c r="A51" s="244"/>
      <c r="N51" s="20"/>
    </row>
    <row r="52" spans="1:14" x14ac:dyDescent="0.2">
      <c r="A52" s="254" t="s">
        <v>610</v>
      </c>
    </row>
    <row r="54" spans="1:14" x14ac:dyDescent="0.2">
      <c r="A54" s="96"/>
      <c r="B54" s="96"/>
      <c r="C54" s="87">
        <v>1</v>
      </c>
      <c r="D54" s="87">
        <v>2</v>
      </c>
      <c r="E54" s="87">
        <v>3</v>
      </c>
      <c r="F54" s="87">
        <v>4</v>
      </c>
      <c r="G54" s="87">
        <v>5</v>
      </c>
      <c r="H54" s="87" t="s">
        <v>254</v>
      </c>
      <c r="I54" s="87" t="s">
        <v>598</v>
      </c>
      <c r="J54" s="35" t="s">
        <v>595</v>
      </c>
    </row>
    <row r="55" spans="1:14" x14ac:dyDescent="0.2">
      <c r="A55" s="96">
        <v>1</v>
      </c>
      <c r="B55" s="140" t="s">
        <v>71</v>
      </c>
      <c r="C55" s="141"/>
      <c r="D55" s="103">
        <v>13</v>
      </c>
      <c r="E55" s="103">
        <v>13</v>
      </c>
      <c r="F55" s="103">
        <v>13</v>
      </c>
      <c r="G55" s="103">
        <v>9</v>
      </c>
      <c r="H55" s="104" t="s">
        <v>319</v>
      </c>
      <c r="I55" s="104" t="s">
        <v>611</v>
      </c>
      <c r="J55" s="343" t="s">
        <v>584</v>
      </c>
    </row>
    <row r="56" spans="1:14" x14ac:dyDescent="0.2">
      <c r="A56" s="96">
        <v>2</v>
      </c>
      <c r="B56" s="140" t="s">
        <v>76</v>
      </c>
      <c r="C56" s="103">
        <v>7</v>
      </c>
      <c r="D56" s="141"/>
      <c r="E56" s="103">
        <v>13</v>
      </c>
      <c r="F56" s="103">
        <v>13</v>
      </c>
      <c r="G56" s="103">
        <v>13</v>
      </c>
      <c r="H56" s="104" t="s">
        <v>319</v>
      </c>
      <c r="I56" s="104" t="s">
        <v>612</v>
      </c>
      <c r="J56" s="343" t="s">
        <v>585</v>
      </c>
    </row>
    <row r="57" spans="1:14" x14ac:dyDescent="0.2">
      <c r="A57" s="96">
        <v>3</v>
      </c>
      <c r="B57" s="142" t="s">
        <v>586</v>
      </c>
      <c r="C57" s="103">
        <v>7</v>
      </c>
      <c r="D57" s="103">
        <v>3</v>
      </c>
      <c r="E57" s="141"/>
      <c r="F57" s="103">
        <v>13</v>
      </c>
      <c r="G57" s="103">
        <v>4</v>
      </c>
      <c r="H57" s="104" t="s">
        <v>284</v>
      </c>
      <c r="I57" s="104" t="s">
        <v>613</v>
      </c>
      <c r="J57" s="343" t="s">
        <v>266</v>
      </c>
    </row>
    <row r="58" spans="1:14" x14ac:dyDescent="0.2">
      <c r="A58" s="96">
        <v>4</v>
      </c>
      <c r="B58" s="142" t="s">
        <v>587</v>
      </c>
      <c r="C58" s="103">
        <v>8</v>
      </c>
      <c r="D58" s="103">
        <v>3</v>
      </c>
      <c r="E58" s="103">
        <v>5</v>
      </c>
      <c r="F58" s="141"/>
      <c r="G58" s="103">
        <v>5</v>
      </c>
      <c r="H58" s="104" t="s">
        <v>323</v>
      </c>
      <c r="I58" s="104" t="s">
        <v>614</v>
      </c>
      <c r="J58" s="343" t="s">
        <v>324</v>
      </c>
    </row>
    <row r="59" spans="1:14" x14ac:dyDescent="0.2">
      <c r="A59" s="96">
        <v>5</v>
      </c>
      <c r="B59" s="140" t="s">
        <v>105</v>
      </c>
      <c r="C59" s="103">
        <v>13</v>
      </c>
      <c r="D59" s="103">
        <v>11</v>
      </c>
      <c r="E59" s="103">
        <v>13</v>
      </c>
      <c r="F59" s="103">
        <v>13</v>
      </c>
      <c r="G59" s="141"/>
      <c r="H59" s="104" t="s">
        <v>319</v>
      </c>
      <c r="I59" s="104" t="s">
        <v>615</v>
      </c>
      <c r="J59" s="343" t="s">
        <v>588</v>
      </c>
    </row>
    <row r="61" spans="1:14" x14ac:dyDescent="0.2">
      <c r="A61" s="248" t="s">
        <v>616</v>
      </c>
    </row>
    <row r="62" spans="1:14" x14ac:dyDescent="0.2">
      <c r="A62" s="20" t="s">
        <v>617</v>
      </c>
    </row>
    <row r="63" spans="1:14" x14ac:dyDescent="0.2">
      <c r="A63" s="346" t="s">
        <v>660</v>
      </c>
    </row>
    <row r="64" spans="1:14" s="248" customFormat="1" x14ac:dyDescent="0.2">
      <c r="A64" s="248" t="s">
        <v>661</v>
      </c>
    </row>
    <row r="66" spans="1:10" x14ac:dyDescent="0.2">
      <c r="A66" s="254" t="s">
        <v>618</v>
      </c>
    </row>
    <row r="68" spans="1:10" x14ac:dyDescent="0.2">
      <c r="A68" s="96"/>
      <c r="B68" s="96"/>
      <c r="C68" s="87">
        <v>1</v>
      </c>
      <c r="D68" s="87">
        <v>2</v>
      </c>
      <c r="E68" s="87">
        <v>3</v>
      </c>
      <c r="F68" s="87" t="s">
        <v>254</v>
      </c>
      <c r="G68" s="87" t="s">
        <v>598</v>
      </c>
      <c r="H68" s="35" t="s">
        <v>595</v>
      </c>
      <c r="I68" s="249"/>
      <c r="J68" s="250"/>
    </row>
    <row r="69" spans="1:10" x14ac:dyDescent="0.2">
      <c r="A69" s="402">
        <v>1</v>
      </c>
      <c r="B69" s="411" t="s">
        <v>72</v>
      </c>
      <c r="C69" s="405"/>
      <c r="D69" s="251">
        <v>13</v>
      </c>
      <c r="E69" s="251">
        <v>13</v>
      </c>
      <c r="F69" s="406" t="s">
        <v>321</v>
      </c>
      <c r="G69" s="406" t="s">
        <v>619</v>
      </c>
      <c r="H69" s="407" t="s">
        <v>258</v>
      </c>
      <c r="I69" s="408"/>
      <c r="J69" s="409"/>
    </row>
    <row r="70" spans="1:10" x14ac:dyDescent="0.2">
      <c r="A70" s="403"/>
      <c r="B70" s="411"/>
      <c r="C70" s="405"/>
      <c r="D70" s="251">
        <v>13</v>
      </c>
      <c r="E70" s="251">
        <v>13</v>
      </c>
      <c r="F70" s="406"/>
      <c r="G70" s="406"/>
      <c r="H70" s="407"/>
      <c r="I70" s="408"/>
      <c r="J70" s="409"/>
    </row>
    <row r="71" spans="1:10" x14ac:dyDescent="0.2">
      <c r="A71" s="402">
        <v>2</v>
      </c>
      <c r="B71" s="410" t="s">
        <v>92</v>
      </c>
      <c r="C71" s="251">
        <v>10</v>
      </c>
      <c r="D71" s="405"/>
      <c r="E71" s="251">
        <v>13</v>
      </c>
      <c r="F71" s="406" t="s">
        <v>326</v>
      </c>
      <c r="G71" s="406" t="s">
        <v>620</v>
      </c>
      <c r="H71" s="407" t="s">
        <v>262</v>
      </c>
      <c r="I71" s="408"/>
      <c r="J71" s="409"/>
    </row>
    <row r="72" spans="1:10" x14ac:dyDescent="0.2">
      <c r="A72" s="403"/>
      <c r="B72" s="410"/>
      <c r="C72" s="251">
        <v>0</v>
      </c>
      <c r="D72" s="405"/>
      <c r="E72" s="251">
        <v>13</v>
      </c>
      <c r="F72" s="406"/>
      <c r="G72" s="406"/>
      <c r="H72" s="407"/>
      <c r="I72" s="408"/>
      <c r="J72" s="409"/>
    </row>
    <row r="73" spans="1:10" x14ac:dyDescent="0.2">
      <c r="A73" s="402">
        <v>3</v>
      </c>
      <c r="B73" s="411" t="s">
        <v>589</v>
      </c>
      <c r="C73" s="251">
        <v>5</v>
      </c>
      <c r="D73" s="251">
        <v>2</v>
      </c>
      <c r="E73" s="405"/>
      <c r="F73" s="406" t="s">
        <v>323</v>
      </c>
      <c r="G73" s="406" t="s">
        <v>621</v>
      </c>
      <c r="H73" s="407" t="s">
        <v>270</v>
      </c>
      <c r="I73" s="408"/>
      <c r="J73" s="409"/>
    </row>
    <row r="74" spans="1:10" x14ac:dyDescent="0.2">
      <c r="A74" s="403"/>
      <c r="B74" s="411"/>
      <c r="C74" s="251">
        <v>9</v>
      </c>
      <c r="D74" s="251">
        <v>7</v>
      </c>
      <c r="E74" s="405"/>
      <c r="F74" s="406"/>
      <c r="G74" s="406"/>
      <c r="H74" s="407"/>
      <c r="I74" s="408"/>
      <c r="J74" s="409"/>
    </row>
    <row r="76" spans="1:10" x14ac:dyDescent="0.2">
      <c r="A76" s="255" t="s">
        <v>622</v>
      </c>
    </row>
    <row r="78" spans="1:10" ht="25.5" x14ac:dyDescent="0.2">
      <c r="A78" s="96"/>
      <c r="B78" s="96"/>
      <c r="C78" s="87">
        <v>1</v>
      </c>
      <c r="D78" s="87">
        <v>2</v>
      </c>
      <c r="E78" s="87">
        <v>3</v>
      </c>
      <c r="F78" s="87" t="s">
        <v>254</v>
      </c>
      <c r="G78" s="87" t="s">
        <v>598</v>
      </c>
      <c r="H78" s="35" t="s">
        <v>595</v>
      </c>
      <c r="I78" s="35" t="s">
        <v>596</v>
      </c>
      <c r="J78" s="345" t="s">
        <v>597</v>
      </c>
    </row>
    <row r="79" spans="1:10" x14ac:dyDescent="0.2">
      <c r="A79" s="402">
        <v>1</v>
      </c>
      <c r="B79" s="404" t="s">
        <v>170</v>
      </c>
      <c r="C79" s="405"/>
      <c r="D79" s="251">
        <v>13</v>
      </c>
      <c r="E79" s="251">
        <v>8</v>
      </c>
      <c r="F79" s="406" t="s">
        <v>326</v>
      </c>
      <c r="G79" s="406" t="s">
        <v>623</v>
      </c>
      <c r="H79" s="407" t="s">
        <v>270</v>
      </c>
      <c r="I79" s="400" t="s">
        <v>590</v>
      </c>
      <c r="J79" s="400" t="s">
        <v>262</v>
      </c>
    </row>
    <row r="80" spans="1:10" x14ac:dyDescent="0.2">
      <c r="A80" s="403"/>
      <c r="B80" s="404"/>
      <c r="C80" s="405"/>
      <c r="D80" s="251">
        <v>4</v>
      </c>
      <c r="E80" s="251">
        <v>13</v>
      </c>
      <c r="F80" s="406"/>
      <c r="G80" s="406"/>
      <c r="H80" s="407"/>
      <c r="I80" s="401"/>
      <c r="J80" s="401"/>
    </row>
    <row r="81" spans="1:10" x14ac:dyDescent="0.2">
      <c r="A81" s="402">
        <v>2</v>
      </c>
      <c r="B81" s="404" t="s">
        <v>175</v>
      </c>
      <c r="C81" s="251">
        <v>12</v>
      </c>
      <c r="D81" s="405"/>
      <c r="E81" s="251">
        <v>5</v>
      </c>
      <c r="F81" s="406" t="s">
        <v>326</v>
      </c>
      <c r="G81" s="406" t="s">
        <v>624</v>
      </c>
      <c r="H81" s="407" t="s">
        <v>262</v>
      </c>
      <c r="I81" s="400" t="s">
        <v>590</v>
      </c>
      <c r="J81" s="400" t="s">
        <v>258</v>
      </c>
    </row>
    <row r="82" spans="1:10" x14ac:dyDescent="0.2">
      <c r="A82" s="403"/>
      <c r="B82" s="404"/>
      <c r="C82" s="251">
        <v>13</v>
      </c>
      <c r="D82" s="405"/>
      <c r="E82" s="251">
        <v>13</v>
      </c>
      <c r="F82" s="406"/>
      <c r="G82" s="406"/>
      <c r="H82" s="407"/>
      <c r="I82" s="401"/>
      <c r="J82" s="401"/>
    </row>
    <row r="83" spans="1:10" x14ac:dyDescent="0.2">
      <c r="A83" s="402">
        <v>3</v>
      </c>
      <c r="B83" s="404" t="s">
        <v>570</v>
      </c>
      <c r="C83" s="251">
        <v>13</v>
      </c>
      <c r="D83" s="251">
        <v>13</v>
      </c>
      <c r="E83" s="405"/>
      <c r="F83" s="406" t="s">
        <v>326</v>
      </c>
      <c r="G83" s="406" t="s">
        <v>625</v>
      </c>
      <c r="H83" s="407" t="s">
        <v>258</v>
      </c>
      <c r="I83" s="400" t="s">
        <v>591</v>
      </c>
      <c r="J83" s="400" t="s">
        <v>258</v>
      </c>
    </row>
    <row r="84" spans="1:10" x14ac:dyDescent="0.2">
      <c r="A84" s="403"/>
      <c r="B84" s="404"/>
      <c r="C84" s="251">
        <v>5</v>
      </c>
      <c r="D84" s="251">
        <v>12</v>
      </c>
      <c r="E84" s="405"/>
      <c r="F84" s="406"/>
      <c r="G84" s="406"/>
      <c r="H84" s="407"/>
      <c r="I84" s="401"/>
      <c r="J84" s="401"/>
    </row>
    <row r="86" spans="1:10" x14ac:dyDescent="0.2">
      <c r="A86" s="137" t="s">
        <v>559</v>
      </c>
      <c r="B86" s="259"/>
      <c r="C86" s="259"/>
      <c r="D86" s="259"/>
      <c r="E86" s="259"/>
      <c r="F86" s="259"/>
      <c r="G86" s="259"/>
      <c r="H86" s="259"/>
    </row>
    <row r="88" spans="1:10" x14ac:dyDescent="0.2">
      <c r="A88" s="259"/>
      <c r="B88" s="260" t="s">
        <v>83</v>
      </c>
      <c r="C88" s="261" t="s">
        <v>560</v>
      </c>
      <c r="D88" s="262"/>
      <c r="E88" s="262"/>
      <c r="F88" s="263"/>
      <c r="G88" s="259"/>
      <c r="H88" s="259"/>
    </row>
    <row r="89" spans="1:10" x14ac:dyDescent="0.2">
      <c r="A89" s="259"/>
      <c r="B89" s="260" t="s">
        <v>111</v>
      </c>
      <c r="C89" s="261" t="s">
        <v>561</v>
      </c>
      <c r="D89" s="262"/>
      <c r="E89" s="262"/>
      <c r="F89" s="263"/>
      <c r="G89" s="259"/>
      <c r="H89" s="259"/>
    </row>
    <row r="90" spans="1:10" x14ac:dyDescent="0.2">
      <c r="A90" s="259"/>
      <c r="B90" s="256" t="s">
        <v>102</v>
      </c>
      <c r="C90" s="261" t="s">
        <v>562</v>
      </c>
      <c r="D90" s="262"/>
      <c r="E90" s="262"/>
      <c r="F90" s="263"/>
      <c r="G90" s="259"/>
      <c r="H90" s="259"/>
    </row>
    <row r="91" spans="1:10" x14ac:dyDescent="0.2">
      <c r="A91" s="259"/>
      <c r="B91" s="260" t="s">
        <v>135</v>
      </c>
      <c r="C91" s="261" t="s">
        <v>563</v>
      </c>
      <c r="D91" s="262"/>
      <c r="E91" s="262"/>
      <c r="F91" s="263"/>
      <c r="G91" s="259"/>
      <c r="H91" s="259"/>
    </row>
    <row r="92" spans="1:10" x14ac:dyDescent="0.2">
      <c r="A92" s="259"/>
      <c r="B92" s="256" t="s">
        <v>103</v>
      </c>
      <c r="C92" s="261" t="s">
        <v>564</v>
      </c>
      <c r="D92" s="262"/>
      <c r="E92" s="262"/>
      <c r="F92" s="263"/>
      <c r="G92" s="259"/>
      <c r="H92" s="259"/>
    </row>
    <row r="93" spans="1:10" x14ac:dyDescent="0.2">
      <c r="A93" s="259"/>
      <c r="B93" s="260" t="s">
        <v>566</v>
      </c>
      <c r="C93" s="261" t="s">
        <v>565</v>
      </c>
      <c r="D93" s="262"/>
      <c r="E93" s="262"/>
      <c r="F93" s="263"/>
      <c r="G93" s="259"/>
      <c r="H93" s="259"/>
    </row>
    <row r="94" spans="1:10" x14ac:dyDescent="0.2">
      <c r="A94" s="259"/>
      <c r="B94" s="256" t="s">
        <v>175</v>
      </c>
      <c r="C94" s="261" t="s">
        <v>567</v>
      </c>
      <c r="D94" s="262"/>
      <c r="E94" s="262"/>
      <c r="F94" s="263"/>
      <c r="G94" s="259"/>
      <c r="H94" s="259"/>
    </row>
    <row r="95" spans="1:10" x14ac:dyDescent="0.2">
      <c r="A95" s="259"/>
      <c r="B95" s="260" t="s">
        <v>105</v>
      </c>
      <c r="C95" s="261" t="s">
        <v>568</v>
      </c>
      <c r="D95" s="262"/>
      <c r="E95" s="262"/>
      <c r="F95" s="263"/>
      <c r="G95" s="259"/>
      <c r="H95" s="259"/>
    </row>
    <row r="96" spans="1:10" x14ac:dyDescent="0.2">
      <c r="A96" s="259"/>
      <c r="B96" s="256" t="s">
        <v>570</v>
      </c>
      <c r="C96" s="261" t="s">
        <v>569</v>
      </c>
      <c r="D96" s="262"/>
      <c r="E96" s="262"/>
      <c r="F96" s="263"/>
      <c r="G96" s="259"/>
      <c r="H96" s="259"/>
    </row>
    <row r="97" spans="2:6" x14ac:dyDescent="0.2">
      <c r="B97" s="260" t="s">
        <v>72</v>
      </c>
      <c r="C97" s="261" t="s">
        <v>571</v>
      </c>
      <c r="D97" s="262"/>
      <c r="E97" s="262"/>
      <c r="F97" s="263"/>
    </row>
  </sheetData>
  <mergeCells count="72">
    <mergeCell ref="F69:F70"/>
    <mergeCell ref="E23:E24"/>
    <mergeCell ref="F19:F20"/>
    <mergeCell ref="G19:G20"/>
    <mergeCell ref="H19:H20"/>
    <mergeCell ref="F23:F24"/>
    <mergeCell ref="G23:G24"/>
    <mergeCell ref="H23:H24"/>
    <mergeCell ref="F21:F22"/>
    <mergeCell ref="G21:G22"/>
    <mergeCell ref="H21:H22"/>
    <mergeCell ref="G69:G70"/>
    <mergeCell ref="H69:H70"/>
    <mergeCell ref="I21:I22"/>
    <mergeCell ref="J21:J22"/>
    <mergeCell ref="D21:D22"/>
    <mergeCell ref="A19:A20"/>
    <mergeCell ref="A21:A22"/>
    <mergeCell ref="I19:I20"/>
    <mergeCell ref="J19:J20"/>
    <mergeCell ref="A23:A24"/>
    <mergeCell ref="A69:A70"/>
    <mergeCell ref="B69:B70"/>
    <mergeCell ref="C69:C70"/>
    <mergeCell ref="B19:B20"/>
    <mergeCell ref="B21:B22"/>
    <mergeCell ref="B23:B24"/>
    <mergeCell ref="C19:C20"/>
    <mergeCell ref="I69:I70"/>
    <mergeCell ref="J69:J70"/>
    <mergeCell ref="I23:I24"/>
    <mergeCell ref="J23:J24"/>
    <mergeCell ref="I71:I72"/>
    <mergeCell ref="J71:J72"/>
    <mergeCell ref="H73:H74"/>
    <mergeCell ref="I73:I74"/>
    <mergeCell ref="J73:J74"/>
    <mergeCell ref="A71:A72"/>
    <mergeCell ref="B71:B72"/>
    <mergeCell ref="D71:D72"/>
    <mergeCell ref="F71:F72"/>
    <mergeCell ref="G71:G72"/>
    <mergeCell ref="H71:H72"/>
    <mergeCell ref="A73:A74"/>
    <mergeCell ref="B73:B74"/>
    <mergeCell ref="E73:E74"/>
    <mergeCell ref="F73:F74"/>
    <mergeCell ref="G73:G74"/>
    <mergeCell ref="I79:I80"/>
    <mergeCell ref="J79:J80"/>
    <mergeCell ref="A81:A82"/>
    <mergeCell ref="B81:B82"/>
    <mergeCell ref="D81:D82"/>
    <mergeCell ref="F81:F82"/>
    <mergeCell ref="G81:G82"/>
    <mergeCell ref="H81:H82"/>
    <mergeCell ref="I81:I82"/>
    <mergeCell ref="J81:J82"/>
    <mergeCell ref="A79:A80"/>
    <mergeCell ref="B79:B80"/>
    <mergeCell ref="C79:C80"/>
    <mergeCell ref="F79:F80"/>
    <mergeCell ref="G79:G80"/>
    <mergeCell ref="H79:H80"/>
    <mergeCell ref="I83:I84"/>
    <mergeCell ref="J83:J84"/>
    <mergeCell ref="A83:A84"/>
    <mergeCell ref="B83:B84"/>
    <mergeCell ref="E83:E84"/>
    <mergeCell ref="F83:F84"/>
    <mergeCell ref="G83:G84"/>
    <mergeCell ref="H83:H84"/>
  </mergeCells>
  <conditionalFormatting sqref="C19:G84">
    <cfRule type="cellIs" dxfId="6" priority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  <rowBreaks count="1" manualBreakCount="1">
    <brk id="5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7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J1" sqref="J1"/>
    </sheetView>
  </sheetViews>
  <sheetFormatPr defaultColWidth="9.42578125" defaultRowHeight="12.75" x14ac:dyDescent="0.2"/>
  <cols>
    <col min="1" max="1" width="3.28515625" style="20" customWidth="1"/>
    <col min="2" max="2" width="29.42578125" style="20" bestFit="1" customWidth="1"/>
    <col min="3" max="7" width="6.7109375" style="20" customWidth="1"/>
    <col min="8" max="8" width="3.7109375" style="20" customWidth="1"/>
    <col min="9" max="9" width="8.5703125" style="20" customWidth="1"/>
    <col min="10" max="207" width="9.140625" style="20" customWidth="1"/>
    <col min="208" max="16384" width="9.42578125" style="20"/>
  </cols>
  <sheetData>
    <row r="1" spans="1:10" x14ac:dyDescent="0.2">
      <c r="A1" s="21" t="str">
        <f>UPPER((Kalend!E21)&amp;" - "&amp;(Kalend!C21)&amp;" - "&amp;(Kalend!D21))</f>
        <v>13 - JÕHVI PETANGITEISIPÄEVAKUTE 5. ETAPP - DUO</v>
      </c>
      <c r="F1" s="284" t="str">
        <f>HYPERLINK("#Kalend!J1","Kalender")</f>
        <v>Kalender</v>
      </c>
      <c r="G1" s="277"/>
      <c r="H1" s="284" t="str">
        <f>HYPERLINK("#Reit!J1","Reiting")</f>
        <v>Reiting</v>
      </c>
      <c r="I1" s="248"/>
      <c r="J1" s="248"/>
    </row>
    <row r="2" spans="1:10" x14ac:dyDescent="0.2">
      <c r="A2" s="93" t="str">
        <f>"Toimumisaeg: "&amp;(Kalend!A21)&amp;" kell "&amp;(Kalend!B21)</f>
        <v>Toimumisaeg: T, 13.08.2002 kell 18:00</v>
      </c>
      <c r="G2" s="93"/>
    </row>
    <row r="3" spans="1:10" x14ac:dyDescent="0.2">
      <c r="A3" s="93" t="str">
        <f>"Toimumiskoht: "&amp;(Kalend!F21)</f>
        <v>Toimumiskoht: Jõhvi erakooli staadion (Jaama 37)</v>
      </c>
      <c r="G3" s="93"/>
    </row>
    <row r="4" spans="1:10" x14ac:dyDescent="0.2">
      <c r="A4" s="93" t="str">
        <f>"Korraldaja: "&amp;(Kalend!G21)</f>
        <v>Korraldaja: LTK Üks-Teist</v>
      </c>
      <c r="G4" s="93"/>
    </row>
    <row r="5" spans="1:10" x14ac:dyDescent="0.2">
      <c r="A5" s="93"/>
      <c r="G5" s="93"/>
    </row>
    <row r="6" spans="1:10" s="97" customFormat="1" x14ac:dyDescent="0.2">
      <c r="A6" s="369" t="s">
        <v>314</v>
      </c>
      <c r="B6" s="370"/>
      <c r="C6" s="87">
        <v>1</v>
      </c>
      <c r="D6" s="87">
        <v>2</v>
      </c>
      <c r="E6" s="87">
        <v>3</v>
      </c>
      <c r="F6" s="87" t="s">
        <v>254</v>
      </c>
      <c r="G6" s="87" t="s">
        <v>67</v>
      </c>
    </row>
    <row r="7" spans="1:10" s="97" customFormat="1" x14ac:dyDescent="0.2">
      <c r="A7" s="96">
        <v>1</v>
      </c>
      <c r="B7" s="135" t="s">
        <v>439</v>
      </c>
      <c r="C7" s="99"/>
      <c r="D7" s="100">
        <v>11</v>
      </c>
      <c r="E7" s="100">
        <v>11</v>
      </c>
      <c r="F7" s="101" t="s">
        <v>302</v>
      </c>
      <c r="G7" s="100" t="s">
        <v>258</v>
      </c>
      <c r="I7" s="431" t="s">
        <v>664</v>
      </c>
    </row>
    <row r="8" spans="1:10" s="97" customFormat="1" x14ac:dyDescent="0.2">
      <c r="A8" s="96">
        <v>2</v>
      </c>
      <c r="B8" s="135" t="s">
        <v>440</v>
      </c>
      <c r="C8" s="100">
        <v>5</v>
      </c>
      <c r="D8" s="99"/>
      <c r="E8" s="100">
        <v>11</v>
      </c>
      <c r="F8" s="101" t="s">
        <v>306</v>
      </c>
      <c r="G8" s="100" t="s">
        <v>262</v>
      </c>
      <c r="I8" s="431" t="s">
        <v>665</v>
      </c>
    </row>
    <row r="9" spans="1:10" s="97" customFormat="1" x14ac:dyDescent="0.2">
      <c r="A9" s="96">
        <v>3</v>
      </c>
      <c r="B9" s="135" t="s">
        <v>441</v>
      </c>
      <c r="C9" s="100">
        <v>2</v>
      </c>
      <c r="D9" s="100">
        <v>10</v>
      </c>
      <c r="E9" s="99"/>
      <c r="F9" s="101" t="s">
        <v>304</v>
      </c>
      <c r="G9" s="100" t="s">
        <v>270</v>
      </c>
      <c r="I9" s="431" t="s">
        <v>666</v>
      </c>
    </row>
    <row r="10" spans="1:10" s="178" customFormat="1" x14ac:dyDescent="0.2">
      <c r="A10" s="232"/>
      <c r="B10" s="232"/>
      <c r="C10" s="130"/>
      <c r="D10" s="130"/>
      <c r="E10" s="130"/>
      <c r="F10" s="273"/>
      <c r="G10" s="130"/>
      <c r="I10" s="386"/>
    </row>
    <row r="11" spans="1:10" s="97" customFormat="1" x14ac:dyDescent="0.2">
      <c r="A11" s="18"/>
      <c r="C11" s="184"/>
      <c r="D11" s="184"/>
      <c r="E11" s="184"/>
      <c r="F11" s="185"/>
      <c r="G11" s="184"/>
      <c r="I11" s="387"/>
    </row>
    <row r="12" spans="1:10" s="97" customFormat="1" x14ac:dyDescent="0.2">
      <c r="A12" s="369" t="s">
        <v>315</v>
      </c>
      <c r="B12" s="370"/>
      <c r="C12" s="87">
        <v>1</v>
      </c>
      <c r="D12" s="87">
        <v>2</v>
      </c>
      <c r="E12" s="87">
        <v>3</v>
      </c>
      <c r="F12" s="87" t="s">
        <v>254</v>
      </c>
      <c r="G12" s="87" t="s">
        <v>67</v>
      </c>
      <c r="I12" s="387"/>
    </row>
    <row r="13" spans="1:10" s="97" customFormat="1" x14ac:dyDescent="0.2">
      <c r="A13" s="96">
        <v>1</v>
      </c>
      <c r="B13" s="135" t="s">
        <v>375</v>
      </c>
      <c r="C13" s="99"/>
      <c r="D13" s="424">
        <v>11</v>
      </c>
      <c r="E13" s="424">
        <v>8</v>
      </c>
      <c r="F13" s="423" t="s">
        <v>306</v>
      </c>
      <c r="G13" s="100" t="s">
        <v>258</v>
      </c>
      <c r="H13" s="430">
        <v>3</v>
      </c>
      <c r="I13" s="431" t="s">
        <v>292</v>
      </c>
    </row>
    <row r="14" spans="1:10" s="97" customFormat="1" x14ac:dyDescent="0.2">
      <c r="A14" s="96">
        <v>2</v>
      </c>
      <c r="B14" s="135" t="s">
        <v>643</v>
      </c>
      <c r="C14" s="424">
        <v>5</v>
      </c>
      <c r="D14" s="99"/>
      <c r="E14" s="424">
        <v>11</v>
      </c>
      <c r="F14" s="423" t="s">
        <v>306</v>
      </c>
      <c r="G14" s="100" t="s">
        <v>262</v>
      </c>
      <c r="H14" s="430">
        <v>1</v>
      </c>
      <c r="I14" s="431" t="s">
        <v>296</v>
      </c>
    </row>
    <row r="15" spans="1:10" s="97" customFormat="1" x14ac:dyDescent="0.2">
      <c r="A15" s="96">
        <v>3</v>
      </c>
      <c r="B15" s="135" t="s">
        <v>513</v>
      </c>
      <c r="C15" s="424">
        <v>11</v>
      </c>
      <c r="D15" s="421">
        <v>4</v>
      </c>
      <c r="E15" s="99"/>
      <c r="F15" s="423" t="s">
        <v>306</v>
      </c>
      <c r="G15" s="100" t="s">
        <v>270</v>
      </c>
      <c r="H15" s="430">
        <v>-4</v>
      </c>
      <c r="I15" s="431" t="s">
        <v>298</v>
      </c>
    </row>
    <row r="16" spans="1:10" s="178" customFormat="1" x14ac:dyDescent="0.2">
      <c r="A16" s="232"/>
      <c r="B16" s="232"/>
      <c r="C16" s="130"/>
      <c r="D16" s="272"/>
      <c r="E16" s="130"/>
      <c r="F16" s="273"/>
      <c r="G16" s="130"/>
      <c r="I16" s="386"/>
    </row>
    <row r="17" spans="1:9" s="97" customFormat="1" x14ac:dyDescent="0.2">
      <c r="A17" s="18"/>
      <c r="C17" s="184"/>
      <c r="D17" s="184"/>
      <c r="E17" s="184"/>
      <c r="F17" s="185"/>
      <c r="G17" s="184"/>
      <c r="I17" s="387"/>
    </row>
    <row r="18" spans="1:9" s="97" customFormat="1" x14ac:dyDescent="0.2">
      <c r="A18" s="369" t="s">
        <v>316</v>
      </c>
      <c r="B18" s="370"/>
      <c r="C18" s="87">
        <v>1</v>
      </c>
      <c r="D18" s="87">
        <v>2</v>
      </c>
      <c r="E18" s="87">
        <v>3</v>
      </c>
      <c r="F18" s="87" t="s">
        <v>254</v>
      </c>
      <c r="G18" s="87" t="s">
        <v>67</v>
      </c>
      <c r="I18" s="387"/>
    </row>
    <row r="19" spans="1:9" s="97" customFormat="1" x14ac:dyDescent="0.2">
      <c r="A19" s="96">
        <v>1</v>
      </c>
      <c r="B19" s="135" t="s">
        <v>540</v>
      </c>
      <c r="C19" s="99"/>
      <c r="D19" s="100">
        <v>11</v>
      </c>
      <c r="E19" s="100">
        <v>11</v>
      </c>
      <c r="F19" s="101" t="s">
        <v>302</v>
      </c>
      <c r="G19" s="100" t="s">
        <v>258</v>
      </c>
      <c r="I19" s="431" t="s">
        <v>299</v>
      </c>
    </row>
    <row r="20" spans="1:9" s="97" customFormat="1" x14ac:dyDescent="0.2">
      <c r="A20" s="96">
        <v>2</v>
      </c>
      <c r="B20" s="135" t="s">
        <v>541</v>
      </c>
      <c r="C20" s="100">
        <v>3</v>
      </c>
      <c r="D20" s="99"/>
      <c r="E20" s="100">
        <v>11</v>
      </c>
      <c r="F20" s="101" t="s">
        <v>306</v>
      </c>
      <c r="G20" s="100" t="s">
        <v>262</v>
      </c>
      <c r="I20" s="431" t="s">
        <v>300</v>
      </c>
    </row>
    <row r="21" spans="1:9" s="97" customFormat="1" x14ac:dyDescent="0.2">
      <c r="A21" s="96">
        <v>3</v>
      </c>
      <c r="B21" s="135" t="s">
        <v>442</v>
      </c>
      <c r="C21" s="100">
        <v>5</v>
      </c>
      <c r="D21" s="103">
        <v>9</v>
      </c>
      <c r="E21" s="99"/>
      <c r="F21" s="101" t="s">
        <v>304</v>
      </c>
      <c r="G21" s="100" t="s">
        <v>270</v>
      </c>
      <c r="I21" s="431" t="s">
        <v>402</v>
      </c>
    </row>
    <row r="22" spans="1:9" s="178" customFormat="1" x14ac:dyDescent="0.2">
      <c r="A22" s="232"/>
      <c r="B22" s="232"/>
      <c r="C22" s="130"/>
      <c r="D22" s="272"/>
      <c r="E22" s="130"/>
      <c r="F22" s="273"/>
      <c r="G22" s="130"/>
      <c r="I22" s="386"/>
    </row>
    <row r="23" spans="1:9" s="97" customFormat="1" x14ac:dyDescent="0.2">
      <c r="A23" s="127"/>
      <c r="B23" s="117"/>
      <c r="C23" s="128"/>
      <c r="D23" s="186"/>
      <c r="E23" s="128"/>
      <c r="F23" s="130"/>
      <c r="G23" s="129"/>
      <c r="I23" s="387"/>
    </row>
    <row r="24" spans="1:9" s="97" customFormat="1" x14ac:dyDescent="0.2">
      <c r="A24" s="369" t="s">
        <v>443</v>
      </c>
      <c r="B24" s="370"/>
      <c r="C24" s="87">
        <v>1</v>
      </c>
      <c r="D24" s="87">
        <v>2</v>
      </c>
      <c r="E24" s="87">
        <v>3</v>
      </c>
      <c r="F24" s="87" t="s">
        <v>254</v>
      </c>
      <c r="G24" s="87" t="s">
        <v>67</v>
      </c>
      <c r="I24" s="387"/>
    </row>
    <row r="25" spans="1:9" s="97" customFormat="1" x14ac:dyDescent="0.2">
      <c r="A25" s="96">
        <v>1</v>
      </c>
      <c r="B25" s="135" t="s">
        <v>444</v>
      </c>
      <c r="C25" s="99"/>
      <c r="D25" s="100">
        <v>11</v>
      </c>
      <c r="E25" s="100">
        <v>11</v>
      </c>
      <c r="F25" s="101" t="s">
        <v>302</v>
      </c>
      <c r="G25" s="100" t="s">
        <v>258</v>
      </c>
      <c r="I25" s="431" t="s">
        <v>406</v>
      </c>
    </row>
    <row r="26" spans="1:9" s="97" customFormat="1" x14ac:dyDescent="0.2">
      <c r="A26" s="96">
        <v>2</v>
      </c>
      <c r="B26" s="135" t="s">
        <v>516</v>
      </c>
      <c r="C26" s="100">
        <v>5</v>
      </c>
      <c r="D26" s="99"/>
      <c r="E26" s="100">
        <v>11</v>
      </c>
      <c r="F26" s="101" t="s">
        <v>306</v>
      </c>
      <c r="G26" s="100" t="s">
        <v>262</v>
      </c>
      <c r="I26" s="431" t="s">
        <v>407</v>
      </c>
    </row>
    <row r="27" spans="1:9" s="97" customFormat="1" x14ac:dyDescent="0.2">
      <c r="A27" s="96">
        <v>3</v>
      </c>
      <c r="B27" s="135" t="s">
        <v>445</v>
      </c>
      <c r="C27" s="100">
        <v>3</v>
      </c>
      <c r="D27" s="103">
        <v>3</v>
      </c>
      <c r="E27" s="99"/>
      <c r="F27" s="101" t="s">
        <v>304</v>
      </c>
      <c r="G27" s="100" t="s">
        <v>270</v>
      </c>
      <c r="I27" s="431" t="s">
        <v>415</v>
      </c>
    </row>
    <row r="28" spans="1:9" s="178" customFormat="1" x14ac:dyDescent="0.2">
      <c r="A28" s="232"/>
      <c r="B28" s="232"/>
      <c r="C28" s="130"/>
      <c r="D28" s="272"/>
      <c r="E28" s="130"/>
      <c r="F28" s="273"/>
      <c r="G28" s="130"/>
      <c r="I28" s="386"/>
    </row>
    <row r="29" spans="1:9" s="97" customFormat="1" x14ac:dyDescent="0.2">
      <c r="A29" s="127"/>
      <c r="B29" s="117"/>
      <c r="C29" s="128"/>
      <c r="D29" s="186"/>
      <c r="E29" s="128"/>
      <c r="F29" s="130"/>
      <c r="G29" s="129"/>
      <c r="I29" s="387"/>
    </row>
    <row r="30" spans="1:9" s="97" customFormat="1" x14ac:dyDescent="0.2">
      <c r="A30" s="369" t="s">
        <v>446</v>
      </c>
      <c r="B30" s="370"/>
      <c r="C30" s="87">
        <v>1</v>
      </c>
      <c r="D30" s="87">
        <v>2</v>
      </c>
      <c r="E30" s="87">
        <v>3</v>
      </c>
      <c r="F30" s="87" t="s">
        <v>254</v>
      </c>
      <c r="G30" s="87" t="s">
        <v>67</v>
      </c>
      <c r="I30" s="387"/>
    </row>
    <row r="31" spans="1:9" s="97" customFormat="1" x14ac:dyDescent="0.2">
      <c r="A31" s="96">
        <v>1</v>
      </c>
      <c r="B31" s="135" t="s">
        <v>542</v>
      </c>
      <c r="C31" s="99"/>
      <c r="D31" s="100">
        <v>11</v>
      </c>
      <c r="E31" s="100">
        <v>11</v>
      </c>
      <c r="F31" s="101" t="s">
        <v>302</v>
      </c>
      <c r="G31" s="100" t="s">
        <v>258</v>
      </c>
      <c r="I31" s="431" t="s">
        <v>416</v>
      </c>
    </row>
    <row r="32" spans="1:9" s="97" customFormat="1" x14ac:dyDescent="0.2">
      <c r="A32" s="96">
        <v>2</v>
      </c>
      <c r="B32" s="135" t="s">
        <v>447</v>
      </c>
      <c r="C32" s="100">
        <v>3</v>
      </c>
      <c r="D32" s="99"/>
      <c r="E32" s="100">
        <v>11</v>
      </c>
      <c r="F32" s="101" t="s">
        <v>306</v>
      </c>
      <c r="G32" s="100" t="s">
        <v>262</v>
      </c>
      <c r="I32" s="431" t="s">
        <v>417</v>
      </c>
    </row>
    <row r="33" spans="1:9" s="97" customFormat="1" x14ac:dyDescent="0.2">
      <c r="A33" s="96">
        <v>3</v>
      </c>
      <c r="B33" s="135" t="s">
        <v>371</v>
      </c>
      <c r="C33" s="100">
        <v>3</v>
      </c>
      <c r="D33" s="103">
        <v>8</v>
      </c>
      <c r="E33" s="99"/>
      <c r="F33" s="101" t="s">
        <v>304</v>
      </c>
      <c r="G33" s="100" t="s">
        <v>270</v>
      </c>
      <c r="I33" s="431" t="s">
        <v>418</v>
      </c>
    </row>
    <row r="34" spans="1:9" s="97" customFormat="1" x14ac:dyDescent="0.2">
      <c r="A34" s="127"/>
      <c r="B34" s="117"/>
      <c r="C34" s="128"/>
      <c r="D34" s="186"/>
      <c r="E34" s="128"/>
      <c r="F34" s="130"/>
      <c r="G34" s="129"/>
    </row>
    <row r="35" spans="1:9" s="97" customFormat="1" x14ac:dyDescent="0.2">
      <c r="A35" s="127"/>
      <c r="B35" s="136" t="s">
        <v>280</v>
      </c>
      <c r="C35" s="129" t="s">
        <v>284</v>
      </c>
      <c r="F35" s="130"/>
      <c r="G35" s="129"/>
    </row>
    <row r="36" spans="1:9" s="97" customFormat="1" x14ac:dyDescent="0.2">
      <c r="A36" s="127"/>
      <c r="B36" s="136" t="s">
        <v>283</v>
      </c>
      <c r="C36" s="129" t="s">
        <v>282</v>
      </c>
      <c r="E36" s="129"/>
      <c r="F36" s="130"/>
      <c r="G36" s="129"/>
    </row>
    <row r="37" spans="1:9" s="97" customFormat="1" x14ac:dyDescent="0.2">
      <c r="A37" s="127"/>
      <c r="B37" s="136" t="s">
        <v>286</v>
      </c>
      <c r="C37" s="129" t="s">
        <v>268</v>
      </c>
      <c r="E37" s="129"/>
      <c r="F37" s="130"/>
      <c r="G37" s="129"/>
    </row>
    <row r="38" spans="1:9" s="93" customFormat="1" x14ac:dyDescent="0.2"/>
    <row r="39" spans="1:9" s="93" customFormat="1" x14ac:dyDescent="0.2">
      <c r="A39" s="94">
        <v>1</v>
      </c>
      <c r="B39" s="334" t="s">
        <v>439</v>
      </c>
    </row>
    <row r="40" spans="1:9" s="93" customFormat="1" x14ac:dyDescent="0.2">
      <c r="A40" s="94">
        <v>2</v>
      </c>
      <c r="B40" s="335" t="s">
        <v>440</v>
      </c>
    </row>
    <row r="41" spans="1:9" s="93" customFormat="1" x14ac:dyDescent="0.2">
      <c r="A41" s="94">
        <v>3</v>
      </c>
      <c r="B41" s="336" t="s">
        <v>441</v>
      </c>
    </row>
    <row r="42" spans="1:9" s="93" customFormat="1" x14ac:dyDescent="0.2">
      <c r="A42" s="94">
        <v>4</v>
      </c>
      <c r="B42" s="135" t="s">
        <v>375</v>
      </c>
    </row>
    <row r="43" spans="1:9" s="93" customFormat="1" x14ac:dyDescent="0.2">
      <c r="A43" s="94">
        <v>5</v>
      </c>
      <c r="B43" s="135" t="s">
        <v>643</v>
      </c>
    </row>
    <row r="44" spans="1:9" s="93" customFormat="1" x14ac:dyDescent="0.2">
      <c r="A44" s="94">
        <v>6</v>
      </c>
      <c r="B44" s="135" t="s">
        <v>513</v>
      </c>
    </row>
    <row r="45" spans="1:9" s="93" customFormat="1" x14ac:dyDescent="0.2">
      <c r="A45" s="94">
        <v>7</v>
      </c>
      <c r="B45" s="135" t="s">
        <v>540</v>
      </c>
    </row>
    <row r="46" spans="1:9" s="93" customFormat="1" x14ac:dyDescent="0.2">
      <c r="A46" s="94">
        <v>8</v>
      </c>
      <c r="B46" s="135" t="s">
        <v>541</v>
      </c>
    </row>
    <row r="47" spans="1:9" x14ac:dyDescent="0.2">
      <c r="A47" s="94">
        <v>9</v>
      </c>
      <c r="B47" s="135" t="s">
        <v>442</v>
      </c>
    </row>
    <row r="48" spans="1:9" x14ac:dyDescent="0.2">
      <c r="A48" s="94">
        <v>10</v>
      </c>
      <c r="B48" s="135" t="s">
        <v>444</v>
      </c>
    </row>
    <row r="49" spans="1:2" x14ac:dyDescent="0.2">
      <c r="A49" s="94">
        <v>11</v>
      </c>
      <c r="B49" s="135" t="s">
        <v>516</v>
      </c>
    </row>
    <row r="50" spans="1:2" x14ac:dyDescent="0.2">
      <c r="A50" s="94">
        <v>12</v>
      </c>
      <c r="B50" s="135" t="s">
        <v>445</v>
      </c>
    </row>
    <row r="51" spans="1:2" x14ac:dyDescent="0.2">
      <c r="A51" s="94">
        <v>13</v>
      </c>
      <c r="B51" s="135" t="s">
        <v>542</v>
      </c>
    </row>
    <row r="52" spans="1:2" x14ac:dyDescent="0.2">
      <c r="A52" s="94">
        <v>14</v>
      </c>
      <c r="B52" s="135" t="s">
        <v>447</v>
      </c>
    </row>
    <row r="53" spans="1:2" x14ac:dyDescent="0.2">
      <c r="A53" s="94">
        <v>15</v>
      </c>
      <c r="B53" s="135" t="s">
        <v>371</v>
      </c>
    </row>
    <row r="54" spans="1:2" x14ac:dyDescent="0.2">
      <c r="A54" s="94">
        <v>16</v>
      </c>
      <c r="B54" s="135" t="s">
        <v>448</v>
      </c>
    </row>
    <row r="55" spans="1:2" x14ac:dyDescent="0.2">
      <c r="A55" s="94">
        <v>17</v>
      </c>
      <c r="B55" s="135" t="s">
        <v>449</v>
      </c>
    </row>
    <row r="56" spans="1:2" x14ac:dyDescent="0.2">
      <c r="A56" s="94">
        <v>18</v>
      </c>
      <c r="B56" s="135" t="s">
        <v>450</v>
      </c>
    </row>
    <row r="57" spans="1:2" x14ac:dyDescent="0.2">
      <c r="A57" s="94">
        <v>19</v>
      </c>
      <c r="B57" s="135" t="s">
        <v>451</v>
      </c>
    </row>
  </sheetData>
  <conditionalFormatting sqref="C7:E33">
    <cfRule type="cellIs" dxfId="5" priority="1" operator="equal">
      <formula>11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53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J1" sqref="J1"/>
    </sheetView>
  </sheetViews>
  <sheetFormatPr defaultColWidth="9.42578125" defaultRowHeight="12.75" x14ac:dyDescent="0.2"/>
  <cols>
    <col min="1" max="1" width="5.5703125" style="20" customWidth="1"/>
    <col min="2" max="2" width="35" style="20" bestFit="1" customWidth="1"/>
    <col min="3" max="8" width="5.7109375" style="20" customWidth="1"/>
    <col min="9" max="9" width="3.85546875" style="20" customWidth="1"/>
    <col min="10" max="14" width="5.7109375" style="20" customWidth="1"/>
    <col min="15" max="209" width="9.140625" style="20" customWidth="1"/>
    <col min="210" max="16384" width="9.42578125" style="20"/>
  </cols>
  <sheetData>
    <row r="1" spans="1:10" x14ac:dyDescent="0.2">
      <c r="A1" s="21" t="str">
        <f>UPPER((Kalend!E22)&amp;" - "&amp;(Kalend!C22)&amp;" - "&amp;(Kalend!D22))</f>
        <v>14 - K-JÄRVE 1. KV 4. ETAPP - ÜKSIK</v>
      </c>
      <c r="F1" s="284" t="str">
        <f>HYPERLINK("#Kalend!J1","Kalender")</f>
        <v>Kalender</v>
      </c>
      <c r="G1" s="277"/>
      <c r="H1" s="284" t="str">
        <f>HYPERLINK("#Reit!J1","Reiting")</f>
        <v>Reiting</v>
      </c>
      <c r="I1" s="248"/>
      <c r="J1" s="248"/>
    </row>
    <row r="2" spans="1:10" x14ac:dyDescent="0.2">
      <c r="A2" s="93" t="str">
        <f>"Toimumisaeg: "&amp;(Kalend!A22)&amp;" kell "&amp;(Kalend!B22)</f>
        <v>Toimumisaeg: T, 20.08.2002 kell 10:00</v>
      </c>
      <c r="G2" s="93"/>
    </row>
    <row r="3" spans="1:10" x14ac:dyDescent="0.2">
      <c r="A3" s="93" t="str">
        <f>"Toimumiskoht: "&amp;(Kalend!F22)</f>
        <v>Toimumiskoht: K-Järve Järve gümnaasiumi staadion</v>
      </c>
      <c r="E3" s="139" t="s">
        <v>452</v>
      </c>
      <c r="G3" s="93"/>
    </row>
    <row r="4" spans="1:10" x14ac:dyDescent="0.2">
      <c r="A4" s="93" t="str">
        <f>"Korraldaja: "&amp;(Kalend!G22)</f>
        <v>Korraldaja: K-Järve SHK</v>
      </c>
      <c r="E4" s="187" t="s">
        <v>453</v>
      </c>
      <c r="G4" s="93"/>
    </row>
    <row r="5" spans="1:10" s="93" customFormat="1" x14ac:dyDescent="0.2">
      <c r="A5"/>
    </row>
    <row r="6" spans="1:10" s="97" customFormat="1" x14ac:dyDescent="0.2">
      <c r="A6" s="96" t="s">
        <v>253</v>
      </c>
      <c r="B6" s="96"/>
      <c r="C6" s="87">
        <v>1</v>
      </c>
      <c r="D6" s="87">
        <v>2</v>
      </c>
      <c r="E6" s="87">
        <v>3</v>
      </c>
      <c r="F6" s="87">
        <v>4</v>
      </c>
      <c r="G6" s="87" t="s">
        <v>254</v>
      </c>
      <c r="H6" s="87" t="s">
        <v>67</v>
      </c>
    </row>
    <row r="7" spans="1:10" s="97" customFormat="1" x14ac:dyDescent="0.2">
      <c r="A7" s="96">
        <v>1</v>
      </c>
      <c r="B7" s="37" t="s">
        <v>363</v>
      </c>
      <c r="C7" s="99"/>
      <c r="D7" s="100">
        <v>11</v>
      </c>
      <c r="E7" s="100">
        <v>11</v>
      </c>
      <c r="F7" s="100">
        <v>11</v>
      </c>
      <c r="G7" s="101" t="s">
        <v>319</v>
      </c>
      <c r="H7" s="100" t="s">
        <v>258</v>
      </c>
    </row>
    <row r="8" spans="1:10" s="97" customFormat="1" x14ac:dyDescent="0.2">
      <c r="A8" s="96">
        <v>2</v>
      </c>
      <c r="B8" s="11" t="s">
        <v>355</v>
      </c>
      <c r="C8" s="100">
        <v>5</v>
      </c>
      <c r="D8" s="99"/>
      <c r="E8" s="100">
        <v>11</v>
      </c>
      <c r="F8" s="100">
        <v>11</v>
      </c>
      <c r="G8" s="101" t="s">
        <v>260</v>
      </c>
      <c r="H8" s="100" t="s">
        <v>262</v>
      </c>
    </row>
    <row r="9" spans="1:10" s="97" customFormat="1" x14ac:dyDescent="0.2">
      <c r="A9" s="96">
        <v>3</v>
      </c>
      <c r="B9" s="11" t="s">
        <v>525</v>
      </c>
      <c r="C9" s="100">
        <v>4</v>
      </c>
      <c r="D9" s="103">
        <v>7</v>
      </c>
      <c r="E9" s="99"/>
      <c r="F9" s="100">
        <v>11</v>
      </c>
      <c r="G9" s="101" t="s">
        <v>268</v>
      </c>
      <c r="H9" s="103" t="s">
        <v>270</v>
      </c>
    </row>
    <row r="10" spans="1:10" s="97" customFormat="1" x14ac:dyDescent="0.2">
      <c r="A10" s="96">
        <v>4</v>
      </c>
      <c r="B10" s="11" t="s">
        <v>454</v>
      </c>
      <c r="C10" s="100">
        <v>3</v>
      </c>
      <c r="D10" s="100">
        <v>5</v>
      </c>
      <c r="E10" s="100">
        <v>10</v>
      </c>
      <c r="F10" s="99"/>
      <c r="G10" s="101" t="s">
        <v>264</v>
      </c>
      <c r="H10" s="100" t="s">
        <v>266</v>
      </c>
    </row>
    <row r="11" spans="1:10" s="97" customFormat="1" x14ac:dyDescent="0.2"/>
    <row r="12" spans="1:10" s="97" customFormat="1" x14ac:dyDescent="0.2">
      <c r="A12" s="96" t="s">
        <v>271</v>
      </c>
      <c r="B12" s="96"/>
      <c r="C12" s="87">
        <v>1</v>
      </c>
      <c r="D12" s="87">
        <v>2</v>
      </c>
      <c r="E12" s="87">
        <v>3</v>
      </c>
      <c r="F12" s="87">
        <v>4</v>
      </c>
      <c r="G12" s="87" t="s">
        <v>254</v>
      </c>
      <c r="H12" s="87" t="s">
        <v>67</v>
      </c>
    </row>
    <row r="13" spans="1:10" s="97" customFormat="1" x14ac:dyDescent="0.2">
      <c r="A13" s="96">
        <v>1</v>
      </c>
      <c r="B13" s="37" t="s">
        <v>353</v>
      </c>
      <c r="C13" s="99"/>
      <c r="D13" s="100">
        <v>11</v>
      </c>
      <c r="E13" s="100">
        <v>11</v>
      </c>
      <c r="F13" s="100">
        <v>11</v>
      </c>
      <c r="G13" s="101" t="s">
        <v>319</v>
      </c>
      <c r="H13" s="100" t="s">
        <v>258</v>
      </c>
    </row>
    <row r="14" spans="1:10" s="97" customFormat="1" x14ac:dyDescent="0.2">
      <c r="A14" s="96">
        <v>2</v>
      </c>
      <c r="B14" s="11" t="s">
        <v>455</v>
      </c>
      <c r="C14" s="100">
        <v>1</v>
      </c>
      <c r="D14" s="99"/>
      <c r="E14" s="100">
        <v>11</v>
      </c>
      <c r="F14" s="100">
        <v>11</v>
      </c>
      <c r="G14" s="101" t="s">
        <v>260</v>
      </c>
      <c r="H14" s="100" t="s">
        <v>262</v>
      </c>
    </row>
    <row r="15" spans="1:10" s="97" customFormat="1" x14ac:dyDescent="0.2">
      <c r="A15" s="96">
        <v>3</v>
      </c>
      <c r="B15" s="11" t="s">
        <v>421</v>
      </c>
      <c r="C15" s="100">
        <v>5</v>
      </c>
      <c r="D15" s="103">
        <v>5</v>
      </c>
      <c r="E15" s="99"/>
      <c r="F15" s="100">
        <v>11</v>
      </c>
      <c r="G15" s="101" t="s">
        <v>268</v>
      </c>
      <c r="H15" s="188" t="s">
        <v>270</v>
      </c>
    </row>
    <row r="16" spans="1:10" s="97" customFormat="1" x14ac:dyDescent="0.2">
      <c r="A16" s="96">
        <v>4</v>
      </c>
      <c r="B16" s="11" t="s">
        <v>179</v>
      </c>
      <c r="C16" s="100">
        <v>0</v>
      </c>
      <c r="D16" s="100">
        <v>6</v>
      </c>
      <c r="E16" s="100">
        <v>1</v>
      </c>
      <c r="F16" s="99"/>
      <c r="G16" s="101" t="s">
        <v>264</v>
      </c>
      <c r="H16" s="189" t="s">
        <v>266</v>
      </c>
    </row>
    <row r="17" spans="1:11" s="97" customFormat="1" x14ac:dyDescent="0.2">
      <c r="H17" s="178"/>
    </row>
    <row r="18" spans="1:11" s="97" customFormat="1" x14ac:dyDescent="0.2">
      <c r="A18" s="96" t="s">
        <v>310</v>
      </c>
      <c r="B18" s="96"/>
      <c r="C18" s="87">
        <v>1</v>
      </c>
      <c r="D18" s="87">
        <v>2</v>
      </c>
      <c r="E18" s="87">
        <v>3</v>
      </c>
      <c r="F18" s="87">
        <v>4</v>
      </c>
      <c r="G18" s="87" t="s">
        <v>254</v>
      </c>
      <c r="H18" s="190" t="s">
        <v>67</v>
      </c>
    </row>
    <row r="19" spans="1:11" s="97" customFormat="1" x14ac:dyDescent="0.2">
      <c r="A19" s="96">
        <v>1</v>
      </c>
      <c r="B19" s="37" t="s">
        <v>456</v>
      </c>
      <c r="C19" s="99"/>
      <c r="D19" s="426">
        <v>11</v>
      </c>
      <c r="E19" s="100">
        <v>11</v>
      </c>
      <c r="F19" s="100">
        <v>10</v>
      </c>
      <c r="G19" s="425" t="s">
        <v>260</v>
      </c>
      <c r="H19" s="189" t="s">
        <v>258</v>
      </c>
      <c r="I19" s="432" t="s">
        <v>668</v>
      </c>
    </row>
    <row r="20" spans="1:11" s="97" customFormat="1" x14ac:dyDescent="0.2">
      <c r="A20" s="96">
        <v>2</v>
      </c>
      <c r="B20" s="37" t="s">
        <v>338</v>
      </c>
      <c r="C20" s="426">
        <v>5</v>
      </c>
      <c r="D20" s="99"/>
      <c r="E20" s="100">
        <v>11</v>
      </c>
      <c r="F20" s="100">
        <v>11</v>
      </c>
      <c r="G20" s="425" t="s">
        <v>260</v>
      </c>
      <c r="H20" s="189" t="s">
        <v>262</v>
      </c>
      <c r="I20" s="432" t="s">
        <v>667</v>
      </c>
    </row>
    <row r="21" spans="1:11" s="97" customFormat="1" x14ac:dyDescent="0.2">
      <c r="A21" s="96">
        <v>3</v>
      </c>
      <c r="B21" s="11" t="s">
        <v>106</v>
      </c>
      <c r="C21" s="100">
        <v>6</v>
      </c>
      <c r="D21" s="103">
        <v>8</v>
      </c>
      <c r="E21" s="99"/>
      <c r="F21" s="424">
        <v>11</v>
      </c>
      <c r="G21" s="423" t="s">
        <v>268</v>
      </c>
      <c r="H21" s="188" t="s">
        <v>270</v>
      </c>
      <c r="I21" s="419" t="s">
        <v>668</v>
      </c>
    </row>
    <row r="22" spans="1:11" s="97" customFormat="1" x14ac:dyDescent="0.2">
      <c r="A22" s="96">
        <v>4</v>
      </c>
      <c r="B22" s="11" t="s">
        <v>457</v>
      </c>
      <c r="C22" s="100">
        <v>11</v>
      </c>
      <c r="D22" s="100">
        <v>2</v>
      </c>
      <c r="E22" s="424">
        <v>7</v>
      </c>
      <c r="F22" s="99"/>
      <c r="G22" s="423" t="s">
        <v>268</v>
      </c>
      <c r="H22" s="189" t="s">
        <v>266</v>
      </c>
      <c r="I22" s="419" t="s">
        <v>667</v>
      </c>
    </row>
    <row r="23" spans="1:11" s="97" customFormat="1" x14ac:dyDescent="0.2">
      <c r="H23" s="178"/>
    </row>
    <row r="24" spans="1:11" s="97" customFormat="1" x14ac:dyDescent="0.2">
      <c r="A24" s="96" t="s">
        <v>337</v>
      </c>
      <c r="B24" s="96"/>
      <c r="C24" s="87">
        <v>1</v>
      </c>
      <c r="D24" s="87">
        <v>2</v>
      </c>
      <c r="E24" s="87">
        <v>3</v>
      </c>
      <c r="F24" s="87">
        <v>4</v>
      </c>
      <c r="G24" s="87" t="s">
        <v>254</v>
      </c>
      <c r="H24" s="190" t="s">
        <v>67</v>
      </c>
    </row>
    <row r="25" spans="1:11" s="97" customFormat="1" x14ac:dyDescent="0.2">
      <c r="A25" s="96">
        <v>1</v>
      </c>
      <c r="B25" s="37" t="s">
        <v>73</v>
      </c>
      <c r="C25" s="99"/>
      <c r="D25" s="424">
        <v>11</v>
      </c>
      <c r="E25" s="424">
        <v>9</v>
      </c>
      <c r="F25" s="100">
        <v>11</v>
      </c>
      <c r="G25" s="423" t="s">
        <v>260</v>
      </c>
      <c r="H25" s="189" t="s">
        <v>258</v>
      </c>
      <c r="I25" s="433" t="s">
        <v>458</v>
      </c>
      <c r="J25" s="191"/>
      <c r="K25" s="130"/>
    </row>
    <row r="26" spans="1:11" s="97" customFormat="1" x14ac:dyDescent="0.2">
      <c r="A26" s="96">
        <v>2</v>
      </c>
      <c r="B26" s="11" t="s">
        <v>459</v>
      </c>
      <c r="C26" s="424">
        <v>1</v>
      </c>
      <c r="D26" s="99"/>
      <c r="E26" s="424">
        <v>11</v>
      </c>
      <c r="F26" s="100">
        <v>11</v>
      </c>
      <c r="G26" s="423" t="s">
        <v>260</v>
      </c>
      <c r="H26" s="189" t="s">
        <v>262</v>
      </c>
      <c r="I26" s="433" t="s">
        <v>333</v>
      </c>
      <c r="J26" s="191"/>
    </row>
    <row r="27" spans="1:11" s="97" customFormat="1" x14ac:dyDescent="0.2">
      <c r="A27" s="96">
        <v>3</v>
      </c>
      <c r="B27" s="11" t="s">
        <v>101</v>
      </c>
      <c r="C27" s="424">
        <v>11</v>
      </c>
      <c r="D27" s="421">
        <v>5</v>
      </c>
      <c r="E27" s="99"/>
      <c r="F27" s="100">
        <v>11</v>
      </c>
      <c r="G27" s="423" t="s">
        <v>260</v>
      </c>
      <c r="H27" s="188" t="s">
        <v>270</v>
      </c>
      <c r="I27" s="433" t="s">
        <v>333</v>
      </c>
      <c r="J27" s="192"/>
    </row>
    <row r="28" spans="1:11" s="97" customFormat="1" x14ac:dyDescent="0.2">
      <c r="A28" s="96">
        <v>4</v>
      </c>
      <c r="B28" s="11" t="s">
        <v>460</v>
      </c>
      <c r="C28" s="100">
        <v>9</v>
      </c>
      <c r="D28" s="100">
        <v>10</v>
      </c>
      <c r="E28" s="100">
        <v>9</v>
      </c>
      <c r="F28" s="99"/>
      <c r="G28" s="101" t="s">
        <v>264</v>
      </c>
      <c r="H28" s="189" t="s">
        <v>266</v>
      </c>
      <c r="I28" s="145"/>
      <c r="J28" s="145"/>
    </row>
    <row r="29" spans="1:11" s="97" customFormat="1" x14ac:dyDescent="0.2">
      <c r="H29" s="178"/>
    </row>
    <row r="30" spans="1:11" s="97" customFormat="1" x14ac:dyDescent="0.2">
      <c r="A30" s="96" t="s">
        <v>461</v>
      </c>
      <c r="B30" s="96"/>
      <c r="C30" s="87">
        <v>1</v>
      </c>
      <c r="D30" s="87">
        <v>2</v>
      </c>
      <c r="E30" s="87">
        <v>3</v>
      </c>
      <c r="F30" s="87">
        <v>4</v>
      </c>
      <c r="G30" s="87" t="s">
        <v>254</v>
      </c>
      <c r="H30" s="190" t="s">
        <v>67</v>
      </c>
    </row>
    <row r="31" spans="1:11" s="97" customFormat="1" x14ac:dyDescent="0.2">
      <c r="A31" s="96">
        <v>1</v>
      </c>
      <c r="B31" s="37" t="s">
        <v>462</v>
      </c>
      <c r="C31" s="99"/>
      <c r="D31" s="426">
        <v>11</v>
      </c>
      <c r="E31" s="100">
        <v>11</v>
      </c>
      <c r="F31" s="100">
        <v>9</v>
      </c>
      <c r="G31" s="425" t="s">
        <v>260</v>
      </c>
      <c r="H31" s="189" t="s">
        <v>258</v>
      </c>
      <c r="I31" s="432" t="s">
        <v>668</v>
      </c>
    </row>
    <row r="32" spans="1:11" s="97" customFormat="1" x14ac:dyDescent="0.2">
      <c r="A32" s="96">
        <v>2</v>
      </c>
      <c r="B32" s="11" t="s">
        <v>463</v>
      </c>
      <c r="C32" s="426">
        <v>4</v>
      </c>
      <c r="D32" s="99"/>
      <c r="E32" s="100">
        <v>11</v>
      </c>
      <c r="F32" s="100">
        <v>11</v>
      </c>
      <c r="G32" s="425" t="s">
        <v>260</v>
      </c>
      <c r="H32" s="189" t="s">
        <v>262</v>
      </c>
      <c r="I32" s="432" t="s">
        <v>667</v>
      </c>
    </row>
    <row r="33" spans="1:12" s="97" customFormat="1" x14ac:dyDescent="0.2">
      <c r="A33" s="96">
        <v>3</v>
      </c>
      <c r="B33" s="11" t="s">
        <v>362</v>
      </c>
      <c r="C33" s="100">
        <v>2</v>
      </c>
      <c r="D33" s="103">
        <v>5</v>
      </c>
      <c r="E33" s="99"/>
      <c r="F33" s="424">
        <v>11</v>
      </c>
      <c r="G33" s="423" t="s">
        <v>268</v>
      </c>
      <c r="H33" s="188" t="s">
        <v>270</v>
      </c>
      <c r="I33" s="419" t="s">
        <v>668</v>
      </c>
    </row>
    <row r="34" spans="1:12" s="97" customFormat="1" x14ac:dyDescent="0.2">
      <c r="A34" s="96">
        <v>4</v>
      </c>
      <c r="B34" s="11" t="s">
        <v>464</v>
      </c>
      <c r="C34" s="100">
        <v>11</v>
      </c>
      <c r="D34" s="100">
        <v>2</v>
      </c>
      <c r="E34" s="424">
        <v>10</v>
      </c>
      <c r="F34" s="99"/>
      <c r="G34" s="423" t="s">
        <v>268</v>
      </c>
      <c r="H34" s="189" t="s">
        <v>266</v>
      </c>
      <c r="I34" s="419" t="s">
        <v>667</v>
      </c>
    </row>
    <row r="35" spans="1:12" s="97" customFormat="1" x14ac:dyDescent="0.2">
      <c r="H35" s="178"/>
    </row>
    <row r="36" spans="1:12" s="97" customFormat="1" x14ac:dyDescent="0.2">
      <c r="A36" s="96" t="s">
        <v>465</v>
      </c>
      <c r="B36" s="96"/>
      <c r="C36" s="87">
        <v>1</v>
      </c>
      <c r="D36" s="87">
        <v>2</v>
      </c>
      <c r="E36" s="87">
        <v>3</v>
      </c>
      <c r="F36" s="87">
        <v>4</v>
      </c>
      <c r="G36" s="87" t="s">
        <v>254</v>
      </c>
      <c r="H36" s="190" t="s">
        <v>67</v>
      </c>
    </row>
    <row r="37" spans="1:12" s="97" customFormat="1" x14ac:dyDescent="0.2">
      <c r="A37" s="96">
        <v>1</v>
      </c>
      <c r="B37" s="37" t="s">
        <v>75</v>
      </c>
      <c r="C37" s="99"/>
      <c r="D37" s="100">
        <v>11</v>
      </c>
      <c r="E37" s="100">
        <v>11</v>
      </c>
      <c r="F37" s="100">
        <v>11</v>
      </c>
      <c r="G37" s="101" t="s">
        <v>256</v>
      </c>
      <c r="H37" s="189" t="s">
        <v>258</v>
      </c>
    </row>
    <row r="38" spans="1:12" s="97" customFormat="1" x14ac:dyDescent="0.2">
      <c r="A38" s="96">
        <v>2</v>
      </c>
      <c r="B38" s="37" t="s">
        <v>427</v>
      </c>
      <c r="C38" s="100">
        <v>4</v>
      </c>
      <c r="D38" s="99"/>
      <c r="E38" s="100">
        <v>11</v>
      </c>
      <c r="F38" s="100">
        <v>11</v>
      </c>
      <c r="G38" s="101" t="s">
        <v>260</v>
      </c>
      <c r="H38" s="189" t="s">
        <v>262</v>
      </c>
      <c r="J38" s="136" t="s">
        <v>280</v>
      </c>
      <c r="K38" s="129" t="s">
        <v>281</v>
      </c>
      <c r="L38" s="129" t="s">
        <v>282</v>
      </c>
    </row>
    <row r="39" spans="1:12" s="97" customFormat="1" x14ac:dyDescent="0.2">
      <c r="A39" s="96">
        <v>3</v>
      </c>
      <c r="B39" s="11" t="s">
        <v>466</v>
      </c>
      <c r="C39" s="100">
        <v>7</v>
      </c>
      <c r="D39" s="103">
        <v>7</v>
      </c>
      <c r="E39" s="99"/>
      <c r="F39" s="100">
        <v>11</v>
      </c>
      <c r="G39" s="101" t="s">
        <v>268</v>
      </c>
      <c r="H39" s="188" t="s">
        <v>270</v>
      </c>
      <c r="J39" s="136" t="s">
        <v>283</v>
      </c>
      <c r="K39" s="129" t="s">
        <v>284</v>
      </c>
      <c r="L39" s="129" t="s">
        <v>285</v>
      </c>
    </row>
    <row r="40" spans="1:12" s="97" customFormat="1" x14ac:dyDescent="0.2">
      <c r="A40" s="96">
        <v>4</v>
      </c>
      <c r="B40" s="11" t="s">
        <v>89</v>
      </c>
      <c r="C40" s="100">
        <v>4</v>
      </c>
      <c r="D40" s="100">
        <v>9</v>
      </c>
      <c r="E40" s="100">
        <v>8</v>
      </c>
      <c r="F40" s="99"/>
      <c r="G40" s="101" t="s">
        <v>264</v>
      </c>
      <c r="H40" s="100" t="s">
        <v>266</v>
      </c>
      <c r="J40" s="136" t="s">
        <v>286</v>
      </c>
      <c r="K40" s="129" t="s">
        <v>268</v>
      </c>
      <c r="L40" s="129" t="s">
        <v>287</v>
      </c>
    </row>
    <row r="41" spans="1:12" s="97" customFormat="1" x14ac:dyDescent="0.2"/>
    <row r="42" spans="1:12" s="97" customFormat="1" x14ac:dyDescent="0.2">
      <c r="A42" s="146" t="s">
        <v>467</v>
      </c>
      <c r="B42" s="117"/>
      <c r="C42" s="128"/>
      <c r="D42" s="128"/>
      <c r="E42" s="128"/>
      <c r="F42" s="130"/>
      <c r="G42" s="129"/>
    </row>
    <row r="43" spans="1:12" s="97" customFormat="1" x14ac:dyDescent="0.2"/>
    <row r="44" spans="1:12" s="97" customFormat="1" x14ac:dyDescent="0.2">
      <c r="A44" s="109" t="s">
        <v>291</v>
      </c>
      <c r="B44" s="97" t="s">
        <v>355</v>
      </c>
      <c r="C44" s="110">
        <v>0</v>
      </c>
    </row>
    <row r="45" spans="1:12" s="97" customFormat="1" x14ac:dyDescent="0.2">
      <c r="A45" s="111"/>
      <c r="B45" s="112"/>
      <c r="C45" s="113" t="s">
        <v>75</v>
      </c>
      <c r="D45" s="114"/>
      <c r="F45" s="110">
        <v>11</v>
      </c>
    </row>
    <row r="46" spans="1:12" s="97" customFormat="1" x14ac:dyDescent="0.2">
      <c r="A46" s="111" t="s">
        <v>468</v>
      </c>
      <c r="B46" s="114" t="s">
        <v>75</v>
      </c>
      <c r="C46" s="115">
        <v>11</v>
      </c>
      <c r="E46" s="116"/>
    </row>
    <row r="47" spans="1:12" s="97" customFormat="1" x14ac:dyDescent="0.2">
      <c r="A47" s="111"/>
      <c r="D47" s="117"/>
      <c r="E47" s="118"/>
      <c r="F47" s="123" t="s">
        <v>75</v>
      </c>
      <c r="I47" s="110">
        <v>2</v>
      </c>
      <c r="J47" s="110"/>
    </row>
    <row r="48" spans="1:12" s="97" customFormat="1" x14ac:dyDescent="0.2">
      <c r="A48" s="111" t="s">
        <v>469</v>
      </c>
      <c r="B48" s="97" t="s">
        <v>106</v>
      </c>
      <c r="C48" s="119">
        <v>5</v>
      </c>
      <c r="E48" s="118"/>
      <c r="F48" s="193"/>
      <c r="G48" s="112"/>
      <c r="H48" s="116"/>
    </row>
    <row r="49" spans="1:14" s="97" customFormat="1" x14ac:dyDescent="0.2">
      <c r="A49" s="111"/>
      <c r="B49" s="112"/>
      <c r="C49" s="123" t="s">
        <v>427</v>
      </c>
      <c r="E49" s="124"/>
      <c r="F49" s="119">
        <v>4</v>
      </c>
      <c r="G49" s="117"/>
      <c r="H49" s="118"/>
    </row>
    <row r="50" spans="1:14" s="97" customFormat="1" x14ac:dyDescent="0.2">
      <c r="A50" s="111" t="s">
        <v>470</v>
      </c>
      <c r="B50" s="114" t="s">
        <v>427</v>
      </c>
      <c r="C50" s="125">
        <v>11</v>
      </c>
      <c r="D50" s="112"/>
      <c r="F50" s="117"/>
      <c r="G50" s="117"/>
      <c r="H50" s="118"/>
    </row>
    <row r="51" spans="1:14" s="97" customFormat="1" x14ac:dyDescent="0.2">
      <c r="A51" s="18"/>
      <c r="F51" s="117"/>
      <c r="G51" s="117"/>
      <c r="H51" s="118"/>
      <c r="I51" s="114" t="s">
        <v>363</v>
      </c>
      <c r="J51" s="117"/>
      <c r="L51" s="110">
        <v>7</v>
      </c>
    </row>
    <row r="52" spans="1:14" s="97" customFormat="1" x14ac:dyDescent="0.2">
      <c r="A52" s="109" t="s">
        <v>471</v>
      </c>
      <c r="B52" s="97" t="s">
        <v>459</v>
      </c>
      <c r="C52" s="110">
        <v>8</v>
      </c>
      <c r="F52" s="117"/>
      <c r="G52" s="117"/>
      <c r="H52" s="118"/>
      <c r="I52" s="112"/>
      <c r="J52" s="112"/>
      <c r="K52" s="116"/>
    </row>
    <row r="53" spans="1:14" s="97" customFormat="1" x14ac:dyDescent="0.2">
      <c r="A53" s="111"/>
      <c r="B53" s="112"/>
      <c r="C53" s="113" t="s">
        <v>462</v>
      </c>
      <c r="D53" s="114"/>
      <c r="F53" s="119">
        <v>5</v>
      </c>
      <c r="G53" s="117"/>
      <c r="H53" s="118"/>
      <c r="I53" s="117"/>
      <c r="J53" s="117"/>
      <c r="K53" s="118"/>
    </row>
    <row r="54" spans="1:14" s="97" customFormat="1" x14ac:dyDescent="0.2">
      <c r="A54" s="111" t="s">
        <v>472</v>
      </c>
      <c r="B54" s="114" t="s">
        <v>462</v>
      </c>
      <c r="C54" s="115">
        <v>11</v>
      </c>
      <c r="E54" s="116"/>
      <c r="F54" s="117"/>
      <c r="G54" s="117"/>
      <c r="H54" s="118"/>
      <c r="I54" s="117"/>
      <c r="J54" s="117"/>
      <c r="K54" s="118"/>
    </row>
    <row r="55" spans="1:14" s="97" customFormat="1" x14ac:dyDescent="0.2">
      <c r="A55" s="111"/>
      <c r="D55" s="117"/>
      <c r="E55" s="118"/>
      <c r="F55" s="114" t="s">
        <v>363</v>
      </c>
      <c r="G55" s="114"/>
      <c r="H55" s="124"/>
      <c r="I55" s="119">
        <v>11</v>
      </c>
      <c r="J55" s="119"/>
      <c r="K55" s="118"/>
    </row>
    <row r="56" spans="1:14" s="97" customFormat="1" x14ac:dyDescent="0.2">
      <c r="A56" s="111" t="s">
        <v>288</v>
      </c>
      <c r="B56" s="97" t="s">
        <v>363</v>
      </c>
      <c r="C56" s="119">
        <v>11</v>
      </c>
      <c r="E56" s="118"/>
      <c r="F56" s="123"/>
      <c r="G56" s="117"/>
      <c r="H56" s="117"/>
      <c r="I56" s="117"/>
      <c r="J56" s="117"/>
      <c r="K56" s="118"/>
    </row>
    <row r="57" spans="1:14" s="97" customFormat="1" x14ac:dyDescent="0.2">
      <c r="A57" s="111"/>
      <c r="B57" s="112"/>
      <c r="C57" s="123" t="s">
        <v>363</v>
      </c>
      <c r="E57" s="124"/>
      <c r="F57" s="119">
        <v>11</v>
      </c>
      <c r="I57" s="117"/>
      <c r="J57" s="117"/>
      <c r="K57" s="118"/>
    </row>
    <row r="58" spans="1:14" s="97" customFormat="1" x14ac:dyDescent="0.2">
      <c r="A58" s="111" t="s">
        <v>295</v>
      </c>
      <c r="B58" s="114" t="s">
        <v>421</v>
      </c>
      <c r="C58" s="125">
        <v>3</v>
      </c>
      <c r="D58" s="112"/>
      <c r="F58" s="117"/>
      <c r="G58" s="117"/>
      <c r="H58" s="117"/>
      <c r="I58" s="117"/>
      <c r="J58" s="117"/>
      <c r="K58" s="118"/>
    </row>
    <row r="59" spans="1:14" s="97" customFormat="1" ht="13.5" thickBot="1" x14ac:dyDescent="0.25">
      <c r="I59" s="117"/>
      <c r="J59" s="117"/>
      <c r="K59" s="118"/>
      <c r="M59" s="97" t="s">
        <v>73</v>
      </c>
    </row>
    <row r="60" spans="1:14" s="97" customFormat="1" x14ac:dyDescent="0.2">
      <c r="A60" s="109" t="s">
        <v>290</v>
      </c>
      <c r="B60" s="97" t="s">
        <v>353</v>
      </c>
      <c r="C60" s="110">
        <v>11</v>
      </c>
      <c r="I60" s="117"/>
      <c r="J60" s="117"/>
      <c r="K60" s="118"/>
      <c r="L60" s="120"/>
      <c r="M60" s="121" t="s">
        <v>664</v>
      </c>
      <c r="N60" s="122"/>
    </row>
    <row r="61" spans="1:14" s="97" customFormat="1" x14ac:dyDescent="0.2">
      <c r="A61" s="111"/>
      <c r="B61" s="112"/>
      <c r="C61" s="113" t="s">
        <v>353</v>
      </c>
      <c r="D61" s="114"/>
      <c r="F61" s="110">
        <v>11</v>
      </c>
      <c r="I61" s="117"/>
      <c r="J61" s="117"/>
      <c r="K61" s="118"/>
    </row>
    <row r="62" spans="1:14" s="97" customFormat="1" x14ac:dyDescent="0.2">
      <c r="A62" s="111" t="s">
        <v>473</v>
      </c>
      <c r="B62" s="114" t="s">
        <v>101</v>
      </c>
      <c r="C62" s="115">
        <v>6</v>
      </c>
      <c r="E62" s="116"/>
      <c r="I62" s="117"/>
      <c r="J62" s="117"/>
      <c r="K62" s="118"/>
    </row>
    <row r="63" spans="1:14" s="97" customFormat="1" x14ac:dyDescent="0.2">
      <c r="A63" s="111"/>
      <c r="D63" s="117"/>
      <c r="E63" s="118"/>
      <c r="F63" s="97" t="s">
        <v>353</v>
      </c>
      <c r="I63" s="119">
        <v>8</v>
      </c>
      <c r="J63" s="119"/>
      <c r="K63" s="118"/>
    </row>
    <row r="64" spans="1:14" s="97" customFormat="1" x14ac:dyDescent="0.2">
      <c r="A64" s="111" t="s">
        <v>289</v>
      </c>
      <c r="B64" s="97" t="s">
        <v>455</v>
      </c>
      <c r="C64" s="119">
        <v>6</v>
      </c>
      <c r="E64" s="118"/>
      <c r="F64" s="193"/>
      <c r="G64" s="112"/>
      <c r="H64" s="116"/>
      <c r="I64" s="117"/>
      <c r="J64" s="117"/>
      <c r="K64" s="118"/>
    </row>
    <row r="65" spans="1:14" s="97" customFormat="1" x14ac:dyDescent="0.2">
      <c r="A65" s="111"/>
      <c r="B65" s="112"/>
      <c r="C65" s="123" t="s">
        <v>338</v>
      </c>
      <c r="E65" s="124"/>
      <c r="F65" s="119">
        <v>5</v>
      </c>
      <c r="G65" s="117"/>
      <c r="H65" s="118"/>
      <c r="I65" s="117"/>
      <c r="J65" s="117"/>
      <c r="K65" s="118"/>
    </row>
    <row r="66" spans="1:14" s="97" customFormat="1" x14ac:dyDescent="0.2">
      <c r="A66" s="111" t="s">
        <v>474</v>
      </c>
      <c r="B66" s="114" t="s">
        <v>338</v>
      </c>
      <c r="C66" s="125">
        <v>11</v>
      </c>
      <c r="D66" s="112"/>
      <c r="F66" s="117"/>
      <c r="G66" s="117"/>
      <c r="H66" s="118"/>
      <c r="I66" s="117"/>
      <c r="J66" s="117"/>
      <c r="K66" s="118"/>
    </row>
    <row r="67" spans="1:14" s="97" customFormat="1" x14ac:dyDescent="0.2">
      <c r="F67" s="117"/>
      <c r="G67" s="117"/>
      <c r="H67" s="118"/>
      <c r="I67" s="113" t="s">
        <v>73</v>
      </c>
      <c r="J67" s="114"/>
      <c r="K67" s="124"/>
      <c r="L67" s="110">
        <v>11</v>
      </c>
    </row>
    <row r="68" spans="1:14" s="97" customFormat="1" ht="13.5" thickBot="1" x14ac:dyDescent="0.25">
      <c r="A68" s="109" t="s">
        <v>475</v>
      </c>
      <c r="B68" s="97" t="s">
        <v>456</v>
      </c>
      <c r="C68" s="110">
        <v>11</v>
      </c>
      <c r="F68" s="117"/>
      <c r="G68" s="117"/>
      <c r="H68" s="118"/>
      <c r="M68" s="117" t="s">
        <v>363</v>
      </c>
      <c r="N68" s="126"/>
    </row>
    <row r="69" spans="1:14" s="97" customFormat="1" x14ac:dyDescent="0.2">
      <c r="A69" s="111"/>
      <c r="B69" s="112"/>
      <c r="C69" s="113" t="s">
        <v>456</v>
      </c>
      <c r="D69" s="114"/>
      <c r="F69" s="119">
        <v>10</v>
      </c>
      <c r="G69" s="117"/>
      <c r="H69" s="118"/>
      <c r="M69" s="121" t="s">
        <v>665</v>
      </c>
      <c r="N69" s="117"/>
    </row>
    <row r="70" spans="1:14" s="97" customFormat="1" x14ac:dyDescent="0.2">
      <c r="A70" s="111" t="s">
        <v>476</v>
      </c>
      <c r="B70" s="114" t="s">
        <v>466</v>
      </c>
      <c r="C70" s="115">
        <v>7</v>
      </c>
      <c r="E70" s="116"/>
      <c r="F70" s="117"/>
      <c r="G70" s="117"/>
      <c r="H70" s="118"/>
    </row>
    <row r="71" spans="1:14" s="97" customFormat="1" x14ac:dyDescent="0.2">
      <c r="A71" s="111"/>
      <c r="D71" s="117"/>
      <c r="E71" s="118"/>
      <c r="F71" s="114" t="s">
        <v>73</v>
      </c>
      <c r="G71" s="114"/>
      <c r="H71" s="124"/>
      <c r="I71" s="110">
        <v>11</v>
      </c>
      <c r="J71" s="110"/>
    </row>
    <row r="72" spans="1:14" s="97" customFormat="1" x14ac:dyDescent="0.2">
      <c r="A72" s="111" t="s">
        <v>477</v>
      </c>
      <c r="B72" s="97" t="s">
        <v>73</v>
      </c>
      <c r="C72" s="119">
        <v>11</v>
      </c>
      <c r="E72" s="118"/>
      <c r="F72" s="123"/>
      <c r="G72" s="117"/>
      <c r="H72" s="117"/>
    </row>
    <row r="73" spans="1:14" s="97" customFormat="1" x14ac:dyDescent="0.2">
      <c r="A73" s="111"/>
      <c r="B73" s="112"/>
      <c r="C73" s="123" t="s">
        <v>73</v>
      </c>
      <c r="E73" s="124"/>
      <c r="F73" s="119">
        <v>11</v>
      </c>
      <c r="I73" s="97" t="s">
        <v>75</v>
      </c>
      <c r="L73" s="119">
        <v>11</v>
      </c>
    </row>
    <row r="74" spans="1:14" s="97" customFormat="1" ht="13.5" thickBot="1" x14ac:dyDescent="0.25">
      <c r="A74" s="111" t="s">
        <v>478</v>
      </c>
      <c r="B74" s="114" t="s">
        <v>463</v>
      </c>
      <c r="C74" s="125">
        <v>10</v>
      </c>
      <c r="D74" s="112"/>
      <c r="F74" s="117"/>
      <c r="G74" s="117"/>
      <c r="H74" s="117"/>
      <c r="I74" s="112"/>
      <c r="J74" s="112"/>
      <c r="K74" s="116"/>
      <c r="L74" s="126"/>
      <c r="M74" s="126" t="s">
        <v>75</v>
      </c>
      <c r="N74" s="126"/>
    </row>
    <row r="75" spans="1:14" s="97" customFormat="1" x14ac:dyDescent="0.2">
      <c r="H75" s="117"/>
      <c r="I75" s="114" t="s">
        <v>353</v>
      </c>
      <c r="J75" s="114"/>
      <c r="K75" s="124"/>
      <c r="L75" s="110">
        <v>7</v>
      </c>
      <c r="M75" s="127" t="s">
        <v>666</v>
      </c>
      <c r="N75" s="117"/>
    </row>
    <row r="76" spans="1:14" s="97" customFormat="1" x14ac:dyDescent="0.2">
      <c r="H76" s="117"/>
      <c r="M76" s="117"/>
      <c r="N76" s="117"/>
    </row>
    <row r="77" spans="1:14" s="97" customFormat="1" ht="13.5" thickBot="1" x14ac:dyDescent="0.25">
      <c r="H77" s="117"/>
      <c r="I77" s="117"/>
      <c r="J77" s="117"/>
      <c r="K77" s="117"/>
      <c r="M77" s="126" t="s">
        <v>353</v>
      </c>
      <c r="N77" s="126"/>
    </row>
    <row r="78" spans="1:14" s="97" customFormat="1" x14ac:dyDescent="0.2">
      <c r="I78" s="117"/>
      <c r="J78" s="117"/>
      <c r="K78" s="117"/>
      <c r="M78" s="18" t="s">
        <v>292</v>
      </c>
    </row>
    <row r="79" spans="1:14" s="97" customFormat="1" x14ac:dyDescent="0.2">
      <c r="I79" s="117"/>
      <c r="J79" s="117"/>
      <c r="K79" s="117"/>
      <c r="M79" s="18"/>
    </row>
    <row r="80" spans="1:14" s="97" customFormat="1" x14ac:dyDescent="0.2">
      <c r="A80" s="137" t="s">
        <v>479</v>
      </c>
      <c r="I80" s="117"/>
      <c r="J80" s="117"/>
      <c r="K80" s="117"/>
      <c r="M80" s="18"/>
    </row>
    <row r="81" spans="1:14" s="97" customFormat="1" x14ac:dyDescent="0.2">
      <c r="F81" s="194" t="s">
        <v>427</v>
      </c>
      <c r="G81" s="110"/>
      <c r="H81" s="110"/>
      <c r="I81" s="110">
        <v>11</v>
      </c>
      <c r="J81" s="110"/>
      <c r="K81" s="110"/>
      <c r="L81" s="110"/>
    </row>
    <row r="82" spans="1:14" s="97" customFormat="1" x14ac:dyDescent="0.2">
      <c r="F82" s="195"/>
      <c r="G82" s="195"/>
      <c r="H82" s="196"/>
      <c r="I82" s="119" t="s">
        <v>427</v>
      </c>
      <c r="J82" s="119"/>
      <c r="K82" s="110"/>
      <c r="L82" s="110">
        <v>6</v>
      </c>
    </row>
    <row r="83" spans="1:14" s="97" customFormat="1" x14ac:dyDescent="0.2">
      <c r="F83" s="197" t="s">
        <v>462</v>
      </c>
      <c r="G83" s="197"/>
      <c r="H83" s="198"/>
      <c r="I83" s="195">
        <v>9</v>
      </c>
      <c r="J83" s="195"/>
      <c r="K83" s="196"/>
      <c r="L83" s="110"/>
    </row>
    <row r="84" spans="1:14" s="97" customFormat="1" ht="13.5" thickBot="1" x14ac:dyDescent="0.25">
      <c r="F84" s="110"/>
      <c r="G84" s="110"/>
      <c r="H84" s="110"/>
      <c r="I84" s="119"/>
      <c r="J84" s="119"/>
      <c r="K84" s="199"/>
      <c r="L84" s="110"/>
      <c r="M84" s="97" t="s">
        <v>338</v>
      </c>
    </row>
    <row r="85" spans="1:14" s="97" customFormat="1" x14ac:dyDescent="0.2">
      <c r="F85" s="110" t="s">
        <v>338</v>
      </c>
      <c r="G85" s="110"/>
      <c r="H85" s="110"/>
      <c r="I85" s="119">
        <v>11</v>
      </c>
      <c r="J85" s="119"/>
      <c r="K85" s="199"/>
      <c r="L85" s="151"/>
      <c r="M85" s="121" t="s">
        <v>296</v>
      </c>
      <c r="N85" s="122"/>
    </row>
    <row r="86" spans="1:14" s="97" customFormat="1" x14ac:dyDescent="0.2">
      <c r="F86" s="195"/>
      <c r="G86" s="195"/>
      <c r="H86" s="196"/>
      <c r="I86" s="197" t="s">
        <v>338</v>
      </c>
      <c r="J86" s="197"/>
      <c r="K86" s="198"/>
      <c r="L86" s="119">
        <v>11</v>
      </c>
    </row>
    <row r="87" spans="1:14" s="97" customFormat="1" ht="13.5" thickBot="1" x14ac:dyDescent="0.25">
      <c r="F87" s="197" t="s">
        <v>456</v>
      </c>
      <c r="G87" s="197"/>
      <c r="H87" s="198"/>
      <c r="I87" s="119">
        <v>7</v>
      </c>
      <c r="J87" s="119"/>
      <c r="K87" s="110"/>
      <c r="L87" s="119"/>
      <c r="M87" s="117" t="s">
        <v>427</v>
      </c>
      <c r="N87" s="126"/>
    </row>
    <row r="88" spans="1:14" s="97" customFormat="1" x14ac:dyDescent="0.2">
      <c r="F88" s="110"/>
      <c r="G88" s="110"/>
      <c r="H88" s="110"/>
      <c r="I88" s="110"/>
      <c r="J88" s="110"/>
      <c r="K88" s="110"/>
      <c r="L88" s="119"/>
      <c r="M88" s="121" t="s">
        <v>298</v>
      </c>
      <c r="N88" s="117"/>
    </row>
    <row r="89" spans="1:14" s="97" customFormat="1" x14ac:dyDescent="0.2">
      <c r="F89" s="110"/>
      <c r="G89" s="110"/>
      <c r="H89" s="119"/>
      <c r="I89" s="110" t="s">
        <v>462</v>
      </c>
      <c r="J89" s="110"/>
      <c r="K89" s="110"/>
      <c r="L89" s="119">
        <v>11</v>
      </c>
      <c r="M89" s="117"/>
      <c r="N89" s="117"/>
    </row>
    <row r="90" spans="1:14" s="97" customFormat="1" ht="13.5" thickBot="1" x14ac:dyDescent="0.25">
      <c r="F90" s="110"/>
      <c r="G90" s="110"/>
      <c r="H90" s="119"/>
      <c r="I90" s="195"/>
      <c r="J90" s="195"/>
      <c r="K90" s="196"/>
      <c r="L90" s="200"/>
      <c r="M90" s="126" t="s">
        <v>462</v>
      </c>
      <c r="N90" s="126"/>
    </row>
    <row r="91" spans="1:14" s="97" customFormat="1" x14ac:dyDescent="0.2">
      <c r="F91" s="110"/>
      <c r="G91" s="110"/>
      <c r="H91" s="119"/>
      <c r="I91" s="197" t="s">
        <v>456</v>
      </c>
      <c r="J91" s="197"/>
      <c r="K91" s="198"/>
      <c r="L91" s="110">
        <v>7</v>
      </c>
      <c r="M91" s="127" t="s">
        <v>299</v>
      </c>
      <c r="N91" s="117"/>
    </row>
    <row r="92" spans="1:14" s="97" customFormat="1" x14ac:dyDescent="0.2">
      <c r="H92" s="117"/>
      <c r="M92" s="117"/>
      <c r="N92" s="117"/>
    </row>
    <row r="93" spans="1:14" s="97" customFormat="1" ht="13.5" thickBot="1" x14ac:dyDescent="0.25">
      <c r="F93" s="18"/>
      <c r="I93" s="117"/>
      <c r="J93" s="117"/>
      <c r="K93" s="117"/>
      <c r="M93" s="126" t="s">
        <v>456</v>
      </c>
      <c r="N93" s="126"/>
    </row>
    <row r="94" spans="1:14" s="97" customFormat="1" x14ac:dyDescent="0.2">
      <c r="F94" s="18"/>
      <c r="I94" s="117"/>
      <c r="J94" s="117"/>
      <c r="K94" s="117"/>
      <c r="M94" s="127" t="s">
        <v>300</v>
      </c>
    </row>
    <row r="95" spans="1:14" s="97" customFormat="1" x14ac:dyDescent="0.2">
      <c r="A95" s="201" t="s">
        <v>480</v>
      </c>
    </row>
    <row r="96" spans="1:14" s="97" customFormat="1" x14ac:dyDescent="0.2">
      <c r="B96" s="117"/>
      <c r="C96" s="114" t="s">
        <v>355</v>
      </c>
      <c r="D96" s="117"/>
      <c r="F96" s="229" t="s">
        <v>481</v>
      </c>
    </row>
    <row r="97" spans="2:14" s="97" customFormat="1" x14ac:dyDescent="0.2">
      <c r="B97" s="117"/>
      <c r="C97" s="112"/>
      <c r="D97" s="112"/>
      <c r="E97" s="116"/>
      <c r="F97" s="230" t="s">
        <v>106</v>
      </c>
      <c r="I97" s="110">
        <v>11</v>
      </c>
      <c r="J97" s="110"/>
    </row>
    <row r="98" spans="2:14" s="97" customFormat="1" x14ac:dyDescent="0.2">
      <c r="B98" s="117"/>
      <c r="C98" s="114" t="s">
        <v>106</v>
      </c>
      <c r="D98" s="114"/>
      <c r="E98" s="124"/>
      <c r="F98" s="231" t="s">
        <v>482</v>
      </c>
      <c r="G98" s="112"/>
      <c r="H98" s="116"/>
    </row>
    <row r="99" spans="2:14" s="97" customFormat="1" x14ac:dyDescent="0.2">
      <c r="B99" s="117"/>
      <c r="F99" s="232"/>
      <c r="G99" s="117"/>
      <c r="H99" s="118"/>
      <c r="I99" s="123" t="s">
        <v>106</v>
      </c>
      <c r="J99" s="117"/>
      <c r="L99" s="229">
        <v>6</v>
      </c>
    </row>
    <row r="100" spans="2:14" s="97" customFormat="1" x14ac:dyDescent="0.2">
      <c r="B100" s="117"/>
      <c r="C100" s="114" t="s">
        <v>459</v>
      </c>
      <c r="D100" s="114"/>
      <c r="F100" s="194" t="s">
        <v>481</v>
      </c>
      <c r="G100" s="117"/>
      <c r="H100" s="118"/>
      <c r="I100" s="193"/>
      <c r="J100" s="112"/>
      <c r="K100" s="116"/>
      <c r="L100" s="178"/>
    </row>
    <row r="101" spans="2:14" s="97" customFormat="1" x14ac:dyDescent="0.2">
      <c r="B101" s="117"/>
      <c r="D101" s="117"/>
      <c r="E101" s="116"/>
      <c r="F101" s="233" t="s">
        <v>421</v>
      </c>
      <c r="G101" s="114"/>
      <c r="H101" s="124"/>
      <c r="I101" s="119">
        <v>9</v>
      </c>
      <c r="J101" s="119"/>
      <c r="K101" s="118"/>
      <c r="L101" s="178"/>
    </row>
    <row r="102" spans="2:14" s="97" customFormat="1" x14ac:dyDescent="0.2">
      <c r="B102" s="117"/>
      <c r="C102" s="117" t="s">
        <v>421</v>
      </c>
      <c r="E102" s="124"/>
      <c r="F102" s="194" t="s">
        <v>482</v>
      </c>
      <c r="I102" s="117"/>
      <c r="J102" s="117"/>
      <c r="K102" s="118"/>
      <c r="L102" s="178"/>
    </row>
    <row r="103" spans="2:14" s="97" customFormat="1" ht="13.5" thickBot="1" x14ac:dyDescent="0.25">
      <c r="B103" s="117"/>
      <c r="C103" s="195"/>
      <c r="D103" s="112"/>
      <c r="F103" s="117"/>
      <c r="G103" s="117"/>
      <c r="H103" s="117"/>
      <c r="I103" s="117"/>
      <c r="J103" s="117"/>
      <c r="K103" s="118"/>
      <c r="L103" s="178"/>
      <c r="M103" s="97" t="s">
        <v>463</v>
      </c>
    </row>
    <row r="104" spans="2:14" s="97" customFormat="1" x14ac:dyDescent="0.2">
      <c r="B104" s="117"/>
      <c r="C104" s="117" t="s">
        <v>101</v>
      </c>
      <c r="D104" s="117"/>
      <c r="F104" s="110">
        <v>8</v>
      </c>
      <c r="K104" s="118"/>
      <c r="L104" s="234"/>
      <c r="M104" s="121" t="s">
        <v>402</v>
      </c>
      <c r="N104" s="122"/>
    </row>
    <row r="105" spans="2:14" s="97" customFormat="1" x14ac:dyDescent="0.2">
      <c r="B105" s="117"/>
      <c r="C105" s="112"/>
      <c r="D105" s="112"/>
      <c r="E105" s="116"/>
      <c r="F105" s="123" t="s">
        <v>455</v>
      </c>
      <c r="I105" s="110">
        <v>3</v>
      </c>
      <c r="J105" s="110"/>
      <c r="K105" s="118"/>
    </row>
    <row r="106" spans="2:14" s="97" customFormat="1" ht="13.5" thickBot="1" x14ac:dyDescent="0.25">
      <c r="B106" s="117"/>
      <c r="C106" s="114" t="s">
        <v>455</v>
      </c>
      <c r="D106" s="114"/>
      <c r="E106" s="124"/>
      <c r="F106" s="195">
        <v>11</v>
      </c>
      <c r="G106" s="112"/>
      <c r="H106" s="116"/>
      <c r="K106" s="118"/>
      <c r="L106" s="178"/>
      <c r="M106" s="117" t="s">
        <v>106</v>
      </c>
      <c r="N106" s="126"/>
    </row>
    <row r="107" spans="2:14" s="97" customFormat="1" x14ac:dyDescent="0.2">
      <c r="B107" s="117"/>
      <c r="F107" s="117"/>
      <c r="G107" s="117"/>
      <c r="H107" s="118"/>
      <c r="I107" s="123" t="s">
        <v>463</v>
      </c>
      <c r="J107" s="117"/>
      <c r="K107" s="124"/>
      <c r="L107" s="229">
        <v>11</v>
      </c>
      <c r="M107" s="121" t="s">
        <v>403</v>
      </c>
      <c r="N107" s="117"/>
    </row>
    <row r="108" spans="2:14" s="97" customFormat="1" x14ac:dyDescent="0.2">
      <c r="B108" s="117"/>
      <c r="C108" s="114" t="s">
        <v>466</v>
      </c>
      <c r="D108" s="114"/>
      <c r="F108" s="119">
        <v>6</v>
      </c>
      <c r="G108" s="117"/>
      <c r="H108" s="118"/>
      <c r="I108" s="193"/>
      <c r="J108" s="112"/>
      <c r="K108" s="112"/>
      <c r="L108" s="178"/>
    </row>
    <row r="109" spans="2:14" s="97" customFormat="1" x14ac:dyDescent="0.2">
      <c r="B109" s="117"/>
      <c r="D109" s="117"/>
      <c r="E109" s="116"/>
      <c r="F109" s="114" t="s">
        <v>463</v>
      </c>
      <c r="G109" s="114"/>
      <c r="H109" s="124"/>
      <c r="I109" s="119">
        <v>11</v>
      </c>
      <c r="J109" s="119"/>
      <c r="K109" s="117"/>
      <c r="L109" s="178"/>
    </row>
    <row r="110" spans="2:14" s="97" customFormat="1" x14ac:dyDescent="0.2">
      <c r="B110" s="117"/>
      <c r="C110" s="117" t="s">
        <v>463</v>
      </c>
      <c r="E110" s="124"/>
      <c r="F110" s="119">
        <v>11</v>
      </c>
      <c r="I110" s="117"/>
      <c r="J110" s="117"/>
      <c r="K110" s="117"/>
      <c r="L110" s="178"/>
    </row>
    <row r="111" spans="2:14" s="97" customFormat="1" x14ac:dyDescent="0.2">
      <c r="B111" s="117"/>
      <c r="C111" s="195"/>
      <c r="D111" s="112"/>
      <c r="F111" s="117"/>
      <c r="G111" s="117"/>
      <c r="H111" s="117"/>
      <c r="I111" s="97" t="s">
        <v>421</v>
      </c>
      <c r="L111" s="194">
        <v>11</v>
      </c>
    </row>
    <row r="112" spans="2:14" s="97" customFormat="1" ht="13.5" thickBot="1" x14ac:dyDescent="0.25">
      <c r="B112" s="117"/>
      <c r="F112" s="117"/>
      <c r="G112" s="117"/>
      <c r="H112" s="117"/>
      <c r="I112" s="112"/>
      <c r="J112" s="112"/>
      <c r="K112" s="116"/>
      <c r="L112" s="235"/>
      <c r="M112" s="126" t="s">
        <v>421</v>
      </c>
      <c r="N112" s="126"/>
    </row>
    <row r="113" spans="2:14" s="97" customFormat="1" x14ac:dyDescent="0.2">
      <c r="B113" s="117"/>
      <c r="C113" s="110"/>
      <c r="F113" s="117"/>
      <c r="G113" s="117"/>
      <c r="H113" s="117"/>
      <c r="I113" s="114" t="s">
        <v>455</v>
      </c>
      <c r="J113" s="114"/>
      <c r="K113" s="124"/>
      <c r="L113" s="229">
        <v>10</v>
      </c>
      <c r="M113" s="127" t="s">
        <v>406</v>
      </c>
      <c r="N113" s="117"/>
    </row>
    <row r="114" spans="2:14" s="97" customFormat="1" x14ac:dyDescent="0.2">
      <c r="B114" s="117"/>
      <c r="C114" s="117"/>
      <c r="D114" s="117"/>
      <c r="E114" s="117"/>
      <c r="F114" s="119"/>
      <c r="G114" s="117"/>
      <c r="H114" s="117"/>
      <c r="M114" s="117"/>
      <c r="N114" s="117"/>
    </row>
    <row r="115" spans="2:14" s="97" customFormat="1" ht="13.5" thickBot="1" x14ac:dyDescent="0.25">
      <c r="B115" s="117"/>
      <c r="C115" s="119"/>
      <c r="D115" s="117"/>
      <c r="E115" s="117"/>
      <c r="F115" s="117"/>
      <c r="G115" s="117"/>
      <c r="H115" s="117"/>
      <c r="I115" s="117"/>
      <c r="J115" s="117"/>
      <c r="K115" s="117"/>
      <c r="M115" s="126" t="s">
        <v>455</v>
      </c>
      <c r="N115" s="126"/>
    </row>
    <row r="116" spans="2:14" s="97" customFormat="1" x14ac:dyDescent="0.2"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M116" s="18" t="s">
        <v>407</v>
      </c>
    </row>
    <row r="117" spans="2:14" s="97" customFormat="1" x14ac:dyDescent="0.2">
      <c r="B117" s="117"/>
      <c r="C117" s="119"/>
      <c r="D117" s="117"/>
      <c r="E117" s="117"/>
      <c r="F117" s="117" t="s">
        <v>355</v>
      </c>
      <c r="I117" s="110" t="s">
        <v>481</v>
      </c>
      <c r="J117" s="110"/>
    </row>
    <row r="118" spans="2:14" s="97" customFormat="1" x14ac:dyDescent="0.2">
      <c r="B118" s="117"/>
      <c r="C118" s="117"/>
      <c r="D118" s="117"/>
      <c r="E118" s="117"/>
      <c r="F118" s="112"/>
      <c r="G118" s="112"/>
      <c r="H118" s="116"/>
      <c r="I118" s="123"/>
      <c r="J118" s="117"/>
      <c r="L118" s="110"/>
    </row>
    <row r="119" spans="2:14" s="97" customFormat="1" x14ac:dyDescent="0.2">
      <c r="B119" s="117"/>
      <c r="E119" s="117"/>
      <c r="F119" s="114" t="s">
        <v>459</v>
      </c>
      <c r="G119" s="114"/>
      <c r="H119" s="124"/>
      <c r="I119" s="125" t="s">
        <v>481</v>
      </c>
      <c r="J119" s="195"/>
      <c r="K119" s="116"/>
    </row>
    <row r="120" spans="2:14" s="97" customFormat="1" ht="13.5" thickBot="1" x14ac:dyDescent="0.25">
      <c r="E120" s="117"/>
      <c r="F120" s="110"/>
      <c r="I120" s="117"/>
      <c r="J120" s="117"/>
      <c r="K120" s="118"/>
      <c r="M120" s="97" t="s">
        <v>466</v>
      </c>
    </row>
    <row r="121" spans="2:14" s="97" customFormat="1" x14ac:dyDescent="0.2">
      <c r="E121" s="117"/>
      <c r="F121" s="117" t="s">
        <v>101</v>
      </c>
      <c r="I121" s="119">
        <v>3</v>
      </c>
      <c r="J121" s="119"/>
      <c r="K121" s="118"/>
      <c r="L121" s="122"/>
      <c r="M121" s="121" t="s">
        <v>415</v>
      </c>
      <c r="N121" s="122"/>
    </row>
    <row r="122" spans="2:14" s="97" customFormat="1" x14ac:dyDescent="0.2">
      <c r="E122" s="117"/>
      <c r="F122" s="112"/>
      <c r="G122" s="112"/>
      <c r="H122" s="116"/>
      <c r="I122" s="113"/>
      <c r="J122" s="114"/>
      <c r="K122" s="124"/>
      <c r="L122" s="110"/>
    </row>
    <row r="123" spans="2:14" s="97" customFormat="1" ht="13.5" thickBot="1" x14ac:dyDescent="0.25">
      <c r="E123" s="117"/>
      <c r="F123" s="114" t="s">
        <v>466</v>
      </c>
      <c r="G123" s="114"/>
      <c r="H123" s="124"/>
      <c r="I123" s="115">
        <v>11</v>
      </c>
      <c r="J123" s="119"/>
      <c r="K123" s="117"/>
      <c r="M123" s="117" t="s">
        <v>101</v>
      </c>
      <c r="N123" s="126"/>
    </row>
    <row r="124" spans="2:14" s="97" customFormat="1" x14ac:dyDescent="0.2">
      <c r="E124" s="117"/>
      <c r="F124" s="119"/>
      <c r="I124" s="117"/>
      <c r="J124" s="117"/>
      <c r="K124" s="117"/>
      <c r="M124" s="121" t="s">
        <v>416</v>
      </c>
    </row>
    <row r="125" spans="2:14" s="97" customFormat="1" x14ac:dyDescent="0.2">
      <c r="E125" s="117"/>
      <c r="F125" s="117"/>
      <c r="G125" s="117"/>
      <c r="H125" s="117"/>
      <c r="L125" s="119"/>
    </row>
    <row r="126" spans="2:14" s="97" customFormat="1" ht="13.5" thickBot="1" x14ac:dyDescent="0.25">
      <c r="F126" s="117"/>
      <c r="G126" s="117"/>
      <c r="H126" s="117"/>
      <c r="I126" s="112"/>
      <c r="J126" s="112"/>
      <c r="K126" s="116"/>
      <c r="L126" s="126"/>
      <c r="M126" s="126"/>
      <c r="N126" s="126"/>
    </row>
    <row r="127" spans="2:14" s="97" customFormat="1" x14ac:dyDescent="0.2">
      <c r="F127" s="117"/>
      <c r="G127" s="117"/>
      <c r="H127" s="117"/>
      <c r="I127" s="114"/>
      <c r="J127" s="114"/>
      <c r="K127" s="124"/>
      <c r="L127" s="110"/>
      <c r="M127" s="127" t="s">
        <v>417</v>
      </c>
      <c r="N127" s="117"/>
    </row>
    <row r="128" spans="2:14" s="97" customFormat="1" x14ac:dyDescent="0.2">
      <c r="F128" s="119"/>
      <c r="G128" s="117"/>
      <c r="H128" s="117"/>
      <c r="M128" s="117"/>
      <c r="N128" s="117"/>
    </row>
    <row r="129" spans="1:14" s="97" customFormat="1" ht="13.5" thickBot="1" x14ac:dyDescent="0.25">
      <c r="F129" s="117"/>
      <c r="G129" s="117"/>
      <c r="H129" s="117"/>
      <c r="I129" s="117"/>
      <c r="J129" s="117"/>
      <c r="K129" s="117"/>
      <c r="M129" s="126"/>
      <c r="N129" s="126"/>
    </row>
    <row r="130" spans="1:14" s="97" customFormat="1" x14ac:dyDescent="0.2">
      <c r="A130" s="94">
        <v>1</v>
      </c>
      <c r="B130" s="334" t="s">
        <v>73</v>
      </c>
      <c r="F130" s="117"/>
      <c r="G130" s="117"/>
      <c r="H130" s="117"/>
      <c r="I130" s="117"/>
      <c r="J130" s="117"/>
      <c r="K130" s="117"/>
      <c r="M130" s="18" t="s">
        <v>418</v>
      </c>
    </row>
    <row r="131" spans="1:14" s="97" customFormat="1" x14ac:dyDescent="0.2">
      <c r="A131" s="94">
        <v>2</v>
      </c>
      <c r="B131" s="335" t="s">
        <v>363</v>
      </c>
    </row>
    <row r="132" spans="1:14" s="93" customFormat="1" x14ac:dyDescent="0.2">
      <c r="A132" s="94">
        <v>3</v>
      </c>
      <c r="B132" s="336" t="s">
        <v>75</v>
      </c>
    </row>
    <row r="133" spans="1:14" s="93" customFormat="1" x14ac:dyDescent="0.2">
      <c r="A133" s="94">
        <v>4</v>
      </c>
      <c r="B133" s="37" t="s">
        <v>353</v>
      </c>
    </row>
    <row r="134" spans="1:14" s="93" customFormat="1" x14ac:dyDescent="0.2">
      <c r="A134" s="94">
        <v>5</v>
      </c>
      <c r="B134" s="237" t="s">
        <v>338</v>
      </c>
    </row>
    <row r="135" spans="1:14" s="93" customFormat="1" x14ac:dyDescent="0.2">
      <c r="A135" s="94">
        <v>6</v>
      </c>
      <c r="B135" s="37" t="s">
        <v>427</v>
      </c>
    </row>
    <row r="136" spans="1:14" s="93" customFormat="1" x14ac:dyDescent="0.2">
      <c r="A136" s="94">
        <v>7</v>
      </c>
      <c r="B136" s="37" t="s">
        <v>462</v>
      </c>
    </row>
    <row r="137" spans="1:14" s="93" customFormat="1" x14ac:dyDescent="0.2">
      <c r="A137" s="94">
        <v>8</v>
      </c>
      <c r="B137" s="237" t="s">
        <v>456</v>
      </c>
    </row>
    <row r="138" spans="1:14" s="93" customFormat="1" x14ac:dyDescent="0.2">
      <c r="A138" s="94">
        <v>9</v>
      </c>
      <c r="B138" s="11" t="s">
        <v>463</v>
      </c>
    </row>
    <row r="139" spans="1:14" s="93" customFormat="1" x14ac:dyDescent="0.2">
      <c r="A139" s="94">
        <v>10</v>
      </c>
      <c r="B139" s="11" t="s">
        <v>106</v>
      </c>
    </row>
    <row r="140" spans="1:14" x14ac:dyDescent="0.2">
      <c r="A140" s="94">
        <v>11</v>
      </c>
      <c r="B140" s="236" t="s">
        <v>421</v>
      </c>
    </row>
    <row r="141" spans="1:14" x14ac:dyDescent="0.2">
      <c r="A141" s="94">
        <v>12</v>
      </c>
      <c r="B141" s="236" t="s">
        <v>455</v>
      </c>
    </row>
    <row r="142" spans="1:14" x14ac:dyDescent="0.2">
      <c r="A142" s="94">
        <v>13</v>
      </c>
      <c r="B142" s="11" t="s">
        <v>466</v>
      </c>
    </row>
    <row r="143" spans="1:14" x14ac:dyDescent="0.2">
      <c r="A143" s="94">
        <v>14</v>
      </c>
      <c r="B143" s="11" t="s">
        <v>101</v>
      </c>
    </row>
    <row r="144" spans="1:14" x14ac:dyDescent="0.2">
      <c r="A144" s="94" t="s">
        <v>558</v>
      </c>
      <c r="B144" s="243" t="s">
        <v>459</v>
      </c>
    </row>
    <row r="145" spans="1:2" x14ac:dyDescent="0.2">
      <c r="A145" s="94" t="s">
        <v>558</v>
      </c>
      <c r="B145" s="242" t="s">
        <v>457</v>
      </c>
    </row>
    <row r="146" spans="1:2" x14ac:dyDescent="0.2">
      <c r="A146" s="94" t="s">
        <v>558</v>
      </c>
      <c r="B146" s="242" t="s">
        <v>89</v>
      </c>
    </row>
    <row r="147" spans="1:2" x14ac:dyDescent="0.2">
      <c r="A147" s="94" t="s">
        <v>558</v>
      </c>
      <c r="B147" s="242" t="s">
        <v>464</v>
      </c>
    </row>
    <row r="148" spans="1:2" x14ac:dyDescent="0.2">
      <c r="A148" s="94" t="s">
        <v>558</v>
      </c>
      <c r="B148" s="242" t="s">
        <v>525</v>
      </c>
    </row>
    <row r="149" spans="1:2" x14ac:dyDescent="0.2">
      <c r="A149" s="94" t="s">
        <v>558</v>
      </c>
      <c r="B149" s="242" t="s">
        <v>355</v>
      </c>
    </row>
    <row r="150" spans="1:2" x14ac:dyDescent="0.2">
      <c r="A150" s="94" t="s">
        <v>558</v>
      </c>
      <c r="B150" s="243" t="s">
        <v>179</v>
      </c>
    </row>
    <row r="151" spans="1:2" x14ac:dyDescent="0.2">
      <c r="A151" s="94" t="s">
        <v>558</v>
      </c>
      <c r="B151" s="242" t="s">
        <v>460</v>
      </c>
    </row>
    <row r="152" spans="1:2" x14ac:dyDescent="0.2">
      <c r="A152" s="94" t="s">
        <v>558</v>
      </c>
      <c r="B152" s="243" t="s">
        <v>454</v>
      </c>
    </row>
    <row r="153" spans="1:2" x14ac:dyDescent="0.2">
      <c r="A153" s="94" t="s">
        <v>558</v>
      </c>
      <c r="B153" s="242" t="s">
        <v>362</v>
      </c>
    </row>
  </sheetData>
  <conditionalFormatting sqref="C7:L127">
    <cfRule type="cellIs" dxfId="4" priority="1" operator="equal">
      <formula>11</formula>
    </cfRule>
  </conditionalFormatting>
  <pageMargins left="0.78740157480314965" right="0.39370078740157483" top="0.78740157480314965" bottom="0.27559055118110237" header="0.59055118110236227" footer="0"/>
  <pageSetup paperSize="9" fitToHeight="0" orientation="landscape" r:id="rId1"/>
  <headerFooter>
    <oddHeader>&amp;R&amp;"Arial,Regular"&amp;9Page &amp;P of &amp;N</oddHeader>
  </headerFooter>
  <rowBreaks count="3" manualBreakCount="3">
    <brk id="40" max="16383" man="1"/>
    <brk id="78" max="16383" man="1"/>
    <brk id="116" max="16383" man="1"/>
  </rowBreaks>
  <ignoredErrors>
    <ignoredError sqref="I25:I2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60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G1" sqref="G1"/>
    </sheetView>
  </sheetViews>
  <sheetFormatPr defaultColWidth="9.42578125" defaultRowHeight="12.75" x14ac:dyDescent="0.2"/>
  <cols>
    <col min="1" max="1" width="3.28515625" style="20" customWidth="1"/>
    <col min="2" max="2" width="58" style="20" customWidth="1"/>
    <col min="3" max="10" width="5.7109375" style="20" customWidth="1"/>
    <col min="11" max="11" width="3.140625" style="20" bestFit="1" customWidth="1"/>
    <col min="12" max="12" width="2.140625" style="20" customWidth="1"/>
    <col min="13" max="13" width="7" style="20" bestFit="1" customWidth="1"/>
    <col min="14" max="221" width="9.140625" style="20" customWidth="1"/>
    <col min="222" max="16384" width="9.42578125" style="20"/>
  </cols>
  <sheetData>
    <row r="1" spans="1:7" x14ac:dyDescent="0.2">
      <c r="A1" s="21" t="str">
        <f>UPPER((Kalend!E23)&amp;" - "&amp;(Kalend!C23)&amp;" - "&amp;(Kalend!D23))</f>
        <v>15 - JÕHVI PETANGITEISIPÄEVAKUTE 6. ETAPP - TRIO</v>
      </c>
      <c r="C1" s="284" t="str">
        <f>HYPERLINK("#Kalend!J1","Kalender")</f>
        <v>Kalender</v>
      </c>
      <c r="D1" s="277"/>
      <c r="E1" s="284" t="str">
        <f>HYPERLINK("#Reit!J1","Reiting")</f>
        <v>Reiting</v>
      </c>
      <c r="F1" s="248"/>
      <c r="G1" s="248"/>
    </row>
    <row r="2" spans="1:7" x14ac:dyDescent="0.2">
      <c r="A2" s="93" t="str">
        <f>"Toimumisaeg: "&amp;(Kalend!A23)&amp;" kell "&amp;(Kalend!B23)</f>
        <v>Toimumisaeg: T, 27.08.2002 kell 18:00</v>
      </c>
      <c r="G2" s="93"/>
    </row>
    <row r="3" spans="1:7" x14ac:dyDescent="0.2">
      <c r="A3" s="93" t="str">
        <f>"Toimumiskoht: "&amp;(Kalend!F23)</f>
        <v>Toimumiskoht: Jõhvi erakooli staadion (Jaama 37)</v>
      </c>
      <c r="G3" s="93"/>
    </row>
    <row r="4" spans="1:7" x14ac:dyDescent="0.2">
      <c r="A4" s="93" t="str">
        <f>"Korraldaja: "&amp;(Kalend!G23)</f>
        <v>Korraldaja: LTK Üks-Teist</v>
      </c>
      <c r="G4" s="93"/>
    </row>
    <row r="5" spans="1:7" x14ac:dyDescent="0.2">
      <c r="A5" s="93"/>
      <c r="G5" s="93"/>
    </row>
    <row r="6" spans="1:7" x14ac:dyDescent="0.2">
      <c r="A6" s="139" t="s">
        <v>395</v>
      </c>
      <c r="G6" s="93"/>
    </row>
    <row r="7" spans="1:7" x14ac:dyDescent="0.2">
      <c r="A7" s="93"/>
      <c r="G7" s="93"/>
    </row>
    <row r="8" spans="1:7" s="97" customFormat="1" x14ac:dyDescent="0.2">
      <c r="A8" s="96" t="s">
        <v>253</v>
      </c>
      <c r="B8" s="96"/>
      <c r="C8" s="87">
        <v>1</v>
      </c>
      <c r="D8" s="87">
        <v>2</v>
      </c>
      <c r="E8" s="87">
        <v>3</v>
      </c>
      <c r="F8" s="87" t="s">
        <v>254</v>
      </c>
      <c r="G8" s="87" t="s">
        <v>67</v>
      </c>
    </row>
    <row r="9" spans="1:7" s="97" customFormat="1" x14ac:dyDescent="0.2">
      <c r="A9" s="96">
        <v>1</v>
      </c>
      <c r="B9" s="37" t="s">
        <v>483</v>
      </c>
      <c r="C9" s="99"/>
      <c r="D9" s="100">
        <v>6</v>
      </c>
      <c r="E9" s="100">
        <v>3</v>
      </c>
      <c r="F9" s="101" t="s">
        <v>304</v>
      </c>
      <c r="G9" s="100" t="s">
        <v>270</v>
      </c>
    </row>
    <row r="10" spans="1:7" s="97" customFormat="1" x14ac:dyDescent="0.2">
      <c r="A10" s="96">
        <v>2</v>
      </c>
      <c r="B10" s="37" t="s">
        <v>534</v>
      </c>
      <c r="C10" s="100">
        <v>11</v>
      </c>
      <c r="D10" s="99"/>
      <c r="E10" s="100">
        <v>10</v>
      </c>
      <c r="F10" s="101" t="s">
        <v>306</v>
      </c>
      <c r="G10" s="100" t="s">
        <v>262</v>
      </c>
    </row>
    <row r="11" spans="1:7" s="97" customFormat="1" x14ac:dyDescent="0.2">
      <c r="A11" s="96">
        <v>3</v>
      </c>
      <c r="B11" s="237" t="s">
        <v>535</v>
      </c>
      <c r="C11" s="100">
        <v>11</v>
      </c>
      <c r="D11" s="103">
        <v>11</v>
      </c>
      <c r="E11" s="99"/>
      <c r="F11" s="101" t="s">
        <v>302</v>
      </c>
      <c r="G11" s="103" t="s">
        <v>258</v>
      </c>
    </row>
    <row r="12" spans="1:7" s="97" customFormat="1" x14ac:dyDescent="0.2"/>
    <row r="13" spans="1:7" s="97" customFormat="1" x14ac:dyDescent="0.2">
      <c r="A13" s="96" t="s">
        <v>271</v>
      </c>
      <c r="B13" s="96"/>
      <c r="C13" s="87">
        <v>1</v>
      </c>
      <c r="D13" s="87">
        <v>2</v>
      </c>
      <c r="E13" s="87">
        <v>3</v>
      </c>
      <c r="F13" s="87" t="s">
        <v>254</v>
      </c>
      <c r="G13" s="87" t="s">
        <v>67</v>
      </c>
    </row>
    <row r="14" spans="1:7" s="97" customFormat="1" x14ac:dyDescent="0.2">
      <c r="A14" s="96">
        <v>1</v>
      </c>
      <c r="B14" s="237" t="s">
        <v>536</v>
      </c>
      <c r="C14" s="99"/>
      <c r="D14" s="100">
        <v>11</v>
      </c>
      <c r="E14" s="100">
        <v>11</v>
      </c>
      <c r="F14" s="101" t="s">
        <v>302</v>
      </c>
      <c r="G14" s="100" t="s">
        <v>258</v>
      </c>
    </row>
    <row r="15" spans="1:7" s="97" customFormat="1" x14ac:dyDescent="0.2">
      <c r="A15" s="96">
        <v>2</v>
      </c>
      <c r="B15" s="237" t="s">
        <v>537</v>
      </c>
      <c r="C15" s="100">
        <v>7</v>
      </c>
      <c r="D15" s="99"/>
      <c r="E15" s="100">
        <v>11</v>
      </c>
      <c r="F15" s="101" t="s">
        <v>306</v>
      </c>
      <c r="G15" s="100" t="s">
        <v>262</v>
      </c>
    </row>
    <row r="16" spans="1:7" s="97" customFormat="1" x14ac:dyDescent="0.2">
      <c r="A16" s="96">
        <v>3</v>
      </c>
      <c r="B16" s="237" t="s">
        <v>538</v>
      </c>
      <c r="C16" s="100">
        <v>8</v>
      </c>
      <c r="D16" s="103">
        <v>6</v>
      </c>
      <c r="E16" s="99"/>
      <c r="F16" s="101" t="s">
        <v>304</v>
      </c>
      <c r="G16" s="103" t="s">
        <v>270</v>
      </c>
    </row>
    <row r="17" spans="1:13" s="97" customFormat="1" x14ac:dyDescent="0.2"/>
    <row r="18" spans="1:13" s="97" customFormat="1" x14ac:dyDescent="0.2">
      <c r="A18" s="96" t="s">
        <v>310</v>
      </c>
      <c r="B18" s="96"/>
      <c r="C18" s="87">
        <v>1</v>
      </c>
      <c r="D18" s="87">
        <v>2</v>
      </c>
      <c r="E18" s="87">
        <v>3</v>
      </c>
      <c r="F18" s="87" t="s">
        <v>254</v>
      </c>
      <c r="G18" s="87" t="s">
        <v>67</v>
      </c>
    </row>
    <row r="19" spans="1:13" s="97" customFormat="1" x14ac:dyDescent="0.2">
      <c r="A19" s="96">
        <v>1</v>
      </c>
      <c r="B19" s="37" t="s">
        <v>484</v>
      </c>
      <c r="C19" s="99"/>
      <c r="D19" s="424">
        <v>11</v>
      </c>
      <c r="E19" s="424">
        <v>9</v>
      </c>
      <c r="F19" s="423" t="s">
        <v>306</v>
      </c>
      <c r="G19" s="100" t="s">
        <v>258</v>
      </c>
      <c r="H19" s="378" t="s">
        <v>485</v>
      </c>
    </row>
    <row r="20" spans="1:13" s="97" customFormat="1" x14ac:dyDescent="0.2">
      <c r="A20" s="96">
        <v>2</v>
      </c>
      <c r="B20" s="237" t="s">
        <v>539</v>
      </c>
      <c r="C20" s="424">
        <v>7</v>
      </c>
      <c r="D20" s="99"/>
      <c r="E20" s="424">
        <v>11</v>
      </c>
      <c r="F20" s="423" t="s">
        <v>306</v>
      </c>
      <c r="G20" s="100" t="s">
        <v>262</v>
      </c>
      <c r="H20" s="378" t="s">
        <v>486</v>
      </c>
    </row>
    <row r="21" spans="1:13" s="97" customFormat="1" x14ac:dyDescent="0.2">
      <c r="A21" s="96">
        <v>3</v>
      </c>
      <c r="B21" s="11" t="s">
        <v>487</v>
      </c>
      <c r="C21" s="424">
        <v>11</v>
      </c>
      <c r="D21" s="421">
        <v>7</v>
      </c>
      <c r="E21" s="99"/>
      <c r="F21" s="423" t="s">
        <v>306</v>
      </c>
      <c r="G21" s="103" t="s">
        <v>270</v>
      </c>
      <c r="H21" s="378" t="s">
        <v>432</v>
      </c>
    </row>
    <row r="22" spans="1:13" s="97" customFormat="1" x14ac:dyDescent="0.2"/>
    <row r="23" spans="1:13" s="97" customFormat="1" x14ac:dyDescent="0.2">
      <c r="A23" s="127"/>
      <c r="B23" s="136" t="s">
        <v>280</v>
      </c>
      <c r="C23" s="129" t="s">
        <v>284</v>
      </c>
      <c r="F23" s="130"/>
      <c r="G23" s="129"/>
      <c r="H23" s="128"/>
    </row>
    <row r="24" spans="1:13" s="97" customFormat="1" x14ac:dyDescent="0.2">
      <c r="A24" s="127"/>
      <c r="B24" s="136" t="s">
        <v>283</v>
      </c>
      <c r="C24" s="129" t="s">
        <v>282</v>
      </c>
      <c r="E24" s="129"/>
      <c r="F24" s="130"/>
      <c r="G24" s="129"/>
      <c r="H24" s="128"/>
    </row>
    <row r="25" spans="1:13" s="97" customFormat="1" x14ac:dyDescent="0.2">
      <c r="A25" s="127"/>
      <c r="B25" s="136" t="s">
        <v>286</v>
      </c>
      <c r="C25" s="129" t="s">
        <v>268</v>
      </c>
      <c r="E25" s="129"/>
      <c r="F25" s="130"/>
      <c r="G25" s="129"/>
      <c r="H25" s="128"/>
    </row>
    <row r="26" spans="1:13" s="97" customFormat="1" x14ac:dyDescent="0.2">
      <c r="B26" s="136"/>
      <c r="C26" s="129"/>
      <c r="E26" s="129"/>
      <c r="F26" s="130"/>
      <c r="G26" s="129"/>
      <c r="H26" s="128"/>
    </row>
    <row r="27" spans="1:13" s="97" customFormat="1" x14ac:dyDescent="0.2">
      <c r="A27" s="137" t="s">
        <v>489</v>
      </c>
      <c r="B27" s="136"/>
      <c r="C27" s="129"/>
      <c r="E27" s="129"/>
      <c r="F27" s="130"/>
      <c r="G27" s="129"/>
      <c r="H27" s="128"/>
      <c r="J27" s="380" t="s">
        <v>488</v>
      </c>
    </row>
    <row r="28" spans="1:13" s="248" customFormat="1" x14ac:dyDescent="0.2">
      <c r="A28" s="93"/>
      <c r="G28" s="93"/>
    </row>
    <row r="29" spans="1:13" s="204" customFormat="1" x14ac:dyDescent="0.2">
      <c r="A29" s="202"/>
      <c r="B29" s="202"/>
      <c r="C29" s="203">
        <v>1</v>
      </c>
      <c r="D29" s="203">
        <v>2</v>
      </c>
      <c r="E29" s="203">
        <v>3</v>
      </c>
      <c r="F29" s="203">
        <v>4</v>
      </c>
      <c r="G29" s="203">
        <v>5</v>
      </c>
      <c r="H29" s="203">
        <v>6</v>
      </c>
      <c r="I29" s="203" t="s">
        <v>254</v>
      </c>
      <c r="J29" s="203" t="s">
        <v>67</v>
      </c>
    </row>
    <row r="30" spans="1:13" s="204" customFormat="1" x14ac:dyDescent="0.2">
      <c r="A30" s="202">
        <v>1</v>
      </c>
      <c r="B30" s="37" t="s">
        <v>536</v>
      </c>
      <c r="C30" s="205"/>
      <c r="D30" s="379">
        <v>11</v>
      </c>
      <c r="E30" s="206">
        <v>9</v>
      </c>
      <c r="F30" s="379">
        <v>8</v>
      </c>
      <c r="G30" s="379">
        <v>11</v>
      </c>
      <c r="H30" s="206">
        <v>10</v>
      </c>
      <c r="I30" s="377" t="s">
        <v>282</v>
      </c>
      <c r="J30" s="206" t="s">
        <v>270</v>
      </c>
      <c r="K30" s="378" t="s">
        <v>331</v>
      </c>
      <c r="M30" s="109" t="s">
        <v>666</v>
      </c>
    </row>
    <row r="31" spans="1:13" s="204" customFormat="1" x14ac:dyDescent="0.2">
      <c r="A31" s="202">
        <v>2</v>
      </c>
      <c r="B31" s="37" t="s">
        <v>539</v>
      </c>
      <c r="C31" s="379">
        <v>6</v>
      </c>
      <c r="D31" s="205"/>
      <c r="E31" s="206">
        <v>7</v>
      </c>
      <c r="F31" s="379">
        <v>11</v>
      </c>
      <c r="G31" s="379">
        <v>11</v>
      </c>
      <c r="H31" s="206">
        <v>6</v>
      </c>
      <c r="I31" s="377" t="s">
        <v>282</v>
      </c>
      <c r="J31" s="206" t="s">
        <v>266</v>
      </c>
      <c r="K31" s="378" t="s">
        <v>490</v>
      </c>
      <c r="M31" s="109" t="s">
        <v>666</v>
      </c>
    </row>
    <row r="32" spans="1:13" s="204" customFormat="1" x14ac:dyDescent="0.2">
      <c r="A32" s="202">
        <v>3</v>
      </c>
      <c r="B32" s="37" t="s">
        <v>484</v>
      </c>
      <c r="C32" s="206">
        <v>11</v>
      </c>
      <c r="D32" s="206">
        <v>11</v>
      </c>
      <c r="E32" s="205"/>
      <c r="F32" s="206">
        <v>11</v>
      </c>
      <c r="G32" s="206">
        <v>7</v>
      </c>
      <c r="H32" s="206">
        <v>8</v>
      </c>
      <c r="I32" s="207" t="s">
        <v>491</v>
      </c>
      <c r="J32" s="206" t="s">
        <v>262</v>
      </c>
      <c r="K32" s="376"/>
      <c r="M32" s="109" t="s">
        <v>665</v>
      </c>
    </row>
    <row r="33" spans="1:13" s="208" customFormat="1" x14ac:dyDescent="0.2">
      <c r="A33" s="202">
        <v>4</v>
      </c>
      <c r="B33" s="37" t="s">
        <v>535</v>
      </c>
      <c r="C33" s="379">
        <v>11</v>
      </c>
      <c r="D33" s="379">
        <v>9</v>
      </c>
      <c r="E33" s="206">
        <v>6</v>
      </c>
      <c r="F33" s="205"/>
      <c r="G33" s="379">
        <v>6</v>
      </c>
      <c r="H33" s="206">
        <v>11</v>
      </c>
      <c r="I33" s="377" t="s">
        <v>282</v>
      </c>
      <c r="J33" s="206" t="s">
        <v>492</v>
      </c>
      <c r="K33" s="378" t="s">
        <v>493</v>
      </c>
      <c r="L33" s="204" t="s">
        <v>667</v>
      </c>
      <c r="M33" s="109" t="s">
        <v>292</v>
      </c>
    </row>
    <row r="34" spans="1:13" s="208" customFormat="1" x14ac:dyDescent="0.2">
      <c r="A34" s="202">
        <v>5</v>
      </c>
      <c r="B34" s="37" t="s">
        <v>537</v>
      </c>
      <c r="C34" s="379">
        <v>7</v>
      </c>
      <c r="D34" s="379">
        <v>4</v>
      </c>
      <c r="E34" s="206">
        <v>11</v>
      </c>
      <c r="F34" s="379">
        <v>11</v>
      </c>
      <c r="G34" s="205"/>
      <c r="H34" s="206">
        <v>5</v>
      </c>
      <c r="I34" s="377" t="s">
        <v>282</v>
      </c>
      <c r="J34" s="206" t="s">
        <v>324</v>
      </c>
      <c r="K34" s="378" t="s">
        <v>493</v>
      </c>
      <c r="L34" s="204" t="s">
        <v>668</v>
      </c>
      <c r="M34" s="109" t="s">
        <v>292</v>
      </c>
    </row>
    <row r="35" spans="1:13" s="204" customFormat="1" x14ac:dyDescent="0.2">
      <c r="A35" s="202">
        <v>6</v>
      </c>
      <c r="B35" s="37" t="s">
        <v>534</v>
      </c>
      <c r="C35" s="206">
        <v>11</v>
      </c>
      <c r="D35" s="206">
        <v>11</v>
      </c>
      <c r="E35" s="206">
        <v>11</v>
      </c>
      <c r="F35" s="206">
        <v>10</v>
      </c>
      <c r="G35" s="209">
        <v>11</v>
      </c>
      <c r="H35" s="205"/>
      <c r="I35" s="207" t="s">
        <v>494</v>
      </c>
      <c r="J35" s="206" t="s">
        <v>258</v>
      </c>
      <c r="K35" s="376"/>
      <c r="M35" s="109" t="s">
        <v>664</v>
      </c>
    </row>
    <row r="36" spans="1:13" s="204" customFormat="1" x14ac:dyDescent="0.2">
      <c r="A36" s="208"/>
      <c r="C36" s="210"/>
      <c r="D36" s="210"/>
      <c r="E36" s="210"/>
      <c r="F36" s="210"/>
      <c r="G36" s="210"/>
      <c r="H36" s="210"/>
      <c r="I36" s="211"/>
      <c r="J36" s="210"/>
      <c r="M36" s="392"/>
    </row>
    <row r="37" spans="1:13" s="213" customFormat="1" x14ac:dyDescent="0.2">
      <c r="A37" s="212"/>
      <c r="B37" s="383" t="s">
        <v>280</v>
      </c>
      <c r="C37" s="385" t="s">
        <v>495</v>
      </c>
      <c r="D37" s="385" t="s">
        <v>343</v>
      </c>
      <c r="E37" s="385" t="s">
        <v>287</v>
      </c>
      <c r="F37" s="128"/>
      <c r="G37" s="130"/>
      <c r="H37" s="130"/>
      <c r="I37" s="129"/>
      <c r="J37" s="128"/>
    </row>
    <row r="38" spans="1:13" s="213" customFormat="1" x14ac:dyDescent="0.2">
      <c r="A38" s="212"/>
      <c r="B38" s="383" t="s">
        <v>283</v>
      </c>
      <c r="C38" s="385" t="s">
        <v>268</v>
      </c>
      <c r="D38" s="385" t="s">
        <v>345</v>
      </c>
      <c r="E38" s="385" t="s">
        <v>669</v>
      </c>
      <c r="I38" s="129"/>
      <c r="J38" s="128"/>
    </row>
    <row r="39" spans="1:13" s="213" customFormat="1" x14ac:dyDescent="0.2">
      <c r="A39" s="212"/>
      <c r="B39" s="383" t="s">
        <v>286</v>
      </c>
      <c r="C39" s="385" t="s">
        <v>284</v>
      </c>
      <c r="D39" s="385" t="s">
        <v>498</v>
      </c>
      <c r="E39" s="385" t="s">
        <v>342</v>
      </c>
      <c r="I39" s="129"/>
      <c r="J39" s="186"/>
    </row>
    <row r="40" spans="1:13" s="213" customFormat="1" x14ac:dyDescent="0.2">
      <c r="A40" s="212"/>
      <c r="B40" s="383" t="s">
        <v>344</v>
      </c>
      <c r="C40" s="385" t="s">
        <v>281</v>
      </c>
      <c r="D40" s="385" t="s">
        <v>282</v>
      </c>
      <c r="E40" s="385" t="s">
        <v>497</v>
      </c>
      <c r="G40" s="130"/>
      <c r="H40" s="130"/>
      <c r="I40" s="129"/>
      <c r="J40" s="128"/>
    </row>
    <row r="41" spans="1:13" s="213" customFormat="1" x14ac:dyDescent="0.2">
      <c r="A41" s="212"/>
      <c r="B41" s="383" t="s">
        <v>346</v>
      </c>
      <c r="C41" s="385" t="s">
        <v>341</v>
      </c>
      <c r="D41" s="385" t="s">
        <v>285</v>
      </c>
      <c r="E41" s="385" t="s">
        <v>496</v>
      </c>
      <c r="G41" s="130"/>
      <c r="H41" s="130"/>
      <c r="I41" s="129"/>
      <c r="J41" s="128"/>
    </row>
    <row r="42" spans="1:13" s="213" customFormat="1" x14ac:dyDescent="0.2">
      <c r="A42" s="212"/>
      <c r="B42" s="136"/>
      <c r="C42" s="129"/>
      <c r="D42" s="129"/>
      <c r="E42" s="129"/>
      <c r="G42" s="130"/>
      <c r="H42" s="130"/>
      <c r="I42" s="129"/>
      <c r="J42" s="128"/>
    </row>
    <row r="43" spans="1:13" s="213" customFormat="1" x14ac:dyDescent="0.2">
      <c r="A43" s="283"/>
      <c r="B43" s="136"/>
      <c r="C43" s="129"/>
      <c r="D43" s="129"/>
      <c r="E43" s="129"/>
      <c r="G43" s="130"/>
      <c r="H43" s="130"/>
      <c r="I43" s="129"/>
      <c r="J43" s="128"/>
    </row>
    <row r="44" spans="1:13" s="213" customFormat="1" x14ac:dyDescent="0.2">
      <c r="A44" s="282" t="s">
        <v>316</v>
      </c>
      <c r="B44" s="136"/>
      <c r="C44" s="129"/>
      <c r="D44" s="129"/>
      <c r="E44" s="129"/>
      <c r="G44" s="130"/>
      <c r="H44" s="130"/>
      <c r="I44" s="129"/>
      <c r="J44" s="128"/>
    </row>
    <row r="45" spans="1:13" s="248" customFormat="1" x14ac:dyDescent="0.2">
      <c r="A45" s="93"/>
      <c r="G45" s="93"/>
    </row>
    <row r="46" spans="1:13" s="97" customFormat="1" x14ac:dyDescent="0.2">
      <c r="A46" s="96"/>
      <c r="B46" s="96"/>
      <c r="C46" s="87">
        <v>1</v>
      </c>
      <c r="D46" s="87">
        <v>2</v>
      </c>
      <c r="E46" s="87">
        <v>3</v>
      </c>
      <c r="F46" s="87" t="s">
        <v>254</v>
      </c>
      <c r="G46" s="87" t="s">
        <v>67</v>
      </c>
    </row>
    <row r="47" spans="1:13" s="97" customFormat="1" x14ac:dyDescent="0.2">
      <c r="A47" s="96">
        <v>1</v>
      </c>
      <c r="B47" s="37" t="s">
        <v>483</v>
      </c>
      <c r="C47" s="99"/>
      <c r="D47" s="100">
        <v>11</v>
      </c>
      <c r="E47" s="100" t="s">
        <v>482</v>
      </c>
      <c r="F47" s="101" t="s">
        <v>302</v>
      </c>
      <c r="G47" s="100" t="s">
        <v>258</v>
      </c>
      <c r="H47" s="145"/>
      <c r="I47" s="391" t="s">
        <v>299</v>
      </c>
    </row>
    <row r="48" spans="1:13" s="97" customFormat="1" x14ac:dyDescent="0.2">
      <c r="A48" s="96">
        <v>2</v>
      </c>
      <c r="B48" s="37" t="s">
        <v>538</v>
      </c>
      <c r="C48" s="100">
        <v>4</v>
      </c>
      <c r="D48" s="99"/>
      <c r="E48" s="100" t="s">
        <v>482</v>
      </c>
      <c r="F48" s="101" t="s">
        <v>306</v>
      </c>
      <c r="G48" s="100" t="s">
        <v>262</v>
      </c>
      <c r="H48" s="145"/>
      <c r="I48" s="111" t="s">
        <v>300</v>
      </c>
    </row>
    <row r="49" spans="1:9" s="97" customFormat="1" x14ac:dyDescent="0.2">
      <c r="A49" s="96">
        <v>3</v>
      </c>
      <c r="B49" s="11" t="s">
        <v>487</v>
      </c>
      <c r="C49" s="100" t="s">
        <v>481</v>
      </c>
      <c r="D49" s="103" t="s">
        <v>481</v>
      </c>
      <c r="E49" s="99"/>
      <c r="F49" s="101" t="s">
        <v>304</v>
      </c>
      <c r="G49" s="103" t="s">
        <v>270</v>
      </c>
      <c r="H49" s="145"/>
      <c r="I49" s="111" t="s">
        <v>402</v>
      </c>
    </row>
    <row r="50" spans="1:9" s="97" customFormat="1" x14ac:dyDescent="0.2"/>
    <row r="51" spans="1:9" s="93" customFormat="1" x14ac:dyDescent="0.2"/>
    <row r="52" spans="1:9" s="93" customFormat="1" x14ac:dyDescent="0.2">
      <c r="A52" s="94">
        <v>1</v>
      </c>
      <c r="B52" s="334" t="s">
        <v>534</v>
      </c>
    </row>
    <row r="53" spans="1:9" s="93" customFormat="1" x14ac:dyDescent="0.2">
      <c r="A53" s="94">
        <v>2</v>
      </c>
      <c r="B53" s="335" t="s">
        <v>484</v>
      </c>
    </row>
    <row r="54" spans="1:9" s="93" customFormat="1" x14ac:dyDescent="0.2">
      <c r="A54" s="94">
        <v>3</v>
      </c>
      <c r="B54" s="336" t="s">
        <v>536</v>
      </c>
    </row>
    <row r="55" spans="1:9" s="93" customFormat="1" x14ac:dyDescent="0.2">
      <c r="A55" s="94">
        <v>4</v>
      </c>
      <c r="B55" s="37" t="s">
        <v>539</v>
      </c>
    </row>
    <row r="56" spans="1:9" s="93" customFormat="1" x14ac:dyDescent="0.2">
      <c r="A56" s="94">
        <v>5</v>
      </c>
      <c r="B56" s="37" t="s">
        <v>537</v>
      </c>
    </row>
    <row r="57" spans="1:9" s="93" customFormat="1" x14ac:dyDescent="0.2">
      <c r="A57" s="94">
        <v>6</v>
      </c>
      <c r="B57" s="37" t="s">
        <v>535</v>
      </c>
    </row>
    <row r="58" spans="1:9" s="93" customFormat="1" x14ac:dyDescent="0.2">
      <c r="A58" s="94">
        <v>7</v>
      </c>
      <c r="B58" s="37" t="s">
        <v>483</v>
      </c>
    </row>
    <row r="59" spans="1:9" s="93" customFormat="1" x14ac:dyDescent="0.2">
      <c r="A59" s="94">
        <v>8</v>
      </c>
      <c r="B59" s="37" t="s">
        <v>538</v>
      </c>
    </row>
    <row r="60" spans="1:9" x14ac:dyDescent="0.2">
      <c r="A60" s="94">
        <v>9</v>
      </c>
      <c r="B60" s="11" t="s">
        <v>487</v>
      </c>
    </row>
  </sheetData>
  <conditionalFormatting sqref="C9:H18 I47 C22:H49 C19:G21">
    <cfRule type="cellIs" dxfId="3" priority="2" operator="equal">
      <formula>11</formula>
    </cfRule>
  </conditionalFormatting>
  <conditionalFormatting sqref="M30:M35">
    <cfRule type="cellIs" dxfId="2" priority="1" operator="equal">
      <formula>11</formula>
    </cfRule>
  </conditionalFormatting>
  <pageMargins left="0.78740157480314965" right="0.39370078740157483" top="0.78740157480314965" bottom="0.27559055118110237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41" max="16383" man="1"/>
  </rowBreaks>
  <ignoredErrors>
    <ignoredError sqref="H19:H2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99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J1" sqref="J1"/>
    </sheetView>
  </sheetViews>
  <sheetFormatPr defaultColWidth="9.42578125" defaultRowHeight="12.75" x14ac:dyDescent="0.2"/>
  <cols>
    <col min="1" max="1" width="3.28515625" style="20" customWidth="1"/>
    <col min="2" max="2" width="32.5703125" style="20" customWidth="1"/>
    <col min="3" max="7" width="5.7109375" style="20" customWidth="1"/>
    <col min="8" max="204" width="9.140625" style="20" customWidth="1"/>
    <col min="205" max="16384" width="9.42578125" style="20"/>
  </cols>
  <sheetData>
    <row r="1" spans="1:8" x14ac:dyDescent="0.2">
      <c r="A1" s="21" t="str">
        <f>UPPER((Kalend!E25)&amp;" - "&amp;(Kalend!C25)&amp;" - "&amp;(Kalend!D25))</f>
        <v>16 - JÕHVI 2. MV - ÜKSIK</v>
      </c>
      <c r="F1" s="284" t="str">
        <f>HYPERLINK("#Kalend!J1","Kalender")</f>
        <v>Kalender</v>
      </c>
      <c r="G1" s="277"/>
      <c r="H1" s="284" t="str">
        <f>HYPERLINK("#Reit!J1","Reiting")</f>
        <v>Reiting</v>
      </c>
    </row>
    <row r="2" spans="1:8" x14ac:dyDescent="0.2">
      <c r="A2" s="93" t="str">
        <f>"Toimumisaeg: "&amp;(Kalend!A25)&amp;" kell "&amp;(Kalend!B25)</f>
        <v>Toimumisaeg: P, 08.09.2002 kell 10:00</v>
      </c>
      <c r="G2" s="93"/>
    </row>
    <row r="3" spans="1:8" x14ac:dyDescent="0.2">
      <c r="A3" s="93" t="str">
        <f>"Toimumiskoht: "&amp;(Kalend!F25)</f>
        <v>Toimumiskoht: Jõhvi erakooli staadion (Jaama 37)</v>
      </c>
      <c r="G3" s="93"/>
    </row>
    <row r="4" spans="1:8" x14ac:dyDescent="0.2">
      <c r="A4" s="93" t="str">
        <f>"Korraldaja: "&amp;(Kalend!G25)</f>
        <v>Korraldaja: LTK Üks-Teist</v>
      </c>
      <c r="G4" s="93"/>
    </row>
    <row r="5" spans="1:8" x14ac:dyDescent="0.2">
      <c r="A5" s="93"/>
      <c r="G5" s="93"/>
    </row>
    <row r="6" spans="1:8" x14ac:dyDescent="0.2">
      <c r="A6" s="139" t="s">
        <v>350</v>
      </c>
      <c r="G6" s="93"/>
    </row>
    <row r="7" spans="1:8" x14ac:dyDescent="0.2">
      <c r="A7" s="95" t="s">
        <v>499</v>
      </c>
      <c r="G7" s="93"/>
    </row>
    <row r="9" spans="1:8" x14ac:dyDescent="0.2">
      <c r="A9" s="393" t="s">
        <v>670</v>
      </c>
      <c r="C9" s="95" t="s">
        <v>500</v>
      </c>
    </row>
    <row r="10" spans="1:8" s="248" customFormat="1" x14ac:dyDescent="0.2">
      <c r="A10" s="277"/>
    </row>
    <row r="11" spans="1:8" x14ac:dyDescent="0.2">
      <c r="A11" s="153" t="s">
        <v>467</v>
      </c>
    </row>
    <row r="12" spans="1:8" x14ac:dyDescent="0.2">
      <c r="A12" s="93"/>
      <c r="G12" s="93"/>
    </row>
    <row r="13" spans="1:8" s="97" customFormat="1" x14ac:dyDescent="0.2">
      <c r="A13" s="109"/>
      <c r="B13" s="97" t="s">
        <v>93</v>
      </c>
      <c r="C13" s="119">
        <v>11</v>
      </c>
      <c r="E13" s="117"/>
    </row>
    <row r="14" spans="1:8" s="97" customFormat="1" x14ac:dyDescent="0.2">
      <c r="A14" s="111"/>
      <c r="B14" s="112"/>
      <c r="C14" s="123" t="s">
        <v>93</v>
      </c>
      <c r="E14" s="114"/>
      <c r="F14" s="110">
        <v>11</v>
      </c>
    </row>
    <row r="15" spans="1:8" s="97" customFormat="1" x14ac:dyDescent="0.2">
      <c r="A15" s="111"/>
      <c r="B15" s="114" t="s">
        <v>329</v>
      </c>
      <c r="C15" s="125">
        <v>2</v>
      </c>
      <c r="D15" s="112"/>
      <c r="E15" s="116"/>
    </row>
    <row r="16" spans="1:8" s="97" customFormat="1" ht="13.5" thickBot="1" x14ac:dyDescent="0.25">
      <c r="A16" s="111"/>
      <c r="D16" s="117"/>
      <c r="E16" s="118"/>
      <c r="G16" s="97" t="s">
        <v>93</v>
      </c>
    </row>
    <row r="17" spans="1:8" s="97" customFormat="1" x14ac:dyDescent="0.2">
      <c r="A17" s="111"/>
      <c r="B17" s="97" t="s">
        <v>463</v>
      </c>
      <c r="C17" s="110">
        <v>3</v>
      </c>
      <c r="E17" s="118"/>
      <c r="F17" s="122"/>
      <c r="G17" s="121" t="s">
        <v>664</v>
      </c>
      <c r="H17" s="122"/>
    </row>
    <row r="18" spans="1:8" s="97" customFormat="1" x14ac:dyDescent="0.2">
      <c r="A18" s="111"/>
      <c r="B18" s="112"/>
      <c r="C18" s="113" t="s">
        <v>363</v>
      </c>
      <c r="D18" s="114"/>
      <c r="E18" s="124"/>
      <c r="F18" s="119">
        <v>5</v>
      </c>
    </row>
    <row r="19" spans="1:8" s="97" customFormat="1" ht="13.5" thickBot="1" x14ac:dyDescent="0.25">
      <c r="A19" s="111"/>
      <c r="B19" s="114" t="s">
        <v>363</v>
      </c>
      <c r="C19" s="115">
        <v>11</v>
      </c>
      <c r="E19" s="112"/>
      <c r="F19" s="117"/>
      <c r="G19" s="117" t="s">
        <v>363</v>
      </c>
      <c r="H19" s="126"/>
    </row>
    <row r="20" spans="1:8" s="97" customFormat="1" x14ac:dyDescent="0.2">
      <c r="A20" s="18"/>
      <c r="F20" s="117"/>
      <c r="G20" s="121" t="s">
        <v>665</v>
      </c>
      <c r="H20" s="117"/>
    </row>
    <row r="21" spans="1:8" s="97" customFormat="1" x14ac:dyDescent="0.2">
      <c r="A21" s="18"/>
      <c r="C21" s="114" t="s">
        <v>329</v>
      </c>
      <c r="D21" s="114"/>
      <c r="E21" s="114"/>
      <c r="F21" s="110">
        <v>10</v>
      </c>
      <c r="G21" s="117"/>
      <c r="H21" s="117"/>
    </row>
    <row r="22" spans="1:8" s="97" customFormat="1" ht="13.5" thickBot="1" x14ac:dyDescent="0.25">
      <c r="A22" s="18"/>
      <c r="C22" s="112"/>
      <c r="D22" s="112"/>
      <c r="E22" s="116"/>
      <c r="F22" s="126"/>
      <c r="G22" s="126" t="s">
        <v>463</v>
      </c>
      <c r="H22" s="126"/>
    </row>
    <row r="23" spans="1:8" s="97" customFormat="1" x14ac:dyDescent="0.2">
      <c r="A23" s="18"/>
      <c r="C23" s="114" t="s">
        <v>463</v>
      </c>
      <c r="D23" s="114"/>
      <c r="E23" s="124"/>
      <c r="F23" s="119">
        <v>11</v>
      </c>
      <c r="G23" s="127" t="s">
        <v>666</v>
      </c>
      <c r="H23" s="117"/>
    </row>
    <row r="24" spans="1:8" s="97" customFormat="1" x14ac:dyDescent="0.2">
      <c r="A24" s="18"/>
      <c r="G24" s="117"/>
      <c r="H24" s="117"/>
    </row>
    <row r="25" spans="1:8" s="97" customFormat="1" ht="13.5" thickBot="1" x14ac:dyDescent="0.25">
      <c r="A25" s="18"/>
      <c r="D25" s="117"/>
      <c r="E25" s="117"/>
      <c r="G25" s="126" t="s">
        <v>329</v>
      </c>
      <c r="H25" s="126"/>
    </row>
    <row r="26" spans="1:8" s="97" customFormat="1" x14ac:dyDescent="0.2">
      <c r="A26" s="18"/>
      <c r="D26" s="117"/>
      <c r="E26" s="117"/>
      <c r="G26" s="18" t="s">
        <v>292</v>
      </c>
    </row>
    <row r="27" spans="1:8" s="97" customFormat="1" x14ac:dyDescent="0.2">
      <c r="A27" s="18"/>
      <c r="D27" s="117"/>
      <c r="E27" s="117"/>
      <c r="G27" s="18"/>
    </row>
    <row r="28" spans="1:8" s="97" customFormat="1" x14ac:dyDescent="0.2">
      <c r="A28" s="153" t="s">
        <v>479</v>
      </c>
      <c r="D28" s="117"/>
      <c r="E28" s="117"/>
      <c r="G28" s="18"/>
    </row>
    <row r="29" spans="1:8" s="97" customFormat="1" x14ac:dyDescent="0.2">
      <c r="A29" s="18"/>
      <c r="D29" s="117"/>
      <c r="E29" s="117"/>
      <c r="G29" s="18"/>
    </row>
    <row r="30" spans="1:8" x14ac:dyDescent="0.2">
      <c r="A30" s="93"/>
      <c r="C30" s="154" t="s">
        <v>353</v>
      </c>
      <c r="D30" s="97"/>
      <c r="E30" s="97"/>
      <c r="F30" s="119">
        <v>11</v>
      </c>
      <c r="G30" s="117"/>
      <c r="H30" s="117"/>
    </row>
    <row r="31" spans="1:8" ht="13.5" thickBot="1" x14ac:dyDescent="0.25">
      <c r="A31" s="93"/>
      <c r="C31" s="112"/>
      <c r="D31" s="112"/>
      <c r="E31" s="116"/>
      <c r="F31" s="126"/>
      <c r="G31" s="126" t="s">
        <v>353</v>
      </c>
      <c r="H31" s="126"/>
    </row>
    <row r="32" spans="1:8" x14ac:dyDescent="0.2">
      <c r="A32" s="93"/>
      <c r="C32" s="114" t="s">
        <v>334</v>
      </c>
      <c r="D32" s="114"/>
      <c r="E32" s="124"/>
      <c r="F32" s="110">
        <v>7</v>
      </c>
      <c r="G32" s="127" t="s">
        <v>296</v>
      </c>
      <c r="H32" s="117"/>
    </row>
    <row r="33" spans="1:8" x14ac:dyDescent="0.2">
      <c r="A33" s="93"/>
      <c r="C33" s="97"/>
      <c r="D33" s="97"/>
      <c r="E33" s="97"/>
      <c r="F33" s="97"/>
      <c r="G33" s="117"/>
      <c r="H33" s="117"/>
    </row>
    <row r="34" spans="1:8" ht="13.5" thickBot="1" x14ac:dyDescent="0.25">
      <c r="A34" s="93"/>
      <c r="C34" s="97"/>
      <c r="D34" s="117"/>
      <c r="E34" s="117"/>
      <c r="F34" s="97"/>
      <c r="G34" s="126" t="s">
        <v>334</v>
      </c>
      <c r="H34" s="126"/>
    </row>
    <row r="35" spans="1:8" s="93" customFormat="1" x14ac:dyDescent="0.2">
      <c r="C35" s="97"/>
      <c r="D35" s="117"/>
      <c r="E35" s="117"/>
      <c r="F35" s="97"/>
      <c r="G35" s="18" t="s">
        <v>298</v>
      </c>
      <c r="H35" s="97"/>
    </row>
    <row r="36" spans="1:8" s="93" customFormat="1" x14ac:dyDescent="0.2">
      <c r="C36" s="93" t="s">
        <v>340</v>
      </c>
      <c r="F36" s="381">
        <v>11</v>
      </c>
    </row>
    <row r="37" spans="1:8" ht="13.5" thickBot="1" x14ac:dyDescent="0.25">
      <c r="A37" s="93"/>
      <c r="C37" s="112"/>
      <c r="D37" s="112"/>
      <c r="E37" s="116"/>
      <c r="F37" s="126"/>
      <c r="G37" s="126" t="s">
        <v>340</v>
      </c>
      <c r="H37" s="126"/>
    </row>
    <row r="38" spans="1:8" x14ac:dyDescent="0.2">
      <c r="A38" s="93"/>
      <c r="C38" s="114" t="s">
        <v>525</v>
      </c>
      <c r="D38" s="114"/>
      <c r="E38" s="124"/>
      <c r="F38" s="110">
        <v>7</v>
      </c>
      <c r="G38" s="127" t="s">
        <v>299</v>
      </c>
      <c r="H38" s="117"/>
    </row>
    <row r="39" spans="1:8" x14ac:dyDescent="0.2">
      <c r="A39" s="93"/>
      <c r="C39" s="97"/>
      <c r="D39" s="97"/>
      <c r="E39" s="97"/>
      <c r="F39" s="97"/>
      <c r="G39" s="117"/>
      <c r="H39" s="117"/>
    </row>
    <row r="40" spans="1:8" ht="13.5" thickBot="1" x14ac:dyDescent="0.25">
      <c r="A40" s="93"/>
      <c r="C40" s="97"/>
      <c r="D40" s="117"/>
      <c r="E40" s="117"/>
      <c r="F40" s="97"/>
      <c r="G40" s="126" t="s">
        <v>525</v>
      </c>
      <c r="H40" s="126"/>
    </row>
    <row r="41" spans="1:8" s="93" customFormat="1" x14ac:dyDescent="0.2">
      <c r="C41" s="97"/>
      <c r="D41" s="117"/>
      <c r="E41" s="117"/>
      <c r="F41" s="97"/>
      <c r="G41" s="18" t="s">
        <v>300</v>
      </c>
      <c r="H41" s="97"/>
    </row>
    <row r="42" spans="1:8" s="93" customFormat="1" x14ac:dyDescent="0.2"/>
    <row r="43" spans="1:8" s="97" customFormat="1" x14ac:dyDescent="0.2">
      <c r="A43" s="153" t="s">
        <v>480</v>
      </c>
      <c r="D43" s="117"/>
      <c r="E43" s="117"/>
      <c r="G43" s="18"/>
    </row>
    <row r="44" spans="1:8" s="382" customFormat="1" x14ac:dyDescent="0.2">
      <c r="A44" s="153"/>
      <c r="D44" s="117"/>
      <c r="E44" s="117"/>
      <c r="G44" s="384"/>
    </row>
    <row r="45" spans="1:8" x14ac:dyDescent="0.2">
      <c r="A45" s="214"/>
      <c r="C45" s="154" t="s">
        <v>325</v>
      </c>
      <c r="D45" s="97"/>
      <c r="E45" s="97"/>
      <c r="F45" s="119">
        <v>11</v>
      </c>
      <c r="G45" s="117"/>
      <c r="H45" s="117"/>
    </row>
    <row r="46" spans="1:8" ht="13.5" thickBot="1" x14ac:dyDescent="0.25">
      <c r="A46" s="214"/>
      <c r="C46" s="112"/>
      <c r="D46" s="112"/>
      <c r="E46" s="116"/>
      <c r="F46" s="126"/>
      <c r="G46" s="126" t="s">
        <v>325</v>
      </c>
      <c r="H46" s="126"/>
    </row>
    <row r="47" spans="1:8" x14ac:dyDescent="0.2">
      <c r="A47" s="214"/>
      <c r="C47" s="114" t="s">
        <v>421</v>
      </c>
      <c r="D47" s="114"/>
      <c r="E47" s="124"/>
      <c r="F47" s="110">
        <v>9</v>
      </c>
      <c r="G47" s="127" t="s">
        <v>402</v>
      </c>
      <c r="H47" s="117"/>
    </row>
    <row r="48" spans="1:8" x14ac:dyDescent="0.2">
      <c r="A48" s="214"/>
      <c r="C48" s="97"/>
      <c r="D48" s="97"/>
      <c r="E48" s="97"/>
      <c r="F48" s="97"/>
      <c r="G48" s="117"/>
      <c r="H48" s="117"/>
    </row>
    <row r="49" spans="1:8" ht="13.5" thickBot="1" x14ac:dyDescent="0.25">
      <c r="A49" s="214"/>
      <c r="C49" s="97"/>
      <c r="D49" s="117"/>
      <c r="E49" s="117"/>
      <c r="F49" s="97"/>
      <c r="G49" s="126" t="s">
        <v>421</v>
      </c>
      <c r="H49" s="126"/>
    </row>
    <row r="50" spans="1:8" x14ac:dyDescent="0.2">
      <c r="A50" s="214"/>
      <c r="C50" s="97"/>
      <c r="D50" s="117"/>
      <c r="E50" s="117"/>
      <c r="F50" s="97"/>
      <c r="G50" s="18" t="s">
        <v>403</v>
      </c>
      <c r="H50" s="97"/>
    </row>
    <row r="51" spans="1:8" x14ac:dyDescent="0.2">
      <c r="A51" s="93"/>
      <c r="C51" s="154" t="s">
        <v>354</v>
      </c>
      <c r="D51" s="97"/>
      <c r="E51" s="97"/>
      <c r="F51" s="119">
        <v>11</v>
      </c>
      <c r="G51" s="117"/>
      <c r="H51" s="117"/>
    </row>
    <row r="52" spans="1:8" ht="13.5" thickBot="1" x14ac:dyDescent="0.25">
      <c r="A52" s="93"/>
      <c r="C52" s="112"/>
      <c r="D52" s="112"/>
      <c r="E52" s="116"/>
      <c r="F52" s="126"/>
      <c r="G52" s="126" t="s">
        <v>354</v>
      </c>
      <c r="H52" s="126"/>
    </row>
    <row r="53" spans="1:8" x14ac:dyDescent="0.2">
      <c r="A53" s="93"/>
      <c r="C53" s="114" t="s">
        <v>456</v>
      </c>
      <c r="D53" s="114"/>
      <c r="E53" s="124"/>
      <c r="F53" s="110">
        <v>8</v>
      </c>
      <c r="G53" s="127" t="s">
        <v>406</v>
      </c>
      <c r="H53" s="117"/>
    </row>
    <row r="54" spans="1:8" x14ac:dyDescent="0.2">
      <c r="A54" s="93"/>
      <c r="C54" s="97"/>
      <c r="D54" s="97"/>
      <c r="E54" s="97"/>
      <c r="F54" s="97"/>
      <c r="G54" s="117"/>
      <c r="H54" s="117"/>
    </row>
    <row r="55" spans="1:8" ht="13.5" thickBot="1" x14ac:dyDescent="0.25">
      <c r="A55" s="93"/>
      <c r="C55" s="97"/>
      <c r="D55" s="117"/>
      <c r="E55" s="117"/>
      <c r="F55" s="97"/>
      <c r="G55" s="126" t="s">
        <v>456</v>
      </c>
      <c r="H55" s="126"/>
    </row>
    <row r="56" spans="1:8" s="93" customFormat="1" x14ac:dyDescent="0.2">
      <c r="C56" s="97"/>
      <c r="D56" s="117"/>
      <c r="E56" s="117"/>
      <c r="F56" s="97"/>
      <c r="G56" s="18" t="s">
        <v>407</v>
      </c>
      <c r="H56" s="97"/>
    </row>
    <row r="57" spans="1:8" x14ac:dyDescent="0.2">
      <c r="A57" s="93"/>
      <c r="C57" s="154" t="s">
        <v>502</v>
      </c>
      <c r="D57" s="97"/>
      <c r="E57" s="97"/>
      <c r="F57" s="119">
        <v>11</v>
      </c>
      <c r="G57" s="117"/>
      <c r="H57" s="117"/>
    </row>
    <row r="58" spans="1:8" ht="13.5" thickBot="1" x14ac:dyDescent="0.25">
      <c r="A58" s="93"/>
      <c r="C58" s="112"/>
      <c r="D58" s="112"/>
      <c r="E58" s="116"/>
      <c r="F58" s="126"/>
      <c r="G58" s="126" t="s">
        <v>502</v>
      </c>
      <c r="H58" s="126"/>
    </row>
    <row r="59" spans="1:8" x14ac:dyDescent="0.2">
      <c r="A59" s="93"/>
      <c r="C59" s="114" t="s">
        <v>101</v>
      </c>
      <c r="D59" s="114"/>
      <c r="E59" s="124"/>
      <c r="F59" s="110">
        <v>7</v>
      </c>
      <c r="G59" s="127" t="s">
        <v>415</v>
      </c>
      <c r="H59" s="117"/>
    </row>
    <row r="60" spans="1:8" x14ac:dyDescent="0.2">
      <c r="A60" s="93"/>
      <c r="C60" s="97"/>
      <c r="D60" s="97"/>
      <c r="E60" s="97"/>
      <c r="F60" s="97"/>
      <c r="G60" s="117"/>
      <c r="H60" s="117"/>
    </row>
    <row r="61" spans="1:8" ht="13.5" thickBot="1" x14ac:dyDescent="0.25">
      <c r="A61" s="93"/>
      <c r="C61" s="97"/>
      <c r="D61" s="117"/>
      <c r="E61" s="117"/>
      <c r="F61" s="97"/>
      <c r="G61" s="126" t="s">
        <v>101</v>
      </c>
      <c r="H61" s="126"/>
    </row>
    <row r="62" spans="1:8" s="93" customFormat="1" x14ac:dyDescent="0.2">
      <c r="C62" s="97"/>
      <c r="D62" s="117"/>
      <c r="E62" s="117"/>
      <c r="F62" s="97"/>
      <c r="G62" s="18" t="s">
        <v>416</v>
      </c>
      <c r="H62" s="97"/>
    </row>
    <row r="63" spans="1:8" x14ac:dyDescent="0.2">
      <c r="A63" s="93"/>
      <c r="C63" s="154" t="s">
        <v>247</v>
      </c>
      <c r="D63" s="97"/>
      <c r="E63" s="97"/>
      <c r="F63" s="119">
        <v>11</v>
      </c>
      <c r="G63" s="117"/>
      <c r="H63" s="117"/>
    </row>
    <row r="64" spans="1:8" ht="13.5" thickBot="1" x14ac:dyDescent="0.25">
      <c r="A64" s="93"/>
      <c r="C64" s="112"/>
      <c r="D64" s="112"/>
      <c r="E64" s="116"/>
      <c r="F64" s="126"/>
      <c r="G64" s="126" t="s">
        <v>247</v>
      </c>
      <c r="H64" s="126"/>
    </row>
    <row r="65" spans="1:8" x14ac:dyDescent="0.2">
      <c r="A65" s="93"/>
      <c r="C65" s="114" t="s">
        <v>99</v>
      </c>
      <c r="D65" s="114"/>
      <c r="E65" s="124"/>
      <c r="F65" s="110">
        <v>9</v>
      </c>
      <c r="G65" s="127" t="s">
        <v>417</v>
      </c>
      <c r="H65" s="117"/>
    </row>
    <row r="66" spans="1:8" x14ac:dyDescent="0.2">
      <c r="A66" s="93"/>
      <c r="C66" s="97"/>
      <c r="D66" s="97"/>
      <c r="E66" s="97"/>
      <c r="F66" s="97"/>
      <c r="G66" s="117"/>
      <c r="H66" s="117"/>
    </row>
    <row r="67" spans="1:8" ht="13.5" thickBot="1" x14ac:dyDescent="0.25">
      <c r="A67" s="93"/>
      <c r="C67" s="97"/>
      <c r="D67" s="117"/>
      <c r="E67" s="117"/>
      <c r="F67" s="97"/>
      <c r="G67" s="126" t="s">
        <v>99</v>
      </c>
      <c r="H67" s="126"/>
    </row>
    <row r="68" spans="1:8" s="93" customFormat="1" x14ac:dyDescent="0.2">
      <c r="C68" s="97"/>
      <c r="D68" s="117"/>
      <c r="E68" s="117"/>
      <c r="F68" s="97"/>
      <c r="G68" s="18" t="s">
        <v>418</v>
      </c>
      <c r="H68" s="97"/>
    </row>
    <row r="69" spans="1:8" s="93" customFormat="1" x14ac:dyDescent="0.2">
      <c r="D69" s="277"/>
      <c r="E69" s="277"/>
      <c r="F69" s="277"/>
      <c r="G69" s="277"/>
    </row>
    <row r="70" spans="1:8" s="93" customFormat="1" x14ac:dyDescent="0.2">
      <c r="A70" s="94">
        <v>1</v>
      </c>
      <c r="B70" s="334" t="s">
        <v>93</v>
      </c>
      <c r="D70" s="277"/>
      <c r="E70" s="277"/>
      <c r="F70" s="277"/>
      <c r="G70" s="277"/>
    </row>
    <row r="71" spans="1:8" s="93" customFormat="1" x14ac:dyDescent="0.2">
      <c r="A71" s="94">
        <v>2</v>
      </c>
      <c r="B71" s="335" t="s">
        <v>363</v>
      </c>
      <c r="D71" s="277"/>
      <c r="E71" s="277"/>
      <c r="F71" s="277"/>
      <c r="G71" s="277"/>
    </row>
    <row r="72" spans="1:8" s="93" customFormat="1" x14ac:dyDescent="0.2">
      <c r="A72" s="94">
        <v>3</v>
      </c>
      <c r="B72" s="336" t="s">
        <v>463</v>
      </c>
      <c r="D72" s="277"/>
      <c r="E72" s="277"/>
      <c r="F72" s="277"/>
      <c r="G72" s="277"/>
    </row>
    <row r="73" spans="1:8" s="93" customFormat="1" x14ac:dyDescent="0.2">
      <c r="A73" s="94">
        <v>4</v>
      </c>
      <c r="B73" s="37" t="s">
        <v>329</v>
      </c>
      <c r="D73" s="248"/>
      <c r="E73" s="248"/>
      <c r="F73" s="248"/>
      <c r="G73" s="248"/>
      <c r="H73" s="248"/>
    </row>
    <row r="74" spans="1:8" s="93" customFormat="1" x14ac:dyDescent="0.2">
      <c r="A74" s="94">
        <v>5</v>
      </c>
      <c r="B74" s="223" t="s">
        <v>353</v>
      </c>
      <c r="D74" s="248"/>
      <c r="E74" s="248"/>
      <c r="F74" s="248"/>
      <c r="G74" s="248"/>
      <c r="H74" s="248"/>
    </row>
    <row r="75" spans="1:8" s="93" customFormat="1" x14ac:dyDescent="0.2">
      <c r="A75" s="94">
        <v>6</v>
      </c>
      <c r="B75" s="223" t="s">
        <v>334</v>
      </c>
      <c r="D75" s="248"/>
      <c r="E75" s="248"/>
      <c r="F75" s="248"/>
      <c r="G75" s="248"/>
      <c r="H75" s="248"/>
    </row>
    <row r="76" spans="1:8" s="93" customFormat="1" x14ac:dyDescent="0.2">
      <c r="A76" s="94">
        <v>7</v>
      </c>
      <c r="B76" s="223" t="s">
        <v>340</v>
      </c>
      <c r="D76" s="248"/>
      <c r="E76" s="248"/>
      <c r="F76" s="248"/>
      <c r="G76" s="248"/>
      <c r="H76" s="248"/>
    </row>
    <row r="77" spans="1:8" s="93" customFormat="1" x14ac:dyDescent="0.2">
      <c r="A77" s="94">
        <v>8</v>
      </c>
      <c r="B77" s="223" t="s">
        <v>525</v>
      </c>
      <c r="D77" s="248"/>
      <c r="E77" s="248"/>
      <c r="F77" s="248"/>
      <c r="G77" s="248"/>
      <c r="H77" s="248"/>
    </row>
    <row r="78" spans="1:8" x14ac:dyDescent="0.2">
      <c r="A78" s="94">
        <v>9</v>
      </c>
      <c r="B78" s="224" t="s">
        <v>325</v>
      </c>
      <c r="D78" s="248"/>
      <c r="E78" s="248"/>
      <c r="F78" s="248"/>
      <c r="G78" s="248"/>
      <c r="H78" s="248"/>
    </row>
    <row r="79" spans="1:8" x14ac:dyDescent="0.2">
      <c r="A79" s="94">
        <v>10</v>
      </c>
      <c r="B79" s="224" t="s">
        <v>421</v>
      </c>
      <c r="D79" s="248"/>
      <c r="E79" s="248"/>
      <c r="F79" s="248"/>
      <c r="G79" s="248"/>
      <c r="H79" s="248"/>
    </row>
    <row r="80" spans="1:8" x14ac:dyDescent="0.2">
      <c r="A80" s="94">
        <v>11</v>
      </c>
      <c r="B80" s="224" t="s">
        <v>354</v>
      </c>
      <c r="D80" s="248"/>
      <c r="E80" s="248"/>
      <c r="F80" s="248"/>
      <c r="G80" s="248"/>
      <c r="H80" s="248"/>
    </row>
    <row r="81" spans="1:9" x14ac:dyDescent="0.2">
      <c r="A81" s="94">
        <v>12</v>
      </c>
      <c r="B81" s="224" t="s">
        <v>456</v>
      </c>
      <c r="D81" s="248"/>
      <c r="E81" s="248"/>
      <c r="F81" s="248"/>
      <c r="G81" s="248"/>
      <c r="H81" s="248"/>
    </row>
    <row r="82" spans="1:9" x14ac:dyDescent="0.2">
      <c r="A82" s="94">
        <v>13</v>
      </c>
      <c r="B82" s="224" t="s">
        <v>502</v>
      </c>
      <c r="D82" s="248"/>
      <c r="E82" s="248"/>
      <c r="F82" s="248"/>
      <c r="G82" s="248"/>
      <c r="H82" s="248"/>
    </row>
    <row r="83" spans="1:9" x14ac:dyDescent="0.2">
      <c r="A83" s="94">
        <v>14</v>
      </c>
      <c r="B83" s="224" t="s">
        <v>101</v>
      </c>
      <c r="D83" s="248"/>
      <c r="E83" s="248"/>
      <c r="F83" s="248"/>
      <c r="G83" s="248"/>
      <c r="H83" s="248"/>
    </row>
    <row r="84" spans="1:9" x14ac:dyDescent="0.2">
      <c r="A84" s="94">
        <v>15</v>
      </c>
      <c r="B84" s="236" t="s">
        <v>247</v>
      </c>
    </row>
    <row r="85" spans="1:9" x14ac:dyDescent="0.2">
      <c r="A85" s="94">
        <v>16</v>
      </c>
      <c r="B85" s="224" t="s">
        <v>99</v>
      </c>
    </row>
    <row r="86" spans="1:9" x14ac:dyDescent="0.2">
      <c r="A86" s="94">
        <v>17</v>
      </c>
      <c r="B86" s="236" t="s">
        <v>503</v>
      </c>
    </row>
    <row r="87" spans="1:9" x14ac:dyDescent="0.2">
      <c r="A87" s="94">
        <v>18</v>
      </c>
      <c r="B87" s="236" t="s">
        <v>504</v>
      </c>
    </row>
    <row r="88" spans="1:9" x14ac:dyDescent="0.2">
      <c r="A88" s="94">
        <v>19</v>
      </c>
      <c r="B88" s="11" t="s">
        <v>104</v>
      </c>
    </row>
    <row r="89" spans="1:9" x14ac:dyDescent="0.2">
      <c r="A89" s="94">
        <v>20</v>
      </c>
      <c r="B89" s="11" t="s">
        <v>362</v>
      </c>
    </row>
    <row r="91" spans="1:9" s="248" customFormat="1" x14ac:dyDescent="0.2">
      <c r="A91" s="394" t="s">
        <v>671</v>
      </c>
    </row>
    <row r="93" spans="1:9" x14ac:dyDescent="0.2">
      <c r="A93" s="96" t="s">
        <v>253</v>
      </c>
      <c r="B93" s="96"/>
      <c r="C93" s="87">
        <v>1</v>
      </c>
      <c r="D93" s="87">
        <v>2</v>
      </c>
      <c r="E93" s="87">
        <v>3</v>
      </c>
      <c r="F93" s="87" t="s">
        <v>254</v>
      </c>
      <c r="G93" s="87" t="s">
        <v>67</v>
      </c>
    </row>
    <row r="94" spans="1:9" x14ac:dyDescent="0.2">
      <c r="A94" s="96">
        <v>1</v>
      </c>
      <c r="B94" s="237" t="s">
        <v>106</v>
      </c>
      <c r="C94" s="99"/>
      <c r="D94" s="100"/>
      <c r="E94" s="100"/>
      <c r="F94" s="423" t="s">
        <v>306</v>
      </c>
      <c r="G94" s="100" t="s">
        <v>258</v>
      </c>
      <c r="I94" s="21" t="s">
        <v>664</v>
      </c>
    </row>
    <row r="95" spans="1:9" x14ac:dyDescent="0.2">
      <c r="A95" s="96">
        <v>2</v>
      </c>
      <c r="B95" s="237" t="s">
        <v>107</v>
      </c>
      <c r="C95" s="100"/>
      <c r="D95" s="99"/>
      <c r="E95" s="100"/>
      <c r="F95" s="423" t="s">
        <v>306</v>
      </c>
      <c r="G95" s="100" t="s">
        <v>262</v>
      </c>
      <c r="I95" s="21" t="s">
        <v>665</v>
      </c>
    </row>
    <row r="96" spans="1:9" x14ac:dyDescent="0.2">
      <c r="A96" s="96">
        <v>3</v>
      </c>
      <c r="B96" s="237" t="s">
        <v>501</v>
      </c>
      <c r="C96" s="100"/>
      <c r="D96" s="103"/>
      <c r="E96" s="99"/>
      <c r="F96" s="423" t="s">
        <v>306</v>
      </c>
      <c r="G96" s="103" t="s">
        <v>270</v>
      </c>
      <c r="I96" s="21" t="s">
        <v>666</v>
      </c>
    </row>
    <row r="98" spans="1:7" x14ac:dyDescent="0.2">
      <c r="A98" s="174" t="s">
        <v>674</v>
      </c>
      <c r="B98" s="277"/>
      <c r="C98" s="255" t="s">
        <v>675</v>
      </c>
      <c r="F98" s="248"/>
      <c r="G98" s="248"/>
    </row>
    <row r="99" spans="1:7" x14ac:dyDescent="0.2">
      <c r="A99" s="148" t="s">
        <v>672</v>
      </c>
      <c r="B99" s="148"/>
      <c r="C99" s="148" t="s">
        <v>673</v>
      </c>
      <c r="D99" s="395"/>
      <c r="F99" s="395"/>
      <c r="G99" s="395"/>
    </row>
  </sheetData>
  <conditionalFormatting sqref="C13:F65">
    <cfRule type="cellIs" dxfId="1" priority="1" operator="equal">
      <formula>11</formula>
    </cfRule>
  </conditionalFormatting>
  <pageMargins left="0.78740157480314965" right="0.39370078740157483" top="0.59055118110236227" bottom="0.27559055118110237" header="0.59055118110236227" footer="0"/>
  <pageSetup paperSize="9" fitToHeight="0" orientation="portrait" r:id="rId1"/>
  <headerFooter>
    <oddHeader>&amp;R&amp;"Arial,Regular"&amp;9Page &amp;P of &amp;N</oddHeader>
  </headerFooter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76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ColWidth="9.42578125" defaultRowHeight="12.75" x14ac:dyDescent="0.2"/>
  <cols>
    <col min="1" max="1" width="3.28515625" style="20" customWidth="1"/>
    <col min="2" max="2" width="39.85546875" style="20" bestFit="1" customWidth="1"/>
    <col min="3" max="5" width="9.140625" style="20" customWidth="1"/>
    <col min="6" max="6" width="5.7109375" style="20" customWidth="1"/>
    <col min="7" max="208" width="9.140625" style="20" customWidth="1"/>
    <col min="209" max="16384" width="9.42578125" style="20"/>
  </cols>
  <sheetData>
    <row r="1" spans="1:9" x14ac:dyDescent="0.2">
      <c r="A1" s="21" t="str">
        <f>UPPER((Kalend!E26)&amp;" - "&amp;(Kalend!C26)&amp;" - "&amp;(Kalend!D26))</f>
        <v>17 - JÕHVI 2. MV - DUO</v>
      </c>
      <c r="E1" s="284" t="str">
        <f>HYPERLINK("#Kalend!J1","Kalender")</f>
        <v>Kalender</v>
      </c>
      <c r="F1" s="277"/>
      <c r="G1" s="284" t="str">
        <f>HYPERLINK("#Reit!J1","Reiting")</f>
        <v>Reiting</v>
      </c>
      <c r="H1" s="248"/>
      <c r="I1" s="248"/>
    </row>
    <row r="2" spans="1:9" x14ac:dyDescent="0.2">
      <c r="A2" s="93" t="str">
        <f>"Toimumisaeg: "&amp;(Kalend!A26)&amp;" kell "&amp;(Kalend!B26)</f>
        <v>Toimumisaeg: P, 29.09.2002 kell 10:00</v>
      </c>
      <c r="H2" s="93"/>
    </row>
    <row r="3" spans="1:9" x14ac:dyDescent="0.2">
      <c r="A3" s="93" t="str">
        <f>"Toimumiskoht: "&amp;(Kalend!F26)</f>
        <v>Toimumiskoht: Jõhvi erakooli staadion (Jaama 37)</v>
      </c>
      <c r="G3" s="93"/>
    </row>
    <row r="4" spans="1:9" x14ac:dyDescent="0.2">
      <c r="A4" s="93" t="str">
        <f>"Korraldaja: "&amp;(Kalend!G26)</f>
        <v>Korraldaja: LTK Üks-Teist</v>
      </c>
      <c r="G4" s="93"/>
    </row>
    <row r="5" spans="1:9" x14ac:dyDescent="0.2">
      <c r="A5" s="93"/>
      <c r="G5" s="93"/>
    </row>
    <row r="6" spans="1:9" x14ac:dyDescent="0.2">
      <c r="A6" s="139" t="s">
        <v>505</v>
      </c>
      <c r="G6" s="93"/>
    </row>
    <row r="7" spans="1:9" x14ac:dyDescent="0.2">
      <c r="A7" s="93"/>
      <c r="G7" s="93"/>
    </row>
    <row r="8" spans="1:9" s="134" customFormat="1" x14ac:dyDescent="0.2">
      <c r="A8" s="153" t="s">
        <v>467</v>
      </c>
    </row>
    <row r="9" spans="1:9" s="134" customFormat="1" x14ac:dyDescent="0.2">
      <c r="A9" s="153"/>
    </row>
    <row r="10" spans="1:9" s="97" customFormat="1" x14ac:dyDescent="0.2">
      <c r="A10" s="109"/>
      <c r="B10" s="97" t="s">
        <v>506</v>
      </c>
      <c r="C10" s="110">
        <v>11</v>
      </c>
      <c r="E10" s="117"/>
    </row>
    <row r="11" spans="1:9" s="97" customFormat="1" x14ac:dyDescent="0.2">
      <c r="A11" s="111"/>
      <c r="B11" s="112"/>
      <c r="C11" s="113" t="s">
        <v>506</v>
      </c>
      <c r="E11" s="114"/>
      <c r="F11" s="110">
        <v>11</v>
      </c>
    </row>
    <row r="12" spans="1:9" s="97" customFormat="1" x14ac:dyDescent="0.2">
      <c r="A12" s="111"/>
      <c r="B12" s="114" t="s">
        <v>507</v>
      </c>
      <c r="C12" s="115">
        <v>6</v>
      </c>
      <c r="D12" s="112"/>
      <c r="E12" s="116"/>
    </row>
    <row r="13" spans="1:9" s="97" customFormat="1" ht="13.5" thickBot="1" x14ac:dyDescent="0.25">
      <c r="A13" s="111"/>
      <c r="D13" s="117"/>
      <c r="E13" s="118"/>
      <c r="G13" s="97" t="s">
        <v>506</v>
      </c>
    </row>
    <row r="14" spans="1:9" s="97" customFormat="1" x14ac:dyDescent="0.2">
      <c r="A14" s="111"/>
      <c r="B14" s="97" t="s">
        <v>371</v>
      </c>
      <c r="C14" s="119">
        <v>11</v>
      </c>
      <c r="E14" s="118"/>
      <c r="F14" s="122"/>
      <c r="G14" s="121" t="s">
        <v>664</v>
      </c>
      <c r="H14" s="122"/>
    </row>
    <row r="15" spans="1:9" s="97" customFormat="1" x14ac:dyDescent="0.2">
      <c r="A15" s="111"/>
      <c r="B15" s="112"/>
      <c r="C15" s="123" t="s">
        <v>371</v>
      </c>
      <c r="D15" s="114"/>
      <c r="E15" s="124"/>
      <c r="F15" s="119">
        <v>5</v>
      </c>
    </row>
    <row r="16" spans="1:9" s="97" customFormat="1" ht="13.5" thickBot="1" x14ac:dyDescent="0.25">
      <c r="A16" s="111"/>
      <c r="B16" s="114" t="s">
        <v>531</v>
      </c>
      <c r="C16" s="125">
        <v>6</v>
      </c>
      <c r="E16" s="112"/>
      <c r="F16" s="117"/>
      <c r="G16" s="117" t="s">
        <v>371</v>
      </c>
      <c r="H16" s="126"/>
    </row>
    <row r="17" spans="1:8" s="97" customFormat="1" x14ac:dyDescent="0.2">
      <c r="A17" s="18"/>
      <c r="F17" s="117"/>
      <c r="G17" s="121" t="s">
        <v>665</v>
      </c>
      <c r="H17" s="117"/>
    </row>
    <row r="18" spans="1:8" s="97" customFormat="1" x14ac:dyDescent="0.2">
      <c r="A18" s="18"/>
      <c r="C18" s="114" t="s">
        <v>507</v>
      </c>
      <c r="D18" s="114"/>
      <c r="E18" s="114"/>
      <c r="F18" s="110">
        <v>5</v>
      </c>
      <c r="G18" s="117"/>
      <c r="H18" s="117"/>
    </row>
    <row r="19" spans="1:8" s="97" customFormat="1" ht="13.5" thickBot="1" x14ac:dyDescent="0.25">
      <c r="A19" s="18"/>
      <c r="C19" s="112"/>
      <c r="D19" s="112"/>
      <c r="E19" s="116"/>
      <c r="F19" s="126"/>
      <c r="G19" s="126" t="s">
        <v>531</v>
      </c>
      <c r="H19" s="126"/>
    </row>
    <row r="20" spans="1:8" s="97" customFormat="1" x14ac:dyDescent="0.2">
      <c r="A20" s="18"/>
      <c r="C20" s="114" t="s">
        <v>531</v>
      </c>
      <c r="D20" s="114"/>
      <c r="E20" s="124"/>
      <c r="F20" s="119">
        <v>11</v>
      </c>
      <c r="G20" s="127" t="s">
        <v>666</v>
      </c>
      <c r="H20" s="117"/>
    </row>
    <row r="21" spans="1:8" s="97" customFormat="1" x14ac:dyDescent="0.2">
      <c r="A21" s="18"/>
      <c r="G21" s="117"/>
      <c r="H21" s="117"/>
    </row>
    <row r="22" spans="1:8" s="97" customFormat="1" ht="13.5" thickBot="1" x14ac:dyDescent="0.25">
      <c r="A22" s="18"/>
      <c r="D22" s="117"/>
      <c r="E22" s="117"/>
      <c r="G22" s="126" t="s">
        <v>507</v>
      </c>
      <c r="H22" s="126"/>
    </row>
    <row r="23" spans="1:8" s="97" customFormat="1" x14ac:dyDescent="0.2">
      <c r="A23" s="18"/>
      <c r="D23" s="117"/>
      <c r="E23" s="117"/>
      <c r="G23" s="18" t="s">
        <v>292</v>
      </c>
    </row>
    <row r="24" spans="1:8" s="97" customFormat="1" x14ac:dyDescent="0.2">
      <c r="A24" s="18"/>
      <c r="D24" s="117"/>
      <c r="E24" s="117"/>
      <c r="G24" s="18"/>
    </row>
    <row r="25" spans="1:8" s="97" customFormat="1" x14ac:dyDescent="0.2">
      <c r="A25" s="153" t="s">
        <v>479</v>
      </c>
      <c r="D25" s="117"/>
      <c r="E25" s="117"/>
      <c r="G25" s="18"/>
    </row>
    <row r="26" spans="1:8" s="97" customFormat="1" x14ac:dyDescent="0.2">
      <c r="A26" s="18"/>
      <c r="D26" s="117"/>
      <c r="E26" s="117"/>
      <c r="G26" s="18"/>
    </row>
    <row r="27" spans="1:8" s="97" customFormat="1" x14ac:dyDescent="0.2">
      <c r="A27" s="18"/>
      <c r="C27" s="154" t="s">
        <v>532</v>
      </c>
      <c r="F27" s="119">
        <v>11</v>
      </c>
      <c r="G27" s="117"/>
      <c r="H27" s="117"/>
    </row>
    <row r="28" spans="1:8" s="97" customFormat="1" ht="13.5" thickBot="1" x14ac:dyDescent="0.25">
      <c r="A28" s="18"/>
      <c r="C28" s="112"/>
      <c r="D28" s="112"/>
      <c r="E28" s="116"/>
      <c r="F28" s="126"/>
      <c r="G28" s="126" t="s">
        <v>532</v>
      </c>
      <c r="H28" s="126"/>
    </row>
    <row r="29" spans="1:8" s="97" customFormat="1" x14ac:dyDescent="0.2">
      <c r="A29" s="18"/>
      <c r="C29" s="114" t="s">
        <v>508</v>
      </c>
      <c r="D29" s="114"/>
      <c r="E29" s="124"/>
      <c r="F29" s="110">
        <v>10</v>
      </c>
      <c r="G29" s="127" t="s">
        <v>296</v>
      </c>
      <c r="H29" s="117"/>
    </row>
    <row r="30" spans="1:8" s="97" customFormat="1" x14ac:dyDescent="0.2">
      <c r="A30" s="18"/>
      <c r="G30" s="117"/>
      <c r="H30" s="117"/>
    </row>
    <row r="31" spans="1:8" s="97" customFormat="1" ht="13.5" thickBot="1" x14ac:dyDescent="0.25">
      <c r="A31" s="18"/>
      <c r="D31" s="117"/>
      <c r="E31" s="117"/>
      <c r="G31" s="126" t="s">
        <v>508</v>
      </c>
      <c r="H31" s="126"/>
    </row>
    <row r="32" spans="1:8" s="97" customFormat="1" x14ac:dyDescent="0.2">
      <c r="A32" s="18"/>
      <c r="D32" s="117"/>
      <c r="E32" s="117"/>
      <c r="G32" s="18" t="s">
        <v>298</v>
      </c>
    </row>
    <row r="33" spans="1:8" s="97" customFormat="1" x14ac:dyDescent="0.2">
      <c r="A33" s="18"/>
      <c r="C33" s="154" t="s">
        <v>509</v>
      </c>
      <c r="F33" s="119">
        <v>11</v>
      </c>
      <c r="G33" s="117"/>
      <c r="H33" s="117"/>
    </row>
    <row r="34" spans="1:8" s="97" customFormat="1" ht="13.5" thickBot="1" x14ac:dyDescent="0.25">
      <c r="A34" s="18"/>
      <c r="C34" s="112"/>
      <c r="D34" s="112"/>
      <c r="E34" s="116"/>
      <c r="F34" s="126"/>
      <c r="G34" s="126" t="s">
        <v>509</v>
      </c>
      <c r="H34" s="126"/>
    </row>
    <row r="35" spans="1:8" s="97" customFormat="1" x14ac:dyDescent="0.2">
      <c r="A35" s="18"/>
      <c r="C35" s="114" t="s">
        <v>510</v>
      </c>
      <c r="D35" s="114"/>
      <c r="E35" s="124"/>
      <c r="F35" s="110">
        <v>7</v>
      </c>
      <c r="G35" s="127" t="s">
        <v>299</v>
      </c>
      <c r="H35" s="117"/>
    </row>
    <row r="36" spans="1:8" s="97" customFormat="1" x14ac:dyDescent="0.2">
      <c r="A36" s="18"/>
      <c r="G36" s="117"/>
      <c r="H36" s="117"/>
    </row>
    <row r="37" spans="1:8" s="97" customFormat="1" ht="13.5" thickBot="1" x14ac:dyDescent="0.25">
      <c r="A37" s="18"/>
      <c r="D37" s="117"/>
      <c r="E37" s="117"/>
      <c r="G37" s="126" t="s">
        <v>510</v>
      </c>
      <c r="H37" s="126"/>
    </row>
    <row r="38" spans="1:8" s="97" customFormat="1" x14ac:dyDescent="0.2">
      <c r="A38" s="18"/>
      <c r="D38" s="117"/>
      <c r="E38" s="117"/>
      <c r="G38" s="18" t="s">
        <v>300</v>
      </c>
    </row>
    <row r="39" spans="1:8" s="97" customFormat="1" x14ac:dyDescent="0.2">
      <c r="A39" s="18"/>
      <c r="D39" s="117"/>
      <c r="E39" s="117"/>
      <c r="G39" s="18"/>
    </row>
    <row r="40" spans="1:8" s="97" customFormat="1" x14ac:dyDescent="0.2">
      <c r="A40" s="153" t="s">
        <v>518</v>
      </c>
      <c r="D40" s="117"/>
      <c r="E40" s="117"/>
      <c r="G40" s="18"/>
    </row>
    <row r="41" spans="1:8" s="97" customFormat="1" x14ac:dyDescent="0.2">
      <c r="A41" s="18"/>
      <c r="D41" s="117"/>
      <c r="E41" s="117"/>
      <c r="G41" s="18"/>
    </row>
    <row r="42" spans="1:8" x14ac:dyDescent="0.2">
      <c r="A42" s="214"/>
      <c r="C42" s="154" t="s">
        <v>511</v>
      </c>
      <c r="D42" s="97"/>
      <c r="E42" s="97"/>
      <c r="F42" s="119">
        <v>11</v>
      </c>
      <c r="G42" s="117"/>
      <c r="H42" s="117"/>
    </row>
    <row r="43" spans="1:8" ht="13.5" thickBot="1" x14ac:dyDescent="0.25">
      <c r="A43" s="214"/>
      <c r="C43" s="112"/>
      <c r="D43" s="112"/>
      <c r="E43" s="116"/>
      <c r="F43" s="126"/>
      <c r="G43" s="126" t="s">
        <v>511</v>
      </c>
      <c r="H43" s="126"/>
    </row>
    <row r="44" spans="1:8" x14ac:dyDescent="0.2">
      <c r="A44" s="214"/>
      <c r="C44" s="114" t="s">
        <v>533</v>
      </c>
      <c r="D44" s="114"/>
      <c r="E44" s="124"/>
      <c r="F44" s="110">
        <v>3</v>
      </c>
      <c r="G44" s="127" t="s">
        <v>402</v>
      </c>
      <c r="H44" s="117"/>
    </row>
    <row r="45" spans="1:8" x14ac:dyDescent="0.2">
      <c r="A45" s="214"/>
      <c r="C45" s="97"/>
      <c r="D45" s="97"/>
      <c r="E45" s="97"/>
      <c r="F45" s="97"/>
      <c r="G45" s="117"/>
      <c r="H45" s="117"/>
    </row>
    <row r="46" spans="1:8" ht="13.5" thickBot="1" x14ac:dyDescent="0.25">
      <c r="A46" s="214"/>
      <c r="C46" s="97"/>
      <c r="D46" s="117"/>
      <c r="E46" s="117"/>
      <c r="F46" s="97"/>
      <c r="G46" s="126" t="s">
        <v>533</v>
      </c>
      <c r="H46" s="126"/>
    </row>
    <row r="47" spans="1:8" x14ac:dyDescent="0.2">
      <c r="A47" s="214"/>
      <c r="C47" s="97"/>
      <c r="D47" s="117"/>
      <c r="E47" s="117"/>
      <c r="F47" s="97"/>
      <c r="G47" s="18" t="s">
        <v>403</v>
      </c>
      <c r="H47" s="97"/>
    </row>
    <row r="48" spans="1:8" x14ac:dyDescent="0.2">
      <c r="A48" s="93"/>
      <c r="C48" s="154" t="s">
        <v>512</v>
      </c>
      <c r="D48" s="97"/>
      <c r="E48" s="97"/>
      <c r="F48" s="119">
        <v>11</v>
      </c>
      <c r="G48" s="117"/>
      <c r="H48" s="117"/>
    </row>
    <row r="49" spans="1:8" ht="13.5" thickBot="1" x14ac:dyDescent="0.25">
      <c r="A49" s="93"/>
      <c r="C49" s="112"/>
      <c r="D49" s="112"/>
      <c r="E49" s="116"/>
      <c r="F49" s="126"/>
      <c r="G49" s="126" t="s">
        <v>512</v>
      </c>
      <c r="H49" s="126"/>
    </row>
    <row r="50" spans="1:8" x14ac:dyDescent="0.2">
      <c r="A50" s="93"/>
      <c r="C50" s="114" t="s">
        <v>513</v>
      </c>
      <c r="D50" s="114"/>
      <c r="E50" s="124"/>
      <c r="F50" s="110">
        <v>9</v>
      </c>
      <c r="G50" s="127" t="s">
        <v>406</v>
      </c>
      <c r="H50" s="117"/>
    </row>
    <row r="51" spans="1:8" x14ac:dyDescent="0.2">
      <c r="A51" s="93"/>
      <c r="C51" s="97"/>
      <c r="D51" s="97"/>
      <c r="E51" s="97"/>
      <c r="F51" s="97"/>
      <c r="G51" s="117"/>
      <c r="H51" s="117"/>
    </row>
    <row r="52" spans="1:8" ht="13.5" thickBot="1" x14ac:dyDescent="0.25">
      <c r="A52" s="93"/>
      <c r="C52" s="97"/>
      <c r="D52" s="117"/>
      <c r="E52" s="117"/>
      <c r="F52" s="97"/>
      <c r="G52" s="126" t="s">
        <v>513</v>
      </c>
      <c r="H52" s="126"/>
    </row>
    <row r="53" spans="1:8" s="93" customFormat="1" x14ac:dyDescent="0.2">
      <c r="C53" s="97"/>
      <c r="D53" s="117"/>
      <c r="E53" s="117"/>
      <c r="F53" s="97"/>
      <c r="G53" s="18" t="s">
        <v>407</v>
      </c>
      <c r="H53" s="97"/>
    </row>
    <row r="54" spans="1:8" x14ac:dyDescent="0.2">
      <c r="A54" s="93"/>
      <c r="C54" s="154" t="s">
        <v>514</v>
      </c>
      <c r="D54" s="97"/>
      <c r="E54" s="97"/>
      <c r="F54" s="119">
        <v>11</v>
      </c>
      <c r="G54" s="117"/>
      <c r="H54" s="117"/>
    </row>
    <row r="55" spans="1:8" ht="13.5" thickBot="1" x14ac:dyDescent="0.25">
      <c r="A55" s="93"/>
      <c r="C55" s="112"/>
      <c r="D55" s="112"/>
      <c r="E55" s="116"/>
      <c r="F55" s="126"/>
      <c r="G55" s="126" t="s">
        <v>514</v>
      </c>
      <c r="H55" s="126"/>
    </row>
    <row r="56" spans="1:8" x14ac:dyDescent="0.2">
      <c r="A56" s="93"/>
      <c r="C56" s="114" t="s">
        <v>515</v>
      </c>
      <c r="D56" s="114"/>
      <c r="E56" s="124"/>
      <c r="F56" s="110">
        <v>2</v>
      </c>
      <c r="G56" s="127" t="s">
        <v>415</v>
      </c>
      <c r="H56" s="117"/>
    </row>
    <row r="57" spans="1:8" x14ac:dyDescent="0.2">
      <c r="A57" s="93"/>
      <c r="C57" s="97"/>
      <c r="D57" s="97"/>
      <c r="E57" s="97"/>
      <c r="F57" s="97"/>
      <c r="G57" s="117"/>
      <c r="H57" s="117"/>
    </row>
    <row r="58" spans="1:8" ht="13.5" thickBot="1" x14ac:dyDescent="0.25">
      <c r="A58" s="93"/>
      <c r="C58" s="97"/>
      <c r="D58" s="117"/>
      <c r="E58" s="117"/>
      <c r="F58" s="97"/>
      <c r="G58" s="126" t="s">
        <v>515</v>
      </c>
      <c r="H58" s="126"/>
    </row>
    <row r="59" spans="1:8" s="93" customFormat="1" x14ac:dyDescent="0.2">
      <c r="C59" s="97"/>
      <c r="D59" s="117"/>
      <c r="E59" s="117"/>
      <c r="F59" s="97"/>
      <c r="G59" s="18" t="s">
        <v>416</v>
      </c>
      <c r="H59" s="97"/>
    </row>
    <row r="60" spans="1:8" s="93" customFormat="1" x14ac:dyDescent="0.2">
      <c r="C60" s="97"/>
      <c r="D60" s="117"/>
      <c r="E60" s="117"/>
      <c r="F60" s="97"/>
      <c r="G60" s="18"/>
      <c r="H60" s="97"/>
    </row>
    <row r="61" spans="1:8" s="93" customFormat="1" ht="13.5" thickBot="1" x14ac:dyDescent="0.25">
      <c r="C61" s="97"/>
      <c r="D61" s="117"/>
      <c r="E61" s="117"/>
      <c r="F61" s="97"/>
      <c r="G61" s="126" t="s">
        <v>516</v>
      </c>
      <c r="H61" s="126"/>
    </row>
    <row r="62" spans="1:8" s="93" customFormat="1" x14ac:dyDescent="0.2">
      <c r="A62" s="94">
        <v>1</v>
      </c>
      <c r="B62" s="334" t="s">
        <v>506</v>
      </c>
      <c r="C62" s="97"/>
      <c r="D62" s="117"/>
      <c r="E62" s="117"/>
      <c r="F62" s="97"/>
      <c r="G62" s="18" t="s">
        <v>417</v>
      </c>
      <c r="H62" s="97"/>
    </row>
    <row r="63" spans="1:8" s="93" customFormat="1" x14ac:dyDescent="0.2">
      <c r="A63" s="94">
        <v>2</v>
      </c>
      <c r="B63" s="335" t="s">
        <v>371</v>
      </c>
    </row>
    <row r="64" spans="1:8" s="93" customFormat="1" x14ac:dyDescent="0.2">
      <c r="A64" s="94">
        <v>3</v>
      </c>
      <c r="B64" s="336" t="s">
        <v>531</v>
      </c>
    </row>
    <row r="65" spans="1:2" s="93" customFormat="1" x14ac:dyDescent="0.2">
      <c r="A65" s="94">
        <v>4</v>
      </c>
      <c r="B65" s="37" t="s">
        <v>507</v>
      </c>
    </row>
    <row r="66" spans="1:2" s="93" customFormat="1" x14ac:dyDescent="0.2">
      <c r="A66" s="94">
        <v>5</v>
      </c>
      <c r="B66" s="223" t="s">
        <v>532</v>
      </c>
    </row>
    <row r="67" spans="1:2" s="93" customFormat="1" x14ac:dyDescent="0.2">
      <c r="A67" s="94">
        <v>6</v>
      </c>
      <c r="B67" s="223" t="s">
        <v>508</v>
      </c>
    </row>
    <row r="68" spans="1:2" s="93" customFormat="1" x14ac:dyDescent="0.2">
      <c r="A68" s="94">
        <v>7</v>
      </c>
      <c r="B68" s="223" t="s">
        <v>509</v>
      </c>
    </row>
    <row r="69" spans="1:2" s="93" customFormat="1" x14ac:dyDescent="0.2">
      <c r="A69" s="94">
        <v>8</v>
      </c>
      <c r="B69" s="223" t="s">
        <v>510</v>
      </c>
    </row>
    <row r="70" spans="1:2" s="93" customFormat="1" x14ac:dyDescent="0.2">
      <c r="A70" s="94">
        <v>9</v>
      </c>
      <c r="B70" s="224" t="s">
        <v>511</v>
      </c>
    </row>
    <row r="71" spans="1:2" x14ac:dyDescent="0.2">
      <c r="A71" s="94">
        <v>10</v>
      </c>
      <c r="B71" s="224" t="s">
        <v>533</v>
      </c>
    </row>
    <row r="72" spans="1:2" x14ac:dyDescent="0.2">
      <c r="A72" s="94">
        <v>11</v>
      </c>
      <c r="B72" s="224" t="s">
        <v>512</v>
      </c>
    </row>
    <row r="73" spans="1:2" x14ac:dyDescent="0.2">
      <c r="A73" s="94">
        <v>12</v>
      </c>
      <c r="B73" s="224" t="s">
        <v>513</v>
      </c>
    </row>
    <row r="74" spans="1:2" x14ac:dyDescent="0.2">
      <c r="A74" s="94">
        <v>13</v>
      </c>
      <c r="B74" s="224" t="s">
        <v>514</v>
      </c>
    </row>
    <row r="75" spans="1:2" x14ac:dyDescent="0.2">
      <c r="A75" s="94">
        <v>14</v>
      </c>
      <c r="B75" s="224" t="s">
        <v>515</v>
      </c>
    </row>
    <row r="76" spans="1:2" x14ac:dyDescent="0.2">
      <c r="A76" s="94">
        <v>15</v>
      </c>
      <c r="B76" s="224" t="s">
        <v>516</v>
      </c>
    </row>
  </sheetData>
  <conditionalFormatting sqref="C10:F56">
    <cfRule type="cellIs" dxfId="0" priority="1" operator="equal">
      <formula>11</formula>
    </cfRule>
  </conditionalFormatting>
  <pageMargins left="0.78740157480314965" right="0.39370078740157483" top="0.78740157480314965" bottom="0.27559055118110237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3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showRowColHeaders="0" workbookViewId="0">
      <selection activeCell="G1" sqref="G1"/>
    </sheetView>
  </sheetViews>
  <sheetFormatPr defaultRowHeight="12.75" x14ac:dyDescent="0.2"/>
  <cols>
    <col min="1" max="1" width="11.42578125" style="20" customWidth="1"/>
    <col min="2" max="2" width="10.85546875" style="20" bestFit="1" customWidth="1"/>
    <col min="3" max="3" width="11.85546875" style="20" bestFit="1" customWidth="1"/>
    <col min="4" max="4" width="11" style="20" customWidth="1"/>
    <col min="5" max="16384" width="9.140625" style="20"/>
  </cols>
  <sheetData>
    <row r="1" spans="1:4" x14ac:dyDescent="0.2">
      <c r="A1" s="76" t="s">
        <v>192</v>
      </c>
    </row>
    <row r="3" spans="1:4" x14ac:dyDescent="0.2">
      <c r="A3" s="77" t="s">
        <v>193</v>
      </c>
    </row>
    <row r="4" spans="1:4" s="248" customFormat="1" x14ac:dyDescent="0.2">
      <c r="A4" s="77"/>
    </row>
    <row r="5" spans="1:4" x14ac:dyDescent="0.2">
      <c r="A5" s="77" t="s">
        <v>194</v>
      </c>
    </row>
    <row r="6" spans="1:4" s="248" customFormat="1" x14ac:dyDescent="0.2">
      <c r="A6" s="77"/>
    </row>
    <row r="7" spans="1:4" x14ac:dyDescent="0.2">
      <c r="A7" s="77" t="s">
        <v>195</v>
      </c>
    </row>
    <row r="8" spans="1:4" x14ac:dyDescent="0.2">
      <c r="A8" s="78" t="s">
        <v>196</v>
      </c>
      <c r="B8" s="79" t="s">
        <v>197</v>
      </c>
      <c r="C8" s="78" t="s">
        <v>198</v>
      </c>
      <c r="D8" s="258"/>
    </row>
    <row r="9" spans="1:4" x14ac:dyDescent="0.2">
      <c r="A9" s="78" t="s">
        <v>199</v>
      </c>
      <c r="B9" s="79" t="s">
        <v>200</v>
      </c>
      <c r="C9" s="78" t="s">
        <v>201</v>
      </c>
      <c r="D9" s="258"/>
    </row>
    <row r="10" spans="1:4" x14ac:dyDescent="0.2">
      <c r="A10" s="78" t="s">
        <v>202</v>
      </c>
      <c r="B10" s="79" t="s">
        <v>203</v>
      </c>
      <c r="C10" s="78" t="s">
        <v>204</v>
      </c>
      <c r="D10" s="258"/>
    </row>
    <row r="11" spans="1:4" x14ac:dyDescent="0.2">
      <c r="A11" s="78" t="s">
        <v>205</v>
      </c>
      <c r="B11" s="79" t="s">
        <v>206</v>
      </c>
      <c r="C11" s="78" t="s">
        <v>207</v>
      </c>
      <c r="D11" s="258"/>
    </row>
    <row r="12" spans="1:4" s="248" customFormat="1" x14ac:dyDescent="0.2">
      <c r="A12" s="373"/>
      <c r="B12" s="374"/>
      <c r="C12" s="373"/>
      <c r="D12" s="375"/>
    </row>
    <row r="13" spans="1:4" x14ac:dyDescent="0.2">
      <c r="A13" s="77" t="s">
        <v>208</v>
      </c>
    </row>
    <row r="14" spans="1:4" x14ac:dyDescent="0.2">
      <c r="A14" s="80" t="s">
        <v>209</v>
      </c>
    </row>
    <row r="15" spans="1:4" s="248" customFormat="1" x14ac:dyDescent="0.2">
      <c r="A15" s="80"/>
    </row>
    <row r="16" spans="1:4" x14ac:dyDescent="0.2">
      <c r="A16" s="77" t="s">
        <v>210</v>
      </c>
    </row>
    <row r="17" spans="1:4" x14ac:dyDescent="0.2">
      <c r="A17" s="81" t="s">
        <v>211</v>
      </c>
      <c r="B17" s="81" t="s">
        <v>212</v>
      </c>
      <c r="C17" s="81" t="s">
        <v>213</v>
      </c>
      <c r="D17" s="81" t="s">
        <v>214</v>
      </c>
    </row>
    <row r="18" spans="1:4" x14ac:dyDescent="0.2">
      <c r="A18" s="81" t="s">
        <v>215</v>
      </c>
      <c r="B18" s="81" t="s">
        <v>216</v>
      </c>
      <c r="C18" s="81" t="s">
        <v>217</v>
      </c>
      <c r="D18" s="81" t="s">
        <v>218</v>
      </c>
    </row>
    <row r="19" spans="1:4" x14ac:dyDescent="0.2">
      <c r="A19" s="81" t="s">
        <v>219</v>
      </c>
      <c r="B19" s="81" t="s">
        <v>220</v>
      </c>
      <c r="C19" s="81" t="s">
        <v>221</v>
      </c>
      <c r="D19" s="81" t="s">
        <v>222</v>
      </c>
    </row>
    <row r="20" spans="1:4" x14ac:dyDescent="0.2">
      <c r="A20" s="81" t="s">
        <v>223</v>
      </c>
      <c r="B20" s="81" t="s">
        <v>224</v>
      </c>
      <c r="C20" s="81" t="s">
        <v>225</v>
      </c>
      <c r="D20" s="81" t="s">
        <v>226</v>
      </c>
    </row>
    <row r="21" spans="1:4" x14ac:dyDescent="0.2">
      <c r="A21" s="80" t="s">
        <v>227</v>
      </c>
    </row>
    <row r="22" spans="1:4" s="248" customFormat="1" x14ac:dyDescent="0.2">
      <c r="A22" s="80"/>
    </row>
    <row r="23" spans="1:4" x14ac:dyDescent="0.2">
      <c r="A23" s="77" t="s">
        <v>228</v>
      </c>
    </row>
    <row r="24" spans="1:4" x14ac:dyDescent="0.2">
      <c r="A24" s="80" t="s">
        <v>229</v>
      </c>
    </row>
    <row r="25" spans="1:4" s="248" customFormat="1" x14ac:dyDescent="0.2">
      <c r="A25" s="80"/>
    </row>
    <row r="26" spans="1:4" x14ac:dyDescent="0.2">
      <c r="A26" s="77" t="s">
        <v>644</v>
      </c>
    </row>
    <row r="27" spans="1:4" s="248" customFormat="1" x14ac:dyDescent="0.2">
      <c r="A27" s="80" t="s">
        <v>645</v>
      </c>
    </row>
    <row r="28" spans="1:4" x14ac:dyDescent="0.2">
      <c r="A28" s="80" t="s">
        <v>230</v>
      </c>
    </row>
    <row r="29" spans="1:4" x14ac:dyDescent="0.2">
      <c r="A29" s="80" t="s">
        <v>231</v>
      </c>
    </row>
    <row r="30" spans="1:4" s="248" customFormat="1" x14ac:dyDescent="0.2">
      <c r="A30" s="80"/>
    </row>
    <row r="31" spans="1:4" x14ac:dyDescent="0.2">
      <c r="A31" s="77" t="s">
        <v>232</v>
      </c>
    </row>
    <row r="32" spans="1:4" s="248" customFormat="1" x14ac:dyDescent="0.2">
      <c r="A32" s="77"/>
    </row>
    <row r="33" spans="1:1" x14ac:dyDescent="0.2">
      <c r="A33" s="77" t="s">
        <v>233</v>
      </c>
    </row>
  </sheetData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&amp;R&amp;9Page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Kalend</vt:lpstr>
      <vt:lpstr>Reit</vt:lpstr>
      <vt:lpstr>KJ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NV</vt:lpstr>
      <vt:lpstr>13</vt:lpstr>
      <vt:lpstr>14</vt:lpstr>
      <vt:lpstr>15</vt:lpstr>
      <vt:lpstr>16</vt:lpstr>
      <vt:lpstr>17</vt:lpstr>
      <vt:lpstr>KJ KV juh</vt:lpstr>
      <vt:lpstr>KJ!Print_Area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'17'!Print_Titles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NV!Print_Titles</vt:lpstr>
      <vt:lpstr>Reit!Print_Titles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2015-12-04T11:15:23Z</dcterms:created>
  <dcterms:modified xsi:type="dcterms:W3CDTF">2019-04-13T12:41:58Z</dcterms:modified>
</cp:coreProperties>
</file>